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5.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6.bin" ContentType="application/vnd.openxmlformats-officedocument.spreadsheetml.customProperty"/>
  <Override PartName="/xl/comments3.xml" ContentType="application/vnd.openxmlformats-officedocument.spreadsheetml.comments+xml"/>
  <Override PartName="/xl/threadedComments/threadedComment3.xml" ContentType="application/vnd.ms-excel.threadedcomments+xml"/>
  <Override PartName="/xl/customProperty7.bin" ContentType="application/vnd.openxmlformats-officedocument.spreadsheetml.customProperty"/>
  <Override PartName="/xl/comments4.xml" ContentType="application/vnd.openxmlformats-officedocument.spreadsheetml.comments+xml"/>
  <Override PartName="/xl/threadedComments/threadedComment4.xml" ContentType="application/vnd.ms-excel.threadedcomments+xml"/>
  <Override PartName="/xl/customProperty8.bin" ContentType="application/vnd.openxmlformats-officedocument.spreadsheetml.customProperty"/>
  <Override PartName="/xl/comments5.xml" ContentType="application/vnd.openxmlformats-officedocument.spreadsheetml.comments+xml"/>
  <Override PartName="/xl/threadedComments/threadedComment5.xml" ContentType="application/vnd.ms-excel.threadedcomments+xml"/>
  <Override PartName="/xl/customProperty9.bin" ContentType="application/vnd.openxmlformats-officedocument.spreadsheetml.customProperty"/>
  <Override PartName="/xl/comments6.xml" ContentType="application/vnd.openxmlformats-officedocument.spreadsheetml.comments+xml"/>
  <Override PartName="/xl/threadedComments/threadedComment6.xml" ContentType="application/vnd.ms-excel.threadedcomments+xml"/>
  <Override PartName="/xl/customProperty10.bin" ContentType="application/vnd.openxmlformats-officedocument.spreadsheetml.customProperty"/>
  <Override PartName="/xl/comments7.xml" ContentType="application/vnd.openxmlformats-officedocument.spreadsheetml.comments+xml"/>
  <Override PartName="/xl/threadedComments/threadedComment7.xml" ContentType="application/vnd.ms-excel.threadedcomments+xml"/>
  <Override PartName="/xl/customProperty11.bin" ContentType="application/vnd.openxmlformats-officedocument.spreadsheetml.customProperty"/>
  <Override PartName="/xl/comments8.xml" ContentType="application/vnd.openxmlformats-officedocument.spreadsheetml.comments+xml"/>
  <Override PartName="/xl/threadedComments/threadedComment8.xml" ContentType="application/vnd.ms-excel.threadedcomments+xml"/>
  <Override PartName="/xl/customProperty12.bin" ContentType="application/vnd.openxmlformats-officedocument.spreadsheetml.customProperty"/>
  <Override PartName="/xl/customProperty13.bin" ContentType="application/vnd.openxmlformats-officedocument.spreadsheetml.customProperty"/>
  <Override PartName="/xl/comments9.xml" ContentType="application/vnd.openxmlformats-officedocument.spreadsheetml.comments+xml"/>
  <Override PartName="/xl/threadedComments/threadedComment9.xml" ContentType="application/vnd.ms-excel.threadedcomments+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omments10.xml" ContentType="application/vnd.openxmlformats-officedocument.spreadsheetml.comments+xml"/>
  <Override PartName="/xl/threadedComments/threadedComment10.xml" ContentType="application/vnd.ms-excel.threadedcomments+xml"/>
  <Override PartName="/xl/customProperty18.bin" ContentType="application/vnd.openxmlformats-officedocument.spreadsheetml.customProperty"/>
  <Override PartName="/xl/comments11.xml" ContentType="application/vnd.openxmlformats-officedocument.spreadsheetml.comments+xml"/>
  <Override PartName="/xl/threadedComments/threadedComment11.xml" ContentType="application/vnd.ms-excel.threadedcomments+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edaattikis-my.sharepoint.com/personal/v_belekou_edaattikis_gr/Documents/DEPA INFRA/PLANNING/DEVELOPMENT PLAN 2024-2028/DP 24-28_SHARED WORKSPACE/RAEWW files/"/>
    </mc:Choice>
  </mc:AlternateContent>
  <xr:revisionPtr revIDLastSave="85" documentId="8_{D165388E-8B7A-4D4A-9669-13B361674872}" xr6:coauthVersionLast="47" xr6:coauthVersionMax="47" xr10:uidLastSave="{049E0296-E509-4374-9439-B5CB197732ED}"/>
  <bookViews>
    <workbookView xWindow="-110" yWindow="-110" windowWidth="25820" windowHeight="14020" tabRatio="802" xr2:uid="{66BABBE6-436B-461F-8541-DA345D0E73E7}"/>
  </bookViews>
  <sheets>
    <sheet name="Αρχική σελίδα" sheetId="17" r:id="rId1"/>
    <sheet name="Ανάλυση δήμων -&gt;" sheetId="21" r:id="rId2"/>
    <sheet name="Γενική περιγραφή" sheetId="28" r:id="rId3"/>
    <sheet name="Ανάλυση για νέους πελάτες" sheetId="26" r:id="rId4"/>
    <sheet name="Ανάπτυξη δικτύου" sheetId="4" r:id="rId5"/>
    <sheet name="Ενεργές συνδέσεις" sheetId="5" r:id="rId6"/>
    <sheet name="Ενεργοί μετρητές" sheetId="29" r:id="rId7"/>
    <sheet name="Ενεργοί πελάτες" sheetId="6" r:id="rId8"/>
    <sheet name="Παραδοχές μοναδιαίου κόστους" sheetId="19" r:id="rId9"/>
    <sheet name="Μέση ετήσια κατανάλωση" sheetId="12" r:id="rId10"/>
    <sheet name="Διανεμόμενες ποσότητες αερίου" sheetId="7" r:id="rId11"/>
    <sheet name="Επενδύσεις" sheetId="27" r:id="rId12"/>
    <sheet name="Παραδοχές διείσδυσης - κάλυψης" sheetId="9" r:id="rId13"/>
    <sheet name="Δείκτες διείσδυσης - κάλυψης" sheetId="13" r:id="rId14"/>
    <sheet name="Δείκτες απόδοσης" sheetId="18" r:id="rId15"/>
    <sheet name="Οικονομική ανάλυση δήμων -&gt;" sheetId="23" r:id="rId16"/>
    <sheet name="Αποτελέσματα ανάλυσης" sheetId="24" r:id="rId17"/>
    <sheet name="Ανάλυση ανά δήμο" sheetId="22" r:id="rId18"/>
    <sheet name="Συνολικό δίκτυο -&gt;" sheetId="20" r:id="rId19"/>
    <sheet name="Στοιχεία υφιστάμενου δικτύου" sheetId="1" r:id="rId20"/>
    <sheet name="Πρόγραμμα ανάπτυξης δικτύου" sheetId="30" r:id="rId21"/>
    <sheet name="Συνολικοί δείκτες απόδοσης" sheetId="2" r:id="rId22"/>
    <sheet name="Επίπτωση στη μέση χρέωση" sheetId="3" r:id="rId23"/>
  </sheets>
  <externalReferences>
    <externalReference r:id="rId24"/>
    <externalReference r:id="rId25"/>
  </externalReferences>
  <definedNames>
    <definedName name="_xlnm._FilterDatabase" localSheetId="4" hidden="1">'Ανάπτυξη δικτύου'!$A$76:$AK$132</definedName>
    <definedName name="_xlnm._FilterDatabase" localSheetId="2" hidden="1">'Γενική περιγραφή'!$B$11:$F$66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2" i="30" l="1"/>
  <c r="E127" i="30"/>
  <c r="E117" i="30"/>
  <c r="E112" i="30"/>
  <c r="E107" i="30"/>
  <c r="E102" i="30"/>
  <c r="E12" i="24" l="1"/>
  <c r="E20" i="22"/>
  <c r="F20" i="22"/>
  <c r="G20" i="22"/>
  <c r="H20" i="22"/>
  <c r="D20" i="22"/>
  <c r="W436" i="13"/>
  <c r="Y436" i="13" s="1"/>
  <c r="U436" i="13"/>
  <c r="V436" i="13" s="1"/>
  <c r="T436" i="13"/>
  <c r="S436" i="13"/>
  <c r="Q436" i="13"/>
  <c r="O436" i="13"/>
  <c r="P436" i="13" s="1"/>
  <c r="K436" i="13"/>
  <c r="M436" i="13" s="1"/>
  <c r="I436" i="13"/>
  <c r="J436" i="13" s="1"/>
  <c r="G436" i="13"/>
  <c r="E436" i="13"/>
  <c r="H436" i="13" s="1"/>
  <c r="D436" i="13"/>
  <c r="W435" i="13"/>
  <c r="Y435" i="13" s="1"/>
  <c r="V435" i="13"/>
  <c r="U435" i="13"/>
  <c r="S435" i="13"/>
  <c r="T435" i="13" s="1"/>
  <c r="R435" i="13"/>
  <c r="Q435" i="13"/>
  <c r="O435" i="13"/>
  <c r="P435" i="13" s="1"/>
  <c r="K435" i="13"/>
  <c r="M435" i="13" s="1"/>
  <c r="I435" i="13"/>
  <c r="J435" i="13" s="1"/>
  <c r="G435" i="13"/>
  <c r="E435" i="13"/>
  <c r="H435" i="13" s="1"/>
  <c r="D435" i="13"/>
  <c r="W434" i="13"/>
  <c r="Y434" i="13" s="1"/>
  <c r="U434" i="13"/>
  <c r="V434" i="13" s="1"/>
  <c r="S434" i="13"/>
  <c r="T434" i="13" s="1"/>
  <c r="Q434" i="13"/>
  <c r="R434" i="13" s="1"/>
  <c r="O434" i="13"/>
  <c r="P434" i="13" s="1"/>
  <c r="L434" i="13"/>
  <c r="K434" i="13"/>
  <c r="M434" i="13" s="1"/>
  <c r="J434" i="13"/>
  <c r="I434" i="13"/>
  <c r="G434" i="13"/>
  <c r="E434" i="13"/>
  <c r="H434" i="13" s="1"/>
  <c r="D434" i="13"/>
  <c r="W433" i="13"/>
  <c r="Y433" i="13" s="1"/>
  <c r="U433" i="13"/>
  <c r="V433" i="13" s="1"/>
  <c r="S433" i="13"/>
  <c r="T433" i="13" s="1"/>
  <c r="Q433" i="13"/>
  <c r="R433" i="13" s="1"/>
  <c r="O433" i="13"/>
  <c r="P433" i="13" s="1"/>
  <c r="L433" i="13"/>
  <c r="K433" i="13"/>
  <c r="M433" i="13" s="1"/>
  <c r="J433" i="13"/>
  <c r="I433" i="13"/>
  <c r="G433" i="13"/>
  <c r="E433" i="13"/>
  <c r="H433" i="13" s="1"/>
  <c r="D433" i="13"/>
  <c r="W432" i="13"/>
  <c r="Y432" i="13" s="1"/>
  <c r="U432" i="13"/>
  <c r="V432" i="13" s="1"/>
  <c r="S432" i="13"/>
  <c r="T432" i="13" s="1"/>
  <c r="Q432" i="13"/>
  <c r="R432" i="13" s="1"/>
  <c r="O432" i="13"/>
  <c r="P432" i="13" s="1"/>
  <c r="L432" i="13"/>
  <c r="K432" i="13"/>
  <c r="M432" i="13" s="1"/>
  <c r="J432" i="13"/>
  <c r="I432" i="13"/>
  <c r="G432" i="13"/>
  <c r="H432" i="13" s="1"/>
  <c r="E432" i="13"/>
  <c r="F432" i="13" s="1"/>
  <c r="D432" i="13"/>
  <c r="W374" i="13"/>
  <c r="Y374" i="13" s="1"/>
  <c r="U374" i="13"/>
  <c r="V374" i="13" s="1"/>
  <c r="S374" i="13"/>
  <c r="T374" i="13" s="1"/>
  <c r="Q374" i="13"/>
  <c r="R374" i="13" s="1"/>
  <c r="O374" i="13"/>
  <c r="P374" i="13" s="1"/>
  <c r="K374" i="13"/>
  <c r="M374" i="13" s="1"/>
  <c r="I374" i="13"/>
  <c r="J374" i="13" s="1"/>
  <c r="H374" i="13"/>
  <c r="G374" i="13"/>
  <c r="F374" i="13"/>
  <c r="E374" i="13"/>
  <c r="D374" i="13"/>
  <c r="X373" i="13"/>
  <c r="W373" i="13"/>
  <c r="Y373" i="13" s="1"/>
  <c r="U373" i="13"/>
  <c r="V373" i="13" s="1"/>
  <c r="S373" i="13"/>
  <c r="T373" i="13" s="1"/>
  <c r="R373" i="13"/>
  <c r="Q373" i="13"/>
  <c r="P373" i="13"/>
  <c r="O373" i="13"/>
  <c r="K373" i="13"/>
  <c r="M373" i="13" s="1"/>
  <c r="I373" i="13"/>
  <c r="J373" i="13" s="1"/>
  <c r="G373" i="13"/>
  <c r="H373" i="13" s="1"/>
  <c r="F373" i="13"/>
  <c r="E373" i="13"/>
  <c r="D373" i="13"/>
  <c r="W372" i="13"/>
  <c r="Y372" i="13" s="1"/>
  <c r="U372" i="13"/>
  <c r="S372" i="13"/>
  <c r="V372" i="13" s="1"/>
  <c r="Q372" i="13"/>
  <c r="O372" i="13"/>
  <c r="P372" i="13" s="1"/>
  <c r="M372" i="13"/>
  <c r="K372" i="13"/>
  <c r="L372" i="13" s="1"/>
  <c r="J372" i="13"/>
  <c r="I372" i="13"/>
  <c r="G372" i="13"/>
  <c r="E372" i="13"/>
  <c r="H372" i="13" s="1"/>
  <c r="D372" i="13"/>
  <c r="W371" i="13"/>
  <c r="Y371" i="13" s="1"/>
  <c r="U371" i="13"/>
  <c r="V371" i="13" s="1"/>
  <c r="T371" i="13"/>
  <c r="S371" i="13"/>
  <c r="R371" i="13"/>
  <c r="Q371" i="13"/>
  <c r="O371" i="13"/>
  <c r="P371" i="13" s="1"/>
  <c r="K371" i="13"/>
  <c r="L371" i="13" s="1"/>
  <c r="I371" i="13"/>
  <c r="J371" i="13" s="1"/>
  <c r="G371" i="13"/>
  <c r="H371" i="13" s="1"/>
  <c r="E371" i="13"/>
  <c r="F371" i="13" s="1"/>
  <c r="D371" i="13"/>
  <c r="W370" i="13"/>
  <c r="Y370" i="13" s="1"/>
  <c r="U370" i="13"/>
  <c r="V370" i="13" s="1"/>
  <c r="S370" i="13"/>
  <c r="T370" i="13" s="1"/>
  <c r="Q370" i="13"/>
  <c r="R370" i="13" s="1"/>
  <c r="O370" i="13"/>
  <c r="P370" i="13" s="1"/>
  <c r="M370" i="13"/>
  <c r="L370" i="13"/>
  <c r="K370" i="13"/>
  <c r="I370" i="13"/>
  <c r="J370" i="13" s="1"/>
  <c r="G370" i="13"/>
  <c r="E370" i="13"/>
  <c r="F370" i="13" s="1"/>
  <c r="D370" i="13"/>
  <c r="Y313" i="13"/>
  <c r="X313" i="13"/>
  <c r="W313" i="13"/>
  <c r="V313" i="13"/>
  <c r="U313" i="13"/>
  <c r="T313" i="13"/>
  <c r="S313" i="13"/>
  <c r="Q313" i="13"/>
  <c r="R313" i="13" s="1"/>
  <c r="P313" i="13"/>
  <c r="O313" i="13"/>
  <c r="K313" i="13"/>
  <c r="M313" i="13" s="1"/>
  <c r="I313" i="13"/>
  <c r="J313" i="13" s="1"/>
  <c r="G313" i="13"/>
  <c r="H313" i="13" s="1"/>
  <c r="E313" i="13"/>
  <c r="F313" i="13" s="1"/>
  <c r="D313" i="13"/>
  <c r="W312" i="13"/>
  <c r="Y312" i="13" s="1"/>
  <c r="U312" i="13"/>
  <c r="V312" i="13" s="1"/>
  <c r="T312" i="13"/>
  <c r="S312" i="13"/>
  <c r="R312" i="13"/>
  <c r="Q312" i="13"/>
  <c r="O312" i="13"/>
  <c r="P312" i="13" s="1"/>
  <c r="K312" i="13"/>
  <c r="M312" i="13" s="1"/>
  <c r="J312" i="13"/>
  <c r="I312" i="13"/>
  <c r="G312" i="13"/>
  <c r="E312" i="13"/>
  <c r="H312" i="13" s="1"/>
  <c r="D312" i="13"/>
  <c r="W311" i="13"/>
  <c r="Y311" i="13" s="1"/>
  <c r="U311" i="13"/>
  <c r="V311" i="13" s="1"/>
  <c r="S311" i="13"/>
  <c r="T311" i="13" s="1"/>
  <c r="R311" i="13"/>
  <c r="Q311" i="13"/>
  <c r="O311" i="13"/>
  <c r="P311" i="13" s="1"/>
  <c r="K311" i="13"/>
  <c r="M311" i="13" s="1"/>
  <c r="I311" i="13"/>
  <c r="L311" i="13" s="1"/>
  <c r="G311" i="13"/>
  <c r="E311" i="13"/>
  <c r="H311" i="13" s="1"/>
  <c r="D311" i="13"/>
  <c r="W310" i="13"/>
  <c r="Y310" i="13" s="1"/>
  <c r="U310" i="13"/>
  <c r="V310" i="13" s="1"/>
  <c r="S310" i="13"/>
  <c r="T310" i="13" s="1"/>
  <c r="R310" i="13"/>
  <c r="Q310" i="13"/>
  <c r="O310" i="13"/>
  <c r="P310" i="13" s="1"/>
  <c r="L310" i="13"/>
  <c r="K310" i="13"/>
  <c r="J310" i="13"/>
  <c r="I310" i="13"/>
  <c r="G310" i="13"/>
  <c r="E310" i="13"/>
  <c r="H310" i="13" s="1"/>
  <c r="D310" i="13"/>
  <c r="M310" i="13" s="1"/>
  <c r="W309" i="13"/>
  <c r="Y309" i="13" s="1"/>
  <c r="U309" i="13"/>
  <c r="V309" i="13" s="1"/>
  <c r="S309" i="13"/>
  <c r="T309" i="13" s="1"/>
  <c r="R309" i="13"/>
  <c r="Q309" i="13"/>
  <c r="P309" i="13"/>
  <c r="O309" i="13"/>
  <c r="M309" i="13"/>
  <c r="K309" i="13"/>
  <c r="L309" i="13" s="1"/>
  <c r="J309" i="13"/>
  <c r="I309" i="13"/>
  <c r="G309" i="13"/>
  <c r="H309" i="13" s="1"/>
  <c r="E309" i="13"/>
  <c r="F309" i="13" s="1"/>
  <c r="D309" i="13"/>
  <c r="W252" i="13"/>
  <c r="Y252" i="13" s="1"/>
  <c r="U252" i="13"/>
  <c r="V252" i="13" s="1"/>
  <c r="S252" i="13"/>
  <c r="T252" i="13" s="1"/>
  <c r="R252" i="13"/>
  <c r="Q252" i="13"/>
  <c r="O252" i="13"/>
  <c r="P252" i="13" s="1"/>
  <c r="K252" i="13"/>
  <c r="M252" i="13" s="1"/>
  <c r="I252" i="13"/>
  <c r="J252" i="13" s="1"/>
  <c r="H252" i="13"/>
  <c r="G252" i="13"/>
  <c r="E252" i="13"/>
  <c r="D252" i="13"/>
  <c r="F252" i="13" s="1"/>
  <c r="W251" i="13"/>
  <c r="Y251" i="13" s="1"/>
  <c r="U251" i="13"/>
  <c r="V251" i="13" s="1"/>
  <c r="S251" i="13"/>
  <c r="T251" i="13" s="1"/>
  <c r="R251" i="13"/>
  <c r="Q251" i="13"/>
  <c r="O251" i="13"/>
  <c r="P251" i="13" s="1"/>
  <c r="K251" i="13"/>
  <c r="M251" i="13" s="1"/>
  <c r="I251" i="13"/>
  <c r="L251" i="13" s="1"/>
  <c r="G251" i="13"/>
  <c r="E251" i="13"/>
  <c r="H251" i="13" s="1"/>
  <c r="D251" i="13"/>
  <c r="W250" i="13"/>
  <c r="Y250" i="13" s="1"/>
  <c r="U250" i="13"/>
  <c r="V250" i="13" s="1"/>
  <c r="S250" i="13"/>
  <c r="T250" i="13" s="1"/>
  <c r="R250" i="13"/>
  <c r="Q250" i="13"/>
  <c r="O250" i="13"/>
  <c r="P250" i="13" s="1"/>
  <c r="K250" i="13"/>
  <c r="M250" i="13" s="1"/>
  <c r="J250" i="13"/>
  <c r="I250" i="13"/>
  <c r="G250" i="13"/>
  <c r="E250" i="13"/>
  <c r="H250" i="13" s="1"/>
  <c r="D250" i="13"/>
  <c r="W249" i="13"/>
  <c r="Y249" i="13" s="1"/>
  <c r="U249" i="13"/>
  <c r="S249" i="13"/>
  <c r="V249" i="13" s="1"/>
  <c r="R249" i="13"/>
  <c r="Q249" i="13"/>
  <c r="O249" i="13"/>
  <c r="P249" i="13" s="1"/>
  <c r="M249" i="13"/>
  <c r="K249" i="13"/>
  <c r="I249" i="13"/>
  <c r="L249" i="13" s="1"/>
  <c r="G249" i="13"/>
  <c r="E249" i="13"/>
  <c r="H249" i="13" s="1"/>
  <c r="D249" i="13"/>
  <c r="W248" i="13"/>
  <c r="Y248" i="13" s="1"/>
  <c r="U248" i="13"/>
  <c r="S248" i="13"/>
  <c r="V248" i="13" s="1"/>
  <c r="R248" i="13"/>
  <c r="Q248" i="13"/>
  <c r="O248" i="13"/>
  <c r="P248" i="13" s="1"/>
  <c r="K248" i="13"/>
  <c r="M248" i="13" s="1"/>
  <c r="J248" i="13"/>
  <c r="I248" i="13"/>
  <c r="G248" i="13"/>
  <c r="E248" i="13"/>
  <c r="H248" i="13" s="1"/>
  <c r="D248" i="13"/>
  <c r="W191" i="13"/>
  <c r="Y191" i="13" s="1"/>
  <c r="U191" i="13"/>
  <c r="V191" i="13" s="1"/>
  <c r="S191" i="13"/>
  <c r="T191" i="13" s="1"/>
  <c r="R191" i="13"/>
  <c r="Q191" i="13"/>
  <c r="O191" i="13"/>
  <c r="P191" i="13" s="1"/>
  <c r="K191" i="13"/>
  <c r="I191" i="13"/>
  <c r="L191" i="13" s="1"/>
  <c r="G191" i="13"/>
  <c r="E191" i="13"/>
  <c r="H191" i="13" s="1"/>
  <c r="D191" i="13"/>
  <c r="M191" i="13" s="1"/>
  <c r="W190" i="13"/>
  <c r="Y190" i="13" s="1"/>
  <c r="U190" i="13"/>
  <c r="X190" i="13" s="1"/>
  <c r="T190" i="13"/>
  <c r="S190" i="13"/>
  <c r="R190" i="13"/>
  <c r="Q190" i="13"/>
  <c r="P190" i="13"/>
  <c r="O190" i="13"/>
  <c r="L190" i="13"/>
  <c r="K190" i="13"/>
  <c r="M190" i="13" s="1"/>
  <c r="I190" i="13"/>
  <c r="J190" i="13" s="1"/>
  <c r="G190" i="13"/>
  <c r="H190" i="13" s="1"/>
  <c r="E190" i="13"/>
  <c r="D190" i="13"/>
  <c r="F190" i="13" s="1"/>
  <c r="W189" i="13"/>
  <c r="Y189" i="13" s="1"/>
  <c r="U189" i="13"/>
  <c r="V189" i="13" s="1"/>
  <c r="T189" i="13"/>
  <c r="S189" i="13"/>
  <c r="R189" i="13"/>
  <c r="Q189" i="13"/>
  <c r="O189" i="13"/>
  <c r="P189" i="13" s="1"/>
  <c r="L189" i="13"/>
  <c r="K189" i="13"/>
  <c r="M189" i="13" s="1"/>
  <c r="I189" i="13"/>
  <c r="J189" i="13" s="1"/>
  <c r="G189" i="13"/>
  <c r="E189" i="13"/>
  <c r="H189" i="13" s="1"/>
  <c r="D189" i="13"/>
  <c r="W188" i="13"/>
  <c r="Y188" i="13" s="1"/>
  <c r="U188" i="13"/>
  <c r="V188" i="13" s="1"/>
  <c r="S188" i="13"/>
  <c r="T188" i="13" s="1"/>
  <c r="R188" i="13"/>
  <c r="Q188" i="13"/>
  <c r="O188" i="13"/>
  <c r="P188" i="13" s="1"/>
  <c r="L188" i="13"/>
  <c r="K188" i="13"/>
  <c r="I188" i="13"/>
  <c r="J188" i="13" s="1"/>
  <c r="G188" i="13"/>
  <c r="H188" i="13" s="1"/>
  <c r="E188" i="13"/>
  <c r="F188" i="13" s="1"/>
  <c r="D188" i="13"/>
  <c r="M188" i="13" s="1"/>
  <c r="W187" i="13"/>
  <c r="Y187" i="13" s="1"/>
  <c r="U187" i="13"/>
  <c r="V187" i="13" s="1"/>
  <c r="S187" i="13"/>
  <c r="T187" i="13" s="1"/>
  <c r="Q187" i="13"/>
  <c r="R187" i="13" s="1"/>
  <c r="O187" i="13"/>
  <c r="P187" i="13" s="1"/>
  <c r="L187" i="13"/>
  <c r="K187" i="13"/>
  <c r="M187" i="13" s="1"/>
  <c r="I187" i="13"/>
  <c r="J187" i="13" s="1"/>
  <c r="H187" i="13"/>
  <c r="G187" i="13"/>
  <c r="E187" i="13"/>
  <c r="D187" i="13"/>
  <c r="F187" i="13" s="1"/>
  <c r="W130" i="13"/>
  <c r="Y130" i="13" s="1"/>
  <c r="U130" i="13"/>
  <c r="V130" i="13" s="1"/>
  <c r="S130" i="13"/>
  <c r="T130" i="13" s="1"/>
  <c r="R130" i="13"/>
  <c r="Q130" i="13"/>
  <c r="O130" i="13"/>
  <c r="P130" i="13" s="1"/>
  <c r="K130" i="13"/>
  <c r="M130" i="13" s="1"/>
  <c r="I130" i="13"/>
  <c r="J130" i="13" s="1"/>
  <c r="G130" i="13"/>
  <c r="E130" i="13"/>
  <c r="H130" i="13" s="1"/>
  <c r="D130" i="13"/>
  <c r="W129" i="13"/>
  <c r="Y129" i="13" s="1"/>
  <c r="V129" i="13"/>
  <c r="U129" i="13"/>
  <c r="T129" i="13"/>
  <c r="S129" i="13"/>
  <c r="R129" i="13"/>
  <c r="Q129" i="13"/>
  <c r="O129" i="13"/>
  <c r="P129" i="13" s="1"/>
  <c r="K129" i="13"/>
  <c r="M129" i="13" s="1"/>
  <c r="I129" i="13"/>
  <c r="J129" i="13" s="1"/>
  <c r="G129" i="13"/>
  <c r="E129" i="13"/>
  <c r="H129" i="13" s="1"/>
  <c r="D129" i="13"/>
  <c r="W128" i="13"/>
  <c r="Y128" i="13" s="1"/>
  <c r="U128" i="13"/>
  <c r="V128" i="13" s="1"/>
  <c r="S128" i="13"/>
  <c r="T128" i="13" s="1"/>
  <c r="R128" i="13"/>
  <c r="Q128" i="13"/>
  <c r="O128" i="13"/>
  <c r="P128" i="13" s="1"/>
  <c r="K128" i="13"/>
  <c r="I128" i="13"/>
  <c r="L128" i="13" s="1"/>
  <c r="G128" i="13"/>
  <c r="E128" i="13"/>
  <c r="H128" i="13" s="1"/>
  <c r="D128" i="13"/>
  <c r="M128" i="13" s="1"/>
  <c r="W127" i="13"/>
  <c r="Y127" i="13" s="1"/>
  <c r="U127" i="13"/>
  <c r="V127" i="13" s="1"/>
  <c r="S127" i="13"/>
  <c r="T127" i="13" s="1"/>
  <c r="R127" i="13"/>
  <c r="Q127" i="13"/>
  <c r="O127" i="13"/>
  <c r="P127" i="13" s="1"/>
  <c r="K127" i="13"/>
  <c r="L127" i="13" s="1"/>
  <c r="J127" i="13"/>
  <c r="I127" i="13"/>
  <c r="G127" i="13"/>
  <c r="E127" i="13"/>
  <c r="H127" i="13" s="1"/>
  <c r="D127" i="13"/>
  <c r="W126" i="13"/>
  <c r="Y126" i="13" s="1"/>
  <c r="U126" i="13"/>
  <c r="V126" i="13" s="1"/>
  <c r="S126" i="13"/>
  <c r="T126" i="13" s="1"/>
  <c r="Q126" i="13"/>
  <c r="R126" i="13" s="1"/>
  <c r="O126" i="13"/>
  <c r="K126" i="13"/>
  <c r="P126" i="13" s="1"/>
  <c r="I126" i="13"/>
  <c r="J126" i="13" s="1"/>
  <c r="G126" i="13"/>
  <c r="E126" i="13"/>
  <c r="H126" i="13" s="1"/>
  <c r="D126" i="13"/>
  <c r="D304" i="27"/>
  <c r="E304" i="27"/>
  <c r="F304" i="27"/>
  <c r="I304" i="27" s="1"/>
  <c r="G304" i="27"/>
  <c r="H304" i="27"/>
  <c r="D305" i="27"/>
  <c r="I305" i="27" s="1"/>
  <c r="E305" i="27"/>
  <c r="F305" i="27"/>
  <c r="G305" i="27"/>
  <c r="H305" i="27"/>
  <c r="D306" i="27"/>
  <c r="I306" i="27" s="1"/>
  <c r="E306" i="27"/>
  <c r="F306" i="27"/>
  <c r="G306" i="27"/>
  <c r="H306" i="27"/>
  <c r="D307" i="27"/>
  <c r="I307" i="27" s="1"/>
  <c r="E307" i="27"/>
  <c r="F307" i="27"/>
  <c r="G307" i="27"/>
  <c r="H307" i="27"/>
  <c r="D242" i="27"/>
  <c r="E242" i="27"/>
  <c r="F242" i="27"/>
  <c r="G242" i="27"/>
  <c r="H242" i="27"/>
  <c r="I242" i="27"/>
  <c r="D244" i="27"/>
  <c r="E244" i="27"/>
  <c r="F244" i="27"/>
  <c r="G244" i="27"/>
  <c r="I244" i="27" s="1"/>
  <c r="H244" i="27"/>
  <c r="D245" i="27"/>
  <c r="I245" i="27" s="1"/>
  <c r="E245" i="27"/>
  <c r="F245" i="27"/>
  <c r="G245" i="27"/>
  <c r="H245" i="27"/>
  <c r="D246" i="27"/>
  <c r="I246" i="27" s="1"/>
  <c r="E246" i="27"/>
  <c r="F246" i="27"/>
  <c r="G246" i="27"/>
  <c r="H246" i="27"/>
  <c r="D247" i="27"/>
  <c r="E247" i="27"/>
  <c r="F247" i="27"/>
  <c r="G247" i="27"/>
  <c r="H247" i="27"/>
  <c r="I247" i="27"/>
  <c r="D183" i="27"/>
  <c r="I183" i="27" s="1"/>
  <c r="E183" i="27"/>
  <c r="F183" i="27"/>
  <c r="G183" i="27"/>
  <c r="H183" i="27"/>
  <c r="D184" i="27"/>
  <c r="E184" i="27"/>
  <c r="F184" i="27"/>
  <c r="G184" i="27"/>
  <c r="I184" i="27" s="1"/>
  <c r="H184" i="27"/>
  <c r="D185" i="27"/>
  <c r="E185" i="27"/>
  <c r="F185" i="27"/>
  <c r="G185" i="27"/>
  <c r="H185" i="27"/>
  <c r="I185" i="27"/>
  <c r="D186" i="27"/>
  <c r="I186" i="27" s="1"/>
  <c r="E186" i="27"/>
  <c r="F186" i="27"/>
  <c r="G186" i="27"/>
  <c r="H186" i="27"/>
  <c r="D123" i="27"/>
  <c r="I123" i="27" s="1"/>
  <c r="E123" i="27"/>
  <c r="F123" i="27"/>
  <c r="G123" i="27"/>
  <c r="H123" i="27"/>
  <c r="D124" i="27"/>
  <c r="E124" i="27"/>
  <c r="F124" i="27"/>
  <c r="G124" i="27"/>
  <c r="I124" i="27" s="1"/>
  <c r="H124" i="27"/>
  <c r="D125" i="27"/>
  <c r="E125" i="27"/>
  <c r="I125" i="27" s="1"/>
  <c r="F125" i="27"/>
  <c r="G125" i="27"/>
  <c r="H125" i="27"/>
  <c r="D126" i="27"/>
  <c r="I126" i="27" s="1"/>
  <c r="E126" i="27"/>
  <c r="F126" i="27"/>
  <c r="G126" i="27"/>
  <c r="H126" i="27"/>
  <c r="D229" i="13"/>
  <c r="D228" i="13"/>
  <c r="D246" i="13"/>
  <c r="D243" i="13"/>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W130"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E15" i="5"/>
  <c r="G15" i="5" s="1"/>
  <c r="E16" i="5"/>
  <c r="G16" i="5" s="1"/>
  <c r="E17" i="5"/>
  <c r="G17" i="5" s="1"/>
  <c r="E18" i="5"/>
  <c r="G18" i="5" s="1"/>
  <c r="E19" i="5"/>
  <c r="G19" i="5" s="1"/>
  <c r="E20" i="5"/>
  <c r="G20" i="5" s="1"/>
  <c r="E21" i="5"/>
  <c r="G21" i="5" s="1"/>
  <c r="E22" i="5"/>
  <c r="G22" i="5" s="1"/>
  <c r="E23" i="5"/>
  <c r="G23" i="5" s="1"/>
  <c r="E24" i="5"/>
  <c r="G24" i="5" s="1"/>
  <c r="E25" i="5"/>
  <c r="G25" i="5" s="1"/>
  <c r="E26" i="5"/>
  <c r="G26" i="5" s="1"/>
  <c r="E27" i="5"/>
  <c r="G27" i="5" s="1"/>
  <c r="E28" i="5"/>
  <c r="G28" i="5" s="1"/>
  <c r="E29" i="5"/>
  <c r="G29" i="5" s="1"/>
  <c r="E30" i="5"/>
  <c r="G30" i="5" s="1"/>
  <c r="E31" i="5"/>
  <c r="G31" i="5" s="1"/>
  <c r="E32" i="5"/>
  <c r="G32" i="5" s="1"/>
  <c r="E33" i="5"/>
  <c r="G33" i="5" s="1"/>
  <c r="E34" i="5"/>
  <c r="G34" i="5" s="1"/>
  <c r="E35" i="5"/>
  <c r="G35" i="5" s="1"/>
  <c r="E36" i="5"/>
  <c r="G36" i="5" s="1"/>
  <c r="E37" i="5"/>
  <c r="G37" i="5" s="1"/>
  <c r="E38" i="5"/>
  <c r="G38" i="5" s="1"/>
  <c r="E39" i="5"/>
  <c r="G39" i="5" s="1"/>
  <c r="E40" i="5"/>
  <c r="G40" i="5" s="1"/>
  <c r="E41" i="5"/>
  <c r="G41" i="5" s="1"/>
  <c r="E42" i="5"/>
  <c r="G42" i="5" s="1"/>
  <c r="E43" i="5"/>
  <c r="G43" i="5" s="1"/>
  <c r="E44" i="5"/>
  <c r="G44" i="5" s="1"/>
  <c r="E45" i="5"/>
  <c r="G45" i="5" s="1"/>
  <c r="E46" i="5"/>
  <c r="G46" i="5" s="1"/>
  <c r="E47" i="5"/>
  <c r="G47" i="5" s="1"/>
  <c r="E48" i="5"/>
  <c r="G48" i="5" s="1"/>
  <c r="E49" i="5"/>
  <c r="G49" i="5" s="1"/>
  <c r="E50" i="5"/>
  <c r="G50" i="5" s="1"/>
  <c r="E51" i="5"/>
  <c r="G51" i="5" s="1"/>
  <c r="E52" i="5"/>
  <c r="G52" i="5" s="1"/>
  <c r="E53" i="5"/>
  <c r="G53" i="5" s="1"/>
  <c r="E54" i="5"/>
  <c r="G54" i="5" s="1"/>
  <c r="E55" i="5"/>
  <c r="G55" i="5" s="1"/>
  <c r="E56" i="5"/>
  <c r="G56" i="5" s="1"/>
  <c r="E57" i="5"/>
  <c r="G57" i="5" s="1"/>
  <c r="E58" i="5"/>
  <c r="G58" i="5" s="1"/>
  <c r="E59" i="5"/>
  <c r="G59" i="5" s="1"/>
  <c r="E60" i="5"/>
  <c r="G60" i="5" s="1"/>
  <c r="E61" i="5"/>
  <c r="G61" i="5" s="1"/>
  <c r="E62" i="5"/>
  <c r="G62" i="5" s="1"/>
  <c r="E63" i="5"/>
  <c r="G63" i="5" s="1"/>
  <c r="E64" i="5"/>
  <c r="G64" i="5" s="1"/>
  <c r="E65" i="5"/>
  <c r="G65" i="5" s="1"/>
  <c r="E66" i="5"/>
  <c r="G66" i="5" s="1"/>
  <c r="E67" i="5"/>
  <c r="G67" i="5" s="1"/>
  <c r="D15" i="5"/>
  <c r="R15" i="5" s="1"/>
  <c r="D16" i="5"/>
  <c r="R16" i="5" s="1"/>
  <c r="D17" i="5"/>
  <c r="R17" i="5" s="1"/>
  <c r="D18" i="5"/>
  <c r="R18" i="5" s="1"/>
  <c r="D19" i="5"/>
  <c r="R19" i="5" s="1"/>
  <c r="D20" i="5"/>
  <c r="R20" i="5" s="1"/>
  <c r="D21" i="5"/>
  <c r="R21" i="5" s="1"/>
  <c r="D22" i="5"/>
  <c r="R22" i="5" s="1"/>
  <c r="D23" i="5"/>
  <c r="R23" i="5" s="1"/>
  <c r="D24" i="5"/>
  <c r="R24" i="5" s="1"/>
  <c r="D25" i="5"/>
  <c r="R25" i="5" s="1"/>
  <c r="D26" i="5"/>
  <c r="R26" i="5" s="1"/>
  <c r="D27" i="5"/>
  <c r="R27" i="5" s="1"/>
  <c r="D28" i="5"/>
  <c r="R28" i="5" s="1"/>
  <c r="D29" i="5"/>
  <c r="R29" i="5" s="1"/>
  <c r="D30" i="5"/>
  <c r="R30" i="5" s="1"/>
  <c r="D31" i="5"/>
  <c r="R31" i="5" s="1"/>
  <c r="D32" i="5"/>
  <c r="R32" i="5" s="1"/>
  <c r="D33" i="5"/>
  <c r="R33" i="5" s="1"/>
  <c r="D34" i="5"/>
  <c r="R34" i="5" s="1"/>
  <c r="D35" i="5"/>
  <c r="R35" i="5" s="1"/>
  <c r="D36" i="5"/>
  <c r="R36" i="5" s="1"/>
  <c r="D37" i="5"/>
  <c r="R37" i="5" s="1"/>
  <c r="D38" i="5"/>
  <c r="R38" i="5" s="1"/>
  <c r="D39" i="5"/>
  <c r="R39" i="5" s="1"/>
  <c r="D40" i="5"/>
  <c r="R40" i="5" s="1"/>
  <c r="D41" i="5"/>
  <c r="R41" i="5" s="1"/>
  <c r="D42" i="5"/>
  <c r="R42" i="5" s="1"/>
  <c r="D43" i="5"/>
  <c r="R43" i="5" s="1"/>
  <c r="D44" i="5"/>
  <c r="R44" i="5" s="1"/>
  <c r="D45" i="5"/>
  <c r="R45" i="5" s="1"/>
  <c r="D46" i="5"/>
  <c r="R46" i="5" s="1"/>
  <c r="D47" i="5"/>
  <c r="R47" i="5" s="1"/>
  <c r="D48" i="5"/>
  <c r="R48" i="5" s="1"/>
  <c r="D49" i="5"/>
  <c r="R49" i="5" s="1"/>
  <c r="D50" i="5"/>
  <c r="R50" i="5" s="1"/>
  <c r="D51" i="5"/>
  <c r="R51" i="5" s="1"/>
  <c r="D52" i="5"/>
  <c r="R52" i="5" s="1"/>
  <c r="D53" i="5"/>
  <c r="R53" i="5" s="1"/>
  <c r="D54" i="5"/>
  <c r="R54" i="5" s="1"/>
  <c r="D55" i="5"/>
  <c r="R55" i="5" s="1"/>
  <c r="D56" i="5"/>
  <c r="R56" i="5" s="1"/>
  <c r="D57" i="5"/>
  <c r="R57" i="5" s="1"/>
  <c r="D58" i="5"/>
  <c r="R58" i="5" s="1"/>
  <c r="D59" i="5"/>
  <c r="R59" i="5" s="1"/>
  <c r="D60" i="5"/>
  <c r="R60" i="5" s="1"/>
  <c r="D61" i="5"/>
  <c r="R61" i="5" s="1"/>
  <c r="D62" i="5"/>
  <c r="R62" i="5" s="1"/>
  <c r="D63" i="5"/>
  <c r="R63" i="5" s="1"/>
  <c r="D64" i="5"/>
  <c r="R64" i="5" s="1"/>
  <c r="D65" i="5"/>
  <c r="R65" i="5" s="1"/>
  <c r="D66" i="5"/>
  <c r="R66" i="5" s="1"/>
  <c r="D67" i="5"/>
  <c r="R67" i="5" s="1"/>
  <c r="AO257" i="7"/>
  <c r="AJ257" i="7"/>
  <c r="AP195" i="7"/>
  <c r="AJ195" i="7"/>
  <c r="AP133" i="7"/>
  <c r="AJ133" i="7"/>
  <c r="AP70" i="7"/>
  <c r="AJ70" i="7"/>
  <c r="AA144" i="4"/>
  <c r="X144" i="4"/>
  <c r="U144" i="4"/>
  <c r="AA205" i="4"/>
  <c r="X205" i="4"/>
  <c r="AD205" i="4"/>
  <c r="AG144" i="4"/>
  <c r="AD144" i="4"/>
  <c r="R436" i="13" l="1"/>
  <c r="X436" i="13"/>
  <c r="L436" i="13"/>
  <c r="F436" i="13"/>
  <c r="L435" i="13"/>
  <c r="F435" i="13"/>
  <c r="X435" i="13"/>
  <c r="F434" i="13"/>
  <c r="X434" i="13"/>
  <c r="F433" i="13"/>
  <c r="X433" i="13"/>
  <c r="X432" i="13"/>
  <c r="L374" i="13"/>
  <c r="X374" i="13"/>
  <c r="L373" i="13"/>
  <c r="R372" i="13"/>
  <c r="T372" i="13"/>
  <c r="F372" i="13"/>
  <c r="X372" i="13"/>
  <c r="M371" i="13"/>
  <c r="X371" i="13"/>
  <c r="H370" i="13"/>
  <c r="X370" i="13"/>
  <c r="L313" i="13"/>
  <c r="L312" i="13"/>
  <c r="F312" i="13"/>
  <c r="X312" i="13"/>
  <c r="J311" i="13"/>
  <c r="F311" i="13"/>
  <c r="X311" i="13"/>
  <c r="F310" i="13"/>
  <c r="X310" i="13"/>
  <c r="X309" i="13"/>
  <c r="L252" i="13"/>
  <c r="X252" i="13"/>
  <c r="J251" i="13"/>
  <c r="F251" i="13"/>
  <c r="X251" i="13"/>
  <c r="L250" i="13"/>
  <c r="F250" i="13"/>
  <c r="X250" i="13"/>
  <c r="T249" i="13"/>
  <c r="J249" i="13"/>
  <c r="F249" i="13"/>
  <c r="X249" i="13"/>
  <c r="T248" i="13"/>
  <c r="L248" i="13"/>
  <c r="F248" i="13"/>
  <c r="X248" i="13"/>
  <c r="J191" i="13"/>
  <c r="F191" i="13"/>
  <c r="X191" i="13"/>
  <c r="V190" i="13"/>
  <c r="F189" i="13"/>
  <c r="X189" i="13"/>
  <c r="X188" i="13"/>
  <c r="X187" i="13"/>
  <c r="L130" i="13"/>
  <c r="F130" i="13"/>
  <c r="X130" i="13"/>
  <c r="L129" i="13"/>
  <c r="F129" i="13"/>
  <c r="X129" i="13"/>
  <c r="J128" i="13"/>
  <c r="F128" i="13"/>
  <c r="X128" i="13"/>
  <c r="F127" i="13"/>
  <c r="M127" i="13"/>
  <c r="X127" i="13"/>
  <c r="L126" i="13"/>
  <c r="M126" i="13"/>
  <c r="F126" i="13"/>
  <c r="X126" i="13"/>
  <c r="J67" i="5"/>
  <c r="H67" i="5"/>
  <c r="J66" i="5"/>
  <c r="H66" i="5"/>
  <c r="J65" i="5"/>
  <c r="H65" i="5"/>
  <c r="J64" i="5"/>
  <c r="H64" i="5"/>
  <c r="J63" i="5"/>
  <c r="H63" i="5"/>
  <c r="J62" i="5"/>
  <c r="H62" i="5"/>
  <c r="J61" i="5"/>
  <c r="H61" i="5"/>
  <c r="J60" i="5"/>
  <c r="H60" i="5"/>
  <c r="J59" i="5"/>
  <c r="H59" i="5"/>
  <c r="J58" i="5"/>
  <c r="H58" i="5"/>
  <c r="J57" i="5"/>
  <c r="H57" i="5"/>
  <c r="J56" i="5"/>
  <c r="H56" i="5"/>
  <c r="J55" i="5"/>
  <c r="H55" i="5"/>
  <c r="J54" i="5"/>
  <c r="H54" i="5"/>
  <c r="J53" i="5"/>
  <c r="H53" i="5"/>
  <c r="J52" i="5"/>
  <c r="H52" i="5"/>
  <c r="J51" i="5"/>
  <c r="H51" i="5"/>
  <c r="J50" i="5"/>
  <c r="H50" i="5"/>
  <c r="J49" i="5"/>
  <c r="H49" i="5"/>
  <c r="J48" i="5"/>
  <c r="H48" i="5"/>
  <c r="J47" i="5"/>
  <c r="H47" i="5"/>
  <c r="J46" i="5"/>
  <c r="H46" i="5"/>
  <c r="J45" i="5"/>
  <c r="H45" i="5"/>
  <c r="J44" i="5"/>
  <c r="H44" i="5"/>
  <c r="J43" i="5"/>
  <c r="H43" i="5"/>
  <c r="J42" i="5"/>
  <c r="H42" i="5"/>
  <c r="J41" i="5"/>
  <c r="H41" i="5"/>
  <c r="J40" i="5"/>
  <c r="H40" i="5"/>
  <c r="J39" i="5"/>
  <c r="H39" i="5"/>
  <c r="J38" i="5"/>
  <c r="H38" i="5"/>
  <c r="J37" i="5"/>
  <c r="H37" i="5"/>
  <c r="J36" i="5"/>
  <c r="H36" i="5"/>
  <c r="J35" i="5"/>
  <c r="H35" i="5"/>
  <c r="J34" i="5"/>
  <c r="H34" i="5"/>
  <c r="J33" i="5"/>
  <c r="H33" i="5"/>
  <c r="J32" i="5"/>
  <c r="H32" i="5"/>
  <c r="J31" i="5"/>
  <c r="H31" i="5"/>
  <c r="J30" i="5"/>
  <c r="H30" i="5"/>
  <c r="J29" i="5"/>
  <c r="H29" i="5"/>
  <c r="J28" i="5"/>
  <c r="H28" i="5"/>
  <c r="J27" i="5"/>
  <c r="H27" i="5"/>
  <c r="J26" i="5"/>
  <c r="H26" i="5"/>
  <c r="J25" i="5"/>
  <c r="H25" i="5"/>
  <c r="J24" i="5"/>
  <c r="H24" i="5"/>
  <c r="J23" i="5"/>
  <c r="H23" i="5"/>
  <c r="J22" i="5"/>
  <c r="H22" i="5"/>
  <c r="J21" i="5"/>
  <c r="H21" i="5"/>
  <c r="J20" i="5"/>
  <c r="H20" i="5"/>
  <c r="J19" i="5"/>
  <c r="H19" i="5"/>
  <c r="J18" i="5"/>
  <c r="H18" i="5"/>
  <c r="J17" i="5"/>
  <c r="H17" i="5"/>
  <c r="J16" i="5"/>
  <c r="H16" i="5"/>
  <c r="J15" i="5"/>
  <c r="H15" i="5"/>
  <c r="D12" i="22"/>
  <c r="M15" i="5" l="1"/>
  <c r="K15" i="5"/>
  <c r="M16" i="5"/>
  <c r="K16" i="5"/>
  <c r="M17" i="5"/>
  <c r="K17" i="5"/>
  <c r="M18" i="5"/>
  <c r="K18" i="5"/>
  <c r="M19" i="5"/>
  <c r="K19" i="5"/>
  <c r="M20" i="5"/>
  <c r="K20" i="5"/>
  <c r="M21" i="5"/>
  <c r="K21" i="5"/>
  <c r="M22" i="5"/>
  <c r="K22" i="5"/>
  <c r="M23" i="5"/>
  <c r="K23" i="5"/>
  <c r="M24" i="5"/>
  <c r="K24" i="5"/>
  <c r="M25" i="5"/>
  <c r="K25" i="5"/>
  <c r="M26" i="5"/>
  <c r="K26" i="5"/>
  <c r="M27" i="5"/>
  <c r="K27" i="5"/>
  <c r="M28" i="5"/>
  <c r="K28" i="5"/>
  <c r="M29" i="5"/>
  <c r="K29" i="5"/>
  <c r="M30" i="5"/>
  <c r="K30" i="5"/>
  <c r="M31" i="5"/>
  <c r="K31" i="5"/>
  <c r="M32" i="5"/>
  <c r="K32" i="5"/>
  <c r="M33" i="5"/>
  <c r="K33" i="5"/>
  <c r="M34" i="5"/>
  <c r="K34" i="5"/>
  <c r="M35" i="5"/>
  <c r="K35" i="5"/>
  <c r="M36" i="5"/>
  <c r="K36" i="5"/>
  <c r="M37" i="5"/>
  <c r="K37" i="5"/>
  <c r="M38" i="5"/>
  <c r="K38" i="5"/>
  <c r="M39" i="5"/>
  <c r="K39" i="5"/>
  <c r="M40" i="5"/>
  <c r="K40" i="5"/>
  <c r="M41" i="5"/>
  <c r="K41" i="5"/>
  <c r="M42" i="5"/>
  <c r="K42" i="5"/>
  <c r="M43" i="5"/>
  <c r="K43" i="5"/>
  <c r="M44" i="5"/>
  <c r="K44" i="5"/>
  <c r="M45" i="5"/>
  <c r="K45" i="5"/>
  <c r="M46" i="5"/>
  <c r="K46" i="5"/>
  <c r="M47" i="5"/>
  <c r="K47" i="5"/>
  <c r="M48" i="5"/>
  <c r="K48" i="5"/>
  <c r="M49" i="5"/>
  <c r="K49" i="5"/>
  <c r="M50" i="5"/>
  <c r="K50" i="5"/>
  <c r="M51" i="5"/>
  <c r="K51" i="5"/>
  <c r="M52" i="5"/>
  <c r="K52" i="5"/>
  <c r="M53" i="5"/>
  <c r="K53" i="5"/>
  <c r="M54" i="5"/>
  <c r="K54" i="5"/>
  <c r="M55" i="5"/>
  <c r="K55" i="5"/>
  <c r="M56" i="5"/>
  <c r="K56" i="5"/>
  <c r="M57" i="5"/>
  <c r="K57" i="5"/>
  <c r="M58" i="5"/>
  <c r="K58" i="5"/>
  <c r="M59" i="5"/>
  <c r="K59" i="5"/>
  <c r="M60" i="5"/>
  <c r="K60" i="5"/>
  <c r="M61" i="5"/>
  <c r="K61" i="5"/>
  <c r="M62" i="5"/>
  <c r="K62" i="5"/>
  <c r="M63" i="5"/>
  <c r="K63" i="5"/>
  <c r="M64" i="5"/>
  <c r="K64" i="5"/>
  <c r="M65" i="5"/>
  <c r="K65" i="5"/>
  <c r="M66" i="5"/>
  <c r="K66" i="5"/>
  <c r="M67" i="5"/>
  <c r="K67" i="5"/>
  <c r="F173" i="30"/>
  <c r="G173" i="30"/>
  <c r="H173" i="30"/>
  <c r="I173" i="30"/>
  <c r="J173" i="30"/>
  <c r="G169" i="30"/>
  <c r="H169" i="30"/>
  <c r="K169" i="30" s="1"/>
  <c r="I169" i="30"/>
  <c r="J169" i="30"/>
  <c r="F169" i="30"/>
  <c r="P67" i="5" l="1"/>
  <c r="N67" i="5"/>
  <c r="P66" i="5"/>
  <c r="N66" i="5"/>
  <c r="P65" i="5"/>
  <c r="N65" i="5"/>
  <c r="P64" i="5"/>
  <c r="N64" i="5"/>
  <c r="P63" i="5"/>
  <c r="N63" i="5"/>
  <c r="P62" i="5"/>
  <c r="N62" i="5"/>
  <c r="P61" i="5"/>
  <c r="N61" i="5"/>
  <c r="P60" i="5"/>
  <c r="N60" i="5"/>
  <c r="P59" i="5"/>
  <c r="N59" i="5"/>
  <c r="P58" i="5"/>
  <c r="N58" i="5"/>
  <c r="P57" i="5"/>
  <c r="N57" i="5"/>
  <c r="P56" i="5"/>
  <c r="N56" i="5"/>
  <c r="P55" i="5"/>
  <c r="N55" i="5"/>
  <c r="P54" i="5"/>
  <c r="N54" i="5"/>
  <c r="P53" i="5"/>
  <c r="N53" i="5"/>
  <c r="P52" i="5"/>
  <c r="N52" i="5"/>
  <c r="P51" i="5"/>
  <c r="N51" i="5"/>
  <c r="P50" i="5"/>
  <c r="N50" i="5"/>
  <c r="P49" i="5"/>
  <c r="N49" i="5"/>
  <c r="P48" i="5"/>
  <c r="N48" i="5"/>
  <c r="P47" i="5"/>
  <c r="N47" i="5"/>
  <c r="P46" i="5"/>
  <c r="N46" i="5"/>
  <c r="P45" i="5"/>
  <c r="N45" i="5"/>
  <c r="P44" i="5"/>
  <c r="N44" i="5"/>
  <c r="P43" i="5"/>
  <c r="N43" i="5"/>
  <c r="P42" i="5"/>
  <c r="N42" i="5"/>
  <c r="P41" i="5"/>
  <c r="N41" i="5"/>
  <c r="P40" i="5"/>
  <c r="N40" i="5"/>
  <c r="P39" i="5"/>
  <c r="N39" i="5"/>
  <c r="P38" i="5"/>
  <c r="N38" i="5"/>
  <c r="P37" i="5"/>
  <c r="N37" i="5"/>
  <c r="P36" i="5"/>
  <c r="N36" i="5"/>
  <c r="P35" i="5"/>
  <c r="N35" i="5"/>
  <c r="P34" i="5"/>
  <c r="N34" i="5"/>
  <c r="P33" i="5"/>
  <c r="N33" i="5"/>
  <c r="P32" i="5"/>
  <c r="N32" i="5"/>
  <c r="P31" i="5"/>
  <c r="N31" i="5"/>
  <c r="P30" i="5"/>
  <c r="N30" i="5"/>
  <c r="P29" i="5"/>
  <c r="N29" i="5"/>
  <c r="P28" i="5"/>
  <c r="N28" i="5"/>
  <c r="P27" i="5"/>
  <c r="N27" i="5"/>
  <c r="P26" i="5"/>
  <c r="N26" i="5"/>
  <c r="P25" i="5"/>
  <c r="N25" i="5"/>
  <c r="P24" i="5"/>
  <c r="N24" i="5"/>
  <c r="P23" i="5"/>
  <c r="N23" i="5"/>
  <c r="P22" i="5"/>
  <c r="N22" i="5"/>
  <c r="P21" i="5"/>
  <c r="N21" i="5"/>
  <c r="P20" i="5"/>
  <c r="N20" i="5"/>
  <c r="P19" i="5"/>
  <c r="N19" i="5"/>
  <c r="P18" i="5"/>
  <c r="N18" i="5"/>
  <c r="P17" i="5"/>
  <c r="N17" i="5"/>
  <c r="P16" i="5"/>
  <c r="N16" i="5"/>
  <c r="P15" i="5"/>
  <c r="N15" i="5"/>
  <c r="S15" i="5" l="1"/>
  <c r="Q15" i="5"/>
  <c r="S16" i="5"/>
  <c r="Q16" i="5"/>
  <c r="S17" i="5"/>
  <c r="Q17" i="5"/>
  <c r="S18" i="5"/>
  <c r="Q18" i="5"/>
  <c r="S19" i="5"/>
  <c r="Q19" i="5"/>
  <c r="S20" i="5"/>
  <c r="Q20" i="5"/>
  <c r="S21" i="5"/>
  <c r="Q21" i="5"/>
  <c r="S22" i="5"/>
  <c r="Q22" i="5"/>
  <c r="S23" i="5"/>
  <c r="Q23" i="5"/>
  <c r="S24" i="5"/>
  <c r="Q24" i="5"/>
  <c r="S25" i="5"/>
  <c r="Q25" i="5"/>
  <c r="S26" i="5"/>
  <c r="Q26" i="5"/>
  <c r="S27" i="5"/>
  <c r="Q27" i="5"/>
  <c r="S28" i="5"/>
  <c r="Q28" i="5"/>
  <c r="S29" i="5"/>
  <c r="Q29" i="5"/>
  <c r="S30" i="5"/>
  <c r="Q30" i="5"/>
  <c r="S31" i="5"/>
  <c r="Q31" i="5"/>
  <c r="S32" i="5"/>
  <c r="Q32" i="5"/>
  <c r="S33" i="5"/>
  <c r="Q33" i="5"/>
  <c r="S34" i="5"/>
  <c r="Q34" i="5"/>
  <c r="S35" i="5"/>
  <c r="Q35" i="5"/>
  <c r="S36" i="5"/>
  <c r="Q36" i="5"/>
  <c r="S37" i="5"/>
  <c r="Q37" i="5"/>
  <c r="S38" i="5"/>
  <c r="Q38" i="5"/>
  <c r="S39" i="5"/>
  <c r="Q39" i="5"/>
  <c r="S40" i="5"/>
  <c r="Q40" i="5"/>
  <c r="S41" i="5"/>
  <c r="Q41" i="5"/>
  <c r="S42" i="5"/>
  <c r="Q42" i="5"/>
  <c r="S43" i="5"/>
  <c r="Q43" i="5"/>
  <c r="S44" i="5"/>
  <c r="Q44" i="5"/>
  <c r="S45" i="5"/>
  <c r="Q45" i="5"/>
  <c r="S46" i="5"/>
  <c r="Q46" i="5"/>
  <c r="S47" i="5"/>
  <c r="Q47" i="5"/>
  <c r="S48" i="5"/>
  <c r="Q48" i="5"/>
  <c r="S49" i="5"/>
  <c r="Q49" i="5"/>
  <c r="S50" i="5"/>
  <c r="Q50" i="5"/>
  <c r="S51" i="5"/>
  <c r="Q51" i="5"/>
  <c r="S52" i="5"/>
  <c r="Q52" i="5"/>
  <c r="S53" i="5"/>
  <c r="Q53" i="5"/>
  <c r="S54" i="5"/>
  <c r="Q54" i="5"/>
  <c r="S55" i="5"/>
  <c r="Q55" i="5"/>
  <c r="S56" i="5"/>
  <c r="Q56" i="5"/>
  <c r="S57" i="5"/>
  <c r="Q57" i="5"/>
  <c r="S58" i="5"/>
  <c r="Q58" i="5"/>
  <c r="S59" i="5"/>
  <c r="Q59" i="5"/>
  <c r="S60" i="5"/>
  <c r="Q60" i="5"/>
  <c r="S61" i="5"/>
  <c r="Q61" i="5"/>
  <c r="S62" i="5"/>
  <c r="Q62" i="5"/>
  <c r="S63" i="5"/>
  <c r="Q63" i="5"/>
  <c r="S64" i="5"/>
  <c r="Q64" i="5"/>
  <c r="S65" i="5"/>
  <c r="Q65" i="5"/>
  <c r="S66" i="5"/>
  <c r="Q66" i="5"/>
  <c r="S67" i="5"/>
  <c r="Q67" i="5"/>
  <c r="O28" i="22"/>
  <c r="E7" i="3" l="1"/>
  <c r="F7" i="3"/>
  <c r="G7" i="3"/>
  <c r="H7" i="3"/>
  <c r="D7" i="3"/>
  <c r="K175" i="30"/>
  <c r="K176" i="30"/>
  <c r="K177" i="30"/>
  <c r="K170" i="30"/>
  <c r="K174" i="30" l="1"/>
  <c r="K171" i="30"/>
  <c r="AT68" i="29" l="1"/>
  <c r="E74" i="27"/>
  <c r="F74" i="27"/>
  <c r="G74" i="27"/>
  <c r="H74" i="27"/>
  <c r="E75" i="27"/>
  <c r="F75" i="27"/>
  <c r="G75" i="27"/>
  <c r="H75" i="27"/>
  <c r="E76" i="27"/>
  <c r="F76" i="27"/>
  <c r="G76" i="27"/>
  <c r="H76" i="27"/>
  <c r="E77" i="27"/>
  <c r="F77" i="27"/>
  <c r="G77" i="27"/>
  <c r="H77" i="27"/>
  <c r="E78" i="27"/>
  <c r="F78" i="27"/>
  <c r="G78" i="27"/>
  <c r="H78" i="27"/>
  <c r="E79" i="27"/>
  <c r="F79" i="27"/>
  <c r="G79" i="27"/>
  <c r="H79" i="27"/>
  <c r="E80" i="27"/>
  <c r="F80" i="27"/>
  <c r="G80" i="27"/>
  <c r="H80" i="27"/>
  <c r="E81" i="27"/>
  <c r="F81" i="27"/>
  <c r="G81" i="27"/>
  <c r="H81" i="27"/>
  <c r="E82" i="27"/>
  <c r="F82" i="27"/>
  <c r="G82" i="27"/>
  <c r="H82" i="27"/>
  <c r="E83" i="27"/>
  <c r="F83" i="27"/>
  <c r="G83" i="27"/>
  <c r="H83" i="27"/>
  <c r="E84" i="27"/>
  <c r="F84" i="27"/>
  <c r="G84" i="27"/>
  <c r="H84" i="27"/>
  <c r="E85" i="27"/>
  <c r="F85" i="27"/>
  <c r="G85" i="27"/>
  <c r="H85" i="27"/>
  <c r="E86" i="27"/>
  <c r="F86" i="27"/>
  <c r="G86" i="27"/>
  <c r="H86" i="27"/>
  <c r="E87" i="27"/>
  <c r="F87" i="27"/>
  <c r="G87" i="27"/>
  <c r="H87" i="27"/>
  <c r="E88" i="27"/>
  <c r="F88" i="27"/>
  <c r="G88" i="27"/>
  <c r="H88" i="27"/>
  <c r="E89" i="27"/>
  <c r="F89" i="27"/>
  <c r="G89" i="27"/>
  <c r="H89" i="27"/>
  <c r="E90" i="27"/>
  <c r="F90" i="27"/>
  <c r="G90" i="27"/>
  <c r="H90" i="27"/>
  <c r="E91" i="27"/>
  <c r="F91" i="27"/>
  <c r="G91" i="27"/>
  <c r="H91" i="27"/>
  <c r="E92" i="27"/>
  <c r="F92" i="27"/>
  <c r="G92" i="27"/>
  <c r="H92" i="27"/>
  <c r="E93" i="27"/>
  <c r="F93" i="27"/>
  <c r="G93" i="27"/>
  <c r="H93" i="27"/>
  <c r="E94" i="27"/>
  <c r="F94" i="27"/>
  <c r="G94" i="27"/>
  <c r="H94" i="27"/>
  <c r="E95" i="27"/>
  <c r="F95" i="27"/>
  <c r="G95" i="27"/>
  <c r="H95" i="27"/>
  <c r="E96" i="27"/>
  <c r="F96" i="27"/>
  <c r="G96" i="27"/>
  <c r="H96" i="27"/>
  <c r="E97" i="27"/>
  <c r="F97" i="27"/>
  <c r="G97" i="27"/>
  <c r="H97" i="27"/>
  <c r="E98" i="27"/>
  <c r="F98" i="27"/>
  <c r="G98" i="27"/>
  <c r="H98" i="27"/>
  <c r="E99" i="27"/>
  <c r="F99" i="27"/>
  <c r="G99" i="27"/>
  <c r="H99" i="27"/>
  <c r="E100" i="27"/>
  <c r="F100" i="27"/>
  <c r="G100" i="27"/>
  <c r="H100" i="27"/>
  <c r="E101" i="27"/>
  <c r="F101" i="27"/>
  <c r="G101" i="27"/>
  <c r="H101" i="27"/>
  <c r="E102" i="27"/>
  <c r="F102" i="27"/>
  <c r="G102" i="27"/>
  <c r="H102" i="27"/>
  <c r="E103" i="27"/>
  <c r="F103" i="27"/>
  <c r="G103" i="27"/>
  <c r="H103" i="27"/>
  <c r="E104" i="27"/>
  <c r="F104" i="27"/>
  <c r="G104" i="27"/>
  <c r="H104" i="27"/>
  <c r="E105" i="27"/>
  <c r="F105" i="27"/>
  <c r="G105" i="27"/>
  <c r="H105" i="27"/>
  <c r="E106" i="27"/>
  <c r="F106" i="27"/>
  <c r="G106" i="27"/>
  <c r="H106" i="27"/>
  <c r="E107" i="27"/>
  <c r="F107" i="27"/>
  <c r="G107" i="27"/>
  <c r="H107" i="27"/>
  <c r="E108" i="27"/>
  <c r="F108" i="27"/>
  <c r="G108" i="27"/>
  <c r="H108" i="27"/>
  <c r="E109" i="27"/>
  <c r="F109" i="27"/>
  <c r="G109" i="27"/>
  <c r="H109" i="27"/>
  <c r="E110" i="27"/>
  <c r="F110" i="27"/>
  <c r="G110" i="27"/>
  <c r="H110" i="27"/>
  <c r="E111" i="27"/>
  <c r="F111" i="27"/>
  <c r="G111" i="27"/>
  <c r="H111" i="27"/>
  <c r="E112" i="27"/>
  <c r="F112" i="27"/>
  <c r="G112" i="27"/>
  <c r="H112" i="27"/>
  <c r="E113" i="27"/>
  <c r="F113" i="27"/>
  <c r="G113" i="27"/>
  <c r="H113" i="27"/>
  <c r="E114" i="27"/>
  <c r="F114" i="27"/>
  <c r="G114" i="27"/>
  <c r="H114" i="27"/>
  <c r="E115" i="27"/>
  <c r="F115" i="27"/>
  <c r="G115" i="27"/>
  <c r="H115" i="27"/>
  <c r="E116" i="27"/>
  <c r="F116" i="27"/>
  <c r="G116" i="27"/>
  <c r="H116" i="27"/>
  <c r="E117" i="27"/>
  <c r="F117" i="27"/>
  <c r="G117" i="27"/>
  <c r="H117" i="27"/>
  <c r="E118" i="27"/>
  <c r="F118" i="27"/>
  <c r="G118" i="27"/>
  <c r="H118" i="27"/>
  <c r="E119" i="27"/>
  <c r="F119" i="27"/>
  <c r="G119" i="27"/>
  <c r="H119" i="27"/>
  <c r="E120" i="27"/>
  <c r="F120" i="27"/>
  <c r="G120" i="27"/>
  <c r="H120" i="27"/>
  <c r="E121" i="27"/>
  <c r="F121" i="27"/>
  <c r="G121" i="27"/>
  <c r="H121" i="27"/>
  <c r="E122" i="27"/>
  <c r="F122" i="27"/>
  <c r="G122" i="27"/>
  <c r="H122" i="27"/>
  <c r="H73" i="27"/>
  <c r="G73" i="27"/>
  <c r="F73" i="27"/>
  <c r="E73" i="27"/>
  <c r="E192" i="26"/>
  <c r="F192" i="26"/>
  <c r="G192" i="26"/>
  <c r="H192" i="26"/>
  <c r="E250" i="26"/>
  <c r="F250" i="26"/>
  <c r="G250" i="26"/>
  <c r="H250" i="26"/>
  <c r="I129"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75" i="26"/>
  <c r="E129" i="26"/>
  <c r="F129" i="26"/>
  <c r="G129" i="26"/>
  <c r="H129" i="26"/>
  <c r="D129"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13" i="26"/>
  <c r="E67" i="26"/>
  <c r="F67" i="26"/>
  <c r="G67" i="26"/>
  <c r="H67" i="26"/>
  <c r="D67" i="26"/>
  <c r="H314" i="27"/>
  <c r="H66" i="27" s="1"/>
  <c r="G314" i="27"/>
  <c r="G66" i="27" s="1"/>
  <c r="F314" i="27"/>
  <c r="F66" i="27" s="1"/>
  <c r="E314" i="27"/>
  <c r="E66" i="27" s="1"/>
  <c r="D314" i="27"/>
  <c r="D66" i="27" s="1"/>
  <c r="I66" i="27" s="1"/>
  <c r="E128" i="27" l="1"/>
  <c r="G159" i="30" s="1"/>
  <c r="G128" i="27"/>
  <c r="I159" i="30" s="1"/>
  <c r="F128" i="27"/>
  <c r="H159" i="30" s="1"/>
  <c r="H128" i="27"/>
  <c r="J159" i="30" s="1"/>
  <c r="I67" i="26"/>
  <c r="I314" i="27"/>
  <c r="D103" i="27"/>
  <c r="I103" i="27" s="1"/>
  <c r="D104" i="27"/>
  <c r="I104" i="27" s="1"/>
  <c r="D105" i="27"/>
  <c r="I105" i="27" s="1"/>
  <c r="D106" i="27"/>
  <c r="I106" i="27" s="1"/>
  <c r="D107" i="27"/>
  <c r="I107" i="27" s="1"/>
  <c r="D108" i="27"/>
  <c r="I108" i="27" s="1"/>
  <c r="D109" i="27"/>
  <c r="I109" i="27" s="1"/>
  <c r="D110" i="27"/>
  <c r="I110" i="27" s="1"/>
  <c r="D111" i="27"/>
  <c r="I111" i="27" s="1"/>
  <c r="D112" i="27"/>
  <c r="I112" i="27" s="1"/>
  <c r="D113" i="27"/>
  <c r="I113" i="27" s="1"/>
  <c r="D114" i="27"/>
  <c r="I114" i="27" s="1"/>
  <c r="D115" i="27"/>
  <c r="I115" i="27" s="1"/>
  <c r="D116" i="27"/>
  <c r="I116" i="27" s="1"/>
  <c r="D117" i="27"/>
  <c r="I117" i="27" s="1"/>
  <c r="D118" i="27"/>
  <c r="I118" i="27" s="1"/>
  <c r="D119" i="27"/>
  <c r="I119" i="27" s="1"/>
  <c r="D120" i="27"/>
  <c r="I120" i="27" s="1"/>
  <c r="D121" i="27"/>
  <c r="I121" i="27" s="1"/>
  <c r="D122" i="27"/>
  <c r="I122" i="27" s="1"/>
  <c r="D74" i="27"/>
  <c r="I74" i="27" s="1"/>
  <c r="D75" i="27"/>
  <c r="I75" i="27" s="1"/>
  <c r="D76" i="27"/>
  <c r="I76" i="27" s="1"/>
  <c r="D77" i="27"/>
  <c r="I77" i="27" s="1"/>
  <c r="D78" i="27"/>
  <c r="I78" i="27" s="1"/>
  <c r="D79" i="27"/>
  <c r="I79" i="27" s="1"/>
  <c r="D80" i="27"/>
  <c r="I80" i="27" s="1"/>
  <c r="D81" i="27"/>
  <c r="I81" i="27" s="1"/>
  <c r="D82" i="27"/>
  <c r="I82" i="27" s="1"/>
  <c r="D83" i="27"/>
  <c r="I83" i="27" s="1"/>
  <c r="D84" i="27"/>
  <c r="I84" i="27" s="1"/>
  <c r="D85" i="27"/>
  <c r="I85" i="27" s="1"/>
  <c r="D86" i="27"/>
  <c r="I86" i="27" s="1"/>
  <c r="D87" i="27"/>
  <c r="I87" i="27" s="1"/>
  <c r="D88" i="27"/>
  <c r="I88" i="27" s="1"/>
  <c r="D89" i="27"/>
  <c r="I89" i="27" s="1"/>
  <c r="D90" i="27"/>
  <c r="I90" i="27" s="1"/>
  <c r="D91" i="27"/>
  <c r="I91" i="27" s="1"/>
  <c r="D92" i="27"/>
  <c r="I92" i="27" s="1"/>
  <c r="D93" i="27"/>
  <c r="I93" i="27" s="1"/>
  <c r="D94" i="27"/>
  <c r="I94" i="27" s="1"/>
  <c r="D95" i="27"/>
  <c r="I95" i="27" s="1"/>
  <c r="D96" i="27"/>
  <c r="I96" i="27" s="1"/>
  <c r="D97" i="27"/>
  <c r="I97" i="27" s="1"/>
  <c r="D98" i="27"/>
  <c r="I98" i="27" s="1"/>
  <c r="D99" i="27"/>
  <c r="I99" i="27" s="1"/>
  <c r="D100" i="27"/>
  <c r="I100" i="27" s="1"/>
  <c r="D101" i="27"/>
  <c r="I101" i="27" s="1"/>
  <c r="D102" i="27"/>
  <c r="I102" i="27" s="1"/>
  <c r="D73" i="27"/>
  <c r="I73" i="27" s="1"/>
  <c r="I128" i="27" l="1"/>
  <c r="D128" i="27"/>
  <c r="F159" i="30" s="1"/>
  <c r="I22" i="19" l="1"/>
  <c r="H22" i="19"/>
  <c r="G22" i="19"/>
  <c r="F22" i="19"/>
  <c r="E22" i="19"/>
  <c r="D22" i="19"/>
  <c r="AE107" i="4" l="1"/>
  <c r="AH107" i="4" s="1"/>
  <c r="AG132" i="4"/>
  <c r="AD132" i="4"/>
  <c r="AA132" i="4"/>
  <c r="X132" i="4"/>
  <c r="U132" i="4"/>
  <c r="O132" i="4"/>
  <c r="L132" i="4"/>
  <c r="I132" i="4"/>
  <c r="F132" i="4"/>
  <c r="E132" i="4"/>
  <c r="AJ78" i="4"/>
  <c r="AJ79" i="4"/>
  <c r="AJ80"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J107" i="4"/>
  <c r="AJ108" i="4"/>
  <c r="AJ109" i="4"/>
  <c r="AJ110" i="4"/>
  <c r="AJ111" i="4"/>
  <c r="AJ112" i="4"/>
  <c r="AJ113" i="4"/>
  <c r="AJ114" i="4"/>
  <c r="AJ115" i="4"/>
  <c r="AJ116" i="4"/>
  <c r="AJ117" i="4"/>
  <c r="AJ118" i="4"/>
  <c r="AJ119" i="4"/>
  <c r="AJ120" i="4"/>
  <c r="AJ121" i="4"/>
  <c r="AJ122" i="4"/>
  <c r="AJ123" i="4"/>
  <c r="AJ124" i="4"/>
  <c r="AJ125" i="4"/>
  <c r="AJ126" i="4"/>
  <c r="AJ128" i="4"/>
  <c r="AJ129" i="4"/>
  <c r="AJ127" i="4"/>
  <c r="AJ130" i="4"/>
  <c r="AJ131" i="4"/>
  <c r="AJ77" i="4"/>
  <c r="AJ132" i="4" l="1"/>
  <c r="AK107" i="4"/>
  <c r="AI107" i="4"/>
  <c r="AF107" i="4"/>
  <c r="R106" i="5"/>
  <c r="R107" i="5"/>
  <c r="O15" i="29" l="1"/>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Q194" i="7" l="1"/>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76" i="6"/>
  <c r="W330" i="7"/>
  <c r="M314" i="5" l="1"/>
  <c r="I255" i="4" l="1"/>
  <c r="D69" i="4"/>
  <c r="E69" i="4"/>
  <c r="J315" i="5" l="1"/>
  <c r="M315" i="5"/>
  <c r="K162" i="30"/>
  <c r="K163" i="30"/>
  <c r="K164" i="30"/>
  <c r="K168" i="30"/>
  <c r="K172" i="30"/>
  <c r="K159" i="30"/>
  <c r="AJ328" i="6" l="1"/>
  <c r="W260" i="13" l="1"/>
  <c r="W261" i="13"/>
  <c r="W262" i="13"/>
  <c r="W263" i="13"/>
  <c r="W264" i="13"/>
  <c r="W265" i="13"/>
  <c r="W266" i="13"/>
  <c r="W267" i="13"/>
  <c r="W268" i="13"/>
  <c r="W269" i="13"/>
  <c r="W270" i="13"/>
  <c r="W271" i="13"/>
  <c r="W272" i="13"/>
  <c r="W273" i="13"/>
  <c r="W274" i="13"/>
  <c r="W275" i="13"/>
  <c r="W276" i="13"/>
  <c r="W277" i="13"/>
  <c r="W278" i="13"/>
  <c r="W279" i="13"/>
  <c r="W280" i="13"/>
  <c r="W281" i="13"/>
  <c r="W282" i="13"/>
  <c r="W283" i="13"/>
  <c r="W284" i="13"/>
  <c r="W285" i="13"/>
  <c r="W286" i="13"/>
  <c r="W287" i="13"/>
  <c r="W288" i="13"/>
  <c r="W289" i="13"/>
  <c r="W290" i="13"/>
  <c r="W291" i="13"/>
  <c r="W292" i="13"/>
  <c r="W293" i="13"/>
  <c r="W294" i="13"/>
  <c r="W295" i="13"/>
  <c r="W296" i="13"/>
  <c r="W297" i="13"/>
  <c r="W298" i="13"/>
  <c r="W299" i="13"/>
  <c r="W300" i="13"/>
  <c r="W301" i="13"/>
  <c r="W302" i="13"/>
  <c r="W303" i="13"/>
  <c r="W304" i="13"/>
  <c r="W305" i="13"/>
  <c r="W306" i="13"/>
  <c r="W307" i="13"/>
  <c r="W308" i="13"/>
  <c r="W259" i="13"/>
  <c r="U260" i="13"/>
  <c r="U261" i="13"/>
  <c r="U262" i="13"/>
  <c r="U263" i="13"/>
  <c r="U264" i="13"/>
  <c r="U265" i="13"/>
  <c r="U266" i="13"/>
  <c r="U267" i="13"/>
  <c r="U268" i="13"/>
  <c r="U269" i="13"/>
  <c r="U270" i="13"/>
  <c r="U271" i="13"/>
  <c r="U272" i="13"/>
  <c r="U273" i="13"/>
  <c r="U274" i="13"/>
  <c r="U275" i="13"/>
  <c r="U276" i="13"/>
  <c r="U277" i="13"/>
  <c r="U278" i="13"/>
  <c r="U279" i="13"/>
  <c r="U280" i="13"/>
  <c r="U281" i="13"/>
  <c r="U282" i="13"/>
  <c r="U283" i="13"/>
  <c r="U284" i="13"/>
  <c r="U285" i="13"/>
  <c r="U286" i="13"/>
  <c r="U287" i="13"/>
  <c r="U288" i="13"/>
  <c r="U289" i="13"/>
  <c r="U290" i="13"/>
  <c r="U291" i="13"/>
  <c r="U292" i="13"/>
  <c r="U293" i="13"/>
  <c r="U294" i="13"/>
  <c r="U295" i="13"/>
  <c r="U296" i="13"/>
  <c r="U297" i="13"/>
  <c r="U298" i="13"/>
  <c r="U299" i="13"/>
  <c r="U300" i="13"/>
  <c r="U301" i="13"/>
  <c r="U302" i="13"/>
  <c r="U303" i="13"/>
  <c r="U304" i="13"/>
  <c r="U305" i="13"/>
  <c r="U306" i="13"/>
  <c r="U307" i="13"/>
  <c r="U308" i="13"/>
  <c r="U259" i="13"/>
  <c r="S260" i="13"/>
  <c r="S261" i="13"/>
  <c r="S262" i="13"/>
  <c r="S263" i="13"/>
  <c r="S264" i="13"/>
  <c r="S265" i="13"/>
  <c r="S266" i="13"/>
  <c r="S267" i="13"/>
  <c r="S268" i="13"/>
  <c r="S269" i="13"/>
  <c r="S270" i="13"/>
  <c r="S271" i="13"/>
  <c r="S272" i="13"/>
  <c r="S273" i="13"/>
  <c r="S274" i="13"/>
  <c r="S275" i="13"/>
  <c r="S276" i="13"/>
  <c r="S277" i="13"/>
  <c r="S278" i="13"/>
  <c r="S279" i="13"/>
  <c r="S280" i="13"/>
  <c r="S281" i="13"/>
  <c r="S282" i="13"/>
  <c r="S283" i="13"/>
  <c r="S284" i="13"/>
  <c r="S285" i="13"/>
  <c r="S286" i="13"/>
  <c r="S287" i="13"/>
  <c r="S288" i="13"/>
  <c r="S289" i="13"/>
  <c r="S290" i="13"/>
  <c r="S291" i="13"/>
  <c r="S292" i="13"/>
  <c r="S293" i="13"/>
  <c r="S294" i="13"/>
  <c r="S295" i="13"/>
  <c r="S296" i="13"/>
  <c r="S297" i="13"/>
  <c r="S298" i="13"/>
  <c r="S299" i="13"/>
  <c r="S300" i="13"/>
  <c r="S301" i="13"/>
  <c r="S302" i="13"/>
  <c r="S303" i="13"/>
  <c r="S304" i="13"/>
  <c r="S305" i="13"/>
  <c r="S306" i="13"/>
  <c r="S307" i="13"/>
  <c r="S308" i="13"/>
  <c r="S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259" i="13"/>
  <c r="O260" i="13"/>
  <c r="O261" i="13"/>
  <c r="O262" i="13"/>
  <c r="O263" i="13"/>
  <c r="O264" i="13"/>
  <c r="O265" i="13"/>
  <c r="O266" i="13"/>
  <c r="O267" i="13"/>
  <c r="O268" i="13"/>
  <c r="O269" i="13"/>
  <c r="O270" i="13"/>
  <c r="O271" i="13"/>
  <c r="O272" i="13"/>
  <c r="O273" i="13"/>
  <c r="O274" i="13"/>
  <c r="O275" i="13"/>
  <c r="O276" i="13"/>
  <c r="O277" i="13"/>
  <c r="O278" i="13"/>
  <c r="O279" i="13"/>
  <c r="O280" i="13"/>
  <c r="O281" i="13"/>
  <c r="O282" i="13"/>
  <c r="O283" i="13"/>
  <c r="O284" i="13"/>
  <c r="O285" i="13"/>
  <c r="O286" i="13"/>
  <c r="O287" i="13"/>
  <c r="O288" i="13"/>
  <c r="O289" i="13"/>
  <c r="O290" i="13"/>
  <c r="O291" i="13"/>
  <c r="O292" i="13"/>
  <c r="O293" i="13"/>
  <c r="O294" i="13"/>
  <c r="O295" i="13"/>
  <c r="O296" i="13"/>
  <c r="O297" i="13"/>
  <c r="O298" i="13"/>
  <c r="O299" i="13"/>
  <c r="O300" i="13"/>
  <c r="O301" i="13"/>
  <c r="O302" i="13"/>
  <c r="O303" i="13"/>
  <c r="O304" i="13"/>
  <c r="O305" i="13"/>
  <c r="O306" i="13"/>
  <c r="O307" i="13"/>
  <c r="O308" i="13"/>
  <c r="O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259" i="13"/>
  <c r="AG194" i="4"/>
  <c r="AD194" i="4"/>
  <c r="AA194" i="4"/>
  <c r="X194" i="4"/>
  <c r="Q15" i="7" l="1"/>
  <c r="G126" i="30"/>
  <c r="AO392" i="7"/>
  <c r="J131" i="30" s="1"/>
  <c r="AM392" i="7"/>
  <c r="J130" i="30" s="1"/>
  <c r="AL392" i="7"/>
  <c r="J129" i="30" s="1"/>
  <c r="AI392" i="7"/>
  <c r="I131" i="30" s="1"/>
  <c r="AG392" i="7"/>
  <c r="I130" i="30" s="1"/>
  <c r="AF392" i="7"/>
  <c r="I129" i="30" s="1"/>
  <c r="AC392" i="7"/>
  <c r="H131" i="30" s="1"/>
  <c r="AA392" i="7"/>
  <c r="H130" i="30" s="1"/>
  <c r="Z392" i="7"/>
  <c r="H129" i="30" s="1"/>
  <c r="W392" i="7"/>
  <c r="G131" i="30" s="1"/>
  <c r="U392" i="7"/>
  <c r="G130" i="30" s="1"/>
  <c r="T392" i="7"/>
  <c r="G129" i="30" s="1"/>
  <c r="Q392" i="7"/>
  <c r="F131" i="30" s="1"/>
  <c r="P392" i="7"/>
  <c r="F129" i="30" s="1"/>
  <c r="K392" i="7"/>
  <c r="I93" i="1" s="1"/>
  <c r="I392" i="7"/>
  <c r="G392" i="7"/>
  <c r="G93" i="1" s="1"/>
  <c r="E392" i="7"/>
  <c r="F93" i="1" s="1"/>
  <c r="D392" i="7"/>
  <c r="E93" i="1" s="1"/>
  <c r="AN391" i="7"/>
  <c r="AP391" i="7" s="1"/>
  <c r="AH391" i="7"/>
  <c r="AJ391" i="7" s="1"/>
  <c r="AB391" i="7"/>
  <c r="AD391" i="7" s="1"/>
  <c r="V391" i="7"/>
  <c r="X391" i="7" s="1"/>
  <c r="R391" i="7"/>
  <c r="S391" i="7" s="1"/>
  <c r="N391" i="7"/>
  <c r="M391" i="7"/>
  <c r="L391" i="7"/>
  <c r="J391" i="7"/>
  <c r="H391" i="7"/>
  <c r="F391" i="7"/>
  <c r="AN390" i="7"/>
  <c r="AP390" i="7" s="1"/>
  <c r="AH390" i="7"/>
  <c r="AJ390" i="7" s="1"/>
  <c r="AB390" i="7"/>
  <c r="AD390" i="7" s="1"/>
  <c r="V390" i="7"/>
  <c r="X390" i="7" s="1"/>
  <c r="R390" i="7"/>
  <c r="S390" i="7" s="1"/>
  <c r="N390" i="7"/>
  <c r="M390" i="7"/>
  <c r="L390" i="7"/>
  <c r="J390" i="7"/>
  <c r="H390" i="7"/>
  <c r="F390" i="7"/>
  <c r="AN389" i="7"/>
  <c r="AP389" i="7" s="1"/>
  <c r="AH389" i="7"/>
  <c r="AJ389" i="7" s="1"/>
  <c r="AB389" i="7"/>
  <c r="AD389" i="7" s="1"/>
  <c r="V389" i="7"/>
  <c r="X389" i="7" s="1"/>
  <c r="R389" i="7"/>
  <c r="N389" i="7"/>
  <c r="M389" i="7"/>
  <c r="L389" i="7"/>
  <c r="J389" i="7"/>
  <c r="H389" i="7"/>
  <c r="F389" i="7"/>
  <c r="AN388" i="7"/>
  <c r="AP388" i="7" s="1"/>
  <c r="AH388" i="7"/>
  <c r="AJ388" i="7" s="1"/>
  <c r="AB388" i="7"/>
  <c r="AD388" i="7" s="1"/>
  <c r="V388" i="7"/>
  <c r="X388" i="7" s="1"/>
  <c r="R388" i="7"/>
  <c r="S388" i="7" s="1"/>
  <c r="N388" i="7"/>
  <c r="M388" i="7"/>
  <c r="L388" i="7"/>
  <c r="J388" i="7"/>
  <c r="H388" i="7"/>
  <c r="F388" i="7"/>
  <c r="AN387" i="7"/>
  <c r="AP387" i="7" s="1"/>
  <c r="AH387" i="7"/>
  <c r="AJ387" i="7" s="1"/>
  <c r="AB387" i="7"/>
  <c r="AD387" i="7" s="1"/>
  <c r="V387" i="7"/>
  <c r="X387" i="7" s="1"/>
  <c r="R387" i="7"/>
  <c r="S387" i="7" s="1"/>
  <c r="N387" i="7"/>
  <c r="M387" i="7"/>
  <c r="L387" i="7"/>
  <c r="J387" i="7"/>
  <c r="H387" i="7"/>
  <c r="F387" i="7"/>
  <c r="AN386" i="7"/>
  <c r="AP386" i="7" s="1"/>
  <c r="AH386" i="7"/>
  <c r="AJ386" i="7" s="1"/>
  <c r="AB386" i="7"/>
  <c r="AD386" i="7" s="1"/>
  <c r="V386" i="7"/>
  <c r="X386" i="7" s="1"/>
  <c r="R386" i="7"/>
  <c r="S386" i="7" s="1"/>
  <c r="N386" i="7"/>
  <c r="M386" i="7"/>
  <c r="L386" i="7"/>
  <c r="J386" i="7"/>
  <c r="H386" i="7"/>
  <c r="F386" i="7"/>
  <c r="AN385" i="7"/>
  <c r="AP385" i="7" s="1"/>
  <c r="AH385" i="7"/>
  <c r="AJ385" i="7" s="1"/>
  <c r="AB385" i="7"/>
  <c r="AD385" i="7" s="1"/>
  <c r="V385" i="7"/>
  <c r="X385" i="7" s="1"/>
  <c r="R385" i="7"/>
  <c r="S385" i="7" s="1"/>
  <c r="N385" i="7"/>
  <c r="M385" i="7"/>
  <c r="L385" i="7"/>
  <c r="J385" i="7"/>
  <c r="H385" i="7"/>
  <c r="F385" i="7"/>
  <c r="AN384" i="7"/>
  <c r="AP384" i="7" s="1"/>
  <c r="AH384" i="7"/>
  <c r="AJ384" i="7" s="1"/>
  <c r="AB384" i="7"/>
  <c r="AD384" i="7" s="1"/>
  <c r="V384" i="7"/>
  <c r="X384" i="7" s="1"/>
  <c r="R384" i="7"/>
  <c r="S384" i="7" s="1"/>
  <c r="N384" i="7"/>
  <c r="M384" i="7"/>
  <c r="L384" i="7"/>
  <c r="J384" i="7"/>
  <c r="H384" i="7"/>
  <c r="F384" i="7"/>
  <c r="AN383" i="7"/>
  <c r="AP383" i="7" s="1"/>
  <c r="AH383" i="7"/>
  <c r="AJ383" i="7" s="1"/>
  <c r="AB383" i="7"/>
  <c r="AD383" i="7" s="1"/>
  <c r="V383" i="7"/>
  <c r="X383" i="7" s="1"/>
  <c r="R383" i="7"/>
  <c r="S383" i="7" s="1"/>
  <c r="N383" i="7"/>
  <c r="M383" i="7"/>
  <c r="L383" i="7"/>
  <c r="J383" i="7"/>
  <c r="H383" i="7"/>
  <c r="F383" i="7"/>
  <c r="AN382" i="7"/>
  <c r="AP382" i="7" s="1"/>
  <c r="AH382" i="7"/>
  <c r="AJ382" i="7" s="1"/>
  <c r="AB382" i="7"/>
  <c r="AD382" i="7" s="1"/>
  <c r="V382" i="7"/>
  <c r="X382" i="7" s="1"/>
  <c r="R382" i="7"/>
  <c r="S382" i="7" s="1"/>
  <c r="N382" i="7"/>
  <c r="M382" i="7"/>
  <c r="L382" i="7"/>
  <c r="J382" i="7"/>
  <c r="H382" i="7"/>
  <c r="F382" i="7"/>
  <c r="AN381" i="7"/>
  <c r="AP381" i="7" s="1"/>
  <c r="AH381" i="7"/>
  <c r="AJ381" i="7" s="1"/>
  <c r="AB381" i="7"/>
  <c r="AD381" i="7" s="1"/>
  <c r="V381" i="7"/>
  <c r="X381" i="7" s="1"/>
  <c r="R381" i="7"/>
  <c r="S381" i="7" s="1"/>
  <c r="N381" i="7"/>
  <c r="M381" i="7"/>
  <c r="L381" i="7"/>
  <c r="J381" i="7"/>
  <c r="H381" i="7"/>
  <c r="F381" i="7"/>
  <c r="AN380" i="7"/>
  <c r="AP380" i="7" s="1"/>
  <c r="AH380" i="7"/>
  <c r="AJ380" i="7" s="1"/>
  <c r="AB380" i="7"/>
  <c r="AD380" i="7" s="1"/>
  <c r="V380" i="7"/>
  <c r="X380" i="7" s="1"/>
  <c r="R380" i="7"/>
  <c r="S380" i="7" s="1"/>
  <c r="N380" i="7"/>
  <c r="M380" i="7"/>
  <c r="L380" i="7"/>
  <c r="J380" i="7"/>
  <c r="H380" i="7"/>
  <c r="F380" i="7"/>
  <c r="AN379" i="7"/>
  <c r="AP379" i="7" s="1"/>
  <c r="AH379" i="7"/>
  <c r="AJ379" i="7" s="1"/>
  <c r="AB379" i="7"/>
  <c r="AD379" i="7" s="1"/>
  <c r="V379" i="7"/>
  <c r="X379" i="7" s="1"/>
  <c r="R379" i="7"/>
  <c r="S379" i="7" s="1"/>
  <c r="N379" i="7"/>
  <c r="M379" i="7"/>
  <c r="L379" i="7"/>
  <c r="J379" i="7"/>
  <c r="H379" i="7"/>
  <c r="F379" i="7"/>
  <c r="AN378" i="7"/>
  <c r="AP378" i="7" s="1"/>
  <c r="AH378" i="7"/>
  <c r="AJ378" i="7" s="1"/>
  <c r="AB378" i="7"/>
  <c r="AD378" i="7" s="1"/>
  <c r="V378" i="7"/>
  <c r="X378" i="7" s="1"/>
  <c r="R378" i="7"/>
  <c r="S378" i="7" s="1"/>
  <c r="N378" i="7"/>
  <c r="M378" i="7"/>
  <c r="L378" i="7"/>
  <c r="J378" i="7"/>
  <c r="H378" i="7"/>
  <c r="F378" i="7"/>
  <c r="AN377" i="7"/>
  <c r="AP377" i="7" s="1"/>
  <c r="AH377" i="7"/>
  <c r="AJ377" i="7" s="1"/>
  <c r="AB377" i="7"/>
  <c r="AD377" i="7" s="1"/>
  <c r="V377" i="7"/>
  <c r="X377" i="7" s="1"/>
  <c r="R377" i="7"/>
  <c r="S377" i="7" s="1"/>
  <c r="N377" i="7"/>
  <c r="M377" i="7"/>
  <c r="L377" i="7"/>
  <c r="J377" i="7"/>
  <c r="H377" i="7"/>
  <c r="F377" i="7"/>
  <c r="AN376" i="7"/>
  <c r="AP376" i="7" s="1"/>
  <c r="AH376" i="7"/>
  <c r="AJ376" i="7" s="1"/>
  <c r="AB376" i="7"/>
  <c r="AD376" i="7" s="1"/>
  <c r="V376" i="7"/>
  <c r="X376" i="7" s="1"/>
  <c r="R376" i="7"/>
  <c r="S376" i="7" s="1"/>
  <c r="N376" i="7"/>
  <c r="M376" i="7"/>
  <c r="L376" i="7"/>
  <c r="J376" i="7"/>
  <c r="H376" i="7"/>
  <c r="F376" i="7"/>
  <c r="AN375" i="7"/>
  <c r="AP375" i="7" s="1"/>
  <c r="AH375" i="7"/>
  <c r="AJ375" i="7" s="1"/>
  <c r="AB375" i="7"/>
  <c r="AD375" i="7" s="1"/>
  <c r="V375" i="7"/>
  <c r="X375" i="7" s="1"/>
  <c r="R375" i="7"/>
  <c r="S375" i="7" s="1"/>
  <c r="N375" i="7"/>
  <c r="M375" i="7"/>
  <c r="L375" i="7"/>
  <c r="J375" i="7"/>
  <c r="H375" i="7"/>
  <c r="F375" i="7"/>
  <c r="AN374" i="7"/>
  <c r="AP374" i="7" s="1"/>
  <c r="AH374" i="7"/>
  <c r="AJ374" i="7" s="1"/>
  <c r="AB374" i="7"/>
  <c r="AD374" i="7" s="1"/>
  <c r="V374" i="7"/>
  <c r="X374" i="7" s="1"/>
  <c r="R374" i="7"/>
  <c r="S374" i="7" s="1"/>
  <c r="N374" i="7"/>
  <c r="M374" i="7"/>
  <c r="L374" i="7"/>
  <c r="J374" i="7"/>
  <c r="H374" i="7"/>
  <c r="F374" i="7"/>
  <c r="AN373" i="7"/>
  <c r="AP373" i="7" s="1"/>
  <c r="AH373" i="7"/>
  <c r="AJ373" i="7" s="1"/>
  <c r="AB373" i="7"/>
  <c r="AD373" i="7" s="1"/>
  <c r="V373" i="7"/>
  <c r="X373" i="7" s="1"/>
  <c r="R373" i="7"/>
  <c r="S373" i="7" s="1"/>
  <c r="N373" i="7"/>
  <c r="M373" i="7"/>
  <c r="L373" i="7"/>
  <c r="J373" i="7"/>
  <c r="H373" i="7"/>
  <c r="F373" i="7"/>
  <c r="AN372" i="7"/>
  <c r="AP372" i="7" s="1"/>
  <c r="AH372" i="7"/>
  <c r="AJ372" i="7" s="1"/>
  <c r="AB372" i="7"/>
  <c r="AD372" i="7" s="1"/>
  <c r="V372" i="7"/>
  <c r="X372" i="7" s="1"/>
  <c r="R372" i="7"/>
  <c r="S372" i="7" s="1"/>
  <c r="N372" i="7"/>
  <c r="M372" i="7"/>
  <c r="L372" i="7"/>
  <c r="J372" i="7"/>
  <c r="H372" i="7"/>
  <c r="F372" i="7"/>
  <c r="AN371" i="7"/>
  <c r="AP371" i="7" s="1"/>
  <c r="AH371" i="7"/>
  <c r="AJ371" i="7" s="1"/>
  <c r="AB371" i="7"/>
  <c r="AD371" i="7" s="1"/>
  <c r="V371" i="7"/>
  <c r="X371" i="7" s="1"/>
  <c r="R371" i="7"/>
  <c r="S371" i="7" s="1"/>
  <c r="N371" i="7"/>
  <c r="M371" i="7"/>
  <c r="L371" i="7"/>
  <c r="J371" i="7"/>
  <c r="H371" i="7"/>
  <c r="F371" i="7"/>
  <c r="AN370" i="7"/>
  <c r="AP370" i="7" s="1"/>
  <c r="AH370" i="7"/>
  <c r="AJ370" i="7" s="1"/>
  <c r="AB370" i="7"/>
  <c r="AD370" i="7" s="1"/>
  <c r="V370" i="7"/>
  <c r="X370" i="7" s="1"/>
  <c r="R370" i="7"/>
  <c r="S370" i="7" s="1"/>
  <c r="N370" i="7"/>
  <c r="M370" i="7"/>
  <c r="L370" i="7"/>
  <c r="J370" i="7"/>
  <c r="H370" i="7"/>
  <c r="F370" i="7"/>
  <c r="AN369" i="7"/>
  <c r="AP369" i="7" s="1"/>
  <c r="AH369" i="7"/>
  <c r="AJ369" i="7" s="1"/>
  <c r="AB369" i="7"/>
  <c r="AD369" i="7" s="1"/>
  <c r="V369" i="7"/>
  <c r="X369" i="7" s="1"/>
  <c r="R369" i="7"/>
  <c r="S369" i="7" s="1"/>
  <c r="N369" i="7"/>
  <c r="M369" i="7"/>
  <c r="L369" i="7"/>
  <c r="J369" i="7"/>
  <c r="H369" i="7"/>
  <c r="F369" i="7"/>
  <c r="AN368" i="7"/>
  <c r="AP368" i="7" s="1"/>
  <c r="AH368" i="7"/>
  <c r="AJ368" i="7" s="1"/>
  <c r="AB368" i="7"/>
  <c r="AD368" i="7" s="1"/>
  <c r="V368" i="7"/>
  <c r="X368" i="7" s="1"/>
  <c r="R368" i="7"/>
  <c r="S368" i="7" s="1"/>
  <c r="N368" i="7"/>
  <c r="M368" i="7"/>
  <c r="L368" i="7"/>
  <c r="J368" i="7"/>
  <c r="H368" i="7"/>
  <c r="F368" i="7"/>
  <c r="AN367" i="7"/>
  <c r="AP367" i="7" s="1"/>
  <c r="AH367" i="7"/>
  <c r="AJ367" i="7" s="1"/>
  <c r="AB367" i="7"/>
  <c r="AD367" i="7" s="1"/>
  <c r="V367" i="7"/>
  <c r="X367" i="7" s="1"/>
  <c r="R367" i="7"/>
  <c r="S367" i="7" s="1"/>
  <c r="N367" i="7"/>
  <c r="M367" i="7"/>
  <c r="L367" i="7"/>
  <c r="J367" i="7"/>
  <c r="H367" i="7"/>
  <c r="F367" i="7"/>
  <c r="AN366" i="7"/>
  <c r="AP366" i="7" s="1"/>
  <c r="AH366" i="7"/>
  <c r="AJ366" i="7" s="1"/>
  <c r="AB366" i="7"/>
  <c r="AD366" i="7" s="1"/>
  <c r="V366" i="7"/>
  <c r="X366" i="7" s="1"/>
  <c r="R366" i="7"/>
  <c r="S366" i="7" s="1"/>
  <c r="N366" i="7"/>
  <c r="M366" i="7"/>
  <c r="L366" i="7"/>
  <c r="J366" i="7"/>
  <c r="H366" i="7"/>
  <c r="F366" i="7"/>
  <c r="AN365" i="7"/>
  <c r="AP365" i="7" s="1"/>
  <c r="AH365" i="7"/>
  <c r="AJ365" i="7" s="1"/>
  <c r="AB365" i="7"/>
  <c r="AD365" i="7" s="1"/>
  <c r="V365" i="7"/>
  <c r="X365" i="7" s="1"/>
  <c r="R365" i="7"/>
  <c r="S365" i="7" s="1"/>
  <c r="N365" i="7"/>
  <c r="M365" i="7"/>
  <c r="L365" i="7"/>
  <c r="J365" i="7"/>
  <c r="H365" i="7"/>
  <c r="F365" i="7"/>
  <c r="AN364" i="7"/>
  <c r="AP364" i="7" s="1"/>
  <c r="AH364" i="7"/>
  <c r="AJ364" i="7" s="1"/>
  <c r="AB364" i="7"/>
  <c r="AD364" i="7" s="1"/>
  <c r="V364" i="7"/>
  <c r="X364" i="7" s="1"/>
  <c r="R364" i="7"/>
  <c r="S364" i="7" s="1"/>
  <c r="N364" i="7"/>
  <c r="M364" i="7"/>
  <c r="L364" i="7"/>
  <c r="J364" i="7"/>
  <c r="H364" i="7"/>
  <c r="F364" i="7"/>
  <c r="AN363" i="7"/>
  <c r="AP363" i="7" s="1"/>
  <c r="AH363" i="7"/>
  <c r="AJ363" i="7" s="1"/>
  <c r="AB363" i="7"/>
  <c r="AD363" i="7" s="1"/>
  <c r="V363" i="7"/>
  <c r="X363" i="7" s="1"/>
  <c r="R363" i="7"/>
  <c r="S363" i="7" s="1"/>
  <c r="N363" i="7"/>
  <c r="M363" i="7"/>
  <c r="L363" i="7"/>
  <c r="J363" i="7"/>
  <c r="H363" i="7"/>
  <c r="F363" i="7"/>
  <c r="AN362" i="7"/>
  <c r="AP362" i="7" s="1"/>
  <c r="AH362" i="7"/>
  <c r="AJ362" i="7" s="1"/>
  <c r="AB362" i="7"/>
  <c r="AD362" i="7" s="1"/>
  <c r="V362" i="7"/>
  <c r="X362" i="7" s="1"/>
  <c r="R362" i="7"/>
  <c r="S362" i="7" s="1"/>
  <c r="N362" i="7"/>
  <c r="M362" i="7"/>
  <c r="L362" i="7"/>
  <c r="J362" i="7"/>
  <c r="H362" i="7"/>
  <c r="F362" i="7"/>
  <c r="AN361" i="7"/>
  <c r="AP361" i="7" s="1"/>
  <c r="AH361" i="7"/>
  <c r="AJ361" i="7" s="1"/>
  <c r="AB361" i="7"/>
  <c r="AD361" i="7" s="1"/>
  <c r="V361" i="7"/>
  <c r="X361" i="7" s="1"/>
  <c r="R361" i="7"/>
  <c r="S361" i="7" s="1"/>
  <c r="N361" i="7"/>
  <c r="M361" i="7"/>
  <c r="L361" i="7"/>
  <c r="J361" i="7"/>
  <c r="H361" i="7"/>
  <c r="F361" i="7"/>
  <c r="AN360" i="7"/>
  <c r="AP360" i="7" s="1"/>
  <c r="AH360" i="7"/>
  <c r="AJ360" i="7" s="1"/>
  <c r="AB360" i="7"/>
  <c r="AD360" i="7" s="1"/>
  <c r="V360" i="7"/>
  <c r="X360" i="7" s="1"/>
  <c r="R360" i="7"/>
  <c r="S360" i="7" s="1"/>
  <c r="N360" i="7"/>
  <c r="M360" i="7"/>
  <c r="L360" i="7"/>
  <c r="J360" i="7"/>
  <c r="H360" i="7"/>
  <c r="F360" i="7"/>
  <c r="AN359" i="7"/>
  <c r="AP359" i="7" s="1"/>
  <c r="AH359" i="7"/>
  <c r="AJ359" i="7" s="1"/>
  <c r="AB359" i="7"/>
  <c r="AD359" i="7" s="1"/>
  <c r="V359" i="7"/>
  <c r="X359" i="7" s="1"/>
  <c r="R359" i="7"/>
  <c r="S359" i="7" s="1"/>
  <c r="N359" i="7"/>
  <c r="M359" i="7"/>
  <c r="L359" i="7"/>
  <c r="J359" i="7"/>
  <c r="H359" i="7"/>
  <c r="F359" i="7"/>
  <c r="AN358" i="7"/>
  <c r="AP358" i="7" s="1"/>
  <c r="AH358" i="7"/>
  <c r="AJ358" i="7" s="1"/>
  <c r="AB358" i="7"/>
  <c r="AD358" i="7" s="1"/>
  <c r="V358" i="7"/>
  <c r="X358" i="7" s="1"/>
  <c r="R358" i="7"/>
  <c r="S358" i="7" s="1"/>
  <c r="N358" i="7"/>
  <c r="M358" i="7"/>
  <c r="L358" i="7"/>
  <c r="J358" i="7"/>
  <c r="H358" i="7"/>
  <c r="F358" i="7"/>
  <c r="AN357" i="7"/>
  <c r="AP357" i="7" s="1"/>
  <c r="AH357" i="7"/>
  <c r="AJ357" i="7" s="1"/>
  <c r="AB357" i="7"/>
  <c r="AD357" i="7" s="1"/>
  <c r="V357" i="7"/>
  <c r="X357" i="7" s="1"/>
  <c r="R357" i="7"/>
  <c r="S357" i="7" s="1"/>
  <c r="N357" i="7"/>
  <c r="M357" i="7"/>
  <c r="L357" i="7"/>
  <c r="J357" i="7"/>
  <c r="H357" i="7"/>
  <c r="F357" i="7"/>
  <c r="AN356" i="7"/>
  <c r="AP356" i="7" s="1"/>
  <c r="AH356" i="7"/>
  <c r="AJ356" i="7" s="1"/>
  <c r="AB356" i="7"/>
  <c r="AD356" i="7" s="1"/>
  <c r="V356" i="7"/>
  <c r="X356" i="7" s="1"/>
  <c r="R356" i="7"/>
  <c r="S356" i="7" s="1"/>
  <c r="N356" i="7"/>
  <c r="M356" i="7"/>
  <c r="L356" i="7"/>
  <c r="J356" i="7"/>
  <c r="H356" i="7"/>
  <c r="F356" i="7"/>
  <c r="AN355" i="7"/>
  <c r="AP355" i="7" s="1"/>
  <c r="AH355" i="7"/>
  <c r="AJ355" i="7" s="1"/>
  <c r="AB355" i="7"/>
  <c r="AD355" i="7" s="1"/>
  <c r="V355" i="7"/>
  <c r="X355" i="7" s="1"/>
  <c r="R355" i="7"/>
  <c r="S355" i="7" s="1"/>
  <c r="N355" i="7"/>
  <c r="M355" i="7"/>
  <c r="L355" i="7"/>
  <c r="J355" i="7"/>
  <c r="H355" i="7"/>
  <c r="F355" i="7"/>
  <c r="AN354" i="7"/>
  <c r="AP354" i="7" s="1"/>
  <c r="AH354" i="7"/>
  <c r="AJ354" i="7" s="1"/>
  <c r="AB354" i="7"/>
  <c r="AD354" i="7" s="1"/>
  <c r="V354" i="7"/>
  <c r="X354" i="7" s="1"/>
  <c r="R354" i="7"/>
  <c r="S354" i="7" s="1"/>
  <c r="N354" i="7"/>
  <c r="M354" i="7"/>
  <c r="L354" i="7"/>
  <c r="J354" i="7"/>
  <c r="H354" i="7"/>
  <c r="F354" i="7"/>
  <c r="AN353" i="7"/>
  <c r="AP353" i="7" s="1"/>
  <c r="AH353" i="7"/>
  <c r="AJ353" i="7" s="1"/>
  <c r="AB353" i="7"/>
  <c r="AD353" i="7" s="1"/>
  <c r="V353" i="7"/>
  <c r="X353" i="7" s="1"/>
  <c r="R353" i="7"/>
  <c r="S353" i="7" s="1"/>
  <c r="N353" i="7"/>
  <c r="M353" i="7"/>
  <c r="L353" i="7"/>
  <c r="J353" i="7"/>
  <c r="H353" i="7"/>
  <c r="F353" i="7"/>
  <c r="AN352" i="7"/>
  <c r="AP352" i="7" s="1"/>
  <c r="AH352" i="7"/>
  <c r="AJ352" i="7" s="1"/>
  <c r="AB352" i="7"/>
  <c r="AD352" i="7" s="1"/>
  <c r="V352" i="7"/>
  <c r="X352" i="7" s="1"/>
  <c r="R352" i="7"/>
  <c r="S352" i="7" s="1"/>
  <c r="N352" i="7"/>
  <c r="M352" i="7"/>
  <c r="L352" i="7"/>
  <c r="J352" i="7"/>
  <c r="H352" i="7"/>
  <c r="F352" i="7"/>
  <c r="AN351" i="7"/>
  <c r="AP351" i="7" s="1"/>
  <c r="AH351" i="7"/>
  <c r="AJ351" i="7" s="1"/>
  <c r="AB351" i="7"/>
  <c r="AD351" i="7" s="1"/>
  <c r="V351" i="7"/>
  <c r="X351" i="7" s="1"/>
  <c r="R351" i="7"/>
  <c r="S351" i="7" s="1"/>
  <c r="N351" i="7"/>
  <c r="M351" i="7"/>
  <c r="L351" i="7"/>
  <c r="J351" i="7"/>
  <c r="H351" i="7"/>
  <c r="F351" i="7"/>
  <c r="AN350" i="7"/>
  <c r="AP350" i="7" s="1"/>
  <c r="AH350" i="7"/>
  <c r="AJ350" i="7" s="1"/>
  <c r="AB350" i="7"/>
  <c r="AD350" i="7" s="1"/>
  <c r="V350" i="7"/>
  <c r="X350" i="7" s="1"/>
  <c r="R350" i="7"/>
  <c r="S350" i="7" s="1"/>
  <c r="N350" i="7"/>
  <c r="M350" i="7"/>
  <c r="L350" i="7"/>
  <c r="J350" i="7"/>
  <c r="H350" i="7"/>
  <c r="F350" i="7"/>
  <c r="AN349" i="7"/>
  <c r="AP349" i="7" s="1"/>
  <c r="AH349" i="7"/>
  <c r="AJ349" i="7" s="1"/>
  <c r="AB349" i="7"/>
  <c r="AD349" i="7" s="1"/>
  <c r="V349" i="7"/>
  <c r="X349" i="7" s="1"/>
  <c r="R349" i="7"/>
  <c r="S349" i="7" s="1"/>
  <c r="N349" i="7"/>
  <c r="M349" i="7"/>
  <c r="L349" i="7"/>
  <c r="J349" i="7"/>
  <c r="H349" i="7"/>
  <c r="F349" i="7"/>
  <c r="AN348" i="7"/>
  <c r="AP348" i="7" s="1"/>
  <c r="AH348" i="7"/>
  <c r="AJ348" i="7" s="1"/>
  <c r="AB348" i="7"/>
  <c r="AD348" i="7" s="1"/>
  <c r="V348" i="7"/>
  <c r="X348" i="7" s="1"/>
  <c r="R348" i="7"/>
  <c r="S348" i="7" s="1"/>
  <c r="N348" i="7"/>
  <c r="M348" i="7"/>
  <c r="L348" i="7"/>
  <c r="J348" i="7"/>
  <c r="H348" i="7"/>
  <c r="F348" i="7"/>
  <c r="AN347" i="7"/>
  <c r="AP347" i="7" s="1"/>
  <c r="AH347" i="7"/>
  <c r="AJ347" i="7" s="1"/>
  <c r="AB347" i="7"/>
  <c r="AD347" i="7" s="1"/>
  <c r="V347" i="7"/>
  <c r="X347" i="7" s="1"/>
  <c r="R347" i="7"/>
  <c r="S347" i="7" s="1"/>
  <c r="N347" i="7"/>
  <c r="M347" i="7"/>
  <c r="L347" i="7"/>
  <c r="J347" i="7"/>
  <c r="H347" i="7"/>
  <c r="F347" i="7"/>
  <c r="AN346" i="7"/>
  <c r="AP346" i="7" s="1"/>
  <c r="AH346" i="7"/>
  <c r="AJ346" i="7" s="1"/>
  <c r="AB346" i="7"/>
  <c r="AD346" i="7" s="1"/>
  <c r="V346" i="7"/>
  <c r="X346" i="7" s="1"/>
  <c r="R346" i="7"/>
  <c r="S346" i="7" s="1"/>
  <c r="N346" i="7"/>
  <c r="M346" i="7"/>
  <c r="L346" i="7"/>
  <c r="J346" i="7"/>
  <c r="H346" i="7"/>
  <c r="F346" i="7"/>
  <c r="AN345" i="7"/>
  <c r="AP345" i="7" s="1"/>
  <c r="AH345" i="7"/>
  <c r="AJ345" i="7" s="1"/>
  <c r="AB345" i="7"/>
  <c r="AD345" i="7" s="1"/>
  <c r="V345" i="7"/>
  <c r="X345" i="7" s="1"/>
  <c r="R345" i="7"/>
  <c r="S345" i="7" s="1"/>
  <c r="N345" i="7"/>
  <c r="M345" i="7"/>
  <c r="L345" i="7"/>
  <c r="J345" i="7"/>
  <c r="H345" i="7"/>
  <c r="F345" i="7"/>
  <c r="AN344" i="7"/>
  <c r="AP344" i="7" s="1"/>
  <c r="AH344" i="7"/>
  <c r="AJ344" i="7" s="1"/>
  <c r="AB344" i="7"/>
  <c r="AD344" i="7" s="1"/>
  <c r="V344" i="7"/>
  <c r="X344" i="7" s="1"/>
  <c r="R344" i="7"/>
  <c r="S344" i="7" s="1"/>
  <c r="N344" i="7"/>
  <c r="M344" i="7"/>
  <c r="L344" i="7"/>
  <c r="J344" i="7"/>
  <c r="H344" i="7"/>
  <c r="F344" i="7"/>
  <c r="AN343" i="7"/>
  <c r="AP343" i="7" s="1"/>
  <c r="AH343" i="7"/>
  <c r="AJ343" i="7" s="1"/>
  <c r="AB343" i="7"/>
  <c r="AD343" i="7" s="1"/>
  <c r="V343" i="7"/>
  <c r="X343" i="7" s="1"/>
  <c r="R343" i="7"/>
  <c r="S343" i="7" s="1"/>
  <c r="N343" i="7"/>
  <c r="M343" i="7"/>
  <c r="L343" i="7"/>
  <c r="J343" i="7"/>
  <c r="H343" i="7"/>
  <c r="F343" i="7"/>
  <c r="AN342" i="7"/>
  <c r="AP342" i="7" s="1"/>
  <c r="AH342" i="7"/>
  <c r="AJ342" i="7" s="1"/>
  <c r="AB342" i="7"/>
  <c r="AD342" i="7" s="1"/>
  <c r="V342" i="7"/>
  <c r="X342" i="7" s="1"/>
  <c r="R342" i="7"/>
  <c r="S342" i="7" s="1"/>
  <c r="N342" i="7"/>
  <c r="M342" i="7"/>
  <c r="L342" i="7"/>
  <c r="J342" i="7"/>
  <c r="H342" i="7"/>
  <c r="F342" i="7"/>
  <c r="AN341" i="7"/>
  <c r="AP341" i="7" s="1"/>
  <c r="AH341" i="7"/>
  <c r="AJ341" i="7" s="1"/>
  <c r="AB341" i="7"/>
  <c r="AD341" i="7" s="1"/>
  <c r="V341" i="7"/>
  <c r="X341" i="7" s="1"/>
  <c r="R341" i="7"/>
  <c r="S341" i="7" s="1"/>
  <c r="N341" i="7"/>
  <c r="M341" i="7"/>
  <c r="L341" i="7"/>
  <c r="J341" i="7"/>
  <c r="H341" i="7"/>
  <c r="F341" i="7"/>
  <c r="AN340" i="7"/>
  <c r="AP340" i="7" s="1"/>
  <c r="AH340" i="7"/>
  <c r="AJ340" i="7" s="1"/>
  <c r="AB340" i="7"/>
  <c r="AD340" i="7" s="1"/>
  <c r="V340" i="7"/>
  <c r="X340" i="7" s="1"/>
  <c r="R340" i="7"/>
  <c r="S340" i="7" s="1"/>
  <c r="N340" i="7"/>
  <c r="M340" i="7"/>
  <c r="L340" i="7"/>
  <c r="J340" i="7"/>
  <c r="H340" i="7"/>
  <c r="F340" i="7"/>
  <c r="AN339" i="7"/>
  <c r="AP339" i="7" s="1"/>
  <c r="AH339" i="7"/>
  <c r="AJ339" i="7" s="1"/>
  <c r="AB339" i="7"/>
  <c r="AD339" i="7" s="1"/>
  <c r="V339" i="7"/>
  <c r="X339" i="7" s="1"/>
  <c r="R339" i="7"/>
  <c r="N339" i="7"/>
  <c r="M339" i="7"/>
  <c r="L339" i="7"/>
  <c r="J339" i="7"/>
  <c r="H339" i="7"/>
  <c r="F339" i="7"/>
  <c r="AN338" i="7"/>
  <c r="AP338" i="7" s="1"/>
  <c r="AH338" i="7"/>
  <c r="AJ338" i="7" s="1"/>
  <c r="AB338" i="7"/>
  <c r="AD338" i="7" s="1"/>
  <c r="V338" i="7"/>
  <c r="X338" i="7" s="1"/>
  <c r="R338" i="7"/>
  <c r="S338" i="7" s="1"/>
  <c r="N338" i="7"/>
  <c r="M338" i="7"/>
  <c r="L338" i="7"/>
  <c r="J338" i="7"/>
  <c r="H338" i="7"/>
  <c r="F338" i="7"/>
  <c r="AL335" i="7"/>
  <c r="AL337" i="7" s="1"/>
  <c r="AF335" i="7"/>
  <c r="AF337" i="7" s="1"/>
  <c r="Z335" i="7"/>
  <c r="Z337" i="7" s="1"/>
  <c r="T335" i="7"/>
  <c r="T337" i="7" s="1"/>
  <c r="P335" i="7"/>
  <c r="U337" i="7" s="1"/>
  <c r="K335" i="7"/>
  <c r="I335" i="7"/>
  <c r="G335" i="7"/>
  <c r="E335" i="7"/>
  <c r="D335" i="7"/>
  <c r="M334" i="7" s="1"/>
  <c r="AO330" i="7"/>
  <c r="J126" i="30" s="1"/>
  <c r="AM330" i="7"/>
  <c r="J125" i="30" s="1"/>
  <c r="AL330" i="7"/>
  <c r="J124" i="30" s="1"/>
  <c r="AI330" i="7"/>
  <c r="I126" i="30" s="1"/>
  <c r="AG330" i="7"/>
  <c r="I125" i="30" s="1"/>
  <c r="AF330" i="7"/>
  <c r="I124" i="30" s="1"/>
  <c r="AC330" i="7"/>
  <c r="H126" i="30" s="1"/>
  <c r="AA330" i="7"/>
  <c r="H125" i="30" s="1"/>
  <c r="Z330" i="7"/>
  <c r="H124" i="30" s="1"/>
  <c r="U330" i="7"/>
  <c r="G125" i="30" s="1"/>
  <c r="T330" i="7"/>
  <c r="G124" i="30" s="1"/>
  <c r="Q330" i="7"/>
  <c r="F126" i="30" s="1"/>
  <c r="P330" i="7"/>
  <c r="F124" i="30" s="1"/>
  <c r="K330" i="7"/>
  <c r="I92" i="1" s="1"/>
  <c r="I330" i="7"/>
  <c r="G330" i="7"/>
  <c r="G92" i="1" s="1"/>
  <c r="E330" i="7"/>
  <c r="F92" i="1" s="1"/>
  <c r="D330" i="7"/>
  <c r="E92" i="1" s="1"/>
  <c r="AN329" i="7"/>
  <c r="AP329" i="7" s="1"/>
  <c r="AH329" i="7"/>
  <c r="AJ329" i="7" s="1"/>
  <c r="AB329" i="7"/>
  <c r="AD329" i="7" s="1"/>
  <c r="V329" i="7"/>
  <c r="X329" i="7" s="1"/>
  <c r="R329" i="7"/>
  <c r="S329" i="7" s="1"/>
  <c r="N329" i="7"/>
  <c r="M329" i="7"/>
  <c r="L329" i="7"/>
  <c r="J329" i="7"/>
  <c r="H329" i="7"/>
  <c r="F329" i="7"/>
  <c r="AN328" i="7"/>
  <c r="AP328" i="7" s="1"/>
  <c r="AH328" i="7"/>
  <c r="AJ328" i="7" s="1"/>
  <c r="AB328" i="7"/>
  <c r="AD328" i="7" s="1"/>
  <c r="V328" i="7"/>
  <c r="X328" i="7" s="1"/>
  <c r="R328" i="7"/>
  <c r="S328" i="7" s="1"/>
  <c r="N328" i="7"/>
  <c r="M328" i="7"/>
  <c r="L328" i="7"/>
  <c r="J328" i="7"/>
  <c r="H328" i="7"/>
  <c r="F328" i="7"/>
  <c r="AN327" i="7"/>
  <c r="AP327" i="7" s="1"/>
  <c r="AH327" i="7"/>
  <c r="AJ327" i="7" s="1"/>
  <c r="AB327" i="7"/>
  <c r="AD327" i="7" s="1"/>
  <c r="V327" i="7"/>
  <c r="X327" i="7" s="1"/>
  <c r="R327" i="7"/>
  <c r="S327" i="7" s="1"/>
  <c r="N327" i="7"/>
  <c r="M327" i="7"/>
  <c r="L327" i="7"/>
  <c r="J327" i="7"/>
  <c r="H327" i="7"/>
  <c r="F327" i="7"/>
  <c r="AN326" i="7"/>
  <c r="AP326" i="7" s="1"/>
  <c r="AH326" i="7"/>
  <c r="AJ326" i="7" s="1"/>
  <c r="AB326" i="7"/>
  <c r="AD326" i="7" s="1"/>
  <c r="V326" i="7"/>
  <c r="X326" i="7" s="1"/>
  <c r="R326" i="7"/>
  <c r="S326" i="7" s="1"/>
  <c r="N326" i="7"/>
  <c r="M326" i="7"/>
  <c r="L326" i="7"/>
  <c r="J326" i="7"/>
  <c r="H326" i="7"/>
  <c r="F326" i="7"/>
  <c r="AN325" i="7"/>
  <c r="AP325" i="7" s="1"/>
  <c r="AH325" i="7"/>
  <c r="AJ325" i="7" s="1"/>
  <c r="AB325" i="7"/>
  <c r="AD325" i="7" s="1"/>
  <c r="V325" i="7"/>
  <c r="X325" i="7" s="1"/>
  <c r="R325" i="7"/>
  <c r="S325" i="7" s="1"/>
  <c r="N325" i="7"/>
  <c r="M325" i="7"/>
  <c r="L325" i="7"/>
  <c r="J325" i="7"/>
  <c r="H325" i="7"/>
  <c r="F325" i="7"/>
  <c r="AN324" i="7"/>
  <c r="AP324" i="7" s="1"/>
  <c r="AH324" i="7"/>
  <c r="AJ324" i="7" s="1"/>
  <c r="AB324" i="7"/>
  <c r="AD324" i="7" s="1"/>
  <c r="V324" i="7"/>
  <c r="X324" i="7" s="1"/>
  <c r="R324" i="7"/>
  <c r="S324" i="7" s="1"/>
  <c r="N324" i="7"/>
  <c r="M324" i="7"/>
  <c r="L324" i="7"/>
  <c r="J324" i="7"/>
  <c r="H324" i="7"/>
  <c r="F324" i="7"/>
  <c r="AN323" i="7"/>
  <c r="AP323" i="7" s="1"/>
  <c r="AH323" i="7"/>
  <c r="AJ323" i="7" s="1"/>
  <c r="AB323" i="7"/>
  <c r="AD323" i="7" s="1"/>
  <c r="V323" i="7"/>
  <c r="X323" i="7" s="1"/>
  <c r="R323" i="7"/>
  <c r="S323" i="7" s="1"/>
  <c r="N323" i="7"/>
  <c r="M323" i="7"/>
  <c r="L323" i="7"/>
  <c r="J323" i="7"/>
  <c r="H323" i="7"/>
  <c r="F323" i="7"/>
  <c r="AN322" i="7"/>
  <c r="AP322" i="7" s="1"/>
  <c r="AH322" i="7"/>
  <c r="AJ322" i="7" s="1"/>
  <c r="AB322" i="7"/>
  <c r="AD322" i="7" s="1"/>
  <c r="V322" i="7"/>
  <c r="X322" i="7" s="1"/>
  <c r="R322" i="7"/>
  <c r="S322" i="7" s="1"/>
  <c r="N322" i="7"/>
  <c r="M322" i="7"/>
  <c r="L322" i="7"/>
  <c r="J322" i="7"/>
  <c r="H322" i="7"/>
  <c r="F322" i="7"/>
  <c r="AN321" i="7"/>
  <c r="AP321" i="7" s="1"/>
  <c r="AH321" i="7"/>
  <c r="AJ321" i="7" s="1"/>
  <c r="AB321" i="7"/>
  <c r="AD321" i="7" s="1"/>
  <c r="V321" i="7"/>
  <c r="X321" i="7" s="1"/>
  <c r="R321" i="7"/>
  <c r="S321" i="7" s="1"/>
  <c r="N321" i="7"/>
  <c r="M321" i="7"/>
  <c r="L321" i="7"/>
  <c r="J321" i="7"/>
  <c r="H321" i="7"/>
  <c r="F321" i="7"/>
  <c r="AN320" i="7"/>
  <c r="AP320" i="7" s="1"/>
  <c r="AH320" i="7"/>
  <c r="AJ320" i="7" s="1"/>
  <c r="AB320" i="7"/>
  <c r="AD320" i="7" s="1"/>
  <c r="V320" i="7"/>
  <c r="X320" i="7" s="1"/>
  <c r="R320" i="7"/>
  <c r="N320" i="7"/>
  <c r="M320" i="7"/>
  <c r="L320" i="7"/>
  <c r="J320" i="7"/>
  <c r="H320" i="7"/>
  <c r="F320" i="7"/>
  <c r="AN319" i="7"/>
  <c r="AP319" i="7" s="1"/>
  <c r="AH319" i="7"/>
  <c r="AJ319" i="7" s="1"/>
  <c r="AB319" i="7"/>
  <c r="AD319" i="7" s="1"/>
  <c r="V319" i="7"/>
  <c r="X319" i="7" s="1"/>
  <c r="R319" i="7"/>
  <c r="S319" i="7" s="1"/>
  <c r="N319" i="7"/>
  <c r="M319" i="7"/>
  <c r="L319" i="7"/>
  <c r="J319" i="7"/>
  <c r="H319" i="7"/>
  <c r="F319" i="7"/>
  <c r="AN318" i="7"/>
  <c r="AP318" i="7" s="1"/>
  <c r="AH318" i="7"/>
  <c r="AJ318" i="7" s="1"/>
  <c r="AB318" i="7"/>
  <c r="AD318" i="7" s="1"/>
  <c r="V318" i="7"/>
  <c r="X318" i="7" s="1"/>
  <c r="R318" i="7"/>
  <c r="S318" i="7" s="1"/>
  <c r="N318" i="7"/>
  <c r="M318" i="7"/>
  <c r="L318" i="7"/>
  <c r="J318" i="7"/>
  <c r="H318" i="7"/>
  <c r="F318" i="7"/>
  <c r="AN317" i="7"/>
  <c r="AP317" i="7" s="1"/>
  <c r="AH317" i="7"/>
  <c r="AJ317" i="7" s="1"/>
  <c r="AB317" i="7"/>
  <c r="AD317" i="7" s="1"/>
  <c r="V317" i="7"/>
  <c r="X317" i="7" s="1"/>
  <c r="R317" i="7"/>
  <c r="S317" i="7" s="1"/>
  <c r="N317" i="7"/>
  <c r="M317" i="7"/>
  <c r="L317" i="7"/>
  <c r="J317" i="7"/>
  <c r="H317" i="7"/>
  <c r="F317" i="7"/>
  <c r="AN316" i="7"/>
  <c r="AP316" i="7" s="1"/>
  <c r="AH316" i="7"/>
  <c r="AJ316" i="7" s="1"/>
  <c r="AB316" i="7"/>
  <c r="AD316" i="7" s="1"/>
  <c r="V316" i="7"/>
  <c r="X316" i="7" s="1"/>
  <c r="R316" i="7"/>
  <c r="N316" i="7"/>
  <c r="M316" i="7"/>
  <c r="L316" i="7"/>
  <c r="J316" i="7"/>
  <c r="H316" i="7"/>
  <c r="F316" i="7"/>
  <c r="AN315" i="7"/>
  <c r="AP315" i="7" s="1"/>
  <c r="AH315" i="7"/>
  <c r="AJ315" i="7" s="1"/>
  <c r="AB315" i="7"/>
  <c r="AD315" i="7" s="1"/>
  <c r="V315" i="7"/>
  <c r="X315" i="7" s="1"/>
  <c r="R315" i="7"/>
  <c r="S315" i="7" s="1"/>
  <c r="N315" i="7"/>
  <c r="M315" i="7"/>
  <c r="L315" i="7"/>
  <c r="J315" i="7"/>
  <c r="H315" i="7"/>
  <c r="F315" i="7"/>
  <c r="AN314" i="7"/>
  <c r="AP314" i="7" s="1"/>
  <c r="AH314" i="7"/>
  <c r="AJ314" i="7" s="1"/>
  <c r="AB314" i="7"/>
  <c r="AD314" i="7" s="1"/>
  <c r="V314" i="7"/>
  <c r="X314" i="7" s="1"/>
  <c r="R314" i="7"/>
  <c r="S314" i="7" s="1"/>
  <c r="N314" i="7"/>
  <c r="M314" i="7"/>
  <c r="L314" i="7"/>
  <c r="J314" i="7"/>
  <c r="H314" i="7"/>
  <c r="F314" i="7"/>
  <c r="AN313" i="7"/>
  <c r="AP313" i="7" s="1"/>
  <c r="AH313" i="7"/>
  <c r="AJ313" i="7" s="1"/>
  <c r="AB313" i="7"/>
  <c r="AD313" i="7" s="1"/>
  <c r="V313" i="7"/>
  <c r="X313" i="7" s="1"/>
  <c r="R313" i="7"/>
  <c r="S313" i="7" s="1"/>
  <c r="N313" i="7"/>
  <c r="M313" i="7"/>
  <c r="L313" i="7"/>
  <c r="J313" i="7"/>
  <c r="H313" i="7"/>
  <c r="F313" i="7"/>
  <c r="AN312" i="7"/>
  <c r="AP312" i="7" s="1"/>
  <c r="AH312" i="7"/>
  <c r="AJ312" i="7" s="1"/>
  <c r="AB312" i="7"/>
  <c r="AD312" i="7" s="1"/>
  <c r="V312" i="7"/>
  <c r="X312" i="7" s="1"/>
  <c r="R312" i="7"/>
  <c r="N312" i="7"/>
  <c r="M312" i="7"/>
  <c r="L312" i="7"/>
  <c r="J312" i="7"/>
  <c r="H312" i="7"/>
  <c r="F312" i="7"/>
  <c r="AN311" i="7"/>
  <c r="AP311" i="7" s="1"/>
  <c r="AH311" i="7"/>
  <c r="AJ311" i="7" s="1"/>
  <c r="AB311" i="7"/>
  <c r="AD311" i="7" s="1"/>
  <c r="V311" i="7"/>
  <c r="X311" i="7" s="1"/>
  <c r="R311" i="7"/>
  <c r="S311" i="7" s="1"/>
  <c r="N311" i="7"/>
  <c r="M311" i="7"/>
  <c r="L311" i="7"/>
  <c r="J311" i="7"/>
  <c r="H311" i="7"/>
  <c r="F311" i="7"/>
  <c r="AN310" i="7"/>
  <c r="AP310" i="7" s="1"/>
  <c r="AH310" i="7"/>
  <c r="AJ310" i="7" s="1"/>
  <c r="AB310" i="7"/>
  <c r="AD310" i="7" s="1"/>
  <c r="V310" i="7"/>
  <c r="X310" i="7" s="1"/>
  <c r="R310" i="7"/>
  <c r="S310" i="7" s="1"/>
  <c r="N310" i="7"/>
  <c r="M310" i="7"/>
  <c r="L310" i="7"/>
  <c r="J310" i="7"/>
  <c r="H310" i="7"/>
  <c r="F310" i="7"/>
  <c r="AN309" i="7"/>
  <c r="AP309" i="7" s="1"/>
  <c r="AH309" i="7"/>
  <c r="AJ309" i="7" s="1"/>
  <c r="AB309" i="7"/>
  <c r="AD309" i="7" s="1"/>
  <c r="V309" i="7"/>
  <c r="X309" i="7" s="1"/>
  <c r="R309" i="7"/>
  <c r="S309" i="7" s="1"/>
  <c r="N309" i="7"/>
  <c r="M309" i="7"/>
  <c r="L309" i="7"/>
  <c r="J309" i="7"/>
  <c r="H309" i="7"/>
  <c r="F309" i="7"/>
  <c r="AN308" i="7"/>
  <c r="AP308" i="7" s="1"/>
  <c r="AH308" i="7"/>
  <c r="AJ308" i="7" s="1"/>
  <c r="AB308" i="7"/>
  <c r="AD308" i="7" s="1"/>
  <c r="V308" i="7"/>
  <c r="X308" i="7" s="1"/>
  <c r="R308" i="7"/>
  <c r="S308" i="7" s="1"/>
  <c r="N308" i="7"/>
  <c r="M308" i="7"/>
  <c r="L308" i="7"/>
  <c r="J308" i="7"/>
  <c r="H308" i="7"/>
  <c r="F308" i="7"/>
  <c r="AN307" i="7"/>
  <c r="AP307" i="7" s="1"/>
  <c r="AH307" i="7"/>
  <c r="AJ307" i="7" s="1"/>
  <c r="AB307" i="7"/>
  <c r="AD307" i="7" s="1"/>
  <c r="V307" i="7"/>
  <c r="X307" i="7" s="1"/>
  <c r="R307" i="7"/>
  <c r="S307" i="7" s="1"/>
  <c r="N307" i="7"/>
  <c r="M307" i="7"/>
  <c r="L307" i="7"/>
  <c r="J307" i="7"/>
  <c r="H307" i="7"/>
  <c r="F307" i="7"/>
  <c r="AN306" i="7"/>
  <c r="AP306" i="7" s="1"/>
  <c r="AH306" i="7"/>
  <c r="AJ306" i="7" s="1"/>
  <c r="AB306" i="7"/>
  <c r="AD306" i="7" s="1"/>
  <c r="V306" i="7"/>
  <c r="X306" i="7" s="1"/>
  <c r="R306" i="7"/>
  <c r="S306" i="7" s="1"/>
  <c r="N306" i="7"/>
  <c r="M306" i="7"/>
  <c r="L306" i="7"/>
  <c r="J306" i="7"/>
  <c r="H306" i="7"/>
  <c r="F306" i="7"/>
  <c r="AN305" i="7"/>
  <c r="AP305" i="7" s="1"/>
  <c r="AH305" i="7"/>
  <c r="AJ305" i="7" s="1"/>
  <c r="AB305" i="7"/>
  <c r="AD305" i="7" s="1"/>
  <c r="V305" i="7"/>
  <c r="X305" i="7" s="1"/>
  <c r="R305" i="7"/>
  <c r="S305" i="7" s="1"/>
  <c r="N305" i="7"/>
  <c r="M305" i="7"/>
  <c r="L305" i="7"/>
  <c r="J305" i="7"/>
  <c r="H305" i="7"/>
  <c r="F305" i="7"/>
  <c r="AN304" i="7"/>
  <c r="AP304" i="7" s="1"/>
  <c r="AH304" i="7"/>
  <c r="AJ304" i="7" s="1"/>
  <c r="AB304" i="7"/>
  <c r="AD304" i="7" s="1"/>
  <c r="V304" i="7"/>
  <c r="X304" i="7" s="1"/>
  <c r="R304" i="7"/>
  <c r="S304" i="7" s="1"/>
  <c r="N304" i="7"/>
  <c r="M304" i="7"/>
  <c r="L304" i="7"/>
  <c r="J304" i="7"/>
  <c r="H304" i="7"/>
  <c r="F304" i="7"/>
  <c r="AN303" i="7"/>
  <c r="AP303" i="7" s="1"/>
  <c r="AH303" i="7"/>
  <c r="AJ303" i="7" s="1"/>
  <c r="AB303" i="7"/>
  <c r="AD303" i="7" s="1"/>
  <c r="V303" i="7"/>
  <c r="X303" i="7" s="1"/>
  <c r="R303" i="7"/>
  <c r="S303" i="7" s="1"/>
  <c r="N303" i="7"/>
  <c r="M303" i="7"/>
  <c r="L303" i="7"/>
  <c r="J303" i="7"/>
  <c r="H303" i="7"/>
  <c r="F303" i="7"/>
  <c r="AN302" i="7"/>
  <c r="AP302" i="7" s="1"/>
  <c r="AH302" i="7"/>
  <c r="AJ302" i="7" s="1"/>
  <c r="AB302" i="7"/>
  <c r="AD302" i="7" s="1"/>
  <c r="V302" i="7"/>
  <c r="X302" i="7" s="1"/>
  <c r="R302" i="7"/>
  <c r="S302" i="7" s="1"/>
  <c r="N302" i="7"/>
  <c r="M302" i="7"/>
  <c r="L302" i="7"/>
  <c r="J302" i="7"/>
  <c r="H302" i="7"/>
  <c r="F302" i="7"/>
  <c r="AN301" i="7"/>
  <c r="AP301" i="7" s="1"/>
  <c r="AH301" i="7"/>
  <c r="AJ301" i="7" s="1"/>
  <c r="AB301" i="7"/>
  <c r="AD301" i="7" s="1"/>
  <c r="V301" i="7"/>
  <c r="X301" i="7" s="1"/>
  <c r="R301" i="7"/>
  <c r="S301" i="7" s="1"/>
  <c r="N301" i="7"/>
  <c r="M301" i="7"/>
  <c r="L301" i="7"/>
  <c r="J301" i="7"/>
  <c r="H301" i="7"/>
  <c r="F301" i="7"/>
  <c r="AN300" i="7"/>
  <c r="AP300" i="7" s="1"/>
  <c r="AH300" i="7"/>
  <c r="AJ300" i="7" s="1"/>
  <c r="AB300" i="7"/>
  <c r="AD300" i="7" s="1"/>
  <c r="V300" i="7"/>
  <c r="X300" i="7" s="1"/>
  <c r="R300" i="7"/>
  <c r="S300" i="7" s="1"/>
  <c r="N300" i="7"/>
  <c r="M300" i="7"/>
  <c r="L300" i="7"/>
  <c r="J300" i="7"/>
  <c r="H300" i="7"/>
  <c r="F300" i="7"/>
  <c r="AN299" i="7"/>
  <c r="AP299" i="7" s="1"/>
  <c r="AH299" i="7"/>
  <c r="AJ299" i="7" s="1"/>
  <c r="AB299" i="7"/>
  <c r="AD299" i="7" s="1"/>
  <c r="V299" i="7"/>
  <c r="X299" i="7" s="1"/>
  <c r="R299" i="7"/>
  <c r="S299" i="7" s="1"/>
  <c r="N299" i="7"/>
  <c r="M299" i="7"/>
  <c r="L299" i="7"/>
  <c r="J299" i="7"/>
  <c r="H299" i="7"/>
  <c r="F299" i="7"/>
  <c r="AN298" i="7"/>
  <c r="AP298" i="7" s="1"/>
  <c r="AH298" i="7"/>
  <c r="AJ298" i="7" s="1"/>
  <c r="AB298" i="7"/>
  <c r="AD298" i="7" s="1"/>
  <c r="V298" i="7"/>
  <c r="X298" i="7" s="1"/>
  <c r="R298" i="7"/>
  <c r="S298" i="7" s="1"/>
  <c r="N298" i="7"/>
  <c r="M298" i="7"/>
  <c r="L298" i="7"/>
  <c r="J298" i="7"/>
  <c r="H298" i="7"/>
  <c r="F298" i="7"/>
  <c r="AN297" i="7"/>
  <c r="AP297" i="7" s="1"/>
  <c r="AH297" i="7"/>
  <c r="AJ297" i="7" s="1"/>
  <c r="AB297" i="7"/>
  <c r="AD297" i="7" s="1"/>
  <c r="V297" i="7"/>
  <c r="X297" i="7" s="1"/>
  <c r="R297" i="7"/>
  <c r="S297" i="7" s="1"/>
  <c r="N297" i="7"/>
  <c r="M297" i="7"/>
  <c r="L297" i="7"/>
  <c r="J297" i="7"/>
  <c r="H297" i="7"/>
  <c r="F297" i="7"/>
  <c r="AN296" i="7"/>
  <c r="AP296" i="7" s="1"/>
  <c r="AH296" i="7"/>
  <c r="AJ296" i="7" s="1"/>
  <c r="AB296" i="7"/>
  <c r="AD296" i="7" s="1"/>
  <c r="V296" i="7"/>
  <c r="X296" i="7" s="1"/>
  <c r="R296" i="7"/>
  <c r="S296" i="7" s="1"/>
  <c r="N296" i="7"/>
  <c r="M296" i="7"/>
  <c r="L296" i="7"/>
  <c r="J296" i="7"/>
  <c r="H296" i="7"/>
  <c r="F296" i="7"/>
  <c r="AN295" i="7"/>
  <c r="AP295" i="7" s="1"/>
  <c r="AH295" i="7"/>
  <c r="AJ295" i="7" s="1"/>
  <c r="AB295" i="7"/>
  <c r="AD295" i="7" s="1"/>
  <c r="V295" i="7"/>
  <c r="X295" i="7" s="1"/>
  <c r="R295" i="7"/>
  <c r="S295" i="7" s="1"/>
  <c r="N295" i="7"/>
  <c r="M295" i="7"/>
  <c r="L295" i="7"/>
  <c r="J295" i="7"/>
  <c r="H295" i="7"/>
  <c r="F295" i="7"/>
  <c r="AN294" i="7"/>
  <c r="AP294" i="7" s="1"/>
  <c r="AH294" i="7"/>
  <c r="AJ294" i="7" s="1"/>
  <c r="AB294" i="7"/>
  <c r="AD294" i="7" s="1"/>
  <c r="V294" i="7"/>
  <c r="X294" i="7" s="1"/>
  <c r="R294" i="7"/>
  <c r="S294" i="7" s="1"/>
  <c r="N294" i="7"/>
  <c r="M294" i="7"/>
  <c r="L294" i="7"/>
  <c r="J294" i="7"/>
  <c r="H294" i="7"/>
  <c r="F294" i="7"/>
  <c r="AN293" i="7"/>
  <c r="AP293" i="7" s="1"/>
  <c r="AH293" i="7"/>
  <c r="AJ293" i="7" s="1"/>
  <c r="AB293" i="7"/>
  <c r="AD293" i="7" s="1"/>
  <c r="V293" i="7"/>
  <c r="X293" i="7" s="1"/>
  <c r="R293" i="7"/>
  <c r="S293" i="7" s="1"/>
  <c r="N293" i="7"/>
  <c r="M293" i="7"/>
  <c r="L293" i="7"/>
  <c r="J293" i="7"/>
  <c r="H293" i="7"/>
  <c r="F293" i="7"/>
  <c r="AN292" i="7"/>
  <c r="AP292" i="7" s="1"/>
  <c r="AH292" i="7"/>
  <c r="AJ292" i="7" s="1"/>
  <c r="AB292" i="7"/>
  <c r="AD292" i="7" s="1"/>
  <c r="V292" i="7"/>
  <c r="X292" i="7" s="1"/>
  <c r="R292" i="7"/>
  <c r="S292" i="7" s="1"/>
  <c r="N292" i="7"/>
  <c r="M292" i="7"/>
  <c r="L292" i="7"/>
  <c r="J292" i="7"/>
  <c r="H292" i="7"/>
  <c r="F292" i="7"/>
  <c r="AN291" i="7"/>
  <c r="AP291" i="7" s="1"/>
  <c r="AH291" i="7"/>
  <c r="AJ291" i="7" s="1"/>
  <c r="AB291" i="7"/>
  <c r="AD291" i="7" s="1"/>
  <c r="V291" i="7"/>
  <c r="X291" i="7" s="1"/>
  <c r="R291" i="7"/>
  <c r="S291" i="7" s="1"/>
  <c r="N291" i="7"/>
  <c r="M291" i="7"/>
  <c r="L291" i="7"/>
  <c r="J291" i="7"/>
  <c r="H291" i="7"/>
  <c r="F291" i="7"/>
  <c r="AN290" i="7"/>
  <c r="AP290" i="7" s="1"/>
  <c r="AH290" i="7"/>
  <c r="AJ290" i="7" s="1"/>
  <c r="AB290" i="7"/>
  <c r="AD290" i="7" s="1"/>
  <c r="V290" i="7"/>
  <c r="X290" i="7" s="1"/>
  <c r="R290" i="7"/>
  <c r="S290" i="7" s="1"/>
  <c r="N290" i="7"/>
  <c r="M290" i="7"/>
  <c r="L290" i="7"/>
  <c r="J290" i="7"/>
  <c r="H290" i="7"/>
  <c r="F290" i="7"/>
  <c r="AN289" i="7"/>
  <c r="AP289" i="7" s="1"/>
  <c r="AH289" i="7"/>
  <c r="AJ289" i="7" s="1"/>
  <c r="AB289" i="7"/>
  <c r="AD289" i="7" s="1"/>
  <c r="V289" i="7"/>
  <c r="X289" i="7" s="1"/>
  <c r="R289" i="7"/>
  <c r="S289" i="7" s="1"/>
  <c r="N289" i="7"/>
  <c r="M289" i="7"/>
  <c r="L289" i="7"/>
  <c r="J289" i="7"/>
  <c r="H289" i="7"/>
  <c r="F289" i="7"/>
  <c r="AN288" i="7"/>
  <c r="AP288" i="7" s="1"/>
  <c r="AH288" i="7"/>
  <c r="AJ288" i="7" s="1"/>
  <c r="AB288" i="7"/>
  <c r="AD288" i="7" s="1"/>
  <c r="V288" i="7"/>
  <c r="X288" i="7" s="1"/>
  <c r="R288" i="7"/>
  <c r="S288" i="7" s="1"/>
  <c r="N288" i="7"/>
  <c r="M288" i="7"/>
  <c r="L288" i="7"/>
  <c r="J288" i="7"/>
  <c r="H288" i="7"/>
  <c r="F288" i="7"/>
  <c r="AN287" i="7"/>
  <c r="AP287" i="7" s="1"/>
  <c r="AH287" i="7"/>
  <c r="AJ287" i="7" s="1"/>
  <c r="AB287" i="7"/>
  <c r="AD287" i="7" s="1"/>
  <c r="V287" i="7"/>
  <c r="X287" i="7" s="1"/>
  <c r="R287" i="7"/>
  <c r="S287" i="7" s="1"/>
  <c r="N287" i="7"/>
  <c r="M287" i="7"/>
  <c r="L287" i="7"/>
  <c r="J287" i="7"/>
  <c r="H287" i="7"/>
  <c r="F287" i="7"/>
  <c r="AN286" i="7"/>
  <c r="AP286" i="7" s="1"/>
  <c r="AH286" i="7"/>
  <c r="AJ286" i="7" s="1"/>
  <c r="AB286" i="7"/>
  <c r="AD286" i="7" s="1"/>
  <c r="V286" i="7"/>
  <c r="X286" i="7" s="1"/>
  <c r="R286" i="7"/>
  <c r="S286" i="7" s="1"/>
  <c r="N286" i="7"/>
  <c r="M286" i="7"/>
  <c r="L286" i="7"/>
  <c r="J286" i="7"/>
  <c r="H286" i="7"/>
  <c r="F286" i="7"/>
  <c r="AN285" i="7"/>
  <c r="AP285" i="7" s="1"/>
  <c r="AH285" i="7"/>
  <c r="AJ285" i="7" s="1"/>
  <c r="AB285" i="7"/>
  <c r="AD285" i="7" s="1"/>
  <c r="V285" i="7"/>
  <c r="X285" i="7" s="1"/>
  <c r="R285" i="7"/>
  <c r="N285" i="7"/>
  <c r="M285" i="7"/>
  <c r="L285" i="7"/>
  <c r="J285" i="7"/>
  <c r="H285" i="7"/>
  <c r="F285" i="7"/>
  <c r="AN284" i="7"/>
  <c r="AP284" i="7" s="1"/>
  <c r="AH284" i="7"/>
  <c r="AJ284" i="7" s="1"/>
  <c r="AB284" i="7"/>
  <c r="AD284" i="7" s="1"/>
  <c r="V284" i="7"/>
  <c r="X284" i="7" s="1"/>
  <c r="R284" i="7"/>
  <c r="S284" i="7" s="1"/>
  <c r="N284" i="7"/>
  <c r="M284" i="7"/>
  <c r="L284" i="7"/>
  <c r="J284" i="7"/>
  <c r="H284" i="7"/>
  <c r="F284" i="7"/>
  <c r="AN283" i="7"/>
  <c r="AP283" i="7" s="1"/>
  <c r="AH283" i="7"/>
  <c r="AJ283" i="7" s="1"/>
  <c r="AB283" i="7"/>
  <c r="AD283" i="7" s="1"/>
  <c r="V283" i="7"/>
  <c r="X283" i="7" s="1"/>
  <c r="R283" i="7"/>
  <c r="N283" i="7"/>
  <c r="M283" i="7"/>
  <c r="L283" i="7"/>
  <c r="J283" i="7"/>
  <c r="H283" i="7"/>
  <c r="F283" i="7"/>
  <c r="AN282" i="7"/>
  <c r="AP282" i="7" s="1"/>
  <c r="AH282" i="7"/>
  <c r="AJ282" i="7" s="1"/>
  <c r="AB282" i="7"/>
  <c r="AD282" i="7" s="1"/>
  <c r="V282" i="7"/>
  <c r="X282" i="7" s="1"/>
  <c r="R282" i="7"/>
  <c r="S282" i="7" s="1"/>
  <c r="N282" i="7"/>
  <c r="M282" i="7"/>
  <c r="L282" i="7"/>
  <c r="J282" i="7"/>
  <c r="H282" i="7"/>
  <c r="F282" i="7"/>
  <c r="AN281" i="7"/>
  <c r="AP281" i="7" s="1"/>
  <c r="AH281" i="7"/>
  <c r="AJ281" i="7" s="1"/>
  <c r="AB281" i="7"/>
  <c r="AD281" i="7" s="1"/>
  <c r="V281" i="7"/>
  <c r="X281" i="7" s="1"/>
  <c r="R281" i="7"/>
  <c r="S281" i="7" s="1"/>
  <c r="N281" i="7"/>
  <c r="M281" i="7"/>
  <c r="L281" i="7"/>
  <c r="J281" i="7"/>
  <c r="H281" i="7"/>
  <c r="F281" i="7"/>
  <c r="AN280" i="7"/>
  <c r="AP280" i="7" s="1"/>
  <c r="AH280" i="7"/>
  <c r="AJ280" i="7" s="1"/>
  <c r="AB280" i="7"/>
  <c r="AD280" i="7" s="1"/>
  <c r="V280" i="7"/>
  <c r="X280" i="7" s="1"/>
  <c r="R280" i="7"/>
  <c r="N280" i="7"/>
  <c r="M280" i="7"/>
  <c r="L280" i="7"/>
  <c r="J280" i="7"/>
  <c r="H280" i="7"/>
  <c r="F280" i="7"/>
  <c r="AN279" i="7"/>
  <c r="AP279" i="7" s="1"/>
  <c r="AH279" i="7"/>
  <c r="AJ279" i="7" s="1"/>
  <c r="AB279" i="7"/>
  <c r="AD279" i="7" s="1"/>
  <c r="V279" i="7"/>
  <c r="X279" i="7" s="1"/>
  <c r="R279" i="7"/>
  <c r="N279" i="7"/>
  <c r="M279" i="7"/>
  <c r="L279" i="7"/>
  <c r="J279" i="7"/>
  <c r="H279" i="7"/>
  <c r="F279" i="7"/>
  <c r="AN278" i="7"/>
  <c r="AP278" i="7" s="1"/>
  <c r="AH278" i="7"/>
  <c r="AJ278" i="7" s="1"/>
  <c r="AB278" i="7"/>
  <c r="AD278" i="7" s="1"/>
  <c r="V278" i="7"/>
  <c r="X278" i="7" s="1"/>
  <c r="R278" i="7"/>
  <c r="S278" i="7" s="1"/>
  <c r="N278" i="7"/>
  <c r="M278" i="7"/>
  <c r="L278" i="7"/>
  <c r="J278" i="7"/>
  <c r="H278" i="7"/>
  <c r="F278" i="7"/>
  <c r="AN277" i="7"/>
  <c r="AP277" i="7" s="1"/>
  <c r="AH277" i="7"/>
  <c r="AJ277" i="7" s="1"/>
  <c r="AB277" i="7"/>
  <c r="AD277" i="7" s="1"/>
  <c r="V277" i="7"/>
  <c r="X277" i="7" s="1"/>
  <c r="R277" i="7"/>
  <c r="S277" i="7" s="1"/>
  <c r="N277" i="7"/>
  <c r="M277" i="7"/>
  <c r="L277" i="7"/>
  <c r="J277" i="7"/>
  <c r="H277" i="7"/>
  <c r="F277" i="7"/>
  <c r="AN276" i="7"/>
  <c r="AP276" i="7" s="1"/>
  <c r="AH276" i="7"/>
  <c r="AB276" i="7"/>
  <c r="V276" i="7"/>
  <c r="R276" i="7"/>
  <c r="N276" i="7"/>
  <c r="M276" i="7"/>
  <c r="L276" i="7"/>
  <c r="J276" i="7"/>
  <c r="H276" i="7"/>
  <c r="F276" i="7"/>
  <c r="AL273" i="7"/>
  <c r="AL275" i="7" s="1"/>
  <c r="AF273" i="7"/>
  <c r="AF275" i="7" s="1"/>
  <c r="Z273" i="7"/>
  <c r="Z275" i="7" s="1"/>
  <c r="T273" i="7"/>
  <c r="T275" i="7" s="1"/>
  <c r="P273" i="7"/>
  <c r="K273" i="7"/>
  <c r="I273" i="7"/>
  <c r="G273" i="7"/>
  <c r="E273" i="7"/>
  <c r="D273" i="7"/>
  <c r="M272" i="7" s="1"/>
  <c r="AO268" i="7"/>
  <c r="AI268" i="7"/>
  <c r="AC268" i="7"/>
  <c r="W268" i="7"/>
  <c r="Q268" i="7"/>
  <c r="K268" i="7"/>
  <c r="I268" i="7"/>
  <c r="G268" i="7"/>
  <c r="E268" i="7"/>
  <c r="D268" i="7"/>
  <c r="AM267" i="7"/>
  <c r="AL267" i="7"/>
  <c r="AG267" i="7"/>
  <c r="AF267" i="7"/>
  <c r="AA267" i="7"/>
  <c r="Z267" i="7"/>
  <c r="AB267" i="7" s="1"/>
  <c r="AD267" i="7" s="1"/>
  <c r="U267" i="7"/>
  <c r="T267" i="7"/>
  <c r="P267" i="7"/>
  <c r="R267" i="7" s="1"/>
  <c r="S267" i="7" s="1"/>
  <c r="N267" i="7"/>
  <c r="M267" i="7"/>
  <c r="L267" i="7"/>
  <c r="J267" i="7"/>
  <c r="H267" i="7"/>
  <c r="F267" i="7"/>
  <c r="AM266" i="7"/>
  <c r="AL266" i="7"/>
  <c r="AG266" i="7"/>
  <c r="AF266" i="7"/>
  <c r="AA266" i="7"/>
  <c r="Z266" i="7"/>
  <c r="U266" i="7"/>
  <c r="T266" i="7"/>
  <c r="P266" i="7"/>
  <c r="R266" i="7" s="1"/>
  <c r="N266" i="7"/>
  <c r="M266" i="7"/>
  <c r="L266" i="7"/>
  <c r="J266" i="7"/>
  <c r="H266" i="7"/>
  <c r="F266" i="7"/>
  <c r="AM265" i="7"/>
  <c r="AL265" i="7"/>
  <c r="AG265" i="7"/>
  <c r="AF265" i="7"/>
  <c r="AA265" i="7"/>
  <c r="Z265" i="7"/>
  <c r="U265" i="7"/>
  <c r="T265" i="7"/>
  <c r="P265" i="7"/>
  <c r="R265" i="7" s="1"/>
  <c r="N265" i="7"/>
  <c r="M265" i="7"/>
  <c r="L265" i="7"/>
  <c r="J265" i="7"/>
  <c r="H265" i="7"/>
  <c r="F265" i="7"/>
  <c r="AM264" i="7"/>
  <c r="AL264" i="7"/>
  <c r="AL268" i="7" s="1"/>
  <c r="AG264" i="7"/>
  <c r="AG268" i="7" s="1"/>
  <c r="AF264" i="7"/>
  <c r="AF268" i="7" s="1"/>
  <c r="AA264" i="7"/>
  <c r="AA268" i="7" s="1"/>
  <c r="Z264" i="7"/>
  <c r="AB264" i="7" s="1"/>
  <c r="U264" i="7"/>
  <c r="U268" i="7" s="1"/>
  <c r="T264" i="7"/>
  <c r="P264" i="7"/>
  <c r="N264" i="7"/>
  <c r="M264" i="7"/>
  <c r="L264" i="7"/>
  <c r="J264" i="7"/>
  <c r="H264" i="7"/>
  <c r="F264" i="7"/>
  <c r="AL261" i="7"/>
  <c r="AL263" i="7" s="1"/>
  <c r="AF261" i="7"/>
  <c r="AF263" i="7" s="1"/>
  <c r="Z261" i="7"/>
  <c r="Z263" i="7" s="1"/>
  <c r="T261" i="7"/>
  <c r="T263" i="7" s="1"/>
  <c r="P261" i="7"/>
  <c r="P262" i="7" s="1"/>
  <c r="K261" i="7"/>
  <c r="I261" i="7"/>
  <c r="G261" i="7"/>
  <c r="E261" i="7"/>
  <c r="D261" i="7"/>
  <c r="M260" i="7" s="1"/>
  <c r="AO256" i="7"/>
  <c r="J116" i="30" s="1"/>
  <c r="AM256" i="7"/>
  <c r="J115" i="30" s="1"/>
  <c r="AL256" i="7"/>
  <c r="J114" i="30" s="1"/>
  <c r="AI256" i="7"/>
  <c r="I116" i="30" s="1"/>
  <c r="AG256" i="7"/>
  <c r="I115" i="30" s="1"/>
  <c r="AF256" i="7"/>
  <c r="I114" i="30" s="1"/>
  <c r="AC256" i="7"/>
  <c r="H116" i="30" s="1"/>
  <c r="AA256" i="7"/>
  <c r="H115" i="30" s="1"/>
  <c r="Z256" i="7"/>
  <c r="H114" i="30" s="1"/>
  <c r="W256" i="7"/>
  <c r="G116" i="30" s="1"/>
  <c r="U256" i="7"/>
  <c r="G115" i="30" s="1"/>
  <c r="T256" i="7"/>
  <c r="G114" i="30" s="1"/>
  <c r="Q256" i="7"/>
  <c r="F116" i="30" s="1"/>
  <c r="P256" i="7"/>
  <c r="F114" i="30" s="1"/>
  <c r="K256" i="7"/>
  <c r="I90" i="1" s="1"/>
  <c r="I256" i="7"/>
  <c r="H90" i="1" s="1"/>
  <c r="G256" i="7"/>
  <c r="G90" i="1" s="1"/>
  <c r="E256" i="7"/>
  <c r="F90" i="1" s="1"/>
  <c r="D256" i="7"/>
  <c r="E90" i="1" s="1"/>
  <c r="AN255" i="7"/>
  <c r="AP255" i="7" s="1"/>
  <c r="AH255" i="7"/>
  <c r="AJ255" i="7" s="1"/>
  <c r="AB255" i="7"/>
  <c r="AD255" i="7" s="1"/>
  <c r="V255" i="7"/>
  <c r="X255" i="7" s="1"/>
  <c r="R255" i="7"/>
  <c r="S255" i="7" s="1"/>
  <c r="N255" i="7"/>
  <c r="M255" i="7"/>
  <c r="L255" i="7"/>
  <c r="J255" i="7"/>
  <c r="H255" i="7"/>
  <c r="F255" i="7"/>
  <c r="AN254" i="7"/>
  <c r="AP254" i="7" s="1"/>
  <c r="AH254" i="7"/>
  <c r="AJ254" i="7" s="1"/>
  <c r="AB254" i="7"/>
  <c r="AD254" i="7" s="1"/>
  <c r="V254" i="7"/>
  <c r="X254" i="7" s="1"/>
  <c r="R254" i="7"/>
  <c r="S254" i="7" s="1"/>
  <c r="N254" i="7"/>
  <c r="M254" i="7"/>
  <c r="L254" i="7"/>
  <c r="J254" i="7"/>
  <c r="H254" i="7"/>
  <c r="F254" i="7"/>
  <c r="AN253" i="7"/>
  <c r="AP253" i="7" s="1"/>
  <c r="AH253" i="7"/>
  <c r="AJ253" i="7" s="1"/>
  <c r="AB253" i="7"/>
  <c r="AD253" i="7" s="1"/>
  <c r="V253" i="7"/>
  <c r="X253" i="7" s="1"/>
  <c r="R253" i="7"/>
  <c r="S253" i="7" s="1"/>
  <c r="N253" i="7"/>
  <c r="M253" i="7"/>
  <c r="L253" i="7"/>
  <c r="J253" i="7"/>
  <c r="H253" i="7"/>
  <c r="F253" i="7"/>
  <c r="AN252" i="7"/>
  <c r="AP252" i="7" s="1"/>
  <c r="AH252" i="7"/>
  <c r="AJ252" i="7" s="1"/>
  <c r="AB252" i="7"/>
  <c r="AD252" i="7" s="1"/>
  <c r="V252" i="7"/>
  <c r="R252" i="7"/>
  <c r="S252" i="7" s="1"/>
  <c r="N252" i="7"/>
  <c r="M252" i="7"/>
  <c r="L252" i="7"/>
  <c r="J252" i="7"/>
  <c r="H252" i="7"/>
  <c r="F252" i="7"/>
  <c r="AN251" i="7"/>
  <c r="AP251" i="7" s="1"/>
  <c r="AH251" i="7"/>
  <c r="AJ251" i="7" s="1"/>
  <c r="AB251" i="7"/>
  <c r="AD251" i="7" s="1"/>
  <c r="V251" i="7"/>
  <c r="X251" i="7" s="1"/>
  <c r="R251" i="7"/>
  <c r="S251" i="7" s="1"/>
  <c r="N251" i="7"/>
  <c r="M251" i="7"/>
  <c r="L251" i="7"/>
  <c r="J251" i="7"/>
  <c r="H251" i="7"/>
  <c r="F251" i="7"/>
  <c r="AN250" i="7"/>
  <c r="AP250" i="7" s="1"/>
  <c r="AH250" i="7"/>
  <c r="AJ250" i="7" s="1"/>
  <c r="AB250" i="7"/>
  <c r="AD250" i="7" s="1"/>
  <c r="V250" i="7"/>
  <c r="X250" i="7" s="1"/>
  <c r="R250" i="7"/>
  <c r="S250" i="7" s="1"/>
  <c r="N250" i="7"/>
  <c r="M250" i="7"/>
  <c r="L250" i="7"/>
  <c r="J250" i="7"/>
  <c r="H250" i="7"/>
  <c r="F250" i="7"/>
  <c r="AN249" i="7"/>
  <c r="AP249" i="7" s="1"/>
  <c r="AH249" i="7"/>
  <c r="AJ249" i="7" s="1"/>
  <c r="AB249" i="7"/>
  <c r="AD249" i="7" s="1"/>
  <c r="V249" i="7"/>
  <c r="X249" i="7" s="1"/>
  <c r="R249" i="7"/>
  <c r="S249" i="7" s="1"/>
  <c r="N249" i="7"/>
  <c r="M249" i="7"/>
  <c r="L249" i="7"/>
  <c r="J249" i="7"/>
  <c r="H249" i="7"/>
  <c r="F249" i="7"/>
  <c r="AN248" i="7"/>
  <c r="AP248" i="7" s="1"/>
  <c r="AH248" i="7"/>
  <c r="AJ248" i="7" s="1"/>
  <c r="AB248" i="7"/>
  <c r="AD248" i="7" s="1"/>
  <c r="V248" i="7"/>
  <c r="X248" i="7" s="1"/>
  <c r="R248" i="7"/>
  <c r="S248" i="7" s="1"/>
  <c r="N248" i="7"/>
  <c r="M248" i="7"/>
  <c r="L248" i="7"/>
  <c r="J248" i="7"/>
  <c r="H248" i="7"/>
  <c r="F248" i="7"/>
  <c r="AN247" i="7"/>
  <c r="AP247" i="7" s="1"/>
  <c r="AH247" i="7"/>
  <c r="AJ247" i="7" s="1"/>
  <c r="AB247" i="7"/>
  <c r="AD247" i="7" s="1"/>
  <c r="V247" i="7"/>
  <c r="X247" i="7" s="1"/>
  <c r="R247" i="7"/>
  <c r="S247" i="7" s="1"/>
  <c r="N247" i="7"/>
  <c r="M247" i="7"/>
  <c r="L247" i="7"/>
  <c r="J247" i="7"/>
  <c r="H247" i="7"/>
  <c r="F247" i="7"/>
  <c r="AN246" i="7"/>
  <c r="AP246" i="7" s="1"/>
  <c r="AH246" i="7"/>
  <c r="AJ246" i="7" s="1"/>
  <c r="AB246" i="7"/>
  <c r="AD246" i="7" s="1"/>
  <c r="V246" i="7"/>
  <c r="X246" i="7" s="1"/>
  <c r="R246" i="7"/>
  <c r="S246" i="7" s="1"/>
  <c r="N246" i="7"/>
  <c r="M246" i="7"/>
  <c r="L246" i="7"/>
  <c r="J246" i="7"/>
  <c r="H246" i="7"/>
  <c r="F246" i="7"/>
  <c r="AN245" i="7"/>
  <c r="AP245" i="7" s="1"/>
  <c r="AH245" i="7"/>
  <c r="AJ245" i="7" s="1"/>
  <c r="AB245" i="7"/>
  <c r="AD245" i="7" s="1"/>
  <c r="V245" i="7"/>
  <c r="X245" i="7" s="1"/>
  <c r="R245" i="7"/>
  <c r="N245" i="7"/>
  <c r="M245" i="7"/>
  <c r="L245" i="7"/>
  <c r="J245" i="7"/>
  <c r="H245" i="7"/>
  <c r="F245" i="7"/>
  <c r="AN244" i="7"/>
  <c r="AP244" i="7" s="1"/>
  <c r="AH244" i="7"/>
  <c r="AJ244" i="7" s="1"/>
  <c r="AB244" i="7"/>
  <c r="AD244" i="7" s="1"/>
  <c r="V244" i="7"/>
  <c r="X244" i="7" s="1"/>
  <c r="R244" i="7"/>
  <c r="S244" i="7" s="1"/>
  <c r="N244" i="7"/>
  <c r="M244" i="7"/>
  <c r="L244" i="7"/>
  <c r="J244" i="7"/>
  <c r="H244" i="7"/>
  <c r="F244" i="7"/>
  <c r="AN243" i="7"/>
  <c r="AP243" i="7" s="1"/>
  <c r="AH243" i="7"/>
  <c r="AJ243" i="7" s="1"/>
  <c r="AB243" i="7"/>
  <c r="AD243" i="7" s="1"/>
  <c r="V243" i="7"/>
  <c r="X243" i="7" s="1"/>
  <c r="R243" i="7"/>
  <c r="S243" i="7" s="1"/>
  <c r="N243" i="7"/>
  <c r="M243" i="7"/>
  <c r="L243" i="7"/>
  <c r="J243" i="7"/>
  <c r="H243" i="7"/>
  <c r="F243" i="7"/>
  <c r="AN242" i="7"/>
  <c r="AP242" i="7" s="1"/>
  <c r="AH242" i="7"/>
  <c r="AJ242" i="7" s="1"/>
  <c r="AB242" i="7"/>
  <c r="AD242" i="7" s="1"/>
  <c r="V242" i="7"/>
  <c r="X242" i="7" s="1"/>
  <c r="R242" i="7"/>
  <c r="S242" i="7" s="1"/>
  <c r="N242" i="7"/>
  <c r="M242" i="7"/>
  <c r="L242" i="7"/>
  <c r="J242" i="7"/>
  <c r="H242" i="7"/>
  <c r="F242" i="7"/>
  <c r="AN241" i="7"/>
  <c r="AP241" i="7" s="1"/>
  <c r="AH241" i="7"/>
  <c r="AJ241" i="7" s="1"/>
  <c r="AB241" i="7"/>
  <c r="AD241" i="7" s="1"/>
  <c r="V241" i="7"/>
  <c r="X241" i="7" s="1"/>
  <c r="R241" i="7"/>
  <c r="S241" i="7" s="1"/>
  <c r="N241" i="7"/>
  <c r="M241" i="7"/>
  <c r="L241" i="7"/>
  <c r="J241" i="7"/>
  <c r="H241" i="7"/>
  <c r="F241" i="7"/>
  <c r="AN240" i="7"/>
  <c r="AP240" i="7" s="1"/>
  <c r="AH240" i="7"/>
  <c r="AJ240" i="7" s="1"/>
  <c r="AB240" i="7"/>
  <c r="AD240" i="7" s="1"/>
  <c r="V240" i="7"/>
  <c r="X240" i="7" s="1"/>
  <c r="R240" i="7"/>
  <c r="S240" i="7" s="1"/>
  <c r="N240" i="7"/>
  <c r="M240" i="7"/>
  <c r="L240" i="7"/>
  <c r="J240" i="7"/>
  <c r="H240" i="7"/>
  <c r="F240" i="7"/>
  <c r="AN239" i="7"/>
  <c r="AP239" i="7" s="1"/>
  <c r="AH239" i="7"/>
  <c r="AJ239" i="7" s="1"/>
  <c r="AB239" i="7"/>
  <c r="AD239" i="7" s="1"/>
  <c r="V239" i="7"/>
  <c r="X239" i="7" s="1"/>
  <c r="R239" i="7"/>
  <c r="S239" i="7" s="1"/>
  <c r="N239" i="7"/>
  <c r="M239" i="7"/>
  <c r="L239" i="7"/>
  <c r="J239" i="7"/>
  <c r="H239" i="7"/>
  <c r="F239" i="7"/>
  <c r="AN238" i="7"/>
  <c r="AP238" i="7" s="1"/>
  <c r="AH238" i="7"/>
  <c r="AJ238" i="7" s="1"/>
  <c r="AB238" i="7"/>
  <c r="AD238" i="7" s="1"/>
  <c r="V238" i="7"/>
  <c r="R238" i="7"/>
  <c r="S238" i="7" s="1"/>
  <c r="N238" i="7"/>
  <c r="M238" i="7"/>
  <c r="L238" i="7"/>
  <c r="J238" i="7"/>
  <c r="H238" i="7"/>
  <c r="F238" i="7"/>
  <c r="AN237" i="7"/>
  <c r="AP237" i="7" s="1"/>
  <c r="AH237" i="7"/>
  <c r="AJ237" i="7" s="1"/>
  <c r="AB237" i="7"/>
  <c r="AD237" i="7" s="1"/>
  <c r="V237" i="7"/>
  <c r="X237" i="7" s="1"/>
  <c r="R237" i="7"/>
  <c r="S237" i="7" s="1"/>
  <c r="N237" i="7"/>
  <c r="M237" i="7"/>
  <c r="L237" i="7"/>
  <c r="J237" i="7"/>
  <c r="H237" i="7"/>
  <c r="F237" i="7"/>
  <c r="AN236" i="7"/>
  <c r="AP236" i="7" s="1"/>
  <c r="AH236" i="7"/>
  <c r="AJ236" i="7" s="1"/>
  <c r="AB236" i="7"/>
  <c r="AD236" i="7" s="1"/>
  <c r="V236" i="7"/>
  <c r="X236" i="7" s="1"/>
  <c r="R236" i="7"/>
  <c r="S236" i="7" s="1"/>
  <c r="N236" i="7"/>
  <c r="M236" i="7"/>
  <c r="L236" i="7"/>
  <c r="J236" i="7"/>
  <c r="H236" i="7"/>
  <c r="F236" i="7"/>
  <c r="AN235" i="7"/>
  <c r="AP235" i="7" s="1"/>
  <c r="AH235" i="7"/>
  <c r="AJ235" i="7" s="1"/>
  <c r="AB235" i="7"/>
  <c r="AD235" i="7" s="1"/>
  <c r="V235" i="7"/>
  <c r="X235" i="7" s="1"/>
  <c r="R235" i="7"/>
  <c r="S235" i="7" s="1"/>
  <c r="N235" i="7"/>
  <c r="M235" i="7"/>
  <c r="L235" i="7"/>
  <c r="J235" i="7"/>
  <c r="H235" i="7"/>
  <c r="F235" i="7"/>
  <c r="AN234" i="7"/>
  <c r="AP234" i="7" s="1"/>
  <c r="AH234" i="7"/>
  <c r="AJ234" i="7" s="1"/>
  <c r="AB234" i="7"/>
  <c r="AD234" i="7" s="1"/>
  <c r="V234" i="7"/>
  <c r="X234" i="7" s="1"/>
  <c r="R234" i="7"/>
  <c r="S234" i="7" s="1"/>
  <c r="N234" i="7"/>
  <c r="M234" i="7"/>
  <c r="L234" i="7"/>
  <c r="J234" i="7"/>
  <c r="H234" i="7"/>
  <c r="F234" i="7"/>
  <c r="AN233" i="7"/>
  <c r="AP233" i="7" s="1"/>
  <c r="AH233" i="7"/>
  <c r="AJ233" i="7" s="1"/>
  <c r="AB233" i="7"/>
  <c r="AD233" i="7" s="1"/>
  <c r="V233" i="7"/>
  <c r="X233" i="7" s="1"/>
  <c r="R233" i="7"/>
  <c r="S233" i="7" s="1"/>
  <c r="N233" i="7"/>
  <c r="M233" i="7"/>
  <c r="L233" i="7"/>
  <c r="J233" i="7"/>
  <c r="H233" i="7"/>
  <c r="F233" i="7"/>
  <c r="AN232" i="7"/>
  <c r="AP232" i="7" s="1"/>
  <c r="AH232" i="7"/>
  <c r="AJ232" i="7" s="1"/>
  <c r="AB232" i="7"/>
  <c r="AD232" i="7" s="1"/>
  <c r="V232" i="7"/>
  <c r="X232" i="7" s="1"/>
  <c r="R232" i="7"/>
  <c r="S232" i="7" s="1"/>
  <c r="N232" i="7"/>
  <c r="L232" i="7"/>
  <c r="J232" i="7"/>
  <c r="H232" i="7"/>
  <c r="F232" i="7"/>
  <c r="AN231" i="7"/>
  <c r="AP231" i="7" s="1"/>
  <c r="AH231" i="7"/>
  <c r="AJ231" i="7" s="1"/>
  <c r="AB231" i="7"/>
  <c r="AD231" i="7" s="1"/>
  <c r="V231" i="7"/>
  <c r="X231" i="7" s="1"/>
  <c r="R231" i="7"/>
  <c r="S231" i="7" s="1"/>
  <c r="N231" i="7"/>
  <c r="M231" i="7"/>
  <c r="L231" i="7"/>
  <c r="J231" i="7"/>
  <c r="H231" i="7"/>
  <c r="F231" i="7"/>
  <c r="AN230" i="7"/>
  <c r="AP230" i="7" s="1"/>
  <c r="AH230" i="7"/>
  <c r="AJ230" i="7" s="1"/>
  <c r="AB230" i="7"/>
  <c r="AD230" i="7" s="1"/>
  <c r="V230" i="7"/>
  <c r="X230" i="7" s="1"/>
  <c r="R230" i="7"/>
  <c r="N230" i="7"/>
  <c r="M230" i="7"/>
  <c r="L230" i="7"/>
  <c r="J230" i="7"/>
  <c r="H230" i="7"/>
  <c r="F230" i="7"/>
  <c r="AN229" i="7"/>
  <c r="AP229" i="7" s="1"/>
  <c r="AH229" i="7"/>
  <c r="AJ229" i="7" s="1"/>
  <c r="AB229" i="7"/>
  <c r="AD229" i="7" s="1"/>
  <c r="V229" i="7"/>
  <c r="X229" i="7" s="1"/>
  <c r="R229" i="7"/>
  <c r="S229" i="7" s="1"/>
  <c r="N229" i="7"/>
  <c r="M229" i="7"/>
  <c r="L229" i="7"/>
  <c r="J229" i="7"/>
  <c r="H229" i="7"/>
  <c r="F229" i="7"/>
  <c r="AN228" i="7"/>
  <c r="AP228" i="7" s="1"/>
  <c r="AH228" i="7"/>
  <c r="AJ228" i="7" s="1"/>
  <c r="AB228" i="7"/>
  <c r="AD228" i="7" s="1"/>
  <c r="V228" i="7"/>
  <c r="X228" i="7" s="1"/>
  <c r="R228" i="7"/>
  <c r="S228" i="7" s="1"/>
  <c r="N228" i="7"/>
  <c r="M228" i="7"/>
  <c r="L228" i="7"/>
  <c r="J228" i="7"/>
  <c r="H228" i="7"/>
  <c r="F228" i="7"/>
  <c r="AN227" i="7"/>
  <c r="AP227" i="7" s="1"/>
  <c r="AH227" i="7"/>
  <c r="AJ227" i="7" s="1"/>
  <c r="AB227" i="7"/>
  <c r="AD227" i="7" s="1"/>
  <c r="V227" i="7"/>
  <c r="X227" i="7" s="1"/>
  <c r="R227" i="7"/>
  <c r="S227" i="7" s="1"/>
  <c r="N227" i="7"/>
  <c r="M227" i="7"/>
  <c r="L227" i="7"/>
  <c r="J227" i="7"/>
  <c r="H227" i="7"/>
  <c r="F227" i="7"/>
  <c r="AN226" i="7"/>
  <c r="AP226" i="7" s="1"/>
  <c r="AH226" i="7"/>
  <c r="AJ226" i="7" s="1"/>
  <c r="AB226" i="7"/>
  <c r="AD226" i="7" s="1"/>
  <c r="V226" i="7"/>
  <c r="X226" i="7" s="1"/>
  <c r="R226" i="7"/>
  <c r="N226" i="7"/>
  <c r="M226" i="7"/>
  <c r="L226" i="7"/>
  <c r="J226" i="7"/>
  <c r="H226" i="7"/>
  <c r="F226" i="7"/>
  <c r="AN225" i="7"/>
  <c r="AP225" i="7" s="1"/>
  <c r="AH225" i="7"/>
  <c r="AJ225" i="7" s="1"/>
  <c r="AB225" i="7"/>
  <c r="AD225" i="7" s="1"/>
  <c r="V225" i="7"/>
  <c r="X225" i="7" s="1"/>
  <c r="R225" i="7"/>
  <c r="S225" i="7" s="1"/>
  <c r="N225" i="7"/>
  <c r="M225" i="7"/>
  <c r="L225" i="7"/>
  <c r="J225" i="7"/>
  <c r="H225" i="7"/>
  <c r="F225" i="7"/>
  <c r="AN224" i="7"/>
  <c r="AP224" i="7" s="1"/>
  <c r="AH224" i="7"/>
  <c r="AJ224" i="7" s="1"/>
  <c r="AB224" i="7"/>
  <c r="AD224" i="7" s="1"/>
  <c r="V224" i="7"/>
  <c r="X224" i="7" s="1"/>
  <c r="R224" i="7"/>
  <c r="S224" i="7" s="1"/>
  <c r="N224" i="7"/>
  <c r="M224" i="7"/>
  <c r="L224" i="7"/>
  <c r="J224" i="7"/>
  <c r="H224" i="7"/>
  <c r="F224" i="7"/>
  <c r="AN223" i="7"/>
  <c r="AP223" i="7" s="1"/>
  <c r="AH223" i="7"/>
  <c r="AJ223" i="7" s="1"/>
  <c r="AB223" i="7"/>
  <c r="AD223" i="7" s="1"/>
  <c r="V223" i="7"/>
  <c r="X223" i="7" s="1"/>
  <c r="R223" i="7"/>
  <c r="S223" i="7" s="1"/>
  <c r="N223" i="7"/>
  <c r="M223" i="7"/>
  <c r="L223" i="7"/>
  <c r="J223" i="7"/>
  <c r="H223" i="7"/>
  <c r="F223" i="7"/>
  <c r="AN222" i="7"/>
  <c r="AP222" i="7" s="1"/>
  <c r="AH222" i="7"/>
  <c r="AJ222" i="7" s="1"/>
  <c r="AB222" i="7"/>
  <c r="AD222" i="7" s="1"/>
  <c r="V222" i="7"/>
  <c r="X222" i="7" s="1"/>
  <c r="R222" i="7"/>
  <c r="N222" i="7"/>
  <c r="M222" i="7"/>
  <c r="L222" i="7"/>
  <c r="J222" i="7"/>
  <c r="H222" i="7"/>
  <c r="F222" i="7"/>
  <c r="AN221" i="7"/>
  <c r="AP221" i="7" s="1"/>
  <c r="AH221" i="7"/>
  <c r="AJ221" i="7" s="1"/>
  <c r="AB221" i="7"/>
  <c r="AD221" i="7" s="1"/>
  <c r="V221" i="7"/>
  <c r="X221" i="7" s="1"/>
  <c r="R221" i="7"/>
  <c r="S221" i="7" s="1"/>
  <c r="N221" i="7"/>
  <c r="M221" i="7"/>
  <c r="L221" i="7"/>
  <c r="J221" i="7"/>
  <c r="H221" i="7"/>
  <c r="F221" i="7"/>
  <c r="AN220" i="7"/>
  <c r="AP220" i="7" s="1"/>
  <c r="AH220" i="7"/>
  <c r="AJ220" i="7" s="1"/>
  <c r="AB220" i="7"/>
  <c r="AD220" i="7" s="1"/>
  <c r="V220" i="7"/>
  <c r="X220" i="7" s="1"/>
  <c r="R220" i="7"/>
  <c r="S220" i="7" s="1"/>
  <c r="N220" i="7"/>
  <c r="M220" i="7"/>
  <c r="L220" i="7"/>
  <c r="J220" i="7"/>
  <c r="H220" i="7"/>
  <c r="F220" i="7"/>
  <c r="AN219" i="7"/>
  <c r="AP219" i="7" s="1"/>
  <c r="AH219" i="7"/>
  <c r="AJ219" i="7" s="1"/>
  <c r="AB219" i="7"/>
  <c r="AD219" i="7" s="1"/>
  <c r="V219" i="7"/>
  <c r="X219" i="7" s="1"/>
  <c r="R219" i="7"/>
  <c r="S219" i="7" s="1"/>
  <c r="N219" i="7"/>
  <c r="M219" i="7"/>
  <c r="L219" i="7"/>
  <c r="J219" i="7"/>
  <c r="H219" i="7"/>
  <c r="F219" i="7"/>
  <c r="AN218" i="7"/>
  <c r="AP218" i="7" s="1"/>
  <c r="AH218" i="7"/>
  <c r="AJ218" i="7" s="1"/>
  <c r="AB218" i="7"/>
  <c r="AD218" i="7" s="1"/>
  <c r="V218" i="7"/>
  <c r="X218" i="7" s="1"/>
  <c r="R218" i="7"/>
  <c r="N218" i="7"/>
  <c r="M218" i="7"/>
  <c r="L218" i="7"/>
  <c r="J218" i="7"/>
  <c r="H218" i="7"/>
  <c r="F218" i="7"/>
  <c r="AN217" i="7"/>
  <c r="AP217" i="7" s="1"/>
  <c r="AH217" i="7"/>
  <c r="AJ217" i="7" s="1"/>
  <c r="AB217" i="7"/>
  <c r="AD217" i="7" s="1"/>
  <c r="V217" i="7"/>
  <c r="X217" i="7" s="1"/>
  <c r="R217" i="7"/>
  <c r="S217" i="7" s="1"/>
  <c r="N217" i="7"/>
  <c r="M217" i="7"/>
  <c r="L217" i="7"/>
  <c r="J217" i="7"/>
  <c r="H217" i="7"/>
  <c r="F217" i="7"/>
  <c r="AN216" i="7"/>
  <c r="AP216" i="7" s="1"/>
  <c r="AH216" i="7"/>
  <c r="AJ216" i="7" s="1"/>
  <c r="AB216" i="7"/>
  <c r="AD216" i="7" s="1"/>
  <c r="V216" i="7"/>
  <c r="X216" i="7" s="1"/>
  <c r="R216" i="7"/>
  <c r="S216" i="7" s="1"/>
  <c r="N216" i="7"/>
  <c r="M216" i="7"/>
  <c r="L216" i="7"/>
  <c r="J216" i="7"/>
  <c r="H216" i="7"/>
  <c r="F216" i="7"/>
  <c r="AN215" i="7"/>
  <c r="AP215" i="7" s="1"/>
  <c r="AH215" i="7"/>
  <c r="AJ215" i="7" s="1"/>
  <c r="AB215" i="7"/>
  <c r="AD215" i="7" s="1"/>
  <c r="V215" i="7"/>
  <c r="X215" i="7" s="1"/>
  <c r="R215" i="7"/>
  <c r="S215" i="7" s="1"/>
  <c r="N215" i="7"/>
  <c r="M215" i="7"/>
  <c r="L215" i="7"/>
  <c r="J215" i="7"/>
  <c r="H215" i="7"/>
  <c r="F215" i="7"/>
  <c r="AN214" i="7"/>
  <c r="AP214" i="7" s="1"/>
  <c r="AH214" i="7"/>
  <c r="AJ214" i="7" s="1"/>
  <c r="AB214" i="7"/>
  <c r="AD214" i="7" s="1"/>
  <c r="V214" i="7"/>
  <c r="X214" i="7" s="1"/>
  <c r="R214" i="7"/>
  <c r="N214" i="7"/>
  <c r="M214" i="7"/>
  <c r="L214" i="7"/>
  <c r="J214" i="7"/>
  <c r="H214" i="7"/>
  <c r="F214" i="7"/>
  <c r="AN213" i="7"/>
  <c r="AP213" i="7" s="1"/>
  <c r="AH213" i="7"/>
  <c r="AJ213" i="7" s="1"/>
  <c r="AB213" i="7"/>
  <c r="AD213" i="7" s="1"/>
  <c r="V213" i="7"/>
  <c r="X213" i="7" s="1"/>
  <c r="R213" i="7"/>
  <c r="S213" i="7" s="1"/>
  <c r="N213" i="7"/>
  <c r="M213" i="7"/>
  <c r="L213" i="7"/>
  <c r="J213" i="7"/>
  <c r="H213" i="7"/>
  <c r="F213" i="7"/>
  <c r="AN212" i="7"/>
  <c r="AP212" i="7" s="1"/>
  <c r="AH212" i="7"/>
  <c r="AJ212" i="7" s="1"/>
  <c r="AB212" i="7"/>
  <c r="AD212" i="7" s="1"/>
  <c r="V212" i="7"/>
  <c r="X212" i="7" s="1"/>
  <c r="R212" i="7"/>
  <c r="S212" i="7" s="1"/>
  <c r="N212" i="7"/>
  <c r="M212" i="7"/>
  <c r="L212" i="7"/>
  <c r="J212" i="7"/>
  <c r="H212" i="7"/>
  <c r="F212" i="7"/>
  <c r="AN211" i="7"/>
  <c r="AP211" i="7" s="1"/>
  <c r="AH211" i="7"/>
  <c r="AJ211" i="7" s="1"/>
  <c r="AB211" i="7"/>
  <c r="AD211" i="7" s="1"/>
  <c r="V211" i="7"/>
  <c r="X211" i="7" s="1"/>
  <c r="R211" i="7"/>
  <c r="S211" i="7" s="1"/>
  <c r="N211" i="7"/>
  <c r="M211" i="7"/>
  <c r="L211" i="7"/>
  <c r="J211" i="7"/>
  <c r="H211" i="7"/>
  <c r="F211" i="7"/>
  <c r="AN210" i="7"/>
  <c r="AP210" i="7" s="1"/>
  <c r="AH210" i="7"/>
  <c r="AJ210" i="7" s="1"/>
  <c r="AB210" i="7"/>
  <c r="AD210" i="7" s="1"/>
  <c r="V210" i="7"/>
  <c r="X210" i="7" s="1"/>
  <c r="R210" i="7"/>
  <c r="S210" i="7" s="1"/>
  <c r="N210" i="7"/>
  <c r="M210" i="7"/>
  <c r="L210" i="7"/>
  <c r="J210" i="7"/>
  <c r="H210" i="7"/>
  <c r="F210" i="7"/>
  <c r="AN209" i="7"/>
  <c r="AP209" i="7" s="1"/>
  <c r="AH209" i="7"/>
  <c r="AJ209" i="7" s="1"/>
  <c r="AB209" i="7"/>
  <c r="AD209" i="7" s="1"/>
  <c r="V209" i="7"/>
  <c r="X209" i="7" s="1"/>
  <c r="R209" i="7"/>
  <c r="S209" i="7" s="1"/>
  <c r="N209" i="7"/>
  <c r="M209" i="7"/>
  <c r="L209" i="7"/>
  <c r="J209" i="7"/>
  <c r="H209" i="7"/>
  <c r="F209" i="7"/>
  <c r="AN208" i="7"/>
  <c r="AP208" i="7" s="1"/>
  <c r="AH208" i="7"/>
  <c r="AJ208" i="7" s="1"/>
  <c r="AB208" i="7"/>
  <c r="AD208" i="7" s="1"/>
  <c r="V208" i="7"/>
  <c r="R208" i="7"/>
  <c r="S208" i="7" s="1"/>
  <c r="N208" i="7"/>
  <c r="M208" i="7"/>
  <c r="L208" i="7"/>
  <c r="J208" i="7"/>
  <c r="H208" i="7"/>
  <c r="F208" i="7"/>
  <c r="AN207" i="7"/>
  <c r="AP207" i="7" s="1"/>
  <c r="AH207" i="7"/>
  <c r="AJ207" i="7" s="1"/>
  <c r="AB207" i="7"/>
  <c r="AD207" i="7" s="1"/>
  <c r="V207" i="7"/>
  <c r="X207" i="7" s="1"/>
  <c r="R207" i="7"/>
  <c r="S207" i="7" s="1"/>
  <c r="N207" i="7"/>
  <c r="M207" i="7"/>
  <c r="L207" i="7"/>
  <c r="J207" i="7"/>
  <c r="H207" i="7"/>
  <c r="F207" i="7"/>
  <c r="AN206" i="7"/>
  <c r="AP206" i="7" s="1"/>
  <c r="AH206" i="7"/>
  <c r="AJ206" i="7" s="1"/>
  <c r="AB206" i="7"/>
  <c r="AD206" i="7" s="1"/>
  <c r="V206" i="7"/>
  <c r="X206" i="7" s="1"/>
  <c r="R206" i="7"/>
  <c r="S206" i="7" s="1"/>
  <c r="N206" i="7"/>
  <c r="M206" i="7"/>
  <c r="L206" i="7"/>
  <c r="J206" i="7"/>
  <c r="H206" i="7"/>
  <c r="F206" i="7"/>
  <c r="AN205" i="7"/>
  <c r="AP205" i="7" s="1"/>
  <c r="AH205" i="7"/>
  <c r="AJ205" i="7" s="1"/>
  <c r="AB205" i="7"/>
  <c r="AD205" i="7" s="1"/>
  <c r="V205" i="7"/>
  <c r="X205" i="7" s="1"/>
  <c r="R205" i="7"/>
  <c r="S205" i="7" s="1"/>
  <c r="N205" i="7"/>
  <c r="M205" i="7"/>
  <c r="L205" i="7"/>
  <c r="J205" i="7"/>
  <c r="H205" i="7"/>
  <c r="F205" i="7"/>
  <c r="AN204" i="7"/>
  <c r="AP204" i="7" s="1"/>
  <c r="AH204" i="7"/>
  <c r="AJ204" i="7" s="1"/>
  <c r="AB204" i="7"/>
  <c r="AD204" i="7" s="1"/>
  <c r="V204" i="7"/>
  <c r="X204" i="7" s="1"/>
  <c r="R204" i="7"/>
  <c r="S204" i="7" s="1"/>
  <c r="N204" i="7"/>
  <c r="M204" i="7"/>
  <c r="L204" i="7"/>
  <c r="J204" i="7"/>
  <c r="H204" i="7"/>
  <c r="F204" i="7"/>
  <c r="AN203" i="7"/>
  <c r="AP203" i="7" s="1"/>
  <c r="AH203" i="7"/>
  <c r="AJ203" i="7" s="1"/>
  <c r="AB203" i="7"/>
  <c r="AD203" i="7" s="1"/>
  <c r="V203" i="7"/>
  <c r="X203" i="7" s="1"/>
  <c r="R203" i="7"/>
  <c r="S203" i="7" s="1"/>
  <c r="N203" i="7"/>
  <c r="M203" i="7"/>
  <c r="L203" i="7"/>
  <c r="J203" i="7"/>
  <c r="H203" i="7"/>
  <c r="F203" i="7"/>
  <c r="AN202" i="7"/>
  <c r="AP202" i="7" s="1"/>
  <c r="AH202" i="7"/>
  <c r="AB202" i="7"/>
  <c r="AD202" i="7" s="1"/>
  <c r="V202" i="7"/>
  <c r="R202" i="7"/>
  <c r="N202" i="7"/>
  <c r="M202" i="7"/>
  <c r="L202" i="7"/>
  <c r="J202" i="7"/>
  <c r="H202" i="7"/>
  <c r="F202" i="7"/>
  <c r="AL199" i="7"/>
  <c r="AL201" i="7" s="1"/>
  <c r="AF199" i="7"/>
  <c r="AF201" i="7" s="1"/>
  <c r="Z199" i="7"/>
  <c r="Z201" i="7" s="1"/>
  <c r="T199" i="7"/>
  <c r="T201" i="7" s="1"/>
  <c r="P199" i="7"/>
  <c r="U201" i="7" s="1"/>
  <c r="K199" i="7"/>
  <c r="I199" i="7"/>
  <c r="G199" i="7"/>
  <c r="E199" i="7"/>
  <c r="D199" i="7"/>
  <c r="AO194" i="7"/>
  <c r="J111" i="30" s="1"/>
  <c r="AM194" i="7"/>
  <c r="J110" i="30" s="1"/>
  <c r="AL194" i="7"/>
  <c r="J109" i="30" s="1"/>
  <c r="AI194" i="7"/>
  <c r="I111" i="30" s="1"/>
  <c r="AG194" i="7"/>
  <c r="I110" i="30" s="1"/>
  <c r="AF194" i="7"/>
  <c r="I109" i="30" s="1"/>
  <c r="AC194" i="7"/>
  <c r="H111" i="30" s="1"/>
  <c r="AA194" i="7"/>
  <c r="H110" i="30" s="1"/>
  <c r="Z194" i="7"/>
  <c r="H109" i="30" s="1"/>
  <c r="W194" i="7"/>
  <c r="G111" i="30" s="1"/>
  <c r="U194" i="7"/>
  <c r="G110" i="30" s="1"/>
  <c r="T194" i="7"/>
  <c r="G109" i="30" s="1"/>
  <c r="F111" i="30"/>
  <c r="P194" i="7"/>
  <c r="F109" i="30" s="1"/>
  <c r="K194" i="7"/>
  <c r="I89" i="1" s="1"/>
  <c r="I194" i="7"/>
  <c r="H89" i="1" s="1"/>
  <c r="G194" i="7"/>
  <c r="G89" i="1" s="1"/>
  <c r="E194" i="7"/>
  <c r="F89" i="1" s="1"/>
  <c r="D194" i="7"/>
  <c r="N194" i="7" s="1"/>
  <c r="AN193" i="7"/>
  <c r="AP193" i="7" s="1"/>
  <c r="AH193" i="7"/>
  <c r="AJ193" i="7" s="1"/>
  <c r="AB193" i="7"/>
  <c r="AD193" i="7" s="1"/>
  <c r="V193" i="7"/>
  <c r="X193" i="7" s="1"/>
  <c r="R193" i="7"/>
  <c r="N193" i="7"/>
  <c r="M193" i="7"/>
  <c r="L193" i="7"/>
  <c r="J193" i="7"/>
  <c r="H193" i="7"/>
  <c r="F193" i="7"/>
  <c r="AN192" i="7"/>
  <c r="AP192" i="7" s="1"/>
  <c r="AH192" i="7"/>
  <c r="AJ192" i="7" s="1"/>
  <c r="AB192" i="7"/>
  <c r="AD192" i="7" s="1"/>
  <c r="V192" i="7"/>
  <c r="X192" i="7" s="1"/>
  <c r="R192" i="7"/>
  <c r="S192" i="7" s="1"/>
  <c r="N192" i="7"/>
  <c r="M192" i="7"/>
  <c r="L192" i="7"/>
  <c r="J192" i="7"/>
  <c r="H192" i="7"/>
  <c r="F192" i="7"/>
  <c r="AN191" i="7"/>
  <c r="AP191" i="7" s="1"/>
  <c r="AH191" i="7"/>
  <c r="AJ191" i="7" s="1"/>
  <c r="AB191" i="7"/>
  <c r="AD191" i="7" s="1"/>
  <c r="V191" i="7"/>
  <c r="X191" i="7" s="1"/>
  <c r="R191" i="7"/>
  <c r="S191" i="7" s="1"/>
  <c r="N191" i="7"/>
  <c r="M191" i="7"/>
  <c r="L191" i="7"/>
  <c r="J191" i="7"/>
  <c r="H191" i="7"/>
  <c r="F191" i="7"/>
  <c r="AN190" i="7"/>
  <c r="AP190" i="7" s="1"/>
  <c r="AH190" i="7"/>
  <c r="AJ190" i="7" s="1"/>
  <c r="AB190" i="7"/>
  <c r="AD190" i="7" s="1"/>
  <c r="V190" i="7"/>
  <c r="X190" i="7" s="1"/>
  <c r="R190" i="7"/>
  <c r="S190" i="7" s="1"/>
  <c r="N190" i="7"/>
  <c r="M190" i="7"/>
  <c r="L190" i="7"/>
  <c r="J190" i="7"/>
  <c r="H190" i="7"/>
  <c r="F190" i="7"/>
  <c r="AN189" i="7"/>
  <c r="AP189" i="7" s="1"/>
  <c r="AH189" i="7"/>
  <c r="AJ189" i="7" s="1"/>
  <c r="AB189" i="7"/>
  <c r="AD189" i="7" s="1"/>
  <c r="V189" i="7"/>
  <c r="X189" i="7" s="1"/>
  <c r="R189" i="7"/>
  <c r="S189" i="7" s="1"/>
  <c r="N189" i="7"/>
  <c r="M189" i="7"/>
  <c r="L189" i="7"/>
  <c r="J189" i="7"/>
  <c r="H189" i="7"/>
  <c r="F189" i="7"/>
  <c r="AN188" i="7"/>
  <c r="AH188" i="7"/>
  <c r="AJ188" i="7" s="1"/>
  <c r="AB188" i="7"/>
  <c r="AD188" i="7" s="1"/>
  <c r="V188" i="7"/>
  <c r="X188" i="7" s="1"/>
  <c r="R188" i="7"/>
  <c r="S188" i="7" s="1"/>
  <c r="N188" i="7"/>
  <c r="M188" i="7"/>
  <c r="L188" i="7"/>
  <c r="J188" i="7"/>
  <c r="H188" i="7"/>
  <c r="F188" i="7"/>
  <c r="AN187" i="7"/>
  <c r="AP187" i="7" s="1"/>
  <c r="AH187" i="7"/>
  <c r="AJ187" i="7" s="1"/>
  <c r="AB187" i="7"/>
  <c r="AD187" i="7" s="1"/>
  <c r="V187" i="7"/>
  <c r="X187" i="7" s="1"/>
  <c r="R187" i="7"/>
  <c r="S187" i="7" s="1"/>
  <c r="N187" i="7"/>
  <c r="M187" i="7"/>
  <c r="L187" i="7"/>
  <c r="J187" i="7"/>
  <c r="H187" i="7"/>
  <c r="F187" i="7"/>
  <c r="AN186" i="7"/>
  <c r="AP186" i="7" s="1"/>
  <c r="AH186" i="7"/>
  <c r="AJ186" i="7" s="1"/>
  <c r="AB186" i="7"/>
  <c r="AD186" i="7" s="1"/>
  <c r="V186" i="7"/>
  <c r="X186" i="7" s="1"/>
  <c r="R186" i="7"/>
  <c r="S186" i="7" s="1"/>
  <c r="N186" i="7"/>
  <c r="M186" i="7"/>
  <c r="L186" i="7"/>
  <c r="J186" i="7"/>
  <c r="H186" i="7"/>
  <c r="F186" i="7"/>
  <c r="AN185" i="7"/>
  <c r="AP185" i="7" s="1"/>
  <c r="AH185" i="7"/>
  <c r="AJ185" i="7" s="1"/>
  <c r="AB185" i="7"/>
  <c r="AD185" i="7" s="1"/>
  <c r="V185" i="7"/>
  <c r="X185" i="7" s="1"/>
  <c r="R185" i="7"/>
  <c r="S185" i="7" s="1"/>
  <c r="N185" i="7"/>
  <c r="M185" i="7"/>
  <c r="L185" i="7"/>
  <c r="J185" i="7"/>
  <c r="H185" i="7"/>
  <c r="F185" i="7"/>
  <c r="AN184" i="7"/>
  <c r="AP184" i="7" s="1"/>
  <c r="AH184" i="7"/>
  <c r="AB184" i="7"/>
  <c r="AD184" i="7" s="1"/>
  <c r="V184" i="7"/>
  <c r="X184" i="7" s="1"/>
  <c r="R184" i="7"/>
  <c r="N184" i="7"/>
  <c r="M184" i="7"/>
  <c r="L184" i="7"/>
  <c r="J184" i="7"/>
  <c r="H184" i="7"/>
  <c r="F184" i="7"/>
  <c r="AN183" i="7"/>
  <c r="AP183" i="7" s="1"/>
  <c r="AH183" i="7"/>
  <c r="AJ183" i="7" s="1"/>
  <c r="AB183" i="7"/>
  <c r="AD183" i="7" s="1"/>
  <c r="V183" i="7"/>
  <c r="X183" i="7" s="1"/>
  <c r="R183" i="7"/>
  <c r="S183" i="7" s="1"/>
  <c r="N183" i="7"/>
  <c r="M183" i="7"/>
  <c r="L183" i="7"/>
  <c r="J183" i="7"/>
  <c r="H183" i="7"/>
  <c r="F183" i="7"/>
  <c r="AN182" i="7"/>
  <c r="AP182" i="7" s="1"/>
  <c r="AH182" i="7"/>
  <c r="AJ182" i="7" s="1"/>
  <c r="AB182" i="7"/>
  <c r="AD182" i="7" s="1"/>
  <c r="V182" i="7"/>
  <c r="X182" i="7" s="1"/>
  <c r="R182" i="7"/>
  <c r="S182" i="7" s="1"/>
  <c r="N182" i="7"/>
  <c r="M182" i="7"/>
  <c r="L182" i="7"/>
  <c r="J182" i="7"/>
  <c r="H182" i="7"/>
  <c r="F182" i="7"/>
  <c r="AN181" i="7"/>
  <c r="AP181" i="7" s="1"/>
  <c r="AH181" i="7"/>
  <c r="AJ181" i="7" s="1"/>
  <c r="AB181" i="7"/>
  <c r="AD181" i="7" s="1"/>
  <c r="V181" i="7"/>
  <c r="X181" i="7" s="1"/>
  <c r="R181" i="7"/>
  <c r="N181" i="7"/>
  <c r="M181" i="7"/>
  <c r="L181" i="7"/>
  <c r="J181" i="7"/>
  <c r="H181" i="7"/>
  <c r="F181" i="7"/>
  <c r="AN180" i="7"/>
  <c r="AP180" i="7" s="1"/>
  <c r="AH180" i="7"/>
  <c r="AJ180" i="7" s="1"/>
  <c r="AB180" i="7"/>
  <c r="AD180" i="7" s="1"/>
  <c r="V180" i="7"/>
  <c r="X180" i="7" s="1"/>
  <c r="R180" i="7"/>
  <c r="N180" i="7"/>
  <c r="M180" i="7"/>
  <c r="L180" i="7"/>
  <c r="J180" i="7"/>
  <c r="H180" i="7"/>
  <c r="F180" i="7"/>
  <c r="AN179" i="7"/>
  <c r="AP179" i="7" s="1"/>
  <c r="AH179" i="7"/>
  <c r="AJ179" i="7" s="1"/>
  <c r="AB179" i="7"/>
  <c r="AD179" i="7" s="1"/>
  <c r="V179" i="7"/>
  <c r="X179" i="7" s="1"/>
  <c r="R179" i="7"/>
  <c r="S179" i="7" s="1"/>
  <c r="N179" i="7"/>
  <c r="M179" i="7"/>
  <c r="L179" i="7"/>
  <c r="J179" i="7"/>
  <c r="H179" i="7"/>
  <c r="F179" i="7"/>
  <c r="AN178" i="7"/>
  <c r="AP178" i="7" s="1"/>
  <c r="AH178" i="7"/>
  <c r="AJ178" i="7" s="1"/>
  <c r="AB178" i="7"/>
  <c r="AD178" i="7" s="1"/>
  <c r="V178" i="7"/>
  <c r="X178" i="7" s="1"/>
  <c r="R178" i="7"/>
  <c r="S178" i="7" s="1"/>
  <c r="N178" i="7"/>
  <c r="M178" i="7"/>
  <c r="L178" i="7"/>
  <c r="J178" i="7"/>
  <c r="H178" i="7"/>
  <c r="F178" i="7"/>
  <c r="AN177" i="7"/>
  <c r="AP177" i="7" s="1"/>
  <c r="AH177" i="7"/>
  <c r="AJ177" i="7" s="1"/>
  <c r="AB177" i="7"/>
  <c r="AD177" i="7" s="1"/>
  <c r="V177" i="7"/>
  <c r="X177" i="7" s="1"/>
  <c r="R177" i="7"/>
  <c r="S177" i="7" s="1"/>
  <c r="N177" i="7"/>
  <c r="M177" i="7"/>
  <c r="L177" i="7"/>
  <c r="J177" i="7"/>
  <c r="H177" i="7"/>
  <c r="F177" i="7"/>
  <c r="AN176" i="7"/>
  <c r="AP176" i="7" s="1"/>
  <c r="AH176" i="7"/>
  <c r="AJ176" i="7" s="1"/>
  <c r="AB176" i="7"/>
  <c r="AD176" i="7" s="1"/>
  <c r="V176" i="7"/>
  <c r="X176" i="7" s="1"/>
  <c r="R176" i="7"/>
  <c r="S176" i="7" s="1"/>
  <c r="N176" i="7"/>
  <c r="M176" i="7"/>
  <c r="L176" i="7"/>
  <c r="J176" i="7"/>
  <c r="H176" i="7"/>
  <c r="F176" i="7"/>
  <c r="AN175" i="7"/>
  <c r="AP175" i="7" s="1"/>
  <c r="AH175" i="7"/>
  <c r="AJ175" i="7" s="1"/>
  <c r="AB175" i="7"/>
  <c r="AD175" i="7" s="1"/>
  <c r="V175" i="7"/>
  <c r="X175" i="7" s="1"/>
  <c r="R175" i="7"/>
  <c r="S175" i="7" s="1"/>
  <c r="N175" i="7"/>
  <c r="M175" i="7"/>
  <c r="L175" i="7"/>
  <c r="J175" i="7"/>
  <c r="H175" i="7"/>
  <c r="F175" i="7"/>
  <c r="AN174" i="7"/>
  <c r="AP174" i="7" s="1"/>
  <c r="AH174" i="7"/>
  <c r="AJ174" i="7" s="1"/>
  <c r="AB174" i="7"/>
  <c r="AD174" i="7" s="1"/>
  <c r="V174" i="7"/>
  <c r="X174" i="7" s="1"/>
  <c r="R174" i="7"/>
  <c r="S174" i="7" s="1"/>
  <c r="N174" i="7"/>
  <c r="M174" i="7"/>
  <c r="L174" i="7"/>
  <c r="J174" i="7"/>
  <c r="H174" i="7"/>
  <c r="F174" i="7"/>
  <c r="AN173" i="7"/>
  <c r="AP173" i="7" s="1"/>
  <c r="AH173" i="7"/>
  <c r="AJ173" i="7" s="1"/>
  <c r="AB173" i="7"/>
  <c r="AD173" i="7" s="1"/>
  <c r="V173" i="7"/>
  <c r="X173" i="7" s="1"/>
  <c r="R173" i="7"/>
  <c r="S173" i="7" s="1"/>
  <c r="N173" i="7"/>
  <c r="M173" i="7"/>
  <c r="L173" i="7"/>
  <c r="J173" i="7"/>
  <c r="H173" i="7"/>
  <c r="F173" i="7"/>
  <c r="AN172" i="7"/>
  <c r="AP172" i="7" s="1"/>
  <c r="AH172" i="7"/>
  <c r="AJ172" i="7" s="1"/>
  <c r="AB172" i="7"/>
  <c r="AD172" i="7" s="1"/>
  <c r="V172" i="7"/>
  <c r="X172" i="7" s="1"/>
  <c r="R172" i="7"/>
  <c r="S172" i="7" s="1"/>
  <c r="N172" i="7"/>
  <c r="M172" i="7"/>
  <c r="L172" i="7"/>
  <c r="J172" i="7"/>
  <c r="H172" i="7"/>
  <c r="F172" i="7"/>
  <c r="AN171" i="7"/>
  <c r="AP171" i="7" s="1"/>
  <c r="AH171" i="7"/>
  <c r="AJ171" i="7" s="1"/>
  <c r="AB171" i="7"/>
  <c r="AD171" i="7" s="1"/>
  <c r="V171" i="7"/>
  <c r="X171" i="7" s="1"/>
  <c r="R171" i="7"/>
  <c r="N171" i="7"/>
  <c r="M171" i="7"/>
  <c r="L171" i="7"/>
  <c r="J171" i="7"/>
  <c r="H171" i="7"/>
  <c r="F171" i="7"/>
  <c r="AN170" i="7"/>
  <c r="AP170" i="7" s="1"/>
  <c r="AH170" i="7"/>
  <c r="AJ170" i="7" s="1"/>
  <c r="AB170" i="7"/>
  <c r="AD170" i="7" s="1"/>
  <c r="V170" i="7"/>
  <c r="X170" i="7" s="1"/>
  <c r="R170" i="7"/>
  <c r="S170" i="7" s="1"/>
  <c r="N170" i="7"/>
  <c r="M170" i="7"/>
  <c r="L170" i="7"/>
  <c r="J170" i="7"/>
  <c r="H170" i="7"/>
  <c r="F170" i="7"/>
  <c r="AN169" i="7"/>
  <c r="AP169" i="7" s="1"/>
  <c r="AH169" i="7"/>
  <c r="AJ169" i="7" s="1"/>
  <c r="AB169" i="7"/>
  <c r="AD169" i="7" s="1"/>
  <c r="V169" i="7"/>
  <c r="X169" i="7" s="1"/>
  <c r="R169" i="7"/>
  <c r="S169" i="7" s="1"/>
  <c r="N169" i="7"/>
  <c r="M169" i="7"/>
  <c r="L169" i="7"/>
  <c r="J169" i="7"/>
  <c r="H169" i="7"/>
  <c r="F169" i="7"/>
  <c r="AN168" i="7"/>
  <c r="AP168" i="7" s="1"/>
  <c r="AH168" i="7"/>
  <c r="AJ168" i="7" s="1"/>
  <c r="AB168" i="7"/>
  <c r="AD168" i="7" s="1"/>
  <c r="V168" i="7"/>
  <c r="X168" i="7" s="1"/>
  <c r="R168" i="7"/>
  <c r="S168" i="7" s="1"/>
  <c r="N168" i="7"/>
  <c r="M168" i="7"/>
  <c r="L168" i="7"/>
  <c r="J168" i="7"/>
  <c r="H168" i="7"/>
  <c r="F168" i="7"/>
  <c r="AN167" i="7"/>
  <c r="AP167" i="7" s="1"/>
  <c r="AH167" i="7"/>
  <c r="AB167" i="7"/>
  <c r="AD167" i="7" s="1"/>
  <c r="V167" i="7"/>
  <c r="X167" i="7" s="1"/>
  <c r="R167" i="7"/>
  <c r="S167" i="7" s="1"/>
  <c r="N167" i="7"/>
  <c r="M167" i="7"/>
  <c r="L167" i="7"/>
  <c r="J167" i="7"/>
  <c r="H167" i="7"/>
  <c r="F167" i="7"/>
  <c r="AN166" i="7"/>
  <c r="AP166" i="7" s="1"/>
  <c r="AH166" i="7"/>
  <c r="AJ166" i="7" s="1"/>
  <c r="AB166" i="7"/>
  <c r="AD166" i="7" s="1"/>
  <c r="V166" i="7"/>
  <c r="X166" i="7" s="1"/>
  <c r="R166" i="7"/>
  <c r="N166" i="7"/>
  <c r="M166" i="7"/>
  <c r="L166" i="7"/>
  <c r="J166" i="7"/>
  <c r="H166" i="7"/>
  <c r="F166" i="7"/>
  <c r="AN165" i="7"/>
  <c r="AP165" i="7" s="1"/>
  <c r="AH165" i="7"/>
  <c r="AJ165" i="7" s="1"/>
  <c r="AB165" i="7"/>
  <c r="AD165" i="7" s="1"/>
  <c r="V165" i="7"/>
  <c r="X165" i="7" s="1"/>
  <c r="R165" i="7"/>
  <c r="S165" i="7" s="1"/>
  <c r="N165" i="7"/>
  <c r="M165" i="7"/>
  <c r="L165" i="7"/>
  <c r="J165" i="7"/>
  <c r="H165" i="7"/>
  <c r="F165" i="7"/>
  <c r="AN164" i="7"/>
  <c r="AP164" i="7" s="1"/>
  <c r="AH164" i="7"/>
  <c r="AJ164" i="7" s="1"/>
  <c r="AB164" i="7"/>
  <c r="AD164" i="7" s="1"/>
  <c r="V164" i="7"/>
  <c r="X164" i="7" s="1"/>
  <c r="R164" i="7"/>
  <c r="S164" i="7" s="1"/>
  <c r="N164" i="7"/>
  <c r="M164" i="7"/>
  <c r="L164" i="7"/>
  <c r="J164" i="7"/>
  <c r="H164" i="7"/>
  <c r="F164" i="7"/>
  <c r="AN163" i="7"/>
  <c r="AP163" i="7" s="1"/>
  <c r="AH163" i="7"/>
  <c r="AJ163" i="7" s="1"/>
  <c r="AB163" i="7"/>
  <c r="AD163" i="7" s="1"/>
  <c r="V163" i="7"/>
  <c r="X163" i="7" s="1"/>
  <c r="R163" i="7"/>
  <c r="S163" i="7" s="1"/>
  <c r="N163" i="7"/>
  <c r="M163" i="7"/>
  <c r="L163" i="7"/>
  <c r="J163" i="7"/>
  <c r="H163" i="7"/>
  <c r="F163" i="7"/>
  <c r="AN162" i="7"/>
  <c r="AP162" i="7" s="1"/>
  <c r="AH162" i="7"/>
  <c r="AJ162" i="7" s="1"/>
  <c r="AB162" i="7"/>
  <c r="AD162" i="7" s="1"/>
  <c r="V162" i="7"/>
  <c r="X162" i="7" s="1"/>
  <c r="R162" i="7"/>
  <c r="N162" i="7"/>
  <c r="M162" i="7"/>
  <c r="L162" i="7"/>
  <c r="J162" i="7"/>
  <c r="H162" i="7"/>
  <c r="F162" i="7"/>
  <c r="AN161" i="7"/>
  <c r="AP161" i="7" s="1"/>
  <c r="AH161" i="7"/>
  <c r="AJ161" i="7" s="1"/>
  <c r="AB161" i="7"/>
  <c r="AD161" i="7" s="1"/>
  <c r="V161" i="7"/>
  <c r="X161" i="7" s="1"/>
  <c r="R161" i="7"/>
  <c r="S161" i="7" s="1"/>
  <c r="N161" i="7"/>
  <c r="M161" i="7"/>
  <c r="L161" i="7"/>
  <c r="J161" i="7"/>
  <c r="H161" i="7"/>
  <c r="F161" i="7"/>
  <c r="AN160" i="7"/>
  <c r="AP160" i="7" s="1"/>
  <c r="AH160" i="7"/>
  <c r="AJ160" i="7" s="1"/>
  <c r="AB160" i="7"/>
  <c r="AD160" i="7" s="1"/>
  <c r="V160" i="7"/>
  <c r="X160" i="7" s="1"/>
  <c r="R160" i="7"/>
  <c r="S160" i="7" s="1"/>
  <c r="N160" i="7"/>
  <c r="M160" i="7"/>
  <c r="L160" i="7"/>
  <c r="J160" i="7"/>
  <c r="H160" i="7"/>
  <c r="F160" i="7"/>
  <c r="AN159" i="7"/>
  <c r="AP159" i="7" s="1"/>
  <c r="AH159" i="7"/>
  <c r="AJ159" i="7" s="1"/>
  <c r="AB159" i="7"/>
  <c r="AD159" i="7" s="1"/>
  <c r="V159" i="7"/>
  <c r="X159" i="7" s="1"/>
  <c r="R159" i="7"/>
  <c r="S159" i="7" s="1"/>
  <c r="N159" i="7"/>
  <c r="M159" i="7"/>
  <c r="L159" i="7"/>
  <c r="J159" i="7"/>
  <c r="H159" i="7"/>
  <c r="F159" i="7"/>
  <c r="AN158" i="7"/>
  <c r="AP158" i="7" s="1"/>
  <c r="AH158" i="7"/>
  <c r="AJ158" i="7" s="1"/>
  <c r="AB158" i="7"/>
  <c r="AD158" i="7" s="1"/>
  <c r="V158" i="7"/>
  <c r="X158" i="7" s="1"/>
  <c r="R158" i="7"/>
  <c r="N158" i="7"/>
  <c r="M158" i="7"/>
  <c r="L158" i="7"/>
  <c r="J158" i="7"/>
  <c r="H158" i="7"/>
  <c r="F158" i="7"/>
  <c r="AN157" i="7"/>
  <c r="AP157" i="7" s="1"/>
  <c r="AH157" i="7"/>
  <c r="AJ157" i="7" s="1"/>
  <c r="AB157" i="7"/>
  <c r="AD157" i="7" s="1"/>
  <c r="V157" i="7"/>
  <c r="X157" i="7" s="1"/>
  <c r="R157" i="7"/>
  <c r="S157" i="7" s="1"/>
  <c r="N157" i="7"/>
  <c r="M157" i="7"/>
  <c r="L157" i="7"/>
  <c r="J157" i="7"/>
  <c r="H157" i="7"/>
  <c r="F157" i="7"/>
  <c r="AN156" i="7"/>
  <c r="AP156" i="7" s="1"/>
  <c r="AH156" i="7"/>
  <c r="AJ156" i="7" s="1"/>
  <c r="AB156" i="7"/>
  <c r="AD156" i="7" s="1"/>
  <c r="V156" i="7"/>
  <c r="X156" i="7" s="1"/>
  <c r="R156" i="7"/>
  <c r="S156" i="7" s="1"/>
  <c r="N156" i="7"/>
  <c r="M156" i="7"/>
  <c r="L156" i="7"/>
  <c r="J156" i="7"/>
  <c r="H156" i="7"/>
  <c r="F156" i="7"/>
  <c r="AN155" i="7"/>
  <c r="AP155" i="7" s="1"/>
  <c r="AH155" i="7"/>
  <c r="AJ155" i="7" s="1"/>
  <c r="AB155" i="7"/>
  <c r="AD155" i="7" s="1"/>
  <c r="V155" i="7"/>
  <c r="X155" i="7" s="1"/>
  <c r="R155" i="7"/>
  <c r="S155" i="7" s="1"/>
  <c r="N155" i="7"/>
  <c r="M155" i="7"/>
  <c r="L155" i="7"/>
  <c r="J155" i="7"/>
  <c r="H155" i="7"/>
  <c r="F155" i="7"/>
  <c r="AN154" i="7"/>
  <c r="AP154" i="7" s="1"/>
  <c r="AH154" i="7"/>
  <c r="AJ154" i="7" s="1"/>
  <c r="AB154" i="7"/>
  <c r="AD154" i="7" s="1"/>
  <c r="V154" i="7"/>
  <c r="X154" i="7" s="1"/>
  <c r="R154" i="7"/>
  <c r="N154" i="7"/>
  <c r="M154" i="7"/>
  <c r="L154" i="7"/>
  <c r="J154" i="7"/>
  <c r="H154" i="7"/>
  <c r="F154" i="7"/>
  <c r="AN153" i="7"/>
  <c r="AP153" i="7" s="1"/>
  <c r="AH153" i="7"/>
  <c r="AJ153" i="7" s="1"/>
  <c r="AB153" i="7"/>
  <c r="AD153" i="7" s="1"/>
  <c r="V153" i="7"/>
  <c r="X153" i="7" s="1"/>
  <c r="R153" i="7"/>
  <c r="S153" i="7" s="1"/>
  <c r="N153" i="7"/>
  <c r="M153" i="7"/>
  <c r="L153" i="7"/>
  <c r="J153" i="7"/>
  <c r="H153" i="7"/>
  <c r="F153" i="7"/>
  <c r="AN152" i="7"/>
  <c r="AP152" i="7" s="1"/>
  <c r="AH152" i="7"/>
  <c r="AB152" i="7"/>
  <c r="AD152" i="7" s="1"/>
  <c r="V152" i="7"/>
  <c r="X152" i="7" s="1"/>
  <c r="R152" i="7"/>
  <c r="S152" i="7" s="1"/>
  <c r="N152" i="7"/>
  <c r="M152" i="7"/>
  <c r="L152" i="7"/>
  <c r="J152" i="7"/>
  <c r="H152" i="7"/>
  <c r="F152" i="7"/>
  <c r="AN151" i="7"/>
  <c r="AP151" i="7" s="1"/>
  <c r="AH151" i="7"/>
  <c r="AJ151" i="7" s="1"/>
  <c r="AB151" i="7"/>
  <c r="AD151" i="7" s="1"/>
  <c r="V151" i="7"/>
  <c r="X151" i="7" s="1"/>
  <c r="R151" i="7"/>
  <c r="S151" i="7" s="1"/>
  <c r="N151" i="7"/>
  <c r="M151" i="7"/>
  <c r="L151" i="7"/>
  <c r="J151" i="7"/>
  <c r="H151" i="7"/>
  <c r="F151" i="7"/>
  <c r="AN150" i="7"/>
  <c r="AP150" i="7" s="1"/>
  <c r="AH150" i="7"/>
  <c r="AJ150" i="7" s="1"/>
  <c r="AB150" i="7"/>
  <c r="AD150" i="7" s="1"/>
  <c r="V150" i="7"/>
  <c r="X150" i="7" s="1"/>
  <c r="R150" i="7"/>
  <c r="N150" i="7"/>
  <c r="M150" i="7"/>
  <c r="L150" i="7"/>
  <c r="J150" i="7"/>
  <c r="H150" i="7"/>
  <c r="F150" i="7"/>
  <c r="AN149" i="7"/>
  <c r="AP149" i="7" s="1"/>
  <c r="AH149" i="7"/>
  <c r="AJ149" i="7" s="1"/>
  <c r="AB149" i="7"/>
  <c r="AD149" i="7" s="1"/>
  <c r="V149" i="7"/>
  <c r="X149" i="7" s="1"/>
  <c r="R149" i="7"/>
  <c r="S149" i="7" s="1"/>
  <c r="N149" i="7"/>
  <c r="M149" i="7"/>
  <c r="L149" i="7"/>
  <c r="J149" i="7"/>
  <c r="H149" i="7"/>
  <c r="F149" i="7"/>
  <c r="AN148" i="7"/>
  <c r="AP148" i="7" s="1"/>
  <c r="AH148" i="7"/>
  <c r="AJ148" i="7" s="1"/>
  <c r="AB148" i="7"/>
  <c r="AD148" i="7" s="1"/>
  <c r="V148" i="7"/>
  <c r="X148" i="7" s="1"/>
  <c r="R148" i="7"/>
  <c r="S148" i="7" s="1"/>
  <c r="N148" i="7"/>
  <c r="M148" i="7"/>
  <c r="L148" i="7"/>
  <c r="J148" i="7"/>
  <c r="H148" i="7"/>
  <c r="F148" i="7"/>
  <c r="AN147" i="7"/>
  <c r="AP147" i="7" s="1"/>
  <c r="AH147" i="7"/>
  <c r="AJ147" i="7" s="1"/>
  <c r="AB147" i="7"/>
  <c r="AD147" i="7" s="1"/>
  <c r="V147" i="7"/>
  <c r="X147" i="7" s="1"/>
  <c r="R147" i="7"/>
  <c r="S147" i="7" s="1"/>
  <c r="N147" i="7"/>
  <c r="M147" i="7"/>
  <c r="L147" i="7"/>
  <c r="J147" i="7"/>
  <c r="H147" i="7"/>
  <c r="F147" i="7"/>
  <c r="AN146" i="7"/>
  <c r="AP146" i="7" s="1"/>
  <c r="AH146" i="7"/>
  <c r="AJ146" i="7" s="1"/>
  <c r="AB146" i="7"/>
  <c r="AD146" i="7" s="1"/>
  <c r="V146" i="7"/>
  <c r="X146" i="7" s="1"/>
  <c r="R146" i="7"/>
  <c r="N146" i="7"/>
  <c r="M146" i="7"/>
  <c r="L146" i="7"/>
  <c r="J146" i="7"/>
  <c r="H146" i="7"/>
  <c r="F146" i="7"/>
  <c r="AN145" i="7"/>
  <c r="AP145" i="7" s="1"/>
  <c r="AH145" i="7"/>
  <c r="AJ145" i="7" s="1"/>
  <c r="AB145" i="7"/>
  <c r="AD145" i="7" s="1"/>
  <c r="V145" i="7"/>
  <c r="X145" i="7" s="1"/>
  <c r="R145" i="7"/>
  <c r="S145" i="7" s="1"/>
  <c r="N145" i="7"/>
  <c r="M145" i="7"/>
  <c r="L145" i="7"/>
  <c r="J145" i="7"/>
  <c r="H145" i="7"/>
  <c r="F145" i="7"/>
  <c r="AN144" i="7"/>
  <c r="AP144" i="7" s="1"/>
  <c r="AH144" i="7"/>
  <c r="AJ144" i="7" s="1"/>
  <c r="AB144" i="7"/>
  <c r="AD144" i="7" s="1"/>
  <c r="V144" i="7"/>
  <c r="X144" i="7" s="1"/>
  <c r="R144" i="7"/>
  <c r="S144" i="7" s="1"/>
  <c r="N144" i="7"/>
  <c r="M144" i="7"/>
  <c r="L144" i="7"/>
  <c r="J144" i="7"/>
  <c r="H144" i="7"/>
  <c r="F144" i="7"/>
  <c r="AN143" i="7"/>
  <c r="AP143" i="7" s="1"/>
  <c r="AH143" i="7"/>
  <c r="AJ143" i="7" s="1"/>
  <c r="AB143" i="7"/>
  <c r="AD143" i="7" s="1"/>
  <c r="V143" i="7"/>
  <c r="X143" i="7" s="1"/>
  <c r="R143" i="7"/>
  <c r="S143" i="7" s="1"/>
  <c r="N143" i="7"/>
  <c r="M143" i="7"/>
  <c r="L143" i="7"/>
  <c r="J143" i="7"/>
  <c r="H143" i="7"/>
  <c r="F143" i="7"/>
  <c r="AN142" i="7"/>
  <c r="AP142" i="7" s="1"/>
  <c r="AH142" i="7"/>
  <c r="AJ142" i="7" s="1"/>
  <c r="AB142" i="7"/>
  <c r="AD142" i="7" s="1"/>
  <c r="V142" i="7"/>
  <c r="X142" i="7" s="1"/>
  <c r="R142" i="7"/>
  <c r="N142" i="7"/>
  <c r="M142" i="7"/>
  <c r="L142" i="7"/>
  <c r="J142" i="7"/>
  <c r="H142" i="7"/>
  <c r="F142" i="7"/>
  <c r="AN141" i="7"/>
  <c r="AP141" i="7" s="1"/>
  <c r="AH141" i="7"/>
  <c r="AJ141" i="7" s="1"/>
  <c r="AB141" i="7"/>
  <c r="AD141" i="7" s="1"/>
  <c r="V141" i="7"/>
  <c r="X141" i="7" s="1"/>
  <c r="R141" i="7"/>
  <c r="S141" i="7" s="1"/>
  <c r="N141" i="7"/>
  <c r="M141" i="7"/>
  <c r="L141" i="7"/>
  <c r="J141" i="7"/>
  <c r="H141" i="7"/>
  <c r="F141" i="7"/>
  <c r="AN140" i="7"/>
  <c r="AH140" i="7"/>
  <c r="AJ140" i="7" s="1"/>
  <c r="AB140" i="7"/>
  <c r="AD140" i="7" s="1"/>
  <c r="V140" i="7"/>
  <c r="R140" i="7"/>
  <c r="S140" i="7" s="1"/>
  <c r="N140" i="7"/>
  <c r="M140" i="7"/>
  <c r="L140" i="7"/>
  <c r="J140" i="7"/>
  <c r="H140" i="7"/>
  <c r="F140" i="7"/>
  <c r="AL137" i="7"/>
  <c r="AL139" i="7" s="1"/>
  <c r="AF137" i="7"/>
  <c r="AF139" i="7" s="1"/>
  <c r="Z137" i="7"/>
  <c r="Z139" i="7" s="1"/>
  <c r="T137" i="7"/>
  <c r="T139" i="7" s="1"/>
  <c r="P137" i="7"/>
  <c r="U139" i="7" s="1"/>
  <c r="K137" i="7"/>
  <c r="I137" i="7"/>
  <c r="G137" i="7"/>
  <c r="E137" i="7"/>
  <c r="D137" i="7"/>
  <c r="AO132" i="7"/>
  <c r="J106" i="30" s="1"/>
  <c r="AM132" i="7"/>
  <c r="J105" i="30" s="1"/>
  <c r="AL132" i="7"/>
  <c r="J104" i="30" s="1"/>
  <c r="AI132" i="7"/>
  <c r="I106" i="30" s="1"/>
  <c r="AG132" i="7"/>
  <c r="I105" i="30" s="1"/>
  <c r="AF132" i="7"/>
  <c r="I104" i="30" s="1"/>
  <c r="AC132" i="7"/>
  <c r="H106" i="30" s="1"/>
  <c r="AA132" i="7"/>
  <c r="H105" i="30" s="1"/>
  <c r="Z132" i="7"/>
  <c r="H104" i="30" s="1"/>
  <c r="W132" i="7"/>
  <c r="G106" i="30" s="1"/>
  <c r="U132" i="7"/>
  <c r="G105" i="30" s="1"/>
  <c r="T132" i="7"/>
  <c r="G104" i="30" s="1"/>
  <c r="Q132" i="7"/>
  <c r="F106" i="30" s="1"/>
  <c r="P132" i="7"/>
  <c r="F104" i="30" s="1"/>
  <c r="K132" i="7"/>
  <c r="I88" i="1" s="1"/>
  <c r="I132" i="7"/>
  <c r="H88" i="1" s="1"/>
  <c r="G132" i="7"/>
  <c r="G88" i="1" s="1"/>
  <c r="E132" i="7"/>
  <c r="F88" i="1" s="1"/>
  <c r="D132" i="7"/>
  <c r="E88" i="1" s="1"/>
  <c r="AN131" i="7"/>
  <c r="AP131" i="7" s="1"/>
  <c r="AH131" i="7"/>
  <c r="AJ131" i="7" s="1"/>
  <c r="AB131" i="7"/>
  <c r="AB68" i="7" s="1"/>
  <c r="V131" i="7"/>
  <c r="X131" i="7" s="1"/>
  <c r="R131" i="7"/>
  <c r="N131" i="7"/>
  <c r="M131" i="7"/>
  <c r="L131" i="7"/>
  <c r="J131" i="7"/>
  <c r="H131" i="7"/>
  <c r="F131" i="7"/>
  <c r="AN130" i="7"/>
  <c r="AP130" i="7" s="1"/>
  <c r="AH130" i="7"/>
  <c r="AB130" i="7"/>
  <c r="AD130" i="7" s="1"/>
  <c r="V130" i="7"/>
  <c r="R130" i="7"/>
  <c r="S130" i="7" s="1"/>
  <c r="N130" i="7"/>
  <c r="M130" i="7"/>
  <c r="L130" i="7"/>
  <c r="J130" i="7"/>
  <c r="H130" i="7"/>
  <c r="F130" i="7"/>
  <c r="AN129" i="7"/>
  <c r="AP129" i="7" s="1"/>
  <c r="AH129" i="7"/>
  <c r="AJ129" i="7" s="1"/>
  <c r="AB129" i="7"/>
  <c r="AD129" i="7" s="1"/>
  <c r="V129" i="7"/>
  <c r="X129" i="7" s="1"/>
  <c r="R129" i="7"/>
  <c r="S129" i="7" s="1"/>
  <c r="N129" i="7"/>
  <c r="M129" i="7"/>
  <c r="L129" i="7"/>
  <c r="J129" i="7"/>
  <c r="H129" i="7"/>
  <c r="F129" i="7"/>
  <c r="AN128" i="7"/>
  <c r="AP128" i="7" s="1"/>
  <c r="AH128" i="7"/>
  <c r="AJ128" i="7" s="1"/>
  <c r="AB128" i="7"/>
  <c r="AD128" i="7" s="1"/>
  <c r="V128" i="7"/>
  <c r="X128" i="7" s="1"/>
  <c r="R128" i="7"/>
  <c r="S128" i="7" s="1"/>
  <c r="N128" i="7"/>
  <c r="M128" i="7"/>
  <c r="L128" i="7"/>
  <c r="J128" i="7"/>
  <c r="H128" i="7"/>
  <c r="F128" i="7"/>
  <c r="AN127" i="7"/>
  <c r="AP127" i="7" s="1"/>
  <c r="AH127" i="7"/>
  <c r="AB127" i="7"/>
  <c r="AD127" i="7" s="1"/>
  <c r="V127" i="7"/>
  <c r="X127" i="7" s="1"/>
  <c r="R127" i="7"/>
  <c r="N127" i="7"/>
  <c r="M127" i="7"/>
  <c r="L127" i="7"/>
  <c r="J127" i="7"/>
  <c r="H127" i="7"/>
  <c r="F127" i="7"/>
  <c r="AN126" i="7"/>
  <c r="AP126" i="7" s="1"/>
  <c r="AH126" i="7"/>
  <c r="AJ126" i="7" s="1"/>
  <c r="AB126" i="7"/>
  <c r="AD126" i="7" s="1"/>
  <c r="V126" i="7"/>
  <c r="X126" i="7" s="1"/>
  <c r="R126" i="7"/>
  <c r="N126" i="7"/>
  <c r="M126" i="7"/>
  <c r="L126" i="7"/>
  <c r="J126" i="7"/>
  <c r="H126" i="7"/>
  <c r="F126" i="7"/>
  <c r="AN125" i="7"/>
  <c r="AP125" i="7" s="1"/>
  <c r="AH125" i="7"/>
  <c r="AJ125" i="7" s="1"/>
  <c r="AB125" i="7"/>
  <c r="AD125" i="7" s="1"/>
  <c r="V125" i="7"/>
  <c r="X125" i="7" s="1"/>
  <c r="R125" i="7"/>
  <c r="S125" i="7" s="1"/>
  <c r="N125" i="7"/>
  <c r="M125" i="7"/>
  <c r="L125" i="7"/>
  <c r="J125" i="7"/>
  <c r="H125" i="7"/>
  <c r="F125" i="7"/>
  <c r="AN124" i="7"/>
  <c r="AP124" i="7" s="1"/>
  <c r="AH124" i="7"/>
  <c r="AJ124" i="7" s="1"/>
  <c r="AB124" i="7"/>
  <c r="AD124" i="7" s="1"/>
  <c r="V124" i="7"/>
  <c r="X124" i="7" s="1"/>
  <c r="R124" i="7"/>
  <c r="S124" i="7" s="1"/>
  <c r="N124" i="7"/>
  <c r="M124" i="7"/>
  <c r="L124" i="7"/>
  <c r="J124" i="7"/>
  <c r="H124" i="7"/>
  <c r="F124" i="7"/>
  <c r="AN123" i="7"/>
  <c r="AH123" i="7"/>
  <c r="AJ123" i="7" s="1"/>
  <c r="AB123" i="7"/>
  <c r="V123" i="7"/>
  <c r="X123" i="7" s="1"/>
  <c r="R123" i="7"/>
  <c r="N123" i="7"/>
  <c r="M123" i="7"/>
  <c r="L123" i="7"/>
  <c r="J123" i="7"/>
  <c r="H123" i="7"/>
  <c r="F123" i="7"/>
  <c r="AN122" i="7"/>
  <c r="AP122" i="7" s="1"/>
  <c r="AH122" i="7"/>
  <c r="AJ122" i="7" s="1"/>
  <c r="AB122" i="7"/>
  <c r="AD122" i="7" s="1"/>
  <c r="V122" i="7"/>
  <c r="R122" i="7"/>
  <c r="S122" i="7" s="1"/>
  <c r="N122" i="7"/>
  <c r="M122" i="7"/>
  <c r="L122" i="7"/>
  <c r="J122" i="7"/>
  <c r="H122" i="7"/>
  <c r="F122" i="7"/>
  <c r="AN121" i="7"/>
  <c r="AP121" i="7" s="1"/>
  <c r="AH121" i="7"/>
  <c r="AJ121" i="7" s="1"/>
  <c r="AB121" i="7"/>
  <c r="V121" i="7"/>
  <c r="X121" i="7" s="1"/>
  <c r="R121" i="7"/>
  <c r="S121" i="7" s="1"/>
  <c r="N121" i="7"/>
  <c r="M121" i="7"/>
  <c r="L121" i="7"/>
  <c r="J121" i="7"/>
  <c r="H121" i="7"/>
  <c r="F121" i="7"/>
  <c r="AN120" i="7"/>
  <c r="AP120" i="7" s="1"/>
  <c r="AH120" i="7"/>
  <c r="AB120" i="7"/>
  <c r="AD120" i="7" s="1"/>
  <c r="V120" i="7"/>
  <c r="R120" i="7"/>
  <c r="N120" i="7"/>
  <c r="M120" i="7"/>
  <c r="L120" i="7"/>
  <c r="J120" i="7"/>
  <c r="H120" i="7"/>
  <c r="F120" i="7"/>
  <c r="AN119" i="7"/>
  <c r="AH119" i="7"/>
  <c r="AJ119" i="7" s="1"/>
  <c r="AB119" i="7"/>
  <c r="V119" i="7"/>
  <c r="X119" i="7" s="1"/>
  <c r="R119" i="7"/>
  <c r="S119" i="7" s="1"/>
  <c r="N119" i="7"/>
  <c r="M119" i="7"/>
  <c r="L119" i="7"/>
  <c r="J119" i="7"/>
  <c r="H119" i="7"/>
  <c r="F119" i="7"/>
  <c r="AN118" i="7"/>
  <c r="AP118" i="7" s="1"/>
  <c r="AH118" i="7"/>
  <c r="AB118" i="7"/>
  <c r="AD118" i="7" s="1"/>
  <c r="V118" i="7"/>
  <c r="X118" i="7" s="1"/>
  <c r="R118" i="7"/>
  <c r="S118" i="7" s="1"/>
  <c r="N118" i="7"/>
  <c r="M118" i="7"/>
  <c r="L118" i="7"/>
  <c r="J118" i="7"/>
  <c r="H118" i="7"/>
  <c r="F118" i="7"/>
  <c r="AN117" i="7"/>
  <c r="AN54" i="7" s="1"/>
  <c r="G351" i="18" s="1"/>
  <c r="AH117" i="7"/>
  <c r="AB117" i="7"/>
  <c r="V117" i="7"/>
  <c r="X117" i="7" s="1"/>
  <c r="R117" i="7"/>
  <c r="S117" i="7" s="1"/>
  <c r="N117" i="7"/>
  <c r="M117" i="7"/>
  <c r="L117" i="7"/>
  <c r="J117" i="7"/>
  <c r="H117" i="7"/>
  <c r="F117" i="7"/>
  <c r="AN116" i="7"/>
  <c r="AP116" i="7" s="1"/>
  <c r="AH116" i="7"/>
  <c r="AJ116" i="7" s="1"/>
  <c r="AB116" i="7"/>
  <c r="AD116" i="7" s="1"/>
  <c r="V116" i="7"/>
  <c r="X116" i="7" s="1"/>
  <c r="R116" i="7"/>
  <c r="N116" i="7"/>
  <c r="M116" i="7"/>
  <c r="L116" i="7"/>
  <c r="J116" i="7"/>
  <c r="H116" i="7"/>
  <c r="F116" i="7"/>
  <c r="AN115" i="7"/>
  <c r="AP115" i="7" s="1"/>
  <c r="AH115" i="7"/>
  <c r="AJ115" i="7" s="1"/>
  <c r="AB115" i="7"/>
  <c r="AD115" i="7" s="1"/>
  <c r="V115" i="7"/>
  <c r="X115" i="7" s="1"/>
  <c r="R115" i="7"/>
  <c r="N115" i="7"/>
  <c r="M115" i="7"/>
  <c r="L115" i="7"/>
  <c r="J115" i="7"/>
  <c r="H115" i="7"/>
  <c r="F115" i="7"/>
  <c r="AN114" i="7"/>
  <c r="AP114" i="7" s="1"/>
  <c r="AH114" i="7"/>
  <c r="AB114" i="7"/>
  <c r="AD114" i="7" s="1"/>
  <c r="V114" i="7"/>
  <c r="X114" i="7" s="1"/>
  <c r="R114" i="7"/>
  <c r="S114" i="7" s="1"/>
  <c r="N114" i="7"/>
  <c r="M114" i="7"/>
  <c r="L114" i="7"/>
  <c r="J114" i="7"/>
  <c r="H114" i="7"/>
  <c r="F114" i="7"/>
  <c r="AN113" i="7"/>
  <c r="AP113" i="7" s="1"/>
  <c r="AH113" i="7"/>
  <c r="AJ113" i="7" s="1"/>
  <c r="AB113" i="7"/>
  <c r="AD113" i="7" s="1"/>
  <c r="V113" i="7"/>
  <c r="X113" i="7" s="1"/>
  <c r="R113" i="7"/>
  <c r="S113" i="7" s="1"/>
  <c r="N113" i="7"/>
  <c r="M113" i="7"/>
  <c r="L113" i="7"/>
  <c r="J113" i="7"/>
  <c r="H113" i="7"/>
  <c r="F113" i="7"/>
  <c r="AN112" i="7"/>
  <c r="AP112" i="7" s="1"/>
  <c r="AH112" i="7"/>
  <c r="AJ112" i="7" s="1"/>
  <c r="AB112" i="7"/>
  <c r="V112" i="7"/>
  <c r="X112" i="7" s="1"/>
  <c r="R112" i="7"/>
  <c r="N112" i="7"/>
  <c r="M112" i="7"/>
  <c r="L112" i="7"/>
  <c r="J112" i="7"/>
  <c r="H112" i="7"/>
  <c r="F112" i="7"/>
  <c r="AN111" i="7"/>
  <c r="AP111" i="7" s="1"/>
  <c r="AH111" i="7"/>
  <c r="AJ111" i="7" s="1"/>
  <c r="AB111" i="7"/>
  <c r="V111" i="7"/>
  <c r="X111" i="7" s="1"/>
  <c r="R111" i="7"/>
  <c r="S111" i="7" s="1"/>
  <c r="N111" i="7"/>
  <c r="M111" i="7"/>
  <c r="L111" i="7"/>
  <c r="J111" i="7"/>
  <c r="H111" i="7"/>
  <c r="F111" i="7"/>
  <c r="AN110" i="7"/>
  <c r="AP110" i="7" s="1"/>
  <c r="AH110" i="7"/>
  <c r="AB110" i="7"/>
  <c r="AD110" i="7" s="1"/>
  <c r="V110" i="7"/>
  <c r="X110" i="7" s="1"/>
  <c r="R110" i="7"/>
  <c r="S110" i="7" s="1"/>
  <c r="N110" i="7"/>
  <c r="M110" i="7"/>
  <c r="L110" i="7"/>
  <c r="J110" i="7"/>
  <c r="H110" i="7"/>
  <c r="F110" i="7"/>
  <c r="AN109" i="7"/>
  <c r="AP109" i="7" s="1"/>
  <c r="AH109" i="7"/>
  <c r="AJ109" i="7" s="1"/>
  <c r="AB109" i="7"/>
  <c r="AD109" i="7" s="1"/>
  <c r="V109" i="7"/>
  <c r="X109" i="7" s="1"/>
  <c r="R109" i="7"/>
  <c r="S109" i="7" s="1"/>
  <c r="N109" i="7"/>
  <c r="M109" i="7"/>
  <c r="L109" i="7"/>
  <c r="J109" i="7"/>
  <c r="H109" i="7"/>
  <c r="F109" i="7"/>
  <c r="AN108" i="7"/>
  <c r="AP108" i="7" s="1"/>
  <c r="AH108" i="7"/>
  <c r="AJ108" i="7" s="1"/>
  <c r="AB108" i="7"/>
  <c r="AD108" i="7" s="1"/>
  <c r="V108" i="7"/>
  <c r="X108" i="7" s="1"/>
  <c r="R108" i="7"/>
  <c r="N108" i="7"/>
  <c r="M108" i="7"/>
  <c r="L108" i="7"/>
  <c r="J108" i="7"/>
  <c r="H108" i="7"/>
  <c r="F108" i="7"/>
  <c r="AN107" i="7"/>
  <c r="AP107" i="7" s="1"/>
  <c r="AH107" i="7"/>
  <c r="AJ107" i="7" s="1"/>
  <c r="AB107" i="7"/>
  <c r="AD107" i="7" s="1"/>
  <c r="V107" i="7"/>
  <c r="X107" i="7" s="1"/>
  <c r="R107" i="7"/>
  <c r="S107" i="7" s="1"/>
  <c r="N107" i="7"/>
  <c r="M107" i="7"/>
  <c r="L107" i="7"/>
  <c r="J107" i="7"/>
  <c r="H107" i="7"/>
  <c r="F107" i="7"/>
  <c r="AN106" i="7"/>
  <c r="AP106" i="7" s="1"/>
  <c r="AH106" i="7"/>
  <c r="AJ106" i="7" s="1"/>
  <c r="AB106" i="7"/>
  <c r="AD106" i="7" s="1"/>
  <c r="V106" i="7"/>
  <c r="X106" i="7" s="1"/>
  <c r="R106" i="7"/>
  <c r="S106" i="7" s="1"/>
  <c r="N106" i="7"/>
  <c r="M106" i="7"/>
  <c r="L106" i="7"/>
  <c r="J106" i="7"/>
  <c r="H106" i="7"/>
  <c r="F106" i="7"/>
  <c r="AN105" i="7"/>
  <c r="AP105" i="7" s="1"/>
  <c r="AH105" i="7"/>
  <c r="AJ105" i="7" s="1"/>
  <c r="AB105" i="7"/>
  <c r="AD105" i="7" s="1"/>
  <c r="V105" i="7"/>
  <c r="X105" i="7" s="1"/>
  <c r="R105" i="7"/>
  <c r="S105" i="7" s="1"/>
  <c r="N105" i="7"/>
  <c r="M105" i="7"/>
  <c r="L105" i="7"/>
  <c r="J105" i="7"/>
  <c r="H105" i="7"/>
  <c r="F105" i="7"/>
  <c r="AN104" i="7"/>
  <c r="AP104" i="7" s="1"/>
  <c r="AH104" i="7"/>
  <c r="AJ104" i="7" s="1"/>
  <c r="AB104" i="7"/>
  <c r="AD104" i="7" s="1"/>
  <c r="V104" i="7"/>
  <c r="X104" i="7" s="1"/>
  <c r="R104" i="7"/>
  <c r="N104" i="7"/>
  <c r="M104" i="7"/>
  <c r="L104" i="7"/>
  <c r="J104" i="7"/>
  <c r="H104" i="7"/>
  <c r="F104" i="7"/>
  <c r="AN103" i="7"/>
  <c r="AP103" i="7" s="1"/>
  <c r="AH103" i="7"/>
  <c r="AJ103" i="7" s="1"/>
  <c r="AB103" i="7"/>
  <c r="AD103" i="7" s="1"/>
  <c r="V103" i="7"/>
  <c r="X103" i="7" s="1"/>
  <c r="R103" i="7"/>
  <c r="N103" i="7"/>
  <c r="M103" i="7"/>
  <c r="L103" i="7"/>
  <c r="J103" i="7"/>
  <c r="H103" i="7"/>
  <c r="F103" i="7"/>
  <c r="AN102" i="7"/>
  <c r="AH102" i="7"/>
  <c r="AJ102" i="7" s="1"/>
  <c r="AB102" i="7"/>
  <c r="V102" i="7"/>
  <c r="X102" i="7" s="1"/>
  <c r="R102" i="7"/>
  <c r="S102" i="7" s="1"/>
  <c r="N102" i="7"/>
  <c r="M102" i="7"/>
  <c r="L102" i="7"/>
  <c r="J102" i="7"/>
  <c r="H102" i="7"/>
  <c r="F102" i="7"/>
  <c r="AN101" i="7"/>
  <c r="AP101" i="7" s="1"/>
  <c r="AH101" i="7"/>
  <c r="AJ101" i="7" s="1"/>
  <c r="AB101" i="7"/>
  <c r="AD101" i="7" s="1"/>
  <c r="V101" i="7"/>
  <c r="X101" i="7" s="1"/>
  <c r="R101" i="7"/>
  <c r="S101" i="7" s="1"/>
  <c r="N101" i="7"/>
  <c r="M101" i="7"/>
  <c r="L101" i="7"/>
  <c r="J101" i="7"/>
  <c r="H101" i="7"/>
  <c r="F101" i="7"/>
  <c r="AN100" i="7"/>
  <c r="AP100" i="7" s="1"/>
  <c r="AH100" i="7"/>
  <c r="AJ100" i="7" s="1"/>
  <c r="AB100" i="7"/>
  <c r="AD100" i="7" s="1"/>
  <c r="V100" i="7"/>
  <c r="X100" i="7" s="1"/>
  <c r="R100" i="7"/>
  <c r="N100" i="7"/>
  <c r="M100" i="7"/>
  <c r="L100" i="7"/>
  <c r="J100" i="7"/>
  <c r="H100" i="7"/>
  <c r="F100" i="7"/>
  <c r="AN99" i="7"/>
  <c r="AP99" i="7" s="1"/>
  <c r="AH99" i="7"/>
  <c r="AJ99" i="7" s="1"/>
  <c r="AB99" i="7"/>
  <c r="AD99" i="7" s="1"/>
  <c r="V99" i="7"/>
  <c r="X99" i="7" s="1"/>
  <c r="R99" i="7"/>
  <c r="S99" i="7" s="1"/>
  <c r="N99" i="7"/>
  <c r="M99" i="7"/>
  <c r="L99" i="7"/>
  <c r="J99" i="7"/>
  <c r="H99" i="7"/>
  <c r="F99" i="7"/>
  <c r="AN98" i="7"/>
  <c r="AP98" i="7" s="1"/>
  <c r="AH98" i="7"/>
  <c r="AJ98" i="7" s="1"/>
  <c r="AB98" i="7"/>
  <c r="AD98" i="7" s="1"/>
  <c r="V98" i="7"/>
  <c r="R98" i="7"/>
  <c r="S98" i="7" s="1"/>
  <c r="N98" i="7"/>
  <c r="M98" i="7"/>
  <c r="L98" i="7"/>
  <c r="J98" i="7"/>
  <c r="H98" i="7"/>
  <c r="F98" i="7"/>
  <c r="AN97" i="7"/>
  <c r="AP97" i="7" s="1"/>
  <c r="AH97" i="7"/>
  <c r="AJ97" i="7" s="1"/>
  <c r="AB97" i="7"/>
  <c r="AD97" i="7" s="1"/>
  <c r="V97" i="7"/>
  <c r="X97" i="7" s="1"/>
  <c r="R97" i="7"/>
  <c r="S97" i="7" s="1"/>
  <c r="N97" i="7"/>
  <c r="M97" i="7"/>
  <c r="L97" i="7"/>
  <c r="J97" i="7"/>
  <c r="H97" i="7"/>
  <c r="F97" i="7"/>
  <c r="AN96" i="7"/>
  <c r="AP96" i="7" s="1"/>
  <c r="AH96" i="7"/>
  <c r="AJ96" i="7" s="1"/>
  <c r="AB96" i="7"/>
  <c r="V96" i="7"/>
  <c r="X96" i="7" s="1"/>
  <c r="R96" i="7"/>
  <c r="N96" i="7"/>
  <c r="M96" i="7"/>
  <c r="L96" i="7"/>
  <c r="J96" i="7"/>
  <c r="H96" i="7"/>
  <c r="F96" i="7"/>
  <c r="AN95" i="7"/>
  <c r="AH95" i="7"/>
  <c r="AJ95" i="7" s="1"/>
  <c r="AB95" i="7"/>
  <c r="AD95" i="7" s="1"/>
  <c r="V95" i="7"/>
  <c r="R95" i="7"/>
  <c r="N95" i="7"/>
  <c r="M95" i="7"/>
  <c r="L95" i="7"/>
  <c r="J95" i="7"/>
  <c r="H95" i="7"/>
  <c r="F95" i="7"/>
  <c r="AN94" i="7"/>
  <c r="AH94" i="7"/>
  <c r="AJ94" i="7" s="1"/>
  <c r="AB94" i="7"/>
  <c r="AD94" i="7" s="1"/>
  <c r="V94" i="7"/>
  <c r="X94" i="7" s="1"/>
  <c r="R94" i="7"/>
  <c r="N94" i="7"/>
  <c r="M94" i="7"/>
  <c r="L94" i="7"/>
  <c r="J94" i="7"/>
  <c r="H94" i="7"/>
  <c r="F94" i="7"/>
  <c r="AN93" i="7"/>
  <c r="AN30" i="7" s="1"/>
  <c r="AH93" i="7"/>
  <c r="AJ93" i="7" s="1"/>
  <c r="AB93" i="7"/>
  <c r="AD93" i="7" s="1"/>
  <c r="V93" i="7"/>
  <c r="X93" i="7" s="1"/>
  <c r="R93" i="7"/>
  <c r="S93" i="7" s="1"/>
  <c r="N93" i="7"/>
  <c r="M93" i="7"/>
  <c r="L93" i="7"/>
  <c r="J93" i="7"/>
  <c r="H93" i="7"/>
  <c r="F93" i="7"/>
  <c r="AN92" i="7"/>
  <c r="AP92" i="7" s="1"/>
  <c r="AH92" i="7"/>
  <c r="AJ92" i="7" s="1"/>
  <c r="AB92" i="7"/>
  <c r="AD92" i="7" s="1"/>
  <c r="V92" i="7"/>
  <c r="X92" i="7" s="1"/>
  <c r="R92" i="7"/>
  <c r="N92" i="7"/>
  <c r="M92" i="7"/>
  <c r="L92" i="7"/>
  <c r="J92" i="7"/>
  <c r="H92" i="7"/>
  <c r="F92" i="7"/>
  <c r="AN91" i="7"/>
  <c r="AP91" i="7" s="1"/>
  <c r="AH91" i="7"/>
  <c r="AJ91" i="7" s="1"/>
  <c r="AB91" i="7"/>
  <c r="AD91" i="7" s="1"/>
  <c r="V91" i="7"/>
  <c r="X91" i="7" s="1"/>
  <c r="R91" i="7"/>
  <c r="S91" i="7" s="1"/>
  <c r="N91" i="7"/>
  <c r="M91" i="7"/>
  <c r="L91" i="7"/>
  <c r="J91" i="7"/>
  <c r="H91" i="7"/>
  <c r="F91" i="7"/>
  <c r="AN90" i="7"/>
  <c r="AP90" i="7" s="1"/>
  <c r="AH90" i="7"/>
  <c r="AJ90" i="7" s="1"/>
  <c r="AB90" i="7"/>
  <c r="AD90" i="7" s="1"/>
  <c r="V90" i="7"/>
  <c r="X90" i="7" s="1"/>
  <c r="R90" i="7"/>
  <c r="S90" i="7" s="1"/>
  <c r="N90" i="7"/>
  <c r="M90" i="7"/>
  <c r="L90" i="7"/>
  <c r="J90" i="7"/>
  <c r="H90" i="7"/>
  <c r="F90" i="7"/>
  <c r="AN89" i="7"/>
  <c r="AP89" i="7" s="1"/>
  <c r="AH89" i="7"/>
  <c r="AJ89" i="7" s="1"/>
  <c r="AB89" i="7"/>
  <c r="AD89" i="7" s="1"/>
  <c r="V89" i="7"/>
  <c r="X89" i="7" s="1"/>
  <c r="R89" i="7"/>
  <c r="S89" i="7" s="1"/>
  <c r="N89" i="7"/>
  <c r="M89" i="7"/>
  <c r="L89" i="7"/>
  <c r="J89" i="7"/>
  <c r="H89" i="7"/>
  <c r="F89" i="7"/>
  <c r="AN88" i="7"/>
  <c r="AP88" i="7" s="1"/>
  <c r="AH88" i="7"/>
  <c r="AJ88" i="7" s="1"/>
  <c r="AB88" i="7"/>
  <c r="AD88" i="7" s="1"/>
  <c r="V88" i="7"/>
  <c r="X88" i="7" s="1"/>
  <c r="R88" i="7"/>
  <c r="N88" i="7"/>
  <c r="M88" i="7"/>
  <c r="L88" i="7"/>
  <c r="J88" i="7"/>
  <c r="H88" i="7"/>
  <c r="F88" i="7"/>
  <c r="AN87" i="7"/>
  <c r="AP87" i="7" s="1"/>
  <c r="AH87" i="7"/>
  <c r="AJ87" i="7" s="1"/>
  <c r="AB87" i="7"/>
  <c r="AD87" i="7" s="1"/>
  <c r="V87" i="7"/>
  <c r="X87" i="7" s="1"/>
  <c r="R87" i="7"/>
  <c r="S87" i="7" s="1"/>
  <c r="N87" i="7"/>
  <c r="M87" i="7"/>
  <c r="L87" i="7"/>
  <c r="J87" i="7"/>
  <c r="H87" i="7"/>
  <c r="F87" i="7"/>
  <c r="AN86" i="7"/>
  <c r="AP86" i="7" s="1"/>
  <c r="AH86" i="7"/>
  <c r="AJ86" i="7" s="1"/>
  <c r="AB86" i="7"/>
  <c r="AD86" i="7" s="1"/>
  <c r="V86" i="7"/>
  <c r="X86" i="7" s="1"/>
  <c r="R86" i="7"/>
  <c r="S86" i="7" s="1"/>
  <c r="N86" i="7"/>
  <c r="M86" i="7"/>
  <c r="L86" i="7"/>
  <c r="J86" i="7"/>
  <c r="H86" i="7"/>
  <c r="F86" i="7"/>
  <c r="AN85" i="7"/>
  <c r="AP85" i="7" s="1"/>
  <c r="AH85" i="7"/>
  <c r="AJ85" i="7" s="1"/>
  <c r="AB85" i="7"/>
  <c r="AD85" i="7" s="1"/>
  <c r="V85" i="7"/>
  <c r="X85" i="7" s="1"/>
  <c r="R85" i="7"/>
  <c r="S85" i="7" s="1"/>
  <c r="N85" i="7"/>
  <c r="M85" i="7"/>
  <c r="L85" i="7"/>
  <c r="J85" i="7"/>
  <c r="H85" i="7"/>
  <c r="F85" i="7"/>
  <c r="AN84" i="7"/>
  <c r="AP84" i="7" s="1"/>
  <c r="AH84" i="7"/>
  <c r="AJ84" i="7" s="1"/>
  <c r="AB84" i="7"/>
  <c r="AD84" i="7" s="1"/>
  <c r="V84" i="7"/>
  <c r="X84" i="7" s="1"/>
  <c r="R84" i="7"/>
  <c r="S84" i="7" s="1"/>
  <c r="N84" i="7"/>
  <c r="M84" i="7"/>
  <c r="L84" i="7"/>
  <c r="J84" i="7"/>
  <c r="H84" i="7"/>
  <c r="F84" i="7"/>
  <c r="AN83" i="7"/>
  <c r="AP83" i="7" s="1"/>
  <c r="AH83" i="7"/>
  <c r="AJ83" i="7" s="1"/>
  <c r="AB83" i="7"/>
  <c r="AD83" i="7" s="1"/>
  <c r="V83" i="7"/>
  <c r="X83" i="7" s="1"/>
  <c r="R83" i="7"/>
  <c r="S83" i="7" s="1"/>
  <c r="N83" i="7"/>
  <c r="M83" i="7"/>
  <c r="L83" i="7"/>
  <c r="J83" i="7"/>
  <c r="H83" i="7"/>
  <c r="F83" i="7"/>
  <c r="AN82" i="7"/>
  <c r="AP82" i="7" s="1"/>
  <c r="AH82" i="7"/>
  <c r="AJ82" i="7" s="1"/>
  <c r="AB82" i="7"/>
  <c r="AD82" i="7" s="1"/>
  <c r="V82" i="7"/>
  <c r="X82" i="7" s="1"/>
  <c r="R82" i="7"/>
  <c r="S82" i="7" s="1"/>
  <c r="N82" i="7"/>
  <c r="M82" i="7"/>
  <c r="L82" i="7"/>
  <c r="J82" i="7"/>
  <c r="H82" i="7"/>
  <c r="F82" i="7"/>
  <c r="AN81" i="7"/>
  <c r="AP81" i="7" s="1"/>
  <c r="AH81" i="7"/>
  <c r="AJ81" i="7" s="1"/>
  <c r="AB81" i="7"/>
  <c r="AD81" i="7" s="1"/>
  <c r="V81" i="7"/>
  <c r="X81" i="7" s="1"/>
  <c r="R81" i="7"/>
  <c r="S81" i="7" s="1"/>
  <c r="N81" i="7"/>
  <c r="M81" i="7"/>
  <c r="L81" i="7"/>
  <c r="J81" i="7"/>
  <c r="H81" i="7"/>
  <c r="F81" i="7"/>
  <c r="AN80" i="7"/>
  <c r="AP80" i="7" s="1"/>
  <c r="AH80" i="7"/>
  <c r="AJ80" i="7" s="1"/>
  <c r="AB80" i="7"/>
  <c r="AD80" i="7" s="1"/>
  <c r="V80" i="7"/>
  <c r="X80" i="7" s="1"/>
  <c r="R80" i="7"/>
  <c r="S80" i="7" s="1"/>
  <c r="N80" i="7"/>
  <c r="M80" i="7"/>
  <c r="L80" i="7"/>
  <c r="J80" i="7"/>
  <c r="H80" i="7"/>
  <c r="F80" i="7"/>
  <c r="AN79" i="7"/>
  <c r="AP79" i="7" s="1"/>
  <c r="AH79" i="7"/>
  <c r="AJ79" i="7" s="1"/>
  <c r="AB79" i="7"/>
  <c r="AD79" i="7" s="1"/>
  <c r="V79" i="7"/>
  <c r="X79" i="7" s="1"/>
  <c r="R79" i="7"/>
  <c r="S79" i="7" s="1"/>
  <c r="N79" i="7"/>
  <c r="M79" i="7"/>
  <c r="L79" i="7"/>
  <c r="J79" i="7"/>
  <c r="H79" i="7"/>
  <c r="F79" i="7"/>
  <c r="AN78" i="7"/>
  <c r="AP78" i="7" s="1"/>
  <c r="AH78" i="7"/>
  <c r="AJ78" i="7" s="1"/>
  <c r="AB78" i="7"/>
  <c r="AB15" i="7" s="1"/>
  <c r="V78" i="7"/>
  <c r="X78" i="7" s="1"/>
  <c r="R78" i="7"/>
  <c r="S78" i="7" s="1"/>
  <c r="N78" i="7"/>
  <c r="M78" i="7"/>
  <c r="L78" i="7"/>
  <c r="J78" i="7"/>
  <c r="H78" i="7"/>
  <c r="F78" i="7"/>
  <c r="AL75" i="7"/>
  <c r="AL77" i="7" s="1"/>
  <c r="AF75" i="7"/>
  <c r="AF77" i="7" s="1"/>
  <c r="Z75" i="7"/>
  <c r="Z77" i="7" s="1"/>
  <c r="T75" i="7"/>
  <c r="T77" i="7" s="1"/>
  <c r="P75" i="7"/>
  <c r="P76" i="7" s="1"/>
  <c r="K75" i="7"/>
  <c r="I75" i="7"/>
  <c r="G75" i="7"/>
  <c r="E75" i="7"/>
  <c r="D75" i="7"/>
  <c r="AO68" i="7"/>
  <c r="AM68" i="7"/>
  <c r="AL68" i="7"/>
  <c r="AI68" i="7"/>
  <c r="AG68" i="7"/>
  <c r="AF68" i="7"/>
  <c r="AC68" i="7"/>
  <c r="AA68" i="7"/>
  <c r="Z68" i="7"/>
  <c r="W68" i="7"/>
  <c r="U68" i="7"/>
  <c r="T68" i="7"/>
  <c r="Q68" i="7"/>
  <c r="P68" i="7"/>
  <c r="K68" i="7"/>
  <c r="G68" i="7"/>
  <c r="E68" i="7"/>
  <c r="D68" i="7"/>
  <c r="AO67" i="7"/>
  <c r="AM67" i="7"/>
  <c r="AL67" i="7"/>
  <c r="AI67" i="7"/>
  <c r="AG67" i="7"/>
  <c r="AF67" i="7"/>
  <c r="AC67" i="7"/>
  <c r="AA67" i="7"/>
  <c r="Z67" i="7"/>
  <c r="W67" i="7"/>
  <c r="U67" i="7"/>
  <c r="T67" i="7"/>
  <c r="Q67" i="7"/>
  <c r="P67" i="7"/>
  <c r="K67" i="7"/>
  <c r="G67" i="7"/>
  <c r="E67" i="7"/>
  <c r="D67" i="7"/>
  <c r="AO66" i="7"/>
  <c r="AM66" i="7"/>
  <c r="AL66" i="7"/>
  <c r="AI66" i="7"/>
  <c r="AG66" i="7"/>
  <c r="AF66" i="7"/>
  <c r="AC66" i="7"/>
  <c r="AA66" i="7"/>
  <c r="Z66" i="7"/>
  <c r="W66" i="7"/>
  <c r="U66" i="7"/>
  <c r="T66" i="7"/>
  <c r="Q66" i="7"/>
  <c r="P66" i="7"/>
  <c r="K66" i="7"/>
  <c r="G66" i="7"/>
  <c r="E66" i="7"/>
  <c r="D66" i="7"/>
  <c r="AO65" i="7"/>
  <c r="AM65" i="7"/>
  <c r="AL65" i="7"/>
  <c r="AI65" i="7"/>
  <c r="AG65" i="7"/>
  <c r="AF65" i="7"/>
  <c r="AC65" i="7"/>
  <c r="AA65" i="7"/>
  <c r="Z65" i="7"/>
  <c r="W65" i="7"/>
  <c r="U65" i="7"/>
  <c r="T65" i="7"/>
  <c r="Q65" i="7"/>
  <c r="P65" i="7"/>
  <c r="K65" i="7"/>
  <c r="G65" i="7"/>
  <c r="E65" i="7"/>
  <c r="D65" i="7"/>
  <c r="AO64" i="7"/>
  <c r="AM64" i="7"/>
  <c r="AL64" i="7"/>
  <c r="AI64" i="7"/>
  <c r="AG64" i="7"/>
  <c r="AF64" i="7"/>
  <c r="AC64" i="7"/>
  <c r="AA64" i="7"/>
  <c r="Z64" i="7"/>
  <c r="W64" i="7"/>
  <c r="U64" i="7"/>
  <c r="T64" i="7"/>
  <c r="Q64" i="7"/>
  <c r="P64" i="7"/>
  <c r="K64" i="7"/>
  <c r="G64" i="7"/>
  <c r="E64" i="7"/>
  <c r="D64" i="7"/>
  <c r="AO63" i="7"/>
  <c r="AM63" i="7"/>
  <c r="AL63" i="7"/>
  <c r="AI63" i="7"/>
  <c r="AG63" i="7"/>
  <c r="AF63" i="7"/>
  <c r="AC63" i="7"/>
  <c r="AA63" i="7"/>
  <c r="Z63" i="7"/>
  <c r="W63" i="7"/>
  <c r="U63" i="7"/>
  <c r="T63" i="7"/>
  <c r="Q63" i="7"/>
  <c r="P63" i="7"/>
  <c r="K63" i="7"/>
  <c r="G63" i="7"/>
  <c r="E63" i="7"/>
  <c r="D63" i="7"/>
  <c r="AO62" i="7"/>
  <c r="AM62" i="7"/>
  <c r="AL62" i="7"/>
  <c r="AI62" i="7"/>
  <c r="AG62" i="7"/>
  <c r="AF62" i="7"/>
  <c r="AC62" i="7"/>
  <c r="AA62" i="7"/>
  <c r="Z62" i="7"/>
  <c r="W62" i="7"/>
  <c r="U62" i="7"/>
  <c r="T62" i="7"/>
  <c r="R62" i="7"/>
  <c r="Q62" i="7"/>
  <c r="P62" i="7"/>
  <c r="K62" i="7"/>
  <c r="G62" i="7"/>
  <c r="E62" i="7"/>
  <c r="D62" i="7"/>
  <c r="AO61" i="7"/>
  <c r="AM61" i="7"/>
  <c r="AL61" i="7"/>
  <c r="AI61" i="7"/>
  <c r="AG61" i="7"/>
  <c r="AF61" i="7"/>
  <c r="AC61" i="7"/>
  <c r="AA61" i="7"/>
  <c r="Z61" i="7"/>
  <c r="W61" i="7"/>
  <c r="U61" i="7"/>
  <c r="T61" i="7"/>
  <c r="Q61" i="7"/>
  <c r="P61" i="7"/>
  <c r="K61" i="7"/>
  <c r="G61" i="7"/>
  <c r="E61" i="7"/>
  <c r="D61" i="7"/>
  <c r="AO60" i="7"/>
  <c r="AM60" i="7"/>
  <c r="AL60" i="7"/>
  <c r="AI60" i="7"/>
  <c r="AG60" i="7"/>
  <c r="AF60" i="7"/>
  <c r="AC60" i="7"/>
  <c r="AA60" i="7"/>
  <c r="Z60" i="7"/>
  <c r="W60" i="7"/>
  <c r="U60" i="7"/>
  <c r="T60" i="7"/>
  <c r="Q60" i="7"/>
  <c r="P60" i="7"/>
  <c r="K60" i="7"/>
  <c r="G60" i="7"/>
  <c r="E60" i="7"/>
  <c r="D60" i="7"/>
  <c r="AO59" i="7"/>
  <c r="AM59" i="7"/>
  <c r="AL59" i="7"/>
  <c r="AI59" i="7"/>
  <c r="AG59" i="7"/>
  <c r="AF59" i="7"/>
  <c r="AC59" i="7"/>
  <c r="AA59" i="7"/>
  <c r="Z59" i="7"/>
  <c r="W59" i="7"/>
  <c r="U59" i="7"/>
  <c r="T59" i="7"/>
  <c r="Q59" i="7"/>
  <c r="P59" i="7"/>
  <c r="K59" i="7"/>
  <c r="G59" i="7"/>
  <c r="E59" i="7"/>
  <c r="D59" i="7"/>
  <c r="AO58" i="7"/>
  <c r="AM58" i="7"/>
  <c r="AL58" i="7"/>
  <c r="AI58" i="7"/>
  <c r="AG58" i="7"/>
  <c r="AF58" i="7"/>
  <c r="AC58" i="7"/>
  <c r="AA58" i="7"/>
  <c r="Z58" i="7"/>
  <c r="W58" i="7"/>
  <c r="U58" i="7"/>
  <c r="T58" i="7"/>
  <c r="Q58" i="7"/>
  <c r="P58" i="7"/>
  <c r="K58" i="7"/>
  <c r="G58" i="7"/>
  <c r="E58" i="7"/>
  <c r="D58" i="7"/>
  <c r="AO57" i="7"/>
  <c r="AM57" i="7"/>
  <c r="AL57" i="7"/>
  <c r="AI57" i="7"/>
  <c r="AG57" i="7"/>
  <c r="AF57" i="7"/>
  <c r="AC57" i="7"/>
  <c r="AA57" i="7"/>
  <c r="Z57" i="7"/>
  <c r="W57" i="7"/>
  <c r="U57" i="7"/>
  <c r="T57" i="7"/>
  <c r="Q57" i="7"/>
  <c r="P57" i="7"/>
  <c r="K57" i="7"/>
  <c r="G57" i="7"/>
  <c r="E57" i="7"/>
  <c r="D57" i="7"/>
  <c r="AO56" i="7"/>
  <c r="AM56" i="7"/>
  <c r="AL56" i="7"/>
  <c r="AI56" i="7"/>
  <c r="AG56" i="7"/>
  <c r="AF56" i="7"/>
  <c r="AC56" i="7"/>
  <c r="AA56" i="7"/>
  <c r="Z56" i="7"/>
  <c r="W56" i="7"/>
  <c r="U56" i="7"/>
  <c r="T56" i="7"/>
  <c r="Q56" i="7"/>
  <c r="P56" i="7"/>
  <c r="K56" i="7"/>
  <c r="G56" i="7"/>
  <c r="E56" i="7"/>
  <c r="D56" i="7"/>
  <c r="AO55" i="7"/>
  <c r="AM55" i="7"/>
  <c r="AL55" i="7"/>
  <c r="AI55" i="7"/>
  <c r="AG55" i="7"/>
  <c r="AF55" i="7"/>
  <c r="AC55" i="7"/>
  <c r="AA55" i="7"/>
  <c r="Z55" i="7"/>
  <c r="W55" i="7"/>
  <c r="U55" i="7"/>
  <c r="T55" i="7"/>
  <c r="Q55" i="7"/>
  <c r="P55" i="7"/>
  <c r="K55" i="7"/>
  <c r="G55" i="7"/>
  <c r="E55" i="7"/>
  <c r="D55" i="7"/>
  <c r="AO54" i="7"/>
  <c r="AM54" i="7"/>
  <c r="AL54" i="7"/>
  <c r="AI54" i="7"/>
  <c r="AG54" i="7"/>
  <c r="AF54" i="7"/>
  <c r="AC54" i="7"/>
  <c r="AA54" i="7"/>
  <c r="Z54" i="7"/>
  <c r="W54" i="7"/>
  <c r="V54" i="7"/>
  <c r="U54" i="7"/>
  <c r="T54" i="7"/>
  <c r="Q54" i="7"/>
  <c r="P54" i="7"/>
  <c r="K54" i="7"/>
  <c r="G54" i="7"/>
  <c r="E54" i="7"/>
  <c r="D54" i="7"/>
  <c r="AO53" i="7"/>
  <c r="AM53" i="7"/>
  <c r="AL53" i="7"/>
  <c r="AI53" i="7"/>
  <c r="AG53" i="7"/>
  <c r="AF53" i="7"/>
  <c r="AC53" i="7"/>
  <c r="AA53" i="7"/>
  <c r="Z53" i="7"/>
  <c r="W53" i="7"/>
  <c r="U53" i="7"/>
  <c r="T53" i="7"/>
  <c r="Q53" i="7"/>
  <c r="P53" i="7"/>
  <c r="K53" i="7"/>
  <c r="G53" i="7"/>
  <c r="E53" i="7"/>
  <c r="D53" i="7"/>
  <c r="AO52" i="7"/>
  <c r="AM52" i="7"/>
  <c r="AL52" i="7"/>
  <c r="AI52" i="7"/>
  <c r="AG52" i="7"/>
  <c r="AF52" i="7"/>
  <c r="AC52" i="7"/>
  <c r="AA52" i="7"/>
  <c r="Z52" i="7"/>
  <c r="W52" i="7"/>
  <c r="V52" i="7"/>
  <c r="U52" i="7"/>
  <c r="T52" i="7"/>
  <c r="Q52" i="7"/>
  <c r="P52" i="7"/>
  <c r="K52" i="7"/>
  <c r="G52" i="7"/>
  <c r="E52" i="7"/>
  <c r="D52" i="7"/>
  <c r="AO51" i="7"/>
  <c r="AM51" i="7"/>
  <c r="AL51" i="7"/>
  <c r="AI51" i="7"/>
  <c r="AG51" i="7"/>
  <c r="AF51" i="7"/>
  <c r="AC51" i="7"/>
  <c r="AA51" i="7"/>
  <c r="Z51" i="7"/>
  <c r="W51" i="7"/>
  <c r="U51" i="7"/>
  <c r="T51" i="7"/>
  <c r="Q51" i="7"/>
  <c r="P51" i="7"/>
  <c r="K51" i="7"/>
  <c r="G51" i="7"/>
  <c r="E51" i="7"/>
  <c r="D51" i="7"/>
  <c r="AO50" i="7"/>
  <c r="AM50" i="7"/>
  <c r="AL50" i="7"/>
  <c r="AI50" i="7"/>
  <c r="AG50" i="7"/>
  <c r="AF50" i="7"/>
  <c r="AC50" i="7"/>
  <c r="AA50" i="7"/>
  <c r="Z50" i="7"/>
  <c r="W50" i="7"/>
  <c r="U50" i="7"/>
  <c r="T50" i="7"/>
  <c r="Q50" i="7"/>
  <c r="P50" i="7"/>
  <c r="K50" i="7"/>
  <c r="G50" i="7"/>
  <c r="E50" i="7"/>
  <c r="D50" i="7"/>
  <c r="AO49" i="7"/>
  <c r="AM49" i="7"/>
  <c r="AL49" i="7"/>
  <c r="AI49" i="7"/>
  <c r="AG49" i="7"/>
  <c r="AF49" i="7"/>
  <c r="AC49" i="7"/>
  <c r="AA49" i="7"/>
  <c r="Z49" i="7"/>
  <c r="W49" i="7"/>
  <c r="U49" i="7"/>
  <c r="T49" i="7"/>
  <c r="Q49" i="7"/>
  <c r="P49" i="7"/>
  <c r="K49" i="7"/>
  <c r="G49" i="7"/>
  <c r="E49" i="7"/>
  <c r="D49" i="7"/>
  <c r="AO48" i="7"/>
  <c r="AM48" i="7"/>
  <c r="AL48" i="7"/>
  <c r="AI48" i="7"/>
  <c r="AG48" i="7"/>
  <c r="AF48" i="7"/>
  <c r="AC48" i="7"/>
  <c r="AA48" i="7"/>
  <c r="Z48" i="7"/>
  <c r="W48" i="7"/>
  <c r="U48" i="7"/>
  <c r="T48" i="7"/>
  <c r="Q48" i="7"/>
  <c r="P48" i="7"/>
  <c r="K48" i="7"/>
  <c r="G48" i="7"/>
  <c r="E48" i="7"/>
  <c r="D48" i="7"/>
  <c r="AO47" i="7"/>
  <c r="AM47" i="7"/>
  <c r="AL47" i="7"/>
  <c r="AI47" i="7"/>
  <c r="AG47" i="7"/>
  <c r="AF47" i="7"/>
  <c r="AC47" i="7"/>
  <c r="AA47" i="7"/>
  <c r="Z47" i="7"/>
  <c r="W47" i="7"/>
  <c r="U47" i="7"/>
  <c r="T47" i="7"/>
  <c r="Q47" i="7"/>
  <c r="P47" i="7"/>
  <c r="K47" i="7"/>
  <c r="G47" i="7"/>
  <c r="E47" i="7"/>
  <c r="D47" i="7"/>
  <c r="AO46" i="7"/>
  <c r="AM46" i="7"/>
  <c r="AL46" i="7"/>
  <c r="AI46" i="7"/>
  <c r="AG46" i="7"/>
  <c r="AF46" i="7"/>
  <c r="AC46" i="7"/>
  <c r="AA46" i="7"/>
  <c r="Z46" i="7"/>
  <c r="W46" i="7"/>
  <c r="U46" i="7"/>
  <c r="T46" i="7"/>
  <c r="Q46" i="7"/>
  <c r="P46" i="7"/>
  <c r="K46" i="7"/>
  <c r="G46" i="7"/>
  <c r="E46" i="7"/>
  <c r="D46" i="7"/>
  <c r="AO45" i="7"/>
  <c r="AM45" i="7"/>
  <c r="AL45" i="7"/>
  <c r="AI45" i="7"/>
  <c r="AG45" i="7"/>
  <c r="AF45" i="7"/>
  <c r="AC45" i="7"/>
  <c r="AA45" i="7"/>
  <c r="Z45" i="7"/>
  <c r="W45" i="7"/>
  <c r="U45" i="7"/>
  <c r="T45" i="7"/>
  <c r="Q45" i="7"/>
  <c r="P45" i="7"/>
  <c r="K45" i="7"/>
  <c r="G45" i="7"/>
  <c r="E45" i="7"/>
  <c r="D45" i="7"/>
  <c r="AO44" i="7"/>
  <c r="AM44" i="7"/>
  <c r="AL44" i="7"/>
  <c r="AI44" i="7"/>
  <c r="AG44" i="7"/>
  <c r="AF44" i="7"/>
  <c r="AC44" i="7"/>
  <c r="AA44" i="7"/>
  <c r="Z44" i="7"/>
  <c r="W44" i="7"/>
  <c r="U44" i="7"/>
  <c r="T44" i="7"/>
  <c r="Q44" i="7"/>
  <c r="P44" i="7"/>
  <c r="K44" i="7"/>
  <c r="G44" i="7"/>
  <c r="E44" i="7"/>
  <c r="D44" i="7"/>
  <c r="AO43" i="7"/>
  <c r="AM43" i="7"/>
  <c r="AL43" i="7"/>
  <c r="AI43" i="7"/>
  <c r="AH43" i="7"/>
  <c r="AG43" i="7"/>
  <c r="AF43" i="7"/>
  <c r="AC43" i="7"/>
  <c r="AA43" i="7"/>
  <c r="Z43" i="7"/>
  <c r="W43" i="7"/>
  <c r="V43" i="7"/>
  <c r="U43" i="7"/>
  <c r="T43" i="7"/>
  <c r="Q43" i="7"/>
  <c r="P43" i="7"/>
  <c r="K43" i="7"/>
  <c r="G43" i="7"/>
  <c r="E43" i="7"/>
  <c r="D43" i="7"/>
  <c r="AO42" i="7"/>
  <c r="AM42" i="7"/>
  <c r="AL42" i="7"/>
  <c r="AI42" i="7"/>
  <c r="AG42" i="7"/>
  <c r="AF42" i="7"/>
  <c r="AC42" i="7"/>
  <c r="AA42" i="7"/>
  <c r="Z42" i="7"/>
  <c r="W42" i="7"/>
  <c r="U42" i="7"/>
  <c r="T42" i="7"/>
  <c r="Q42" i="7"/>
  <c r="P42" i="7"/>
  <c r="K42" i="7"/>
  <c r="G42" i="7"/>
  <c r="E42" i="7"/>
  <c r="D42" i="7"/>
  <c r="AO41" i="7"/>
  <c r="AM41" i="7"/>
  <c r="AL41" i="7"/>
  <c r="AI41" i="7"/>
  <c r="AG41" i="7"/>
  <c r="AF41" i="7"/>
  <c r="AC41" i="7"/>
  <c r="AA41" i="7"/>
  <c r="Z41" i="7"/>
  <c r="W41" i="7"/>
  <c r="U41" i="7"/>
  <c r="T41" i="7"/>
  <c r="Q41" i="7"/>
  <c r="P41" i="7"/>
  <c r="K41" i="7"/>
  <c r="G41" i="7"/>
  <c r="E41" i="7"/>
  <c r="D41" i="7"/>
  <c r="AO40" i="7"/>
  <c r="AM40" i="7"/>
  <c r="AL40" i="7"/>
  <c r="AI40" i="7"/>
  <c r="AG40" i="7"/>
  <c r="AF40" i="7"/>
  <c r="AC40" i="7"/>
  <c r="AA40" i="7"/>
  <c r="Z40" i="7"/>
  <c r="W40" i="7"/>
  <c r="U40" i="7"/>
  <c r="T40" i="7"/>
  <c r="Q40" i="7"/>
  <c r="P40" i="7"/>
  <c r="K40" i="7"/>
  <c r="G40" i="7"/>
  <c r="E40" i="7"/>
  <c r="D40" i="7"/>
  <c r="AO39" i="7"/>
  <c r="AM39" i="7"/>
  <c r="AL39" i="7"/>
  <c r="AI39" i="7"/>
  <c r="AG39" i="7"/>
  <c r="AF39" i="7"/>
  <c r="AC39" i="7"/>
  <c r="AA39" i="7"/>
  <c r="Z39" i="7"/>
  <c r="W39" i="7"/>
  <c r="U39" i="7"/>
  <c r="T39" i="7"/>
  <c r="Q39" i="7"/>
  <c r="P39" i="7"/>
  <c r="K39" i="7"/>
  <c r="G39" i="7"/>
  <c r="E39" i="7"/>
  <c r="D39" i="7"/>
  <c r="AO38" i="7"/>
  <c r="AM38" i="7"/>
  <c r="AL38" i="7"/>
  <c r="AI38" i="7"/>
  <c r="AG38" i="7"/>
  <c r="AF38" i="7"/>
  <c r="AC38" i="7"/>
  <c r="AA38" i="7"/>
  <c r="Z38" i="7"/>
  <c r="W38" i="7"/>
  <c r="U38" i="7"/>
  <c r="T38" i="7"/>
  <c r="Q38" i="7"/>
  <c r="P38" i="7"/>
  <c r="K38" i="7"/>
  <c r="G38" i="7"/>
  <c r="E38" i="7"/>
  <c r="D38" i="7"/>
  <c r="AO37" i="7"/>
  <c r="AM37" i="7"/>
  <c r="AL37" i="7"/>
  <c r="AI37" i="7"/>
  <c r="AH37" i="7"/>
  <c r="AG37" i="7"/>
  <c r="AF37" i="7"/>
  <c r="AC37" i="7"/>
  <c r="AA37" i="7"/>
  <c r="Z37" i="7"/>
  <c r="W37" i="7"/>
  <c r="U37" i="7"/>
  <c r="T37" i="7"/>
  <c r="R37" i="7"/>
  <c r="Q37" i="7"/>
  <c r="P37" i="7"/>
  <c r="K37" i="7"/>
  <c r="G37" i="7"/>
  <c r="E37" i="7"/>
  <c r="D37" i="7"/>
  <c r="AO36" i="7"/>
  <c r="AM36" i="7"/>
  <c r="AL36" i="7"/>
  <c r="AI36" i="7"/>
  <c r="AG36" i="7"/>
  <c r="AF36" i="7"/>
  <c r="AC36" i="7"/>
  <c r="AA36" i="7"/>
  <c r="Z36" i="7"/>
  <c r="W36" i="7"/>
  <c r="U36" i="7"/>
  <c r="T36" i="7"/>
  <c r="Q36" i="7"/>
  <c r="P36" i="7"/>
  <c r="K36" i="7"/>
  <c r="G36" i="7"/>
  <c r="E36" i="7"/>
  <c r="D36" i="7"/>
  <c r="AO35" i="7"/>
  <c r="AM35" i="7"/>
  <c r="AL35" i="7"/>
  <c r="AI35" i="7"/>
  <c r="AG35" i="7"/>
  <c r="AF35" i="7"/>
  <c r="AC35" i="7"/>
  <c r="AA35" i="7"/>
  <c r="Z35" i="7"/>
  <c r="W35" i="7"/>
  <c r="U35" i="7"/>
  <c r="T35" i="7"/>
  <c r="Q35" i="7"/>
  <c r="P35" i="7"/>
  <c r="K35" i="7"/>
  <c r="G35" i="7"/>
  <c r="E35" i="7"/>
  <c r="D35" i="7"/>
  <c r="AO34" i="7"/>
  <c r="AM34" i="7"/>
  <c r="AL34" i="7"/>
  <c r="AI34" i="7"/>
  <c r="AG34" i="7"/>
  <c r="AF34" i="7"/>
  <c r="AC34" i="7"/>
  <c r="AA34" i="7"/>
  <c r="Z34" i="7"/>
  <c r="W34" i="7"/>
  <c r="U34" i="7"/>
  <c r="T34" i="7"/>
  <c r="Q34" i="7"/>
  <c r="P34" i="7"/>
  <c r="K34" i="7"/>
  <c r="G34" i="7"/>
  <c r="E34" i="7"/>
  <c r="D34" i="7"/>
  <c r="AO33" i="7"/>
  <c r="AM33" i="7"/>
  <c r="AL33" i="7"/>
  <c r="AI33" i="7"/>
  <c r="AG33" i="7"/>
  <c r="AF33" i="7"/>
  <c r="AC33" i="7"/>
  <c r="AA33" i="7"/>
  <c r="Z33" i="7"/>
  <c r="W33" i="7"/>
  <c r="U33" i="7"/>
  <c r="T33" i="7"/>
  <c r="Q33" i="7"/>
  <c r="P33" i="7"/>
  <c r="K33" i="7"/>
  <c r="G33" i="7"/>
  <c r="E33" i="7"/>
  <c r="D33" i="7"/>
  <c r="AO32" i="7"/>
  <c r="AM32" i="7"/>
  <c r="AL32" i="7"/>
  <c r="AI32" i="7"/>
  <c r="AG32" i="7"/>
  <c r="AF32" i="7"/>
  <c r="AC32" i="7"/>
  <c r="AA32" i="7"/>
  <c r="Z32" i="7"/>
  <c r="W32" i="7"/>
  <c r="U32" i="7"/>
  <c r="T32" i="7"/>
  <c r="Q32" i="7"/>
  <c r="P32" i="7"/>
  <c r="K32" i="7"/>
  <c r="G32" i="7"/>
  <c r="E32" i="7"/>
  <c r="D32" i="7"/>
  <c r="AO31" i="7"/>
  <c r="AM31" i="7"/>
  <c r="AL31" i="7"/>
  <c r="AI31" i="7"/>
  <c r="AG31" i="7"/>
  <c r="AF31" i="7"/>
  <c r="AC31" i="7"/>
  <c r="AA31" i="7"/>
  <c r="Z31" i="7"/>
  <c r="W31" i="7"/>
  <c r="U31" i="7"/>
  <c r="T31" i="7"/>
  <c r="Q31" i="7"/>
  <c r="P31" i="7"/>
  <c r="K31" i="7"/>
  <c r="G31" i="7"/>
  <c r="E31" i="7"/>
  <c r="D31" i="7"/>
  <c r="AO30" i="7"/>
  <c r="AM30" i="7"/>
  <c r="AL30" i="7"/>
  <c r="AI30" i="7"/>
  <c r="AG30" i="7"/>
  <c r="AF30" i="7"/>
  <c r="AC30" i="7"/>
  <c r="AB30" i="7"/>
  <c r="AA30" i="7"/>
  <c r="Z30" i="7"/>
  <c r="W30" i="7"/>
  <c r="U30" i="7"/>
  <c r="T30" i="7"/>
  <c r="Q30" i="7"/>
  <c r="P30" i="7"/>
  <c r="K30" i="7"/>
  <c r="G30" i="7"/>
  <c r="E30" i="7"/>
  <c r="D30" i="7"/>
  <c r="AO29" i="7"/>
  <c r="AM29" i="7"/>
  <c r="AL29" i="7"/>
  <c r="AI29" i="7"/>
  <c r="AG29" i="7"/>
  <c r="AF29" i="7"/>
  <c r="AC29" i="7"/>
  <c r="AA29" i="7"/>
  <c r="Z29" i="7"/>
  <c r="W29" i="7"/>
  <c r="U29" i="7"/>
  <c r="T29" i="7"/>
  <c r="Q29" i="7"/>
  <c r="P29" i="7"/>
  <c r="K29" i="7"/>
  <c r="G29" i="7"/>
  <c r="E29" i="7"/>
  <c r="D29" i="7"/>
  <c r="AO28" i="7"/>
  <c r="AM28" i="7"/>
  <c r="AL28" i="7"/>
  <c r="AI28" i="7"/>
  <c r="AG28" i="7"/>
  <c r="AF28" i="7"/>
  <c r="AC28" i="7"/>
  <c r="AA28" i="7"/>
  <c r="Z28" i="7"/>
  <c r="W28" i="7"/>
  <c r="U28" i="7"/>
  <c r="T28" i="7"/>
  <c r="Q28" i="7"/>
  <c r="P28" i="7"/>
  <c r="K28" i="7"/>
  <c r="G28" i="7"/>
  <c r="E28" i="7"/>
  <c r="D28" i="7"/>
  <c r="AO27" i="7"/>
  <c r="AM27" i="7"/>
  <c r="AL27" i="7"/>
  <c r="AI27" i="7"/>
  <c r="AG27" i="7"/>
  <c r="AF27" i="7"/>
  <c r="AC27" i="7"/>
  <c r="AA27" i="7"/>
  <c r="Z27" i="7"/>
  <c r="W27" i="7"/>
  <c r="U27" i="7"/>
  <c r="T27" i="7"/>
  <c r="Q27" i="7"/>
  <c r="P27" i="7"/>
  <c r="K27" i="7"/>
  <c r="G27" i="7"/>
  <c r="E27" i="7"/>
  <c r="D27" i="7"/>
  <c r="AO26" i="7"/>
  <c r="AN26" i="7"/>
  <c r="G323" i="18" s="1"/>
  <c r="AM26" i="7"/>
  <c r="AL26" i="7"/>
  <c r="AI26" i="7"/>
  <c r="AG26" i="7"/>
  <c r="AF26" i="7"/>
  <c r="AC26" i="7"/>
  <c r="AA26" i="7"/>
  <c r="Z26" i="7"/>
  <c r="W26" i="7"/>
  <c r="U26" i="7"/>
  <c r="T26" i="7"/>
  <c r="Q26" i="7"/>
  <c r="P26" i="7"/>
  <c r="K26" i="7"/>
  <c r="G26" i="7"/>
  <c r="E26" i="7"/>
  <c r="D26" i="7"/>
  <c r="AO25" i="7"/>
  <c r="AM25" i="7"/>
  <c r="AL25" i="7"/>
  <c r="AI25" i="7"/>
  <c r="AG25" i="7"/>
  <c r="AF25" i="7"/>
  <c r="AC25" i="7"/>
  <c r="AA25" i="7"/>
  <c r="Z25" i="7"/>
  <c r="W25" i="7"/>
  <c r="U25" i="7"/>
  <c r="T25" i="7"/>
  <c r="Q25" i="7"/>
  <c r="P25" i="7"/>
  <c r="K25" i="7"/>
  <c r="G25" i="7"/>
  <c r="E25" i="7"/>
  <c r="D25" i="7"/>
  <c r="AO24" i="7"/>
  <c r="AM24" i="7"/>
  <c r="AL24" i="7"/>
  <c r="AI24" i="7"/>
  <c r="AG24" i="7"/>
  <c r="AF24" i="7"/>
  <c r="AC24" i="7"/>
  <c r="AA24" i="7"/>
  <c r="Z24" i="7"/>
  <c r="W24" i="7"/>
  <c r="U24" i="7"/>
  <c r="T24" i="7"/>
  <c r="Q24" i="7"/>
  <c r="P24" i="7"/>
  <c r="K24" i="7"/>
  <c r="G24" i="7"/>
  <c r="E24" i="7"/>
  <c r="D24" i="7"/>
  <c r="AO23" i="7"/>
  <c r="AM23" i="7"/>
  <c r="AL23" i="7"/>
  <c r="AI23" i="7"/>
  <c r="AG23" i="7"/>
  <c r="AF23" i="7"/>
  <c r="AC23" i="7"/>
  <c r="AA23" i="7"/>
  <c r="Z23" i="7"/>
  <c r="W23" i="7"/>
  <c r="U23" i="7"/>
  <c r="T23" i="7"/>
  <c r="Q23" i="7"/>
  <c r="P23" i="7"/>
  <c r="K23" i="7"/>
  <c r="G23" i="7"/>
  <c r="E23" i="7"/>
  <c r="D23" i="7"/>
  <c r="AO22" i="7"/>
  <c r="AM22" i="7"/>
  <c r="AL22" i="7"/>
  <c r="AI22" i="7"/>
  <c r="AG22" i="7"/>
  <c r="AF22" i="7"/>
  <c r="AC22" i="7"/>
  <c r="AA22" i="7"/>
  <c r="Z22" i="7"/>
  <c r="W22" i="7"/>
  <c r="U22" i="7"/>
  <c r="T22" i="7"/>
  <c r="Q22" i="7"/>
  <c r="P22" i="7"/>
  <c r="K22" i="7"/>
  <c r="G22" i="7"/>
  <c r="E22" i="7"/>
  <c r="D22" i="7"/>
  <c r="AO21" i="7"/>
  <c r="AM21" i="7"/>
  <c r="AL21" i="7"/>
  <c r="AI21" i="7"/>
  <c r="AG21" i="7"/>
  <c r="AF21" i="7"/>
  <c r="AC21" i="7"/>
  <c r="AA21" i="7"/>
  <c r="Z21" i="7"/>
  <c r="W21" i="7"/>
  <c r="U21" i="7"/>
  <c r="T21" i="7"/>
  <c r="Q21" i="7"/>
  <c r="P21" i="7"/>
  <c r="K21" i="7"/>
  <c r="G21" i="7"/>
  <c r="E21" i="7"/>
  <c r="D21" i="7"/>
  <c r="AO20" i="7"/>
  <c r="AM20" i="7"/>
  <c r="AL20" i="7"/>
  <c r="AI20" i="7"/>
  <c r="AG20" i="7"/>
  <c r="AF20" i="7"/>
  <c r="AC20" i="7"/>
  <c r="AA20" i="7"/>
  <c r="Z20" i="7"/>
  <c r="W20" i="7"/>
  <c r="U20" i="7"/>
  <c r="T20" i="7"/>
  <c r="Q20" i="7"/>
  <c r="P20" i="7"/>
  <c r="K20" i="7"/>
  <c r="G20" i="7"/>
  <c r="E20" i="7"/>
  <c r="D20" i="7"/>
  <c r="AO19" i="7"/>
  <c r="AM19" i="7"/>
  <c r="AL19" i="7"/>
  <c r="AI19" i="7"/>
  <c r="AG19" i="7"/>
  <c r="AF19" i="7"/>
  <c r="AC19" i="7"/>
  <c r="AA19" i="7"/>
  <c r="Z19" i="7"/>
  <c r="W19" i="7"/>
  <c r="U19" i="7"/>
  <c r="T19" i="7"/>
  <c r="Q19" i="7"/>
  <c r="P19" i="7"/>
  <c r="K19" i="7"/>
  <c r="G19" i="7"/>
  <c r="E19" i="7"/>
  <c r="D19" i="7"/>
  <c r="AO18" i="7"/>
  <c r="AM18" i="7"/>
  <c r="AL18" i="7"/>
  <c r="AI18" i="7"/>
  <c r="AG18" i="7"/>
  <c r="AF18" i="7"/>
  <c r="AC18" i="7"/>
  <c r="AA18" i="7"/>
  <c r="Z18" i="7"/>
  <c r="W18" i="7"/>
  <c r="U18" i="7"/>
  <c r="T18" i="7"/>
  <c r="Q18" i="7"/>
  <c r="P18" i="7"/>
  <c r="K18" i="7"/>
  <c r="G18" i="7"/>
  <c r="E18" i="7"/>
  <c r="D18" i="7"/>
  <c r="AO17" i="7"/>
  <c r="AM17" i="7"/>
  <c r="AL17" i="7"/>
  <c r="AI17" i="7"/>
  <c r="AG17" i="7"/>
  <c r="AF17" i="7"/>
  <c r="AC17" i="7"/>
  <c r="AB17" i="7"/>
  <c r="AA17" i="7"/>
  <c r="Z17" i="7"/>
  <c r="W17" i="7"/>
  <c r="U17" i="7"/>
  <c r="T17" i="7"/>
  <c r="Q17" i="7"/>
  <c r="P17" i="7"/>
  <c r="K17" i="7"/>
  <c r="G17" i="7"/>
  <c r="E17" i="7"/>
  <c r="D17" i="7"/>
  <c r="AO16" i="7"/>
  <c r="AN16" i="7"/>
  <c r="AM16" i="7"/>
  <c r="AL16" i="7"/>
  <c r="AI16" i="7"/>
  <c r="AG16" i="7"/>
  <c r="AF16" i="7"/>
  <c r="AC16" i="7"/>
  <c r="AA16" i="7"/>
  <c r="Z16" i="7"/>
  <c r="W16" i="7"/>
  <c r="U16" i="7"/>
  <c r="T16" i="7"/>
  <c r="Q16" i="7"/>
  <c r="P16" i="7"/>
  <c r="K16" i="7"/>
  <c r="G16" i="7"/>
  <c r="E16" i="7"/>
  <c r="D16" i="7"/>
  <c r="AO15" i="7"/>
  <c r="AM15" i="7"/>
  <c r="AL15" i="7"/>
  <c r="AI15" i="7"/>
  <c r="AG15" i="7"/>
  <c r="AF15" i="7"/>
  <c r="AC15" i="7"/>
  <c r="AA15" i="7"/>
  <c r="Z15" i="7"/>
  <c r="W15" i="7"/>
  <c r="U15" i="7"/>
  <c r="T15" i="7"/>
  <c r="P15" i="7"/>
  <c r="K15" i="7"/>
  <c r="I15" i="7"/>
  <c r="G15" i="7"/>
  <c r="E15" i="7"/>
  <c r="D15" i="7"/>
  <c r="AL12" i="7"/>
  <c r="AL14" i="7" s="1"/>
  <c r="AF12" i="7"/>
  <c r="AF14" i="7" s="1"/>
  <c r="Z12" i="7"/>
  <c r="Z14" i="7" s="1"/>
  <c r="T12" i="7"/>
  <c r="T14" i="7" s="1"/>
  <c r="P12" i="7"/>
  <c r="K12" i="7"/>
  <c r="I12" i="7"/>
  <c r="G12" i="7"/>
  <c r="E12" i="7"/>
  <c r="D12" i="7"/>
  <c r="M11" i="7" s="1"/>
  <c r="E3" i="7"/>
  <c r="B7" i="7" s="1"/>
  <c r="C2" i="7"/>
  <c r="AN44" i="7" l="1"/>
  <c r="G341" i="18" s="1"/>
  <c r="AN49" i="7"/>
  <c r="G346" i="18" s="1"/>
  <c r="AN47" i="7"/>
  <c r="G344" i="18" s="1"/>
  <c r="V64" i="7"/>
  <c r="R19" i="7"/>
  <c r="V27" i="7"/>
  <c r="AN31" i="7"/>
  <c r="G328" i="18" s="1"/>
  <c r="AB39" i="7"/>
  <c r="AB63" i="7"/>
  <c r="R30" i="7"/>
  <c r="V17" i="7"/>
  <c r="AH17" i="7"/>
  <c r="R28" i="7"/>
  <c r="V48" i="7"/>
  <c r="AH60" i="7"/>
  <c r="V62" i="7"/>
  <c r="AB67" i="7"/>
  <c r="V35" i="7"/>
  <c r="AB48" i="7"/>
  <c r="AB58" i="7"/>
  <c r="AB16" i="7"/>
  <c r="AH35" i="7"/>
  <c r="V50" i="7"/>
  <c r="X50" i="7" s="1"/>
  <c r="AH53" i="7"/>
  <c r="AB18" i="7"/>
  <c r="AN25" i="7"/>
  <c r="G322" i="18" s="1"/>
  <c r="AH38" i="7"/>
  <c r="AN43" i="7"/>
  <c r="G340" i="18" s="1"/>
  <c r="AH49" i="7"/>
  <c r="V56" i="7"/>
  <c r="AN68" i="7"/>
  <c r="G365" i="18" s="1"/>
  <c r="R57" i="7"/>
  <c r="AB265" i="7"/>
  <c r="AD265" i="7" s="1"/>
  <c r="R53" i="7"/>
  <c r="V29" i="7"/>
  <c r="V30" i="7"/>
  <c r="AH30" i="7"/>
  <c r="AB31" i="7"/>
  <c r="AH33" i="7"/>
  <c r="AJ33" i="7" s="1"/>
  <c r="V38" i="7"/>
  <c r="AB45" i="7"/>
  <c r="R47" i="7"/>
  <c r="M136" i="7"/>
  <c r="V16" i="7"/>
  <c r="X16" i="7" s="1"/>
  <c r="R18" i="7"/>
  <c r="AN19" i="7"/>
  <c r="R24" i="7"/>
  <c r="V26" i="7"/>
  <c r="V28" i="7"/>
  <c r="V44" i="7"/>
  <c r="AB53" i="7"/>
  <c r="M74" i="7"/>
  <c r="R31" i="7"/>
  <c r="AB33" i="7"/>
  <c r="AD33" i="7" s="1"/>
  <c r="AN266" i="7"/>
  <c r="AP266" i="7" s="1"/>
  <c r="AE153" i="7"/>
  <c r="AK166" i="7"/>
  <c r="AE168" i="7"/>
  <c r="AE175" i="7"/>
  <c r="AE191" i="7"/>
  <c r="AK193" i="7"/>
  <c r="AS206" i="7"/>
  <c r="AS207" i="7"/>
  <c r="Y217" i="7"/>
  <c r="Y219" i="7"/>
  <c r="Y220" i="7"/>
  <c r="Y229" i="7"/>
  <c r="AE232" i="7"/>
  <c r="AS235" i="7"/>
  <c r="Y237" i="7"/>
  <c r="AE247" i="7"/>
  <c r="Y249" i="7"/>
  <c r="AE251" i="7"/>
  <c r="AS254" i="7"/>
  <c r="AN265" i="7"/>
  <c r="AP265" i="7" s="1"/>
  <c r="AB266" i="7"/>
  <c r="AD266" i="7" s="1"/>
  <c r="F268" i="7"/>
  <c r="N268" i="7"/>
  <c r="Y279" i="7"/>
  <c r="AS285" i="7"/>
  <c r="AE289" i="7"/>
  <c r="Y295" i="7"/>
  <c r="AE297" i="7"/>
  <c r="AS301" i="7"/>
  <c r="AS307" i="7"/>
  <c r="Y312" i="7"/>
  <c r="AK316" i="7"/>
  <c r="AK317" i="7"/>
  <c r="Y323" i="7"/>
  <c r="Y326" i="7"/>
  <c r="AS328" i="7"/>
  <c r="J330" i="7"/>
  <c r="Y340" i="7"/>
  <c r="Y343" i="7"/>
  <c r="AK343" i="7"/>
  <c r="Y344" i="7"/>
  <c r="Y347" i="7"/>
  <c r="Y348" i="7"/>
  <c r="Y349" i="7"/>
  <c r="AS350" i="7"/>
  <c r="Y351" i="7"/>
  <c r="AK353" i="7"/>
  <c r="Y355" i="7"/>
  <c r="Y360" i="7"/>
  <c r="AK367" i="7"/>
  <c r="AS370" i="7"/>
  <c r="Y371" i="7"/>
  <c r="Y374" i="7"/>
  <c r="Y375" i="7"/>
  <c r="Y381" i="7"/>
  <c r="AS381" i="7"/>
  <c r="AS382" i="7"/>
  <c r="Y383" i="7"/>
  <c r="Y388" i="7"/>
  <c r="AE389" i="7"/>
  <c r="Y391" i="7"/>
  <c r="J392" i="7"/>
  <c r="Y141" i="7"/>
  <c r="Y142" i="7"/>
  <c r="Y182" i="7"/>
  <c r="AS187" i="7"/>
  <c r="AS191" i="7"/>
  <c r="AS87" i="7"/>
  <c r="Y88" i="7"/>
  <c r="Y102" i="7"/>
  <c r="AS107" i="7"/>
  <c r="Y117" i="7"/>
  <c r="R58" i="7"/>
  <c r="R66" i="7"/>
  <c r="AG14" i="7"/>
  <c r="AN41" i="7"/>
  <c r="G338" i="18" s="1"/>
  <c r="AN65" i="7"/>
  <c r="G362" i="18" s="1"/>
  <c r="AN32" i="7"/>
  <c r="G329" i="18" s="1"/>
  <c r="AN56" i="7"/>
  <c r="G353" i="18" s="1"/>
  <c r="AN39" i="7"/>
  <c r="AQ390" i="7"/>
  <c r="AH27" i="7"/>
  <c r="AH15" i="7"/>
  <c r="AH65" i="7"/>
  <c r="AK382" i="7"/>
  <c r="AK351" i="7"/>
  <c r="AK346" i="7"/>
  <c r="AK339" i="7"/>
  <c r="AB28" i="7"/>
  <c r="AK357" i="7"/>
  <c r="AK373" i="7"/>
  <c r="AB26" i="7"/>
  <c r="AB35" i="7"/>
  <c r="AD35" i="7" s="1"/>
  <c r="AK391" i="7"/>
  <c r="AE358" i="7"/>
  <c r="Y390" i="7"/>
  <c r="AE390" i="7"/>
  <c r="AE355" i="7"/>
  <c r="AS353" i="7"/>
  <c r="AS358" i="7"/>
  <c r="Y363" i="7"/>
  <c r="Y384" i="7"/>
  <c r="S389" i="7"/>
  <c r="R15" i="7"/>
  <c r="Y339" i="7"/>
  <c r="Y364" i="7"/>
  <c r="Y373" i="7"/>
  <c r="Y380" i="7"/>
  <c r="Y376" i="7"/>
  <c r="H93" i="1"/>
  <c r="AN62" i="7"/>
  <c r="G359" i="18" s="1"/>
  <c r="AQ322" i="7"/>
  <c r="AQ315" i="7"/>
  <c r="AQ303" i="7"/>
  <c r="AH51" i="7"/>
  <c r="AH26" i="7"/>
  <c r="AJ26" i="7" s="1"/>
  <c r="AQ320" i="7"/>
  <c r="AH63" i="7"/>
  <c r="AJ63" i="7" s="1"/>
  <c r="AK277" i="7"/>
  <c r="AK300" i="7"/>
  <c r="AK313" i="7"/>
  <c r="AK329" i="7"/>
  <c r="AK301" i="7"/>
  <c r="AK303" i="7"/>
  <c r="AB37" i="7"/>
  <c r="AB59" i="7"/>
  <c r="AD59" i="7" s="1"/>
  <c r="AB61" i="7"/>
  <c r="AD61" i="7" s="1"/>
  <c r="AE282" i="7"/>
  <c r="AE300" i="7"/>
  <c r="V32" i="7"/>
  <c r="V21" i="7"/>
  <c r="X21" i="7" s="1"/>
  <c r="V61" i="7"/>
  <c r="X61" i="7" s="1"/>
  <c r="V51" i="7"/>
  <c r="AE296" i="7"/>
  <c r="V19" i="7"/>
  <c r="X19" i="7" s="1"/>
  <c r="Y19" i="7" s="1"/>
  <c r="V63" i="7"/>
  <c r="V66" i="7"/>
  <c r="AS295" i="7"/>
  <c r="Y301" i="7"/>
  <c r="Y327" i="7"/>
  <c r="AS305" i="7"/>
  <c r="Y325" i="7"/>
  <c r="Y277" i="7"/>
  <c r="R23" i="7"/>
  <c r="S23" i="7" s="1"/>
  <c r="AS311" i="7"/>
  <c r="Y278" i="7"/>
  <c r="Y285" i="7"/>
  <c r="Y305" i="7"/>
  <c r="Y307" i="7"/>
  <c r="Y324" i="7"/>
  <c r="R33" i="7"/>
  <c r="AS292" i="7"/>
  <c r="H92" i="1"/>
  <c r="H52" i="7"/>
  <c r="H28" i="7"/>
  <c r="F330" i="7"/>
  <c r="N330" i="7"/>
  <c r="AN67" i="7"/>
  <c r="G364" i="18" s="1"/>
  <c r="AN60" i="7"/>
  <c r="G357" i="18" s="1"/>
  <c r="AQ243" i="7"/>
  <c r="AN20" i="7"/>
  <c r="G317" i="18" s="1"/>
  <c r="AN29" i="7"/>
  <c r="G326" i="18" s="1"/>
  <c r="AN64" i="7"/>
  <c r="AP64" i="7" s="1"/>
  <c r="AN15" i="7"/>
  <c r="G312" i="18" s="1"/>
  <c r="AN38" i="7"/>
  <c r="G335" i="18" s="1"/>
  <c r="AN33" i="7"/>
  <c r="G330" i="18" s="1"/>
  <c r="AN48" i="7"/>
  <c r="G345" i="18" s="1"/>
  <c r="AQ239" i="7"/>
  <c r="AH22" i="7"/>
  <c r="AJ22" i="7" s="1"/>
  <c r="AH31" i="7"/>
  <c r="AJ31" i="7" s="1"/>
  <c r="AH24" i="7"/>
  <c r="AJ24" i="7" s="1"/>
  <c r="AH52" i="7"/>
  <c r="AJ52" i="7" s="1"/>
  <c r="AK233" i="7"/>
  <c r="AK208" i="7"/>
  <c r="AB55" i="7"/>
  <c r="AK217" i="7"/>
  <c r="AK226" i="7"/>
  <c r="AE243" i="7"/>
  <c r="AK211" i="7"/>
  <c r="AK215" i="7"/>
  <c r="AK238" i="7"/>
  <c r="AK248" i="7"/>
  <c r="AK252" i="7"/>
  <c r="AK212" i="7"/>
  <c r="AK241" i="7"/>
  <c r="AK223" i="7"/>
  <c r="AK232" i="7"/>
  <c r="AE215" i="7"/>
  <c r="AE222" i="7"/>
  <c r="AE224" i="7"/>
  <c r="AE248" i="7"/>
  <c r="Y222" i="7"/>
  <c r="V55" i="7"/>
  <c r="X55" i="7" s="1"/>
  <c r="X208" i="7"/>
  <c r="AR208" i="7" s="1"/>
  <c r="X238" i="7"/>
  <c r="AE238" i="7" s="1"/>
  <c r="AE231" i="7"/>
  <c r="AE214" i="7"/>
  <c r="AE244" i="7"/>
  <c r="AE249" i="7"/>
  <c r="V33" i="7"/>
  <c r="X33" i="7" s="1"/>
  <c r="V40" i="7"/>
  <c r="X40" i="7" s="1"/>
  <c r="Y40" i="7" s="1"/>
  <c r="V42" i="7"/>
  <c r="AE237" i="7"/>
  <c r="Y211" i="7"/>
  <c r="S245" i="7"/>
  <c r="AS250" i="7"/>
  <c r="Y251" i="7"/>
  <c r="AS202" i="7"/>
  <c r="Y243" i="7"/>
  <c r="AS233" i="7"/>
  <c r="R26" i="7"/>
  <c r="S26" i="7" s="1"/>
  <c r="R35" i="7"/>
  <c r="S35" i="7" s="1"/>
  <c r="AS211" i="7"/>
  <c r="Y223" i="7"/>
  <c r="Y225" i="7"/>
  <c r="Y250" i="7"/>
  <c r="Y240" i="7"/>
  <c r="Y242" i="7"/>
  <c r="J68" i="7"/>
  <c r="H36" i="7"/>
  <c r="F256" i="7"/>
  <c r="AQ174" i="7"/>
  <c r="AN51" i="7"/>
  <c r="AP51" i="7" s="1"/>
  <c r="AP140" i="7"/>
  <c r="AS140" i="7" s="1"/>
  <c r="AN57" i="7"/>
  <c r="G354" i="18" s="1"/>
  <c r="AN24" i="7"/>
  <c r="G321" i="18" s="1"/>
  <c r="AJ37" i="7"/>
  <c r="AJ152" i="7"/>
  <c r="AQ152" i="7" s="1"/>
  <c r="AH39" i="7"/>
  <c r="AJ39" i="7" s="1"/>
  <c r="AH41" i="7"/>
  <c r="AJ41" i="7" s="1"/>
  <c r="AH46" i="7"/>
  <c r="AJ46" i="7" s="1"/>
  <c r="AQ171" i="7"/>
  <c r="AH61" i="7"/>
  <c r="AJ61" i="7" s="1"/>
  <c r="AH50" i="7"/>
  <c r="AJ50" i="7" s="1"/>
  <c r="AH68" i="7"/>
  <c r="AJ68" i="7" s="1"/>
  <c r="AH62" i="7"/>
  <c r="AJ62" i="7" s="1"/>
  <c r="AK192" i="7"/>
  <c r="AB32" i="7"/>
  <c r="AD32" i="7" s="1"/>
  <c r="AB44" i="7"/>
  <c r="AD44" i="7" s="1"/>
  <c r="AK156" i="7"/>
  <c r="AK170" i="7"/>
  <c r="AK144" i="7"/>
  <c r="X29" i="7"/>
  <c r="X28" i="7"/>
  <c r="Y28" i="7" s="1"/>
  <c r="AE185" i="7"/>
  <c r="AE164" i="7"/>
  <c r="V58" i="7"/>
  <c r="X58" i="7" s="1"/>
  <c r="Y58" i="7" s="1"/>
  <c r="V60" i="7"/>
  <c r="X60" i="7" s="1"/>
  <c r="AE150" i="7"/>
  <c r="AE160" i="7"/>
  <c r="R34" i="7"/>
  <c r="S34" i="7" s="1"/>
  <c r="R67" i="7"/>
  <c r="S67" i="7" s="1"/>
  <c r="Y149" i="7"/>
  <c r="Y167" i="7"/>
  <c r="Y190" i="7"/>
  <c r="R42" i="7"/>
  <c r="R36" i="7"/>
  <c r="S36" i="7" s="1"/>
  <c r="Y145" i="7"/>
  <c r="Y165" i="7"/>
  <c r="AS183" i="7"/>
  <c r="R32" i="7"/>
  <c r="S32" i="7" s="1"/>
  <c r="Y186" i="7"/>
  <c r="AS175" i="7"/>
  <c r="R54" i="7"/>
  <c r="R65" i="7"/>
  <c r="S65" i="7" s="1"/>
  <c r="Y174" i="7"/>
  <c r="R40" i="7"/>
  <c r="S40" i="7" s="1"/>
  <c r="Y178" i="7"/>
  <c r="S47" i="7"/>
  <c r="L32" i="7"/>
  <c r="L19" i="7"/>
  <c r="L194" i="7"/>
  <c r="L57" i="7"/>
  <c r="J21" i="7"/>
  <c r="L39" i="7"/>
  <c r="H19" i="7"/>
  <c r="F29" i="7"/>
  <c r="H57" i="7"/>
  <c r="F194" i="7"/>
  <c r="E89" i="1"/>
  <c r="F62" i="7"/>
  <c r="AP39" i="7"/>
  <c r="G336" i="18"/>
  <c r="AN18" i="7"/>
  <c r="G315" i="18" s="1"/>
  <c r="AN55" i="7"/>
  <c r="AP30" i="7"/>
  <c r="AS30" i="7" s="1"/>
  <c r="G327" i="18"/>
  <c r="AP102" i="7"/>
  <c r="AP16" i="7"/>
  <c r="G313" i="18"/>
  <c r="AP44" i="7"/>
  <c r="AN46" i="7"/>
  <c r="G343" i="18" s="1"/>
  <c r="AP95" i="7"/>
  <c r="AP19" i="7"/>
  <c r="AS19" i="7" s="1"/>
  <c r="G316" i="18"/>
  <c r="AN66" i="7"/>
  <c r="G363" i="18" s="1"/>
  <c r="AQ100" i="7"/>
  <c r="AJ51" i="7"/>
  <c r="AJ38" i="7"/>
  <c r="AJ49" i="7"/>
  <c r="AK88" i="7"/>
  <c r="AQ88" i="7"/>
  <c r="AK100" i="7"/>
  <c r="AH29" i="7"/>
  <c r="AJ29" i="7" s="1"/>
  <c r="AH56" i="7"/>
  <c r="AJ56" i="7" s="1"/>
  <c r="AJ65" i="7"/>
  <c r="AK125" i="7"/>
  <c r="AH58" i="7"/>
  <c r="AJ58" i="7" s="1"/>
  <c r="AK79" i="7"/>
  <c r="AD31" i="7"/>
  <c r="AD26" i="7"/>
  <c r="AD15" i="7"/>
  <c r="AK98" i="7"/>
  <c r="AK113" i="7"/>
  <c r="AD121" i="7"/>
  <c r="AE121" i="7" s="1"/>
  <c r="AK129" i="7"/>
  <c r="AB24" i="7"/>
  <c r="AD24" i="7" s="1"/>
  <c r="AB19" i="7"/>
  <c r="AB46" i="7"/>
  <c r="AD46" i="7" s="1"/>
  <c r="AK82" i="7"/>
  <c r="AB52" i="7"/>
  <c r="AD52" i="7" s="1"/>
  <c r="AB66" i="7"/>
  <c r="AD66" i="7" s="1"/>
  <c r="AK105" i="7"/>
  <c r="AD111" i="7"/>
  <c r="AE111" i="7" s="1"/>
  <c r="AK101" i="7"/>
  <c r="AK124" i="7"/>
  <c r="AK91" i="7"/>
  <c r="AK97" i="7"/>
  <c r="X63" i="7"/>
  <c r="X27" i="7"/>
  <c r="X35" i="7"/>
  <c r="AE90" i="7"/>
  <c r="AE101" i="7"/>
  <c r="V15" i="7"/>
  <c r="X15" i="7" s="1"/>
  <c r="X95" i="7"/>
  <c r="AE126" i="7"/>
  <c r="AE89" i="7"/>
  <c r="V45" i="7"/>
  <c r="X45" i="7" s="1"/>
  <c r="Y86" i="7"/>
  <c r="Y90" i="7"/>
  <c r="R27" i="7"/>
  <c r="Y78" i="7"/>
  <c r="Y87" i="7"/>
  <c r="Y89" i="7"/>
  <c r="S33" i="7"/>
  <c r="AS82" i="7"/>
  <c r="Y110" i="7"/>
  <c r="Y112" i="7"/>
  <c r="S66" i="7"/>
  <c r="S19" i="7"/>
  <c r="N45" i="7"/>
  <c r="L15" i="7"/>
  <c r="N48" i="7"/>
  <c r="S37" i="7"/>
  <c r="S31" i="7"/>
  <c r="J43" i="7"/>
  <c r="J47" i="7"/>
  <c r="L26" i="7"/>
  <c r="L53" i="7"/>
  <c r="J59" i="7"/>
  <c r="J45" i="7"/>
  <c r="J50" i="7"/>
  <c r="J19" i="7"/>
  <c r="J67" i="7"/>
  <c r="J33" i="7"/>
  <c r="J42" i="7"/>
  <c r="H21" i="7"/>
  <c r="H35" i="7"/>
  <c r="H41" i="7"/>
  <c r="J49" i="7"/>
  <c r="J132" i="7"/>
  <c r="J27" i="7"/>
  <c r="J35" i="7"/>
  <c r="J41" i="7"/>
  <c r="J48" i="7"/>
  <c r="H64" i="7"/>
  <c r="H68" i="7"/>
  <c r="H15" i="7"/>
  <c r="H20" i="7"/>
  <c r="H29" i="7"/>
  <c r="F58" i="7"/>
  <c r="F43" i="7"/>
  <c r="H51" i="7"/>
  <c r="H58" i="7"/>
  <c r="F15" i="7"/>
  <c r="H60" i="7"/>
  <c r="N31" i="7"/>
  <c r="F63" i="7"/>
  <c r="F23" i="7"/>
  <c r="N29" i="7"/>
  <c r="F38" i="7"/>
  <c r="F61" i="7"/>
  <c r="N21" i="7"/>
  <c r="N27" i="7"/>
  <c r="F54" i="7"/>
  <c r="N55" i="7"/>
  <c r="F22" i="7"/>
  <c r="F24" i="7"/>
  <c r="N35" i="7"/>
  <c r="N58" i="7"/>
  <c r="N61" i="7"/>
  <c r="F46" i="7"/>
  <c r="N15" i="7"/>
  <c r="N16" i="7"/>
  <c r="M19" i="7"/>
  <c r="R20" i="7"/>
  <c r="S20" i="7" s="1"/>
  <c r="H24" i="7"/>
  <c r="V24" i="7"/>
  <c r="X24" i="7" s="1"/>
  <c r="J25" i="7"/>
  <c r="J34" i="7"/>
  <c r="AN34" i="7"/>
  <c r="G331" i="18" s="1"/>
  <c r="H37" i="7"/>
  <c r="X38" i="7"/>
  <c r="J39" i="7"/>
  <c r="AN40" i="7"/>
  <c r="X43" i="7"/>
  <c r="AJ43" i="7"/>
  <c r="H44" i="7"/>
  <c r="X44" i="7"/>
  <c r="AH44" i="7"/>
  <c r="AJ44" i="7" s="1"/>
  <c r="V49" i="7"/>
  <c r="J51" i="7"/>
  <c r="J52" i="7"/>
  <c r="X56" i="7"/>
  <c r="M59" i="7"/>
  <c r="F64" i="7"/>
  <c r="M65" i="7"/>
  <c r="AK81" i="7"/>
  <c r="AS84" i="7"/>
  <c r="AP93" i="7"/>
  <c r="AR93" i="7" s="1"/>
  <c r="S94" i="7"/>
  <c r="AP94" i="7"/>
  <c r="AS94" i="7" s="1"/>
  <c r="AD96" i="7"/>
  <c r="AE96" i="7" s="1"/>
  <c r="X98" i="7"/>
  <c r="Y98" i="7" s="1"/>
  <c r="Y106" i="7"/>
  <c r="AE110" i="7"/>
  <c r="AP117" i="7"/>
  <c r="Y212" i="7"/>
  <c r="AK229" i="7"/>
  <c r="R43" i="7"/>
  <c r="S43" i="7" s="1"/>
  <c r="AK289" i="7"/>
  <c r="AQ365" i="7"/>
  <c r="AS365" i="7"/>
  <c r="R264" i="7"/>
  <c r="S264" i="7" s="1"/>
  <c r="P268" i="7"/>
  <c r="AQ345" i="7"/>
  <c r="AS345" i="7"/>
  <c r="AD16" i="7"/>
  <c r="H18" i="7"/>
  <c r="AH18" i="7"/>
  <c r="AJ18" i="7" s="1"/>
  <c r="AH20" i="7"/>
  <c r="AJ20" i="7" s="1"/>
  <c r="V22" i="7"/>
  <c r="X22" i="7" s="1"/>
  <c r="H23" i="7"/>
  <c r="V23" i="7"/>
  <c r="X23" i="7" s="1"/>
  <c r="N24" i="7"/>
  <c r="AB25" i="7"/>
  <c r="AD25" i="7" s="1"/>
  <c r="AP26" i="7"/>
  <c r="AS26" i="7" s="1"/>
  <c r="S28" i="7"/>
  <c r="AD28" i="7"/>
  <c r="AN28" i="7"/>
  <c r="AD30" i="7"/>
  <c r="AP32" i="7"/>
  <c r="F35" i="7"/>
  <c r="H42" i="7"/>
  <c r="X42" i="7"/>
  <c r="Y42" i="7" s="1"/>
  <c r="L45" i="7"/>
  <c r="AB51" i="7"/>
  <c r="AD51" i="7" s="1"/>
  <c r="J56" i="7"/>
  <c r="L58" i="7"/>
  <c r="AK85" i="7"/>
  <c r="AD39" i="7"/>
  <c r="Y109" i="7"/>
  <c r="Y113" i="7"/>
  <c r="AS168" i="7"/>
  <c r="R56" i="7"/>
  <c r="S56" i="7" s="1"/>
  <c r="S181" i="7"/>
  <c r="R39" i="7"/>
  <c r="S39" i="7" s="1"/>
  <c r="AK350" i="7"/>
  <c r="AS357" i="7"/>
  <c r="AQ357" i="7"/>
  <c r="AQ377" i="7"/>
  <c r="AS377" i="7"/>
  <c r="J29" i="7"/>
  <c r="H38" i="7"/>
  <c r="R16" i="7"/>
  <c r="S16" i="7" s="1"/>
  <c r="H22" i="7"/>
  <c r="N40" i="7"/>
  <c r="AH45" i="7"/>
  <c r="AJ45" i="7" s="1"/>
  <c r="H46" i="7"/>
  <c r="N47" i="7"/>
  <c r="L48" i="7"/>
  <c r="AN50" i="7"/>
  <c r="AB57" i="7"/>
  <c r="AD57" i="7" s="1"/>
  <c r="AN59" i="7"/>
  <c r="AS81" i="7"/>
  <c r="Y169" i="7"/>
  <c r="Y181" i="7"/>
  <c r="AK221" i="7"/>
  <c r="AK172" i="7"/>
  <c r="M28" i="7"/>
  <c r="AJ17" i="7"/>
  <c r="J18" i="7"/>
  <c r="J22" i="7"/>
  <c r="N23" i="7"/>
  <c r="AN23" i="7"/>
  <c r="G320" i="18" s="1"/>
  <c r="N30" i="7"/>
  <c r="F31" i="7"/>
  <c r="AJ35" i="7"/>
  <c r="AB43" i="7"/>
  <c r="AD43" i="7" s="1"/>
  <c r="AP43" i="7"/>
  <c r="AP49" i="7"/>
  <c r="F53" i="7"/>
  <c r="J54" i="7"/>
  <c r="L59" i="7"/>
  <c r="H61" i="7"/>
  <c r="X62" i="7"/>
  <c r="Y62" i="7" s="1"/>
  <c r="L63" i="7"/>
  <c r="AB64" i="7"/>
  <c r="AD64" i="7" s="1"/>
  <c r="V68" i="7"/>
  <c r="X68" i="7" s="1"/>
  <c r="Y82" i="7"/>
  <c r="AK95" i="7"/>
  <c r="Y97" i="7"/>
  <c r="Y101" i="7"/>
  <c r="AE115" i="7"/>
  <c r="AS176" i="7"/>
  <c r="AQ319" i="7"/>
  <c r="AK358" i="7"/>
  <c r="AE371" i="7"/>
  <c r="AQ385" i="7"/>
  <c r="AS385" i="7"/>
  <c r="V37" i="7"/>
  <c r="X37" i="7" s="1"/>
  <c r="Y37" i="7" s="1"/>
  <c r="AB40" i="7"/>
  <c r="AD40" i="7" s="1"/>
  <c r="Y85" i="7"/>
  <c r="AQ192" i="7"/>
  <c r="V20" i="7"/>
  <c r="X20" i="7" s="1"/>
  <c r="AH21" i="7"/>
  <c r="AJ21" i="7" s="1"/>
  <c r="M30" i="7"/>
  <c r="AN36" i="7"/>
  <c r="AN42" i="7"/>
  <c r="R44" i="7"/>
  <c r="S44" i="7" s="1"/>
  <c r="AB47" i="7"/>
  <c r="AD47" i="7" s="1"/>
  <c r="AD48" i="7"/>
  <c r="R49" i="7"/>
  <c r="S49" i="7" s="1"/>
  <c r="R50" i="7"/>
  <c r="S50" i="7" s="1"/>
  <c r="F51" i="7"/>
  <c r="M53" i="7"/>
  <c r="V53" i="7"/>
  <c r="X53" i="7" s="1"/>
  <c r="Y53" i="7" s="1"/>
  <c r="AJ53" i="7"/>
  <c r="AD55" i="7"/>
  <c r="M57" i="7"/>
  <c r="AN58" i="7"/>
  <c r="G355" i="18" s="1"/>
  <c r="AD63" i="7"/>
  <c r="Y84" i="7"/>
  <c r="AS88" i="7"/>
  <c r="AK109" i="7"/>
  <c r="AQ122" i="7"/>
  <c r="AQ126" i="7"/>
  <c r="Y157" i="7"/>
  <c r="AQ373" i="7"/>
  <c r="AS373" i="7"/>
  <c r="J57" i="7"/>
  <c r="AD18" i="7"/>
  <c r="AB22" i="7"/>
  <c r="AD22" i="7" s="1"/>
  <c r="AN22" i="7"/>
  <c r="AJ27" i="7"/>
  <c r="AH28" i="7"/>
  <c r="AJ28" i="7" s="1"/>
  <c r="X30" i="7"/>
  <c r="Y30" i="7" s="1"/>
  <c r="M34" i="7"/>
  <c r="AB36" i="7"/>
  <c r="AD36" i="7" s="1"/>
  <c r="V39" i="7"/>
  <c r="X39" i="7" s="1"/>
  <c r="AB41" i="7"/>
  <c r="AD41" i="7" s="1"/>
  <c r="AB42" i="7"/>
  <c r="AD42" i="7" s="1"/>
  <c r="R45" i="7"/>
  <c r="S45" i="7" s="1"/>
  <c r="R48" i="7"/>
  <c r="S48" i="7" s="1"/>
  <c r="X51" i="7"/>
  <c r="S58" i="7"/>
  <c r="M64" i="7"/>
  <c r="J66" i="7"/>
  <c r="X66" i="7"/>
  <c r="Y66" i="7" s="1"/>
  <c r="AH66" i="7"/>
  <c r="R25" i="7"/>
  <c r="S25" i="7" s="1"/>
  <c r="AH42" i="7"/>
  <c r="AJ42" i="7" s="1"/>
  <c r="AE105" i="7"/>
  <c r="AE107" i="7"/>
  <c r="AK116" i="7"/>
  <c r="AE148" i="7"/>
  <c r="AE152" i="7"/>
  <c r="AE154" i="7"/>
  <c r="AK171" i="7"/>
  <c r="R55" i="7"/>
  <c r="S55" i="7" s="1"/>
  <c r="AE183" i="7"/>
  <c r="M198" i="7"/>
  <c r="AK209" i="7"/>
  <c r="AK214" i="7"/>
  <c r="Y216" i="7"/>
  <c r="AS221" i="7"/>
  <c r="Y228" i="7"/>
  <c r="Y232" i="7"/>
  <c r="Y234" i="7"/>
  <c r="AQ240" i="7"/>
  <c r="AS241" i="7"/>
  <c r="AS243" i="7"/>
  <c r="Y246" i="7"/>
  <c r="Y248" i="7"/>
  <c r="AK249" i="7"/>
  <c r="AS252" i="7"/>
  <c r="Y255" i="7"/>
  <c r="AE277" i="7"/>
  <c r="AQ279" i="7"/>
  <c r="AS283" i="7"/>
  <c r="AS289" i="7"/>
  <c r="AK299" i="7"/>
  <c r="AS317" i="7"/>
  <c r="AK328" i="7"/>
  <c r="AK340" i="7"/>
  <c r="AE342" i="7"/>
  <c r="Y356" i="7"/>
  <c r="Y359" i="7"/>
  <c r="AQ366" i="7"/>
  <c r="AE382" i="7"/>
  <c r="AK385" i="7"/>
  <c r="Y389" i="7"/>
  <c r="AE118" i="7"/>
  <c r="AE144" i="7"/>
  <c r="Y161" i="7"/>
  <c r="Y168" i="7"/>
  <c r="AS179" i="7"/>
  <c r="AE190" i="7"/>
  <c r="AE211" i="7"/>
  <c r="Y282" i="7"/>
  <c r="AS287" i="7"/>
  <c r="AK297" i="7"/>
  <c r="AK302" i="7"/>
  <c r="AR358" i="7"/>
  <c r="AE362" i="7"/>
  <c r="Y367" i="7"/>
  <c r="Y369" i="7"/>
  <c r="AE370" i="7"/>
  <c r="AS374" i="7"/>
  <c r="AE376" i="7"/>
  <c r="AS172" i="7"/>
  <c r="R59" i="7"/>
  <c r="S59" i="7" s="1"/>
  <c r="AK234" i="7"/>
  <c r="AE236" i="7"/>
  <c r="AK237" i="7"/>
  <c r="AH266" i="7"/>
  <c r="AJ266" i="7" s="1"/>
  <c r="AR266" i="7" s="1"/>
  <c r="AS297" i="7"/>
  <c r="AS316" i="7"/>
  <c r="AK323" i="7"/>
  <c r="AK356" i="7"/>
  <c r="AK370" i="7"/>
  <c r="R41" i="7"/>
  <c r="S41" i="7" s="1"/>
  <c r="Y121" i="7"/>
  <c r="AQ124" i="7"/>
  <c r="AD68" i="7"/>
  <c r="Y153" i="7"/>
  <c r="AE158" i="7"/>
  <c r="AK163" i="7"/>
  <c r="Y170" i="7"/>
  <c r="Y173" i="7"/>
  <c r="AK176" i="7"/>
  <c r="AE187" i="7"/>
  <c r="AN63" i="7"/>
  <c r="Y213" i="7"/>
  <c r="Y215" i="7"/>
  <c r="AK218" i="7"/>
  <c r="AK220" i="7"/>
  <c r="AS237" i="7"/>
  <c r="AS242" i="7"/>
  <c r="AK253" i="7"/>
  <c r="AH265" i="7"/>
  <c r="AJ265" i="7" s="1"/>
  <c r="AK265" i="7" s="1"/>
  <c r="AN267" i="7"/>
  <c r="AP267" i="7" s="1"/>
  <c r="Y291" i="7"/>
  <c r="AE303" i="7"/>
  <c r="Y311" i="7"/>
  <c r="AE313" i="7"/>
  <c r="Y322" i="7"/>
  <c r="Y353" i="7"/>
  <c r="AK354" i="7"/>
  <c r="Y357" i="7"/>
  <c r="AE378" i="7"/>
  <c r="M392" i="7"/>
  <c r="AK381" i="7"/>
  <c r="AE384" i="7"/>
  <c r="AK168" i="7"/>
  <c r="AK180" i="7"/>
  <c r="AS240" i="7"/>
  <c r="AQ244" i="7"/>
  <c r="AS248" i="7"/>
  <c r="AS280" i="7"/>
  <c r="AS293" i="7"/>
  <c r="AE298" i="7"/>
  <c r="AK318" i="7"/>
  <c r="AR346" i="7"/>
  <c r="AR350" i="7"/>
  <c r="AE351" i="7"/>
  <c r="AE361" i="7"/>
  <c r="AQ362" i="7"/>
  <c r="AS389" i="7"/>
  <c r="AK291" i="7"/>
  <c r="AS327" i="7"/>
  <c r="AR328" i="7"/>
  <c r="Y338" i="7"/>
  <c r="AR366" i="7"/>
  <c r="Y368" i="7"/>
  <c r="AK147" i="7"/>
  <c r="Y164" i="7"/>
  <c r="AK173" i="7"/>
  <c r="AE179" i="7"/>
  <c r="Y205" i="7"/>
  <c r="AK227" i="7"/>
  <c r="AE233" i="7"/>
  <c r="V266" i="7"/>
  <c r="X266" i="7" s="1"/>
  <c r="Y287" i="7"/>
  <c r="AK309" i="7"/>
  <c r="AS313" i="7"/>
  <c r="AE321" i="7"/>
  <c r="AS322" i="7"/>
  <c r="AS326" i="7"/>
  <c r="AK377" i="7"/>
  <c r="AE386" i="7"/>
  <c r="AK388" i="7"/>
  <c r="AQ203" i="7"/>
  <c r="AS203" i="7"/>
  <c r="AK219" i="7"/>
  <c r="AE225" i="7"/>
  <c r="AK225" i="7"/>
  <c r="X17" i="7"/>
  <c r="L22" i="7"/>
  <c r="AH16" i="7"/>
  <c r="AJ16" i="7" s="1"/>
  <c r="AH23" i="7"/>
  <c r="AJ23" i="7" s="1"/>
  <c r="N28" i="7"/>
  <c r="AB34" i="7"/>
  <c r="AD34" i="7" s="1"/>
  <c r="L37" i="7"/>
  <c r="M47" i="7"/>
  <c r="M50" i="7"/>
  <c r="L54" i="7"/>
  <c r="N54" i="7"/>
  <c r="N56" i="7"/>
  <c r="L56" i="7"/>
  <c r="R64" i="7"/>
  <c r="Y94" i="7"/>
  <c r="AS184" i="7"/>
  <c r="S193" i="7"/>
  <c r="R68" i="7"/>
  <c r="S68" i="7" s="1"/>
  <c r="AQ232" i="7"/>
  <c r="AS232" i="7"/>
  <c r="J31" i="7"/>
  <c r="N43" i="7"/>
  <c r="AM69" i="7"/>
  <c r="L16" i="7"/>
  <c r="J17" i="7"/>
  <c r="N19" i="7"/>
  <c r="AH19" i="7"/>
  <c r="AJ19" i="7" s="1"/>
  <c r="F20" i="7"/>
  <c r="AB20" i="7"/>
  <c r="AD20" i="7" s="1"/>
  <c r="J24" i="7"/>
  <c r="M25" i="7"/>
  <c r="AP25" i="7"/>
  <c r="H31" i="7"/>
  <c r="AP31" i="7"/>
  <c r="J37" i="7"/>
  <c r="M38" i="7"/>
  <c r="R38" i="7"/>
  <c r="AB38" i="7"/>
  <c r="AD38" i="7" s="1"/>
  <c r="AE38" i="7" s="1"/>
  <c r="V41" i="7"/>
  <c r="X41" i="7" s="1"/>
  <c r="F42" i="7"/>
  <c r="L43" i="7"/>
  <c r="F44" i="7"/>
  <c r="F47" i="7"/>
  <c r="AP47" i="7"/>
  <c r="AS47" i="7" s="1"/>
  <c r="X49" i="7"/>
  <c r="Y49" i="7" s="1"/>
  <c r="H50" i="7"/>
  <c r="R51" i="7"/>
  <c r="S51" i="7" s="1"/>
  <c r="AE79" i="7"/>
  <c r="Y91" i="7"/>
  <c r="AE100" i="7"/>
  <c r="AJ114" i="7"/>
  <c r="AR114" i="7" s="1"/>
  <c r="Y118" i="7"/>
  <c r="AP119" i="7"/>
  <c r="AS119" i="7" s="1"/>
  <c r="X120" i="7"/>
  <c r="Y120" i="7" s="1"/>
  <c r="V57" i="7"/>
  <c r="X57" i="7" s="1"/>
  <c r="Y57" i="7" s="1"/>
  <c r="AD123" i="7"/>
  <c r="AE123" i="7" s="1"/>
  <c r="AB60" i="7"/>
  <c r="AD60" i="7" s="1"/>
  <c r="AE149" i="7"/>
  <c r="AK151" i="7"/>
  <c r="AK160" i="7"/>
  <c r="AE162" i="7"/>
  <c r="S171" i="7"/>
  <c r="R46" i="7"/>
  <c r="S46" i="7" s="1"/>
  <c r="S184" i="7"/>
  <c r="Y185" i="7"/>
  <c r="AS192" i="7"/>
  <c r="Y193" i="7"/>
  <c r="AK204" i="7"/>
  <c r="AE223" i="7"/>
  <c r="J46" i="7"/>
  <c r="AD102" i="7"/>
  <c r="AE102" i="7" s="1"/>
  <c r="X122" i="7"/>
  <c r="Y122" i="7" s="1"/>
  <c r="V59" i="7"/>
  <c r="X59" i="7" s="1"/>
  <c r="V67" i="7"/>
  <c r="X67" i="7" s="1"/>
  <c r="AD131" i="7"/>
  <c r="AE131" i="7" s="1"/>
  <c r="AE157" i="7"/>
  <c r="Y166" i="7"/>
  <c r="AJ167" i="7"/>
  <c r="AQ167" i="7" s="1"/>
  <c r="S180" i="7"/>
  <c r="AE216" i="7"/>
  <c r="AK231" i="7"/>
  <c r="AS236" i="7"/>
  <c r="AQ236" i="7"/>
  <c r="Y245" i="7"/>
  <c r="AE245" i="7"/>
  <c r="F30" i="7"/>
  <c r="N132" i="7"/>
  <c r="L132" i="7"/>
  <c r="AN21" i="7"/>
  <c r="H30" i="7"/>
  <c r="L31" i="7"/>
  <c r="V31" i="7"/>
  <c r="X31" i="7" s="1"/>
  <c r="Y31" i="7" s="1"/>
  <c r="F32" i="7"/>
  <c r="L33" i="7"/>
  <c r="V34" i="7"/>
  <c r="X34" i="7" s="1"/>
  <c r="Y34" i="7" s="1"/>
  <c r="AH34" i="7"/>
  <c r="AJ34" i="7" s="1"/>
  <c r="N37" i="7"/>
  <c r="J38" i="7"/>
  <c r="M39" i="7"/>
  <c r="N39" i="7"/>
  <c r="H40" i="7"/>
  <c r="M41" i="7"/>
  <c r="J44" i="7"/>
  <c r="L46" i="7"/>
  <c r="F48" i="7"/>
  <c r="R52" i="7"/>
  <c r="S52" i="7" s="1"/>
  <c r="S54" i="7"/>
  <c r="AP60" i="7"/>
  <c r="R61" i="7"/>
  <c r="AN61" i="7"/>
  <c r="N63" i="7"/>
  <c r="Y80" i="7"/>
  <c r="AE99" i="7"/>
  <c r="AE104" i="7"/>
  <c r="AE106" i="7"/>
  <c r="AK108" i="7"/>
  <c r="AJ118" i="7"/>
  <c r="AR118" i="7" s="1"/>
  <c r="AH55" i="7"/>
  <c r="AJ55" i="7" s="1"/>
  <c r="AP123" i="7"/>
  <c r="AS123" i="7" s="1"/>
  <c r="S126" i="7"/>
  <c r="AR126" i="7"/>
  <c r="R63" i="7"/>
  <c r="X130" i="7"/>
  <c r="Y130" i="7" s="1"/>
  <c r="AK164" i="7"/>
  <c r="AS167" i="7"/>
  <c r="AE169" i="7"/>
  <c r="AP188" i="7"/>
  <c r="AR188" i="7" s="1"/>
  <c r="Y189" i="7"/>
  <c r="Y209" i="7"/>
  <c r="AQ210" i="7"/>
  <c r="Y230" i="7"/>
  <c r="AK235" i="7"/>
  <c r="AE171" i="7"/>
  <c r="Y171" i="7"/>
  <c r="AS180" i="7"/>
  <c r="L24" i="7"/>
  <c r="L35" i="7"/>
  <c r="F40" i="7"/>
  <c r="H47" i="7"/>
  <c r="Y99" i="7"/>
  <c r="V25" i="7"/>
  <c r="X25" i="7" s="1"/>
  <c r="F16" i="7"/>
  <c r="J20" i="7"/>
  <c r="M21" i="7"/>
  <c r="H26" i="7"/>
  <c r="J30" i="7"/>
  <c r="H32" i="7"/>
  <c r="V36" i="7"/>
  <c r="X36" i="7" s="1"/>
  <c r="AH36" i="7"/>
  <c r="AJ36" i="7" s="1"/>
  <c r="L38" i="7"/>
  <c r="F39" i="7"/>
  <c r="J40" i="7"/>
  <c r="L42" i="7"/>
  <c r="H43" i="7"/>
  <c r="N44" i="7"/>
  <c r="H45" i="7"/>
  <c r="AN45" i="7"/>
  <c r="N46" i="7"/>
  <c r="V47" i="7"/>
  <c r="X47" i="7" s="1"/>
  <c r="N51" i="7"/>
  <c r="F52" i="7"/>
  <c r="H54" i="7"/>
  <c r="AB62" i="7"/>
  <c r="AD62" i="7" s="1"/>
  <c r="N64" i="7"/>
  <c r="AR75" i="7"/>
  <c r="AK83" i="7"/>
  <c r="AK104" i="7"/>
  <c r="AQ108" i="7"/>
  <c r="AD112" i="7"/>
  <c r="AK112" i="7" s="1"/>
  <c r="AB49" i="7"/>
  <c r="AD49" i="7" s="1"/>
  <c r="AD117" i="7"/>
  <c r="AE117" i="7" s="1"/>
  <c r="AB54" i="7"/>
  <c r="AD54" i="7" s="1"/>
  <c r="AJ127" i="7"/>
  <c r="AQ127" i="7" s="1"/>
  <c r="AH64" i="7"/>
  <c r="AJ64" i="7" s="1"/>
  <c r="AR129" i="7"/>
  <c r="AE174" i="7"/>
  <c r="Y177" i="7"/>
  <c r="AJ184" i="7"/>
  <c r="AK184" i="7" s="1"/>
  <c r="AH59" i="7"/>
  <c r="AJ59" i="7" s="1"/>
  <c r="AS205" i="7"/>
  <c r="AS210" i="7"/>
  <c r="AQ235" i="7"/>
  <c r="X252" i="7"/>
  <c r="Y252" i="7" s="1"/>
  <c r="V65" i="7"/>
  <c r="X65" i="7" s="1"/>
  <c r="AB23" i="7"/>
  <c r="AD23" i="7" s="1"/>
  <c r="H34" i="7"/>
  <c r="L41" i="7"/>
  <c r="L49" i="7"/>
  <c r="F67" i="7"/>
  <c r="N22" i="7"/>
  <c r="AH25" i="7"/>
  <c r="AJ25" i="7" s="1"/>
  <c r="L27" i="7"/>
  <c r="W69" i="7"/>
  <c r="J16" i="7"/>
  <c r="AD17" i="7"/>
  <c r="L18" i="7"/>
  <c r="AD19" i="7"/>
  <c r="N20" i="7"/>
  <c r="F21" i="7"/>
  <c r="S24" i="7"/>
  <c r="L25" i="7"/>
  <c r="X26" i="7"/>
  <c r="M27" i="7"/>
  <c r="M29" i="7"/>
  <c r="L30" i="7"/>
  <c r="M31" i="7"/>
  <c r="J32" i="7"/>
  <c r="X32" i="7"/>
  <c r="Y32" i="7" s="1"/>
  <c r="M33" i="7"/>
  <c r="L34" i="7"/>
  <c r="AN35" i="7"/>
  <c r="J36" i="7"/>
  <c r="N38" i="7"/>
  <c r="AH40" i="7"/>
  <c r="AJ40" i="7" s="1"/>
  <c r="AP41" i="7"/>
  <c r="AD45" i="7"/>
  <c r="L47" i="7"/>
  <c r="X48" i="7"/>
  <c r="H49" i="7"/>
  <c r="AB50" i="7"/>
  <c r="AD50" i="7" s="1"/>
  <c r="L51" i="7"/>
  <c r="M62" i="7"/>
  <c r="N66" i="7"/>
  <c r="L66" i="7"/>
  <c r="AE82" i="7"/>
  <c r="AS99" i="7"/>
  <c r="AQ99" i="7"/>
  <c r="AJ110" i="7"/>
  <c r="AK110" i="7" s="1"/>
  <c r="AH47" i="7"/>
  <c r="AJ47" i="7" s="1"/>
  <c r="Y114" i="7"/>
  <c r="AH54" i="7"/>
  <c r="AJ54" i="7" s="1"/>
  <c r="AJ117" i="7"/>
  <c r="AD119" i="7"/>
  <c r="AB56" i="7"/>
  <c r="AD56" i="7" s="1"/>
  <c r="Y126" i="7"/>
  <c r="AQ288" i="7"/>
  <c r="AS288" i="7"/>
  <c r="M23" i="7"/>
  <c r="F36" i="7"/>
  <c r="AN52" i="7"/>
  <c r="L17" i="7"/>
  <c r="V18" i="7"/>
  <c r="X18" i="7" s="1"/>
  <c r="F26" i="7"/>
  <c r="F28" i="7"/>
  <c r="Z69" i="7"/>
  <c r="M17" i="7"/>
  <c r="R17" i="7"/>
  <c r="S17" i="7" s="1"/>
  <c r="AN17" i="7"/>
  <c r="M22" i="7"/>
  <c r="R22" i="7"/>
  <c r="L23" i="7"/>
  <c r="J26" i="7"/>
  <c r="H27" i="7"/>
  <c r="AB27" i="7"/>
  <c r="AD27" i="7" s="1"/>
  <c r="AN27" i="7"/>
  <c r="J28" i="7"/>
  <c r="AB29" i="7"/>
  <c r="AD29" i="7" s="1"/>
  <c r="AJ30" i="7"/>
  <c r="N32" i="7"/>
  <c r="AH32" i="7"/>
  <c r="AJ32" i="7" s="1"/>
  <c r="H33" i="7"/>
  <c r="AP33" i="7"/>
  <c r="N36" i="7"/>
  <c r="AD37" i="7"/>
  <c r="H39" i="7"/>
  <c r="L40" i="7"/>
  <c r="AH48" i="7"/>
  <c r="AJ48" i="7" s="1"/>
  <c r="X52" i="7"/>
  <c r="AD53" i="7"/>
  <c r="AN53" i="7"/>
  <c r="AB65" i="7"/>
  <c r="AD65" i="7" s="1"/>
  <c r="AD67" i="7"/>
  <c r="AJ130" i="7"/>
  <c r="AQ130" i="7" s="1"/>
  <c r="AH67" i="7"/>
  <c r="AJ67" i="7" s="1"/>
  <c r="AR185" i="7"/>
  <c r="R60" i="7"/>
  <c r="S60" i="7" s="1"/>
  <c r="AS209" i="7"/>
  <c r="M268" i="7"/>
  <c r="AE294" i="7"/>
  <c r="AQ296" i="7"/>
  <c r="AS296" i="7"/>
  <c r="AK298" i="7"/>
  <c r="AK341" i="7"/>
  <c r="AS349" i="7"/>
  <c r="AQ349" i="7"/>
  <c r="AK378" i="7"/>
  <c r="Y107" i="7"/>
  <c r="AE166" i="7"/>
  <c r="AE178" i="7"/>
  <c r="AE182" i="7"/>
  <c r="AE186" i="7"/>
  <c r="AK213" i="7"/>
  <c r="Y221" i="7"/>
  <c r="Y227" i="7"/>
  <c r="AE230" i="7"/>
  <c r="AE285" i="7"/>
  <c r="AE324" i="7"/>
  <c r="AS341" i="7"/>
  <c r="AQ341" i="7"/>
  <c r="AE346" i="7"/>
  <c r="AQ378" i="7"/>
  <c r="AS378" i="7"/>
  <c r="AQ381" i="7"/>
  <c r="F55" i="7"/>
  <c r="N60" i="7"/>
  <c r="J62" i="7"/>
  <c r="Y93" i="7"/>
  <c r="AE129" i="7"/>
  <c r="P138" i="7"/>
  <c r="AE145" i="7"/>
  <c r="AK148" i="7"/>
  <c r="AE156" i="7"/>
  <c r="AK159" i="7"/>
  <c r="AS174" i="7"/>
  <c r="AK178" i="7"/>
  <c r="AS190" i="7"/>
  <c r="AE205" i="7"/>
  <c r="AE209" i="7"/>
  <c r="Y214" i="7"/>
  <c r="AR217" i="7"/>
  <c r="Y218" i="7"/>
  <c r="AK222" i="7"/>
  <c r="Y224" i="7"/>
  <c r="AK228" i="7"/>
  <c r="AK230" i="7"/>
  <c r="AR237" i="7"/>
  <c r="AK242" i="7"/>
  <c r="AE350" i="7"/>
  <c r="AS361" i="7"/>
  <c r="AQ361" i="7"/>
  <c r="AE366" i="7"/>
  <c r="AS369" i="7"/>
  <c r="AQ369" i="7"/>
  <c r="AE374" i="7"/>
  <c r="M46" i="7"/>
  <c r="H48" i="7"/>
  <c r="M49" i="7"/>
  <c r="L50" i="7"/>
  <c r="N52" i="7"/>
  <c r="X54" i="7"/>
  <c r="Y54" i="7" s="1"/>
  <c r="J55" i="7"/>
  <c r="H62" i="7"/>
  <c r="L64" i="7"/>
  <c r="X64" i="7"/>
  <c r="AP65" i="7"/>
  <c r="AJ66" i="7"/>
  <c r="H67" i="7"/>
  <c r="N68" i="7"/>
  <c r="AE80" i="7"/>
  <c r="AQ81" i="7"/>
  <c r="AE95" i="7"/>
  <c r="AR101" i="7"/>
  <c r="F132" i="7"/>
  <c r="AQ163" i="7"/>
  <c r="AK169" i="7"/>
  <c r="AE173" i="7"/>
  <c r="AS178" i="7"/>
  <c r="AS186" i="7"/>
  <c r="R256" i="7"/>
  <c r="S256" i="7" s="1"/>
  <c r="Y204" i="7"/>
  <c r="Y233" i="7"/>
  <c r="AE234" i="7"/>
  <c r="Y253" i="7"/>
  <c r="AE253" i="7"/>
  <c r="AE328" i="7"/>
  <c r="AE338" i="7"/>
  <c r="AQ346" i="7"/>
  <c r="Y352" i="7"/>
  <c r="AQ353" i="7"/>
  <c r="AK366" i="7"/>
  <c r="AR370" i="7"/>
  <c r="AK374" i="7"/>
  <c r="AR382" i="7"/>
  <c r="AK386" i="7"/>
  <c r="AR231" i="7"/>
  <c r="AS239" i="7"/>
  <c r="AE255" i="7"/>
  <c r="AK280" i="7"/>
  <c r="AE280" i="7"/>
  <c r="AQ312" i="7"/>
  <c r="AS312" i="7"/>
  <c r="AQ386" i="7"/>
  <c r="AS386" i="7"/>
  <c r="M56" i="7"/>
  <c r="N62" i="7"/>
  <c r="J65" i="7"/>
  <c r="AP68" i="7"/>
  <c r="AS80" i="7"/>
  <c r="AE84" i="7"/>
  <c r="AE103" i="7"/>
  <c r="Y127" i="7"/>
  <c r="AK128" i="7"/>
  <c r="H132" i="7"/>
  <c r="AE146" i="7"/>
  <c r="AK155" i="7"/>
  <c r="AK189" i="7"/>
  <c r="AR225" i="7"/>
  <c r="Y226" i="7"/>
  <c r="Y231" i="7"/>
  <c r="AS234" i="7"/>
  <c r="AQ304" i="7"/>
  <c r="AS304" i="7"/>
  <c r="Y320" i="7"/>
  <c r="AE320" i="7"/>
  <c r="AR354" i="7"/>
  <c r="H56" i="7"/>
  <c r="N57" i="7"/>
  <c r="J60" i="7"/>
  <c r="L65" i="7"/>
  <c r="L68" i="7"/>
  <c r="AQ80" i="7"/>
  <c r="AQ87" i="7"/>
  <c r="Y105" i="7"/>
  <c r="Y125" i="7"/>
  <c r="AE141" i="7"/>
  <c r="AK143" i="7"/>
  <c r="AE161" i="7"/>
  <c r="AE165" i="7"/>
  <c r="AE170" i="7"/>
  <c r="AS171" i="7"/>
  <c r="AQ172" i="7"/>
  <c r="AR173" i="7"/>
  <c r="AK177" i="7"/>
  <c r="AK181" i="7"/>
  <c r="AK185" i="7"/>
  <c r="AK188" i="7"/>
  <c r="AK203" i="7"/>
  <c r="AK207" i="7"/>
  <c r="AK210" i="7"/>
  <c r="AE217" i="7"/>
  <c r="AS244" i="7"/>
  <c r="AS246" i="7"/>
  <c r="AQ246" i="7"/>
  <c r="Y247" i="7"/>
  <c r="AE278" i="7"/>
  <c r="AK293" i="7"/>
  <c r="AE305" i="7"/>
  <c r="AE354" i="7"/>
  <c r="Y236" i="7"/>
  <c r="AH264" i="7"/>
  <c r="AJ264" i="7" s="1"/>
  <c r="H268" i="7"/>
  <c r="Z268" i="7"/>
  <c r="AK286" i="7"/>
  <c r="AS291" i="7"/>
  <c r="Y299" i="7"/>
  <c r="Y304" i="7"/>
  <c r="Y308" i="7"/>
  <c r="AK315" i="7"/>
  <c r="AE327" i="7"/>
  <c r="AE343" i="7"/>
  <c r="Y345" i="7"/>
  <c r="AK348" i="7"/>
  <c r="AE363" i="7"/>
  <c r="Y365" i="7"/>
  <c r="AK368" i="7"/>
  <c r="AR369" i="7"/>
  <c r="AE375" i="7"/>
  <c r="Y377" i="7"/>
  <c r="AE380" i="7"/>
  <c r="AE383" i="7"/>
  <c r="Y385" i="7"/>
  <c r="AK239" i="7"/>
  <c r="AQ241" i="7"/>
  <c r="AQ242" i="7"/>
  <c r="Y244" i="7"/>
  <c r="AQ250" i="7"/>
  <c r="AQ291" i="7"/>
  <c r="AK294" i="7"/>
  <c r="AK304" i="7"/>
  <c r="AK308" i="7"/>
  <c r="AK310" i="7"/>
  <c r="AS315" i="7"/>
  <c r="AE318" i="7"/>
  <c r="Y329" i="7"/>
  <c r="AH392" i="7"/>
  <c r="AE345" i="7"/>
  <c r="AQ350" i="7"/>
  <c r="AE365" i="7"/>
  <c r="AQ370" i="7"/>
  <c r="Y372" i="7"/>
  <c r="Y386" i="7"/>
  <c r="Y238" i="7"/>
  <c r="AQ249" i="7"/>
  <c r="AB330" i="7"/>
  <c r="AK281" i="7"/>
  <c r="AQ284" i="7"/>
  <c r="AR285" i="7"/>
  <c r="AK285" i="7"/>
  <c r="AE301" i="7"/>
  <c r="AK321" i="7"/>
  <c r="AR339" i="7"/>
  <c r="AE347" i="7"/>
  <c r="AE359" i="7"/>
  <c r="AE367" i="7"/>
  <c r="Y379" i="7"/>
  <c r="Y387" i="7"/>
  <c r="AR261" i="7"/>
  <c r="V265" i="7"/>
  <c r="X265" i="7" s="1"/>
  <c r="AE265" i="7" s="1"/>
  <c r="AH267" i="7"/>
  <c r="AJ267" i="7" s="1"/>
  <c r="AK267" i="7" s="1"/>
  <c r="AK283" i="7"/>
  <c r="AS284" i="7"/>
  <c r="S285" i="7"/>
  <c r="AK292" i="7"/>
  <c r="Y303" i="7"/>
  <c r="AK306" i="7"/>
  <c r="Y319" i="7"/>
  <c r="S339" i="7"/>
  <c r="AE349" i="7"/>
  <c r="AK352" i="7"/>
  <c r="AR353" i="7"/>
  <c r="AE369" i="7"/>
  <c r="AK372" i="7"/>
  <c r="AR373" i="7"/>
  <c r="AR374" i="7"/>
  <c r="AE379" i="7"/>
  <c r="AE387" i="7"/>
  <c r="AR389" i="7"/>
  <c r="AQ389" i="7"/>
  <c r="AS390" i="7"/>
  <c r="F392" i="7"/>
  <c r="Y266" i="7"/>
  <c r="AS267" i="7"/>
  <c r="AK290" i="7"/>
  <c r="AS299" i="7"/>
  <c r="AQ300" i="7"/>
  <c r="AS321" i="7"/>
  <c r="AE325" i="7"/>
  <c r="AR341" i="7"/>
  <c r="AK342" i="7"/>
  <c r="AR343" i="7"/>
  <c r="AQ354" i="7"/>
  <c r="AK362" i="7"/>
  <c r="AR363" i="7"/>
  <c r="AQ374" i="7"/>
  <c r="AQ382" i="7"/>
  <c r="V392" i="7"/>
  <c r="AQ254" i="7"/>
  <c r="H256" i="7"/>
  <c r="AE288" i="7"/>
  <c r="AS300" i="7"/>
  <c r="AK305" i="7"/>
  <c r="AQ308" i="7"/>
  <c r="AS309" i="7"/>
  <c r="AK314" i="7"/>
  <c r="AS320" i="7"/>
  <c r="AK325" i="7"/>
  <c r="AQ327" i="7"/>
  <c r="AR361" i="7"/>
  <c r="AS238" i="7"/>
  <c r="AE240" i="7"/>
  <c r="AQ245" i="7"/>
  <c r="AQ253" i="7"/>
  <c r="J256" i="7"/>
  <c r="Y280" i="7"/>
  <c r="AR281" i="7"/>
  <c r="AK284" i="7"/>
  <c r="AE291" i="7"/>
  <c r="AQ295" i="7"/>
  <c r="AS303" i="7"/>
  <c r="AS308" i="7"/>
  <c r="AE312" i="7"/>
  <c r="Y315" i="7"/>
  <c r="AS319" i="7"/>
  <c r="Y321" i="7"/>
  <c r="AE323" i="7"/>
  <c r="AQ328" i="7"/>
  <c r="AE339" i="7"/>
  <c r="Y341" i="7"/>
  <c r="AK344" i="7"/>
  <c r="AR347" i="7"/>
  <c r="AE353" i="7"/>
  <c r="AQ358" i="7"/>
  <c r="Y361" i="7"/>
  <c r="AK364" i="7"/>
  <c r="AK376" i="7"/>
  <c r="AE381" i="7"/>
  <c r="AK384" i="7"/>
  <c r="AE391" i="7"/>
  <c r="L392" i="7"/>
  <c r="M16" i="7"/>
  <c r="M24" i="7"/>
  <c r="AG69" i="7"/>
  <c r="N17" i="7"/>
  <c r="N25" i="7"/>
  <c r="M26" i="7"/>
  <c r="F41" i="7"/>
  <c r="M42" i="7"/>
  <c r="H16" i="7"/>
  <c r="N18" i="7"/>
  <c r="L20" i="7"/>
  <c r="S30" i="7"/>
  <c r="F34" i="7"/>
  <c r="N34" i="7"/>
  <c r="M35" i="7"/>
  <c r="L36" i="7"/>
  <c r="N42" i="7"/>
  <c r="M43" i="7"/>
  <c r="L44" i="7"/>
  <c r="F50" i="7"/>
  <c r="N50" i="7"/>
  <c r="M51" i="7"/>
  <c r="L52" i="7"/>
  <c r="S53" i="7"/>
  <c r="AP54" i="7"/>
  <c r="F56" i="7"/>
  <c r="F59" i="7"/>
  <c r="L60" i="7"/>
  <c r="H65" i="7"/>
  <c r="F65" i="7"/>
  <c r="M67" i="7"/>
  <c r="AS79" i="7"/>
  <c r="AQ79" i="7"/>
  <c r="AE81" i="7"/>
  <c r="AE83" i="7"/>
  <c r="AQ84" i="7"/>
  <c r="AK103" i="7"/>
  <c r="AQ103" i="7"/>
  <c r="AQ115" i="7"/>
  <c r="AK115" i="7"/>
  <c r="AQ153" i="7"/>
  <c r="AS153" i="7"/>
  <c r="AK167" i="7"/>
  <c r="AE167" i="7"/>
  <c r="AS173" i="7"/>
  <c r="AQ173" i="7"/>
  <c r="F17" i="7"/>
  <c r="N33" i="7"/>
  <c r="F49" i="7"/>
  <c r="J58" i="7"/>
  <c r="I69" i="7"/>
  <c r="AS298" i="7"/>
  <c r="AQ298" i="7"/>
  <c r="F18" i="7"/>
  <c r="L28" i="7"/>
  <c r="AR12" i="7"/>
  <c r="J15" i="7"/>
  <c r="S15" i="7"/>
  <c r="AA69" i="7"/>
  <c r="AI69" i="7"/>
  <c r="H17" i="7"/>
  <c r="F19" i="7"/>
  <c r="M20" i="7"/>
  <c r="L21" i="7"/>
  <c r="J23" i="7"/>
  <c r="H25" i="7"/>
  <c r="F27" i="7"/>
  <c r="L29" i="7"/>
  <c r="M36" i="7"/>
  <c r="M44" i="7"/>
  <c r="M52" i="7"/>
  <c r="H53" i="7"/>
  <c r="M54" i="7"/>
  <c r="H59" i="7"/>
  <c r="M60" i="7"/>
  <c r="M61" i="7"/>
  <c r="J63" i="7"/>
  <c r="H63" i="7"/>
  <c r="AM77" i="7"/>
  <c r="AK92" i="7"/>
  <c r="AE92" i="7"/>
  <c r="AK106" i="7"/>
  <c r="AR106" i="7"/>
  <c r="AK141" i="7"/>
  <c r="AR141" i="7"/>
  <c r="AS162" i="7"/>
  <c r="AR162" i="7"/>
  <c r="S162" i="7"/>
  <c r="AK165" i="7"/>
  <c r="AR165" i="7"/>
  <c r="M32" i="7"/>
  <c r="Q69" i="7"/>
  <c r="M18" i="7"/>
  <c r="F33" i="7"/>
  <c r="H55" i="7"/>
  <c r="AS125" i="7"/>
  <c r="AQ125" i="7"/>
  <c r="AS154" i="7"/>
  <c r="AR154" i="7"/>
  <c r="S154" i="7"/>
  <c r="AN330" i="7"/>
  <c r="N26" i="7"/>
  <c r="P13" i="7"/>
  <c r="AM14" i="7"/>
  <c r="K69" i="7"/>
  <c r="T69" i="7"/>
  <c r="AJ15" i="7"/>
  <c r="M37" i="7"/>
  <c r="M45" i="7"/>
  <c r="J53" i="7"/>
  <c r="L55" i="7"/>
  <c r="F57" i="7"/>
  <c r="M58" i="7"/>
  <c r="F60" i="7"/>
  <c r="AJ60" i="7"/>
  <c r="F66" i="7"/>
  <c r="M66" i="7"/>
  <c r="AQ90" i="7"/>
  <c r="AS90" i="7"/>
  <c r="AQ98" i="7"/>
  <c r="AS98" i="7"/>
  <c r="AS150" i="7"/>
  <c r="AR150" i="7"/>
  <c r="S150" i="7"/>
  <c r="AQ161" i="7"/>
  <c r="AS161" i="7"/>
  <c r="AO69" i="7"/>
  <c r="F25" i="7"/>
  <c r="N41" i="7"/>
  <c r="N49" i="7"/>
  <c r="AB21" i="7"/>
  <c r="AD21" i="7" s="1"/>
  <c r="D69" i="7"/>
  <c r="U69" i="7"/>
  <c r="AC69" i="7"/>
  <c r="F37" i="7"/>
  <c r="F45" i="7"/>
  <c r="V46" i="7"/>
  <c r="X46" i="7" s="1"/>
  <c r="N53" i="7"/>
  <c r="M55" i="7"/>
  <c r="S57" i="7"/>
  <c r="AR79" i="7"/>
  <c r="Y79" i="7"/>
  <c r="AK80" i="7"/>
  <c r="AR82" i="7"/>
  <c r="AS83" i="7"/>
  <c r="AQ83" i="7"/>
  <c r="AR90" i="7"/>
  <c r="AQ149" i="7"/>
  <c r="AS149" i="7"/>
  <c r="AA337" i="7"/>
  <c r="AM337" i="7"/>
  <c r="AG337" i="7"/>
  <c r="AM275" i="7"/>
  <c r="AG275" i="7"/>
  <c r="AA263" i="7"/>
  <c r="AA275" i="7"/>
  <c r="AA201" i="7"/>
  <c r="AM263" i="7"/>
  <c r="AG263" i="7"/>
  <c r="AM201" i="7"/>
  <c r="AM139" i="7"/>
  <c r="AG139" i="7"/>
  <c r="AA139" i="7"/>
  <c r="AG201" i="7"/>
  <c r="AG77" i="7"/>
  <c r="AA77" i="7"/>
  <c r="U14" i="7"/>
  <c r="E69" i="7"/>
  <c r="M15" i="7"/>
  <c r="AL69" i="7"/>
  <c r="S18" i="7"/>
  <c r="AN37" i="7"/>
  <c r="S42" i="7"/>
  <c r="L61" i="7"/>
  <c r="J61" i="7"/>
  <c r="N67" i="7"/>
  <c r="L67" i="7"/>
  <c r="AQ86" i="7"/>
  <c r="AS86" i="7"/>
  <c r="AS89" i="7"/>
  <c r="AQ89" i="7"/>
  <c r="AS109" i="7"/>
  <c r="AQ109" i="7"/>
  <c r="Y111" i="7"/>
  <c r="AJ120" i="7"/>
  <c r="AK120" i="7" s="1"/>
  <c r="AH57" i="7"/>
  <c r="AJ57" i="7" s="1"/>
  <c r="AS131" i="7"/>
  <c r="AQ131" i="7"/>
  <c r="AS158" i="7"/>
  <c r="AR158" i="7"/>
  <c r="S158" i="7"/>
  <c r="M40" i="7"/>
  <c r="M48" i="7"/>
  <c r="AE93" i="7"/>
  <c r="AK93" i="7"/>
  <c r="AS117" i="7"/>
  <c r="AQ117" i="7"/>
  <c r="Y119" i="7"/>
  <c r="AS146" i="7"/>
  <c r="AR146" i="7"/>
  <c r="S146" i="7"/>
  <c r="AQ157" i="7"/>
  <c r="AS157" i="7"/>
  <c r="AA14" i="7"/>
  <c r="G69" i="7"/>
  <c r="P69" i="7"/>
  <c r="AF69" i="7"/>
  <c r="R21" i="7"/>
  <c r="R29" i="7"/>
  <c r="AD58" i="7"/>
  <c r="N59" i="7"/>
  <c r="AR81" i="7"/>
  <c r="Y81" i="7"/>
  <c r="AR83" i="7"/>
  <c r="Y83" i="7"/>
  <c r="AK84" i="7"/>
  <c r="AE87" i="7"/>
  <c r="AR87" i="7"/>
  <c r="S108" i="7"/>
  <c r="AS108" i="7"/>
  <c r="AR108" i="7"/>
  <c r="AS116" i="7"/>
  <c r="AQ116" i="7"/>
  <c r="AQ145" i="7"/>
  <c r="AS145" i="7"/>
  <c r="N65" i="7"/>
  <c r="V132" i="7"/>
  <c r="AR80" i="7"/>
  <c r="AR84" i="7"/>
  <c r="AR85" i="7"/>
  <c r="S88" i="7"/>
  <c r="AR88" i="7"/>
  <c r="AE97" i="7"/>
  <c r="AK99" i="7"/>
  <c r="AR107" i="7"/>
  <c r="AE108" i="7"/>
  <c r="Y108" i="7"/>
  <c r="AR113" i="7"/>
  <c r="AK122" i="7"/>
  <c r="AE124" i="7"/>
  <c r="Y124" i="7"/>
  <c r="AQ141" i="7"/>
  <c r="AS141" i="7"/>
  <c r="AR142" i="7"/>
  <c r="S142" i="7"/>
  <c r="AR145" i="7"/>
  <c r="Y146" i="7"/>
  <c r="AR149" i="7"/>
  <c r="Y150" i="7"/>
  <c r="AR153" i="7"/>
  <c r="Y154" i="7"/>
  <c r="AR157" i="7"/>
  <c r="Y158" i="7"/>
  <c r="AR161" i="7"/>
  <c r="Y162" i="7"/>
  <c r="AQ165" i="7"/>
  <c r="AS165" i="7"/>
  <c r="AR166" i="7"/>
  <c r="S166" i="7"/>
  <c r="S62" i="7"/>
  <c r="U77" i="7"/>
  <c r="AN132" i="7"/>
  <c r="AS85" i="7"/>
  <c r="AQ85" i="7"/>
  <c r="AR86" i="7"/>
  <c r="AE91" i="7"/>
  <c r="AK94" i="7"/>
  <c r="AE94" i="7"/>
  <c r="AS103" i="7"/>
  <c r="AQ104" i="7"/>
  <c r="AR105" i="7"/>
  <c r="AQ106" i="7"/>
  <c r="AS106" i="7"/>
  <c r="AS112" i="7"/>
  <c r="AQ112" i="7"/>
  <c r="AS113" i="7"/>
  <c r="AQ113" i="7"/>
  <c r="AS115" i="7"/>
  <c r="S116" i="7"/>
  <c r="AR116" i="7"/>
  <c r="AE127" i="7"/>
  <c r="AS170" i="7"/>
  <c r="AQ170" i="7"/>
  <c r="Y235" i="7"/>
  <c r="AE235" i="7"/>
  <c r="AS247" i="7"/>
  <c r="AQ247" i="7"/>
  <c r="AS255" i="7"/>
  <c r="AQ255" i="7"/>
  <c r="AM268" i="7"/>
  <c r="AN264" i="7"/>
  <c r="AS266" i="7"/>
  <c r="AQ266" i="7"/>
  <c r="M68" i="7"/>
  <c r="AQ102" i="7"/>
  <c r="AS102" i="7"/>
  <c r="Y103" i="7"/>
  <c r="S103" i="7"/>
  <c r="S104" i="7"/>
  <c r="AR104" i="7"/>
  <c r="AS104" i="7"/>
  <c r="AS105" i="7"/>
  <c r="AQ105" i="7"/>
  <c r="AE109" i="7"/>
  <c r="AQ111" i="7"/>
  <c r="AS114" i="7"/>
  <c r="Y115" i="7"/>
  <c r="S115" i="7"/>
  <c r="AR115" i="7"/>
  <c r="AE116" i="7"/>
  <c r="Y116" i="7"/>
  <c r="AQ119" i="7"/>
  <c r="S123" i="7"/>
  <c r="AE125" i="7"/>
  <c r="AQ128" i="7"/>
  <c r="S131" i="7"/>
  <c r="AN194" i="7"/>
  <c r="AE142" i="7"/>
  <c r="AQ143" i="7"/>
  <c r="AS144" i="7"/>
  <c r="AQ144" i="7"/>
  <c r="AQ146" i="7"/>
  <c r="AK146" i="7"/>
  <c r="AQ147" i="7"/>
  <c r="AS148" i="7"/>
  <c r="AQ148" i="7"/>
  <c r="AQ150" i="7"/>
  <c r="AK150" i="7"/>
  <c r="AQ151" i="7"/>
  <c r="AS152" i="7"/>
  <c r="AQ154" i="7"/>
  <c r="AK154" i="7"/>
  <c r="AQ155" i="7"/>
  <c r="AS156" i="7"/>
  <c r="AQ156" i="7"/>
  <c r="AQ158" i="7"/>
  <c r="AK158" i="7"/>
  <c r="AQ159" i="7"/>
  <c r="AS160" i="7"/>
  <c r="AQ160" i="7"/>
  <c r="AE184" i="7"/>
  <c r="Y184" i="7"/>
  <c r="L62" i="7"/>
  <c r="J64" i="7"/>
  <c r="H66" i="7"/>
  <c r="F68" i="7"/>
  <c r="AB132" i="7"/>
  <c r="AQ78" i="7"/>
  <c r="AQ82" i="7"/>
  <c r="AE88" i="7"/>
  <c r="AQ92" i="7"/>
  <c r="S100" i="7"/>
  <c r="AR100" i="7"/>
  <c r="AS100" i="7"/>
  <c r="AS101" i="7"/>
  <c r="AQ101" i="7"/>
  <c r="AR103" i="7"/>
  <c r="Y104" i="7"/>
  <c r="AS121" i="7"/>
  <c r="AQ121" i="7"/>
  <c r="Y123" i="7"/>
  <c r="AS129" i="7"/>
  <c r="AQ129" i="7"/>
  <c r="Y131" i="7"/>
  <c r="AQ140" i="7"/>
  <c r="AK142" i="7"/>
  <c r="AR144" i="7"/>
  <c r="AR148" i="7"/>
  <c r="AR156" i="7"/>
  <c r="AR160" i="7"/>
  <c r="AQ162" i="7"/>
  <c r="AK162" i="7"/>
  <c r="AS164" i="7"/>
  <c r="AQ164" i="7"/>
  <c r="M132" i="7"/>
  <c r="AD78" i="7"/>
  <c r="AR78" i="7" s="1"/>
  <c r="AE85" i="7"/>
  <c r="AK90" i="7"/>
  <c r="AS91" i="7"/>
  <c r="AS92" i="7"/>
  <c r="AS95" i="7"/>
  <c r="AQ96" i="7"/>
  <c r="AR97" i="7"/>
  <c r="AR99" i="7"/>
  <c r="Y100" i="7"/>
  <c r="AS111" i="7"/>
  <c r="S112" i="7"/>
  <c r="AE113" i="7"/>
  <c r="AK118" i="7"/>
  <c r="S120" i="7"/>
  <c r="AS120" i="7"/>
  <c r="AK126" i="7"/>
  <c r="AS127" i="7"/>
  <c r="AE128" i="7"/>
  <c r="Y128" i="7"/>
  <c r="Y129" i="7"/>
  <c r="AS142" i="7"/>
  <c r="AQ142" i="7"/>
  <c r="AE143" i="7"/>
  <c r="Y143" i="7"/>
  <c r="Y144" i="7"/>
  <c r="AE147" i="7"/>
  <c r="Y147" i="7"/>
  <c r="Y148" i="7"/>
  <c r="AE151" i="7"/>
  <c r="Y151" i="7"/>
  <c r="Y152" i="7"/>
  <c r="AE155" i="7"/>
  <c r="Y155" i="7"/>
  <c r="Y156" i="7"/>
  <c r="AE159" i="7"/>
  <c r="Y159" i="7"/>
  <c r="Y160" i="7"/>
  <c r="AR164" i="7"/>
  <c r="AS182" i="7"/>
  <c r="AQ182" i="7"/>
  <c r="M63" i="7"/>
  <c r="AS78" i="7"/>
  <c r="AE86" i="7"/>
  <c r="AK87" i="7"/>
  <c r="AK89" i="7"/>
  <c r="AQ91" i="7"/>
  <c r="S92" i="7"/>
  <c r="AR92" i="7"/>
  <c r="AQ94" i="7"/>
  <c r="Y95" i="7"/>
  <c r="S95" i="7"/>
  <c r="AQ95" i="7"/>
  <c r="S96" i="7"/>
  <c r="AS96" i="7"/>
  <c r="AS97" i="7"/>
  <c r="AQ97" i="7"/>
  <c r="AQ107" i="7"/>
  <c r="AK107" i="7"/>
  <c r="AR109" i="7"/>
  <c r="AR125" i="7"/>
  <c r="AE163" i="7"/>
  <c r="Y163" i="7"/>
  <c r="AS166" i="7"/>
  <c r="AQ166" i="7"/>
  <c r="AK205" i="7"/>
  <c r="AQ205" i="7"/>
  <c r="R132" i="7"/>
  <c r="S132" i="7" s="1"/>
  <c r="AH132" i="7"/>
  <c r="AK86" i="7"/>
  <c r="AR89" i="7"/>
  <c r="AR91" i="7"/>
  <c r="Y92" i="7"/>
  <c r="AR95" i="7"/>
  <c r="Y96" i="7"/>
  <c r="AS110" i="7"/>
  <c r="AE112" i="7"/>
  <c r="AE114" i="7"/>
  <c r="AS118" i="7"/>
  <c r="AK123" i="7"/>
  <c r="AR127" i="7"/>
  <c r="S127" i="7"/>
  <c r="AK145" i="7"/>
  <c r="AK149" i="7"/>
  <c r="AK153" i="7"/>
  <c r="AK157" i="7"/>
  <c r="AK161" i="7"/>
  <c r="AQ175" i="7"/>
  <c r="AK175" i="7"/>
  <c r="AS122" i="7"/>
  <c r="AS126" i="7"/>
  <c r="AS130" i="7"/>
  <c r="AB194" i="7"/>
  <c r="AR171" i="7"/>
  <c r="AE181" i="7"/>
  <c r="AR183" i="7"/>
  <c r="Y183" i="7"/>
  <c r="AK186" i="7"/>
  <c r="AK190" i="7"/>
  <c r="J194" i="7"/>
  <c r="H194" i="7"/>
  <c r="AD256" i="7"/>
  <c r="AE207" i="7"/>
  <c r="AR207" i="7"/>
  <c r="Y207" i="7"/>
  <c r="M194" i="7"/>
  <c r="AD194" i="7"/>
  <c r="AQ168" i="7"/>
  <c r="AE172" i="7"/>
  <c r="AR172" i="7"/>
  <c r="Y172" i="7"/>
  <c r="AQ176" i="7"/>
  <c r="AR177" i="7"/>
  <c r="AS177" i="7"/>
  <c r="AQ177" i="7"/>
  <c r="AQ179" i="7"/>
  <c r="AK179" i="7"/>
  <c r="AE188" i="7"/>
  <c r="Y188" i="7"/>
  <c r="AE192" i="7"/>
  <c r="AR192" i="7"/>
  <c r="Y192" i="7"/>
  <c r="AE204" i="7"/>
  <c r="AR206" i="7"/>
  <c r="Y206" i="7"/>
  <c r="AR211" i="7"/>
  <c r="AB268" i="7"/>
  <c r="AD264" i="7"/>
  <c r="AR168" i="7"/>
  <c r="AR169" i="7"/>
  <c r="AS169" i="7"/>
  <c r="AQ169" i="7"/>
  <c r="AK174" i="7"/>
  <c r="AQ186" i="7"/>
  <c r="AR187" i="7"/>
  <c r="Y187" i="7"/>
  <c r="AQ190" i="7"/>
  <c r="AR191" i="7"/>
  <c r="Y191" i="7"/>
  <c r="AH256" i="7"/>
  <c r="Y241" i="7"/>
  <c r="AE241" i="7"/>
  <c r="AR124" i="7"/>
  <c r="AR128" i="7"/>
  <c r="AR137" i="7"/>
  <c r="R194" i="7"/>
  <c r="S194" i="7" s="1"/>
  <c r="AH194" i="7"/>
  <c r="AR143" i="7"/>
  <c r="AR147" i="7"/>
  <c r="AR151" i="7"/>
  <c r="AR155" i="7"/>
  <c r="AR159" i="7"/>
  <c r="AR163" i="7"/>
  <c r="AR167" i="7"/>
  <c r="AE176" i="7"/>
  <c r="AR176" i="7"/>
  <c r="Y176" i="7"/>
  <c r="AQ180" i="7"/>
  <c r="AR181" i="7"/>
  <c r="AS181" i="7"/>
  <c r="AQ181" i="7"/>
  <c r="AQ183" i="7"/>
  <c r="AK183" i="7"/>
  <c r="AE189" i="7"/>
  <c r="AE193" i="7"/>
  <c r="AN256" i="7"/>
  <c r="AE206" i="7"/>
  <c r="AQ209" i="7"/>
  <c r="AE212" i="7"/>
  <c r="AS231" i="7"/>
  <c r="AQ231" i="7"/>
  <c r="AS251" i="7"/>
  <c r="AQ251" i="7"/>
  <c r="AS124" i="7"/>
  <c r="AS128" i="7"/>
  <c r="AS143" i="7"/>
  <c r="AS147" i="7"/>
  <c r="AS151" i="7"/>
  <c r="AS155" i="7"/>
  <c r="AS159" i="7"/>
  <c r="AS163" i="7"/>
  <c r="AR175" i="7"/>
  <c r="Y175" i="7"/>
  <c r="AP256" i="7"/>
  <c r="AR204" i="7"/>
  <c r="AS204" i="7"/>
  <c r="AQ204" i="7"/>
  <c r="AQ206" i="7"/>
  <c r="AK206" i="7"/>
  <c r="AR210" i="7"/>
  <c r="Y210" i="7"/>
  <c r="Y239" i="7"/>
  <c r="AE239" i="7"/>
  <c r="V194" i="7"/>
  <c r="AK140" i="7"/>
  <c r="AE180" i="7"/>
  <c r="AR180" i="7"/>
  <c r="Y180" i="7"/>
  <c r="AS185" i="7"/>
  <c r="AQ185" i="7"/>
  <c r="AQ187" i="7"/>
  <c r="AK187" i="7"/>
  <c r="AS189" i="7"/>
  <c r="AQ189" i="7"/>
  <c r="AQ191" i="7"/>
  <c r="AK191" i="7"/>
  <c r="AS193" i="7"/>
  <c r="AQ193" i="7"/>
  <c r="AK266" i="7"/>
  <c r="X140" i="7"/>
  <c r="AE140" i="7" s="1"/>
  <c r="AE177" i="7"/>
  <c r="AQ178" i="7"/>
  <c r="AR179" i="7"/>
  <c r="Y179" i="7"/>
  <c r="AK182" i="7"/>
  <c r="AE203" i="7"/>
  <c r="AR203" i="7"/>
  <c r="Y203" i="7"/>
  <c r="AQ207" i="7"/>
  <c r="AS208" i="7"/>
  <c r="AQ208" i="7"/>
  <c r="AE210" i="7"/>
  <c r="AQ211" i="7"/>
  <c r="AR212" i="7"/>
  <c r="AS212" i="7"/>
  <c r="AQ212" i="7"/>
  <c r="AS265" i="7"/>
  <c r="S265" i="7"/>
  <c r="AR170" i="7"/>
  <c r="AR174" i="7"/>
  <c r="AR178" i="7"/>
  <c r="AR182" i="7"/>
  <c r="AR186" i="7"/>
  <c r="AR190" i="7"/>
  <c r="AR199" i="7"/>
  <c r="AR205" i="7"/>
  <c r="AR209" i="7"/>
  <c r="AS214" i="7"/>
  <c r="AQ214" i="7"/>
  <c r="AQ216" i="7"/>
  <c r="AS216" i="7"/>
  <c r="AE219" i="7"/>
  <c r="AE220" i="7"/>
  <c r="AQ224" i="7"/>
  <c r="AS224" i="7"/>
  <c r="AE227" i="7"/>
  <c r="AE228" i="7"/>
  <c r="AS230" i="7"/>
  <c r="AQ230" i="7"/>
  <c r="AE242" i="7"/>
  <c r="AK243" i="7"/>
  <c r="AK244" i="7"/>
  <c r="AK246" i="7"/>
  <c r="AR248" i="7"/>
  <c r="AK250" i="7"/>
  <c r="AK254" i="7"/>
  <c r="AB256" i="7"/>
  <c r="U263" i="7"/>
  <c r="AK278" i="7"/>
  <c r="AR278" i="7"/>
  <c r="AR290" i="7"/>
  <c r="Y290" i="7"/>
  <c r="AR292" i="7"/>
  <c r="Y292" i="7"/>
  <c r="AE292" i="7"/>
  <c r="AQ323" i="7"/>
  <c r="AS323" i="7"/>
  <c r="P200" i="7"/>
  <c r="S202" i="7"/>
  <c r="AJ202" i="7"/>
  <c r="AS213" i="7"/>
  <c r="AQ213" i="7"/>
  <c r="S214" i="7"/>
  <c r="AR214" i="7"/>
  <c r="AS215" i="7"/>
  <c r="AQ215" i="7"/>
  <c r="AR216" i="7"/>
  <c r="AE218" i="7"/>
  <c r="AS223" i="7"/>
  <c r="AQ223" i="7"/>
  <c r="AR224" i="7"/>
  <c r="AE226" i="7"/>
  <c r="AS229" i="7"/>
  <c r="AQ229" i="7"/>
  <c r="S230" i="7"/>
  <c r="AR230" i="7"/>
  <c r="AK245" i="7"/>
  <c r="AQ248" i="7"/>
  <c r="AR249" i="7"/>
  <c r="AQ252" i="7"/>
  <c r="AR253" i="7"/>
  <c r="R268" i="7"/>
  <c r="S268" i="7" s="1"/>
  <c r="AR314" i="7"/>
  <c r="Y314" i="7"/>
  <c r="Y316" i="7"/>
  <c r="AE316" i="7"/>
  <c r="AR189" i="7"/>
  <c r="AR193" i="7"/>
  <c r="V256" i="7"/>
  <c r="AR213" i="7"/>
  <c r="AR215" i="7"/>
  <c r="S222" i="7"/>
  <c r="AR222" i="7"/>
  <c r="AS222" i="7"/>
  <c r="AQ222" i="7"/>
  <c r="AR223" i="7"/>
  <c r="AR229" i="7"/>
  <c r="AK236" i="7"/>
  <c r="AK240" i="7"/>
  <c r="AR244" i="7"/>
  <c r="AR245" i="7"/>
  <c r="AR246" i="7"/>
  <c r="AR250" i="7"/>
  <c r="AR252" i="7"/>
  <c r="Y265" i="7"/>
  <c r="AK287" i="7"/>
  <c r="AQ287" i="7"/>
  <c r="X202" i="7"/>
  <c r="AQ220" i="7"/>
  <c r="AS220" i="7"/>
  <c r="AR221" i="7"/>
  <c r="AQ228" i="7"/>
  <c r="AS228" i="7"/>
  <c r="AS245" i="7"/>
  <c r="AS249" i="7"/>
  <c r="AS253" i="7"/>
  <c r="V267" i="7"/>
  <c r="X267" i="7" s="1"/>
  <c r="AE267" i="7" s="1"/>
  <c r="L268" i="7"/>
  <c r="J268" i="7"/>
  <c r="AK311" i="7"/>
  <c r="AQ311" i="7"/>
  <c r="AS219" i="7"/>
  <c r="AQ219" i="7"/>
  <c r="AR220" i="7"/>
  <c r="AS227" i="7"/>
  <c r="AQ227" i="7"/>
  <c r="AR228" i="7"/>
  <c r="AR236" i="7"/>
  <c r="AR240" i="7"/>
  <c r="AR241" i="7"/>
  <c r="AR242" i="7"/>
  <c r="T268" i="7"/>
  <c r="V264" i="7"/>
  <c r="Y284" i="7"/>
  <c r="AE284" i="7"/>
  <c r="AS218" i="7"/>
  <c r="AQ218" i="7"/>
  <c r="AR219" i="7"/>
  <c r="AS226" i="7"/>
  <c r="AQ226" i="7"/>
  <c r="AR227" i="7"/>
  <c r="AR254" i="7"/>
  <c r="Y254" i="7"/>
  <c r="S266" i="7"/>
  <c r="AK307" i="7"/>
  <c r="AQ307" i="7"/>
  <c r="M256" i="7"/>
  <c r="AE213" i="7"/>
  <c r="AK216" i="7"/>
  <c r="AS217" i="7"/>
  <c r="AQ217" i="7"/>
  <c r="S218" i="7"/>
  <c r="AR218" i="7"/>
  <c r="AE221" i="7"/>
  <c r="AK224" i="7"/>
  <c r="AS225" i="7"/>
  <c r="AQ225" i="7"/>
  <c r="S226" i="7"/>
  <c r="AR226" i="7"/>
  <c r="AE229" i="7"/>
  <c r="AR232" i="7"/>
  <c r="AR233" i="7"/>
  <c r="AQ233" i="7"/>
  <c r="AR234" i="7"/>
  <c r="AQ234" i="7"/>
  <c r="AQ237" i="7"/>
  <c r="AR238" i="7"/>
  <c r="AQ238" i="7"/>
  <c r="AE246" i="7"/>
  <c r="AK247" i="7"/>
  <c r="AE250" i="7"/>
  <c r="AK251" i="7"/>
  <c r="AE254" i="7"/>
  <c r="AK255" i="7"/>
  <c r="N256" i="7"/>
  <c r="L256" i="7"/>
  <c r="AR302" i="7"/>
  <c r="Y302" i="7"/>
  <c r="AR235" i="7"/>
  <c r="AR239" i="7"/>
  <c r="AR243" i="7"/>
  <c r="AR247" i="7"/>
  <c r="AR251" i="7"/>
  <c r="AR255" i="7"/>
  <c r="M330" i="7"/>
  <c r="AS278" i="7"/>
  <c r="AQ278" i="7"/>
  <c r="S279" i="7"/>
  <c r="AR279" i="7"/>
  <c r="AE281" i="7"/>
  <c r="AK282" i="7"/>
  <c r="AR289" i="7"/>
  <c r="Y289" i="7"/>
  <c r="AE293" i="7"/>
  <c r="AK296" i="7"/>
  <c r="AE299" i="7"/>
  <c r="AR308" i="7"/>
  <c r="AR312" i="7"/>
  <c r="AR313" i="7"/>
  <c r="Y313" i="7"/>
  <c r="AE317" i="7"/>
  <c r="AK320" i="7"/>
  <c r="AQ324" i="7"/>
  <c r="AS324" i="7"/>
  <c r="AS371" i="7"/>
  <c r="AQ371" i="7"/>
  <c r="AS282" i="7"/>
  <c r="AQ282" i="7"/>
  <c r="S283" i="7"/>
  <c r="AR283" i="7"/>
  <c r="AR286" i="7"/>
  <c r="Y286" i="7"/>
  <c r="AR288" i="7"/>
  <c r="Y288" i="7"/>
  <c r="AE290" i="7"/>
  <c r="AS294" i="7"/>
  <c r="AQ294" i="7"/>
  <c r="AE302" i="7"/>
  <c r="AR306" i="7"/>
  <c r="Y306" i="7"/>
  <c r="AR310" i="7"/>
  <c r="Y310" i="7"/>
  <c r="AE314" i="7"/>
  <c r="AS318" i="7"/>
  <c r="AQ318" i="7"/>
  <c r="AP330" i="7"/>
  <c r="AE279" i="7"/>
  <c r="AR282" i="7"/>
  <c r="Y283" i="7"/>
  <c r="AE295" i="7"/>
  <c r="AE304" i="7"/>
  <c r="AR309" i="7"/>
  <c r="Y309" i="7"/>
  <c r="AE319" i="7"/>
  <c r="AS355" i="7"/>
  <c r="AQ355" i="7"/>
  <c r="U275" i="7"/>
  <c r="P274" i="7"/>
  <c r="AR273" i="7"/>
  <c r="V330" i="7"/>
  <c r="X276" i="7"/>
  <c r="AS276" i="7"/>
  <c r="AS277" i="7"/>
  <c r="AQ277" i="7"/>
  <c r="AK279" i="7"/>
  <c r="AQ280" i="7"/>
  <c r="AE283" i="7"/>
  <c r="AE286" i="7"/>
  <c r="AS290" i="7"/>
  <c r="AQ290" i="7"/>
  <c r="AK295" i="7"/>
  <c r="AR298" i="7"/>
  <c r="Y298" i="7"/>
  <c r="AS302" i="7"/>
  <c r="AQ302" i="7"/>
  <c r="AE306" i="7"/>
  <c r="AE310" i="7"/>
  <c r="AS314" i="7"/>
  <c r="AQ314" i="7"/>
  <c r="AK319" i="7"/>
  <c r="AQ221" i="7"/>
  <c r="AR277" i="7"/>
  <c r="AS279" i="7"/>
  <c r="AR280" i="7"/>
  <c r="AS281" i="7"/>
  <c r="AQ281" i="7"/>
  <c r="AK288" i="7"/>
  <c r="AQ292" i="7"/>
  <c r="AR297" i="7"/>
  <c r="Y297" i="7"/>
  <c r="AQ299" i="7"/>
  <c r="AR300" i="7"/>
  <c r="Y300" i="7"/>
  <c r="AE308" i="7"/>
  <c r="AE309" i="7"/>
  <c r="AK312" i="7"/>
  <c r="AE315" i="7"/>
  <c r="AQ316" i="7"/>
  <c r="AR320" i="7"/>
  <c r="AE322" i="7"/>
  <c r="AK322" i="7"/>
  <c r="AR324" i="7"/>
  <c r="AR284" i="7"/>
  <c r="AS286" i="7"/>
  <c r="AQ286" i="7"/>
  <c r="AR294" i="7"/>
  <c r="Y294" i="7"/>
  <c r="AR296" i="7"/>
  <c r="Y296" i="7"/>
  <c r="AS306" i="7"/>
  <c r="AQ306" i="7"/>
  <c r="AS310" i="7"/>
  <c r="AQ310" i="7"/>
  <c r="AR318" i="7"/>
  <c r="Y318" i="7"/>
  <c r="AS325" i="7"/>
  <c r="AQ325" i="7"/>
  <c r="AS340" i="7"/>
  <c r="AQ340" i="7"/>
  <c r="AQ342" i="7"/>
  <c r="AS342" i="7"/>
  <c r="Y281" i="7"/>
  <c r="AQ283" i="7"/>
  <c r="AE287" i="7"/>
  <c r="AR293" i="7"/>
  <c r="Y293" i="7"/>
  <c r="AR304" i="7"/>
  <c r="AE307" i="7"/>
  <c r="AE311" i="7"/>
  <c r="AR316" i="7"/>
  <c r="AR317" i="7"/>
  <c r="Y317" i="7"/>
  <c r="AB392" i="7"/>
  <c r="R330" i="7"/>
  <c r="S330" i="7" s="1"/>
  <c r="AH330" i="7"/>
  <c r="AR287" i="7"/>
  <c r="AR291" i="7"/>
  <c r="AR295" i="7"/>
  <c r="AR299" i="7"/>
  <c r="AR303" i="7"/>
  <c r="AR307" i="7"/>
  <c r="AR311" i="7"/>
  <c r="AR315" i="7"/>
  <c r="AR319" i="7"/>
  <c r="AR325" i="7"/>
  <c r="AS329" i="7"/>
  <c r="AQ329" i="7"/>
  <c r="AE344" i="7"/>
  <c r="AK347" i="7"/>
  <c r="AS352" i="7"/>
  <c r="AQ352" i="7"/>
  <c r="AR355" i="7"/>
  <c r="AS360" i="7"/>
  <c r="AQ360" i="7"/>
  <c r="AK363" i="7"/>
  <c r="AS368" i="7"/>
  <c r="AQ368" i="7"/>
  <c r="AR371" i="7"/>
  <c r="AE377" i="7"/>
  <c r="AR378" i="7"/>
  <c r="AK380" i="7"/>
  <c r="AR381" i="7"/>
  <c r="AE385" i="7"/>
  <c r="AE388" i="7"/>
  <c r="AK389" i="7"/>
  <c r="AK390" i="7"/>
  <c r="AS391" i="7"/>
  <c r="AQ391" i="7"/>
  <c r="AD392" i="7"/>
  <c r="S276" i="7"/>
  <c r="AJ276" i="7"/>
  <c r="AQ276" i="7" s="1"/>
  <c r="S280" i="7"/>
  <c r="S312" i="7"/>
  <c r="S316" i="7"/>
  <c r="S320" i="7"/>
  <c r="AR329" i="7"/>
  <c r="AE341" i="7"/>
  <c r="AR342" i="7"/>
  <c r="AR345" i="7"/>
  <c r="AS347" i="7"/>
  <c r="AQ347" i="7"/>
  <c r="AK349" i="7"/>
  <c r="AS354" i="7"/>
  <c r="AE356" i="7"/>
  <c r="AK359" i="7"/>
  <c r="AR360" i="7"/>
  <c r="AS363" i="7"/>
  <c r="AQ363" i="7"/>
  <c r="AK365" i="7"/>
  <c r="AE372" i="7"/>
  <c r="AK375" i="7"/>
  <c r="AS380" i="7"/>
  <c r="AQ380" i="7"/>
  <c r="AK383" i="7"/>
  <c r="AR390" i="7"/>
  <c r="AR391" i="7"/>
  <c r="AK326" i="7"/>
  <c r="AE326" i="7"/>
  <c r="AS344" i="7"/>
  <c r="AQ344" i="7"/>
  <c r="AR357" i="7"/>
  <c r="AS359" i="7"/>
  <c r="AQ359" i="7"/>
  <c r="AS375" i="7"/>
  <c r="AQ375" i="7"/>
  <c r="AS383" i="7"/>
  <c r="AQ383" i="7"/>
  <c r="AQ285" i="7"/>
  <c r="AQ289" i="7"/>
  <c r="AQ293" i="7"/>
  <c r="AQ297" i="7"/>
  <c r="AQ301" i="7"/>
  <c r="AQ305" i="7"/>
  <c r="AQ309" i="7"/>
  <c r="AQ313" i="7"/>
  <c r="AQ317" i="7"/>
  <c r="AQ321" i="7"/>
  <c r="AR322" i="7"/>
  <c r="AR323" i="7"/>
  <c r="H330" i="7"/>
  <c r="AR338" i="7"/>
  <c r="AJ392" i="7"/>
  <c r="AS339" i="7"/>
  <c r="AQ339" i="7"/>
  <c r="AS346" i="7"/>
  <c r="AE348" i="7"/>
  <c r="AS356" i="7"/>
  <c r="AQ356" i="7"/>
  <c r="AR359" i="7"/>
  <c r="AS362" i="7"/>
  <c r="AE364" i="7"/>
  <c r="AS372" i="7"/>
  <c r="AQ372" i="7"/>
  <c r="AR375" i="7"/>
  <c r="AR383" i="7"/>
  <c r="AS388" i="7"/>
  <c r="AQ388" i="7"/>
  <c r="H392" i="7"/>
  <c r="AR301" i="7"/>
  <c r="AR305" i="7"/>
  <c r="AQ338" i="7"/>
  <c r="AP392" i="7"/>
  <c r="AR349" i="7"/>
  <c r="AS351" i="7"/>
  <c r="AQ351" i="7"/>
  <c r="AR362" i="7"/>
  <c r="AR365" i="7"/>
  <c r="AS367" i="7"/>
  <c r="AQ367" i="7"/>
  <c r="AK369" i="7"/>
  <c r="AK379" i="7"/>
  <c r="AK387" i="7"/>
  <c r="AR388" i="7"/>
  <c r="AR327" i="7"/>
  <c r="AK327" i="7"/>
  <c r="AE329" i="7"/>
  <c r="AS338" i="7"/>
  <c r="AE340" i="7"/>
  <c r="AS348" i="7"/>
  <c r="AQ348" i="7"/>
  <c r="AR351" i="7"/>
  <c r="AE357" i="7"/>
  <c r="AK360" i="7"/>
  <c r="AE360" i="7"/>
  <c r="AS364" i="7"/>
  <c r="AQ364" i="7"/>
  <c r="AR367" i="7"/>
  <c r="AE373" i="7"/>
  <c r="AR377" i="7"/>
  <c r="AS379" i="7"/>
  <c r="AQ379" i="7"/>
  <c r="AR385" i="7"/>
  <c r="AR386" i="7"/>
  <c r="AS387" i="7"/>
  <c r="AQ387" i="7"/>
  <c r="AD276" i="7"/>
  <c r="AR321" i="7"/>
  <c r="AK324" i="7"/>
  <c r="AR326" i="7"/>
  <c r="AQ326" i="7"/>
  <c r="AS343" i="7"/>
  <c r="AQ343" i="7"/>
  <c r="AK345" i="7"/>
  <c r="AE352" i="7"/>
  <c r="AK355" i="7"/>
  <c r="AK361" i="7"/>
  <c r="AS366" i="7"/>
  <c r="AE368" i="7"/>
  <c r="AK371" i="7"/>
  <c r="AS376" i="7"/>
  <c r="AQ376" i="7"/>
  <c r="AR379" i="7"/>
  <c r="AS384" i="7"/>
  <c r="AQ384" i="7"/>
  <c r="AR387" i="7"/>
  <c r="AR335" i="7"/>
  <c r="N392" i="7"/>
  <c r="P336" i="7"/>
  <c r="X392" i="7"/>
  <c r="AN392" i="7"/>
  <c r="Y328" i="7"/>
  <c r="AK338" i="7"/>
  <c r="AR340" i="7"/>
  <c r="AR344" i="7"/>
  <c r="AR348" i="7"/>
  <c r="AR352" i="7"/>
  <c r="AR356" i="7"/>
  <c r="AR364" i="7"/>
  <c r="AR368" i="7"/>
  <c r="AR372" i="7"/>
  <c r="AR376" i="7"/>
  <c r="AR380" i="7"/>
  <c r="AR384" i="7"/>
  <c r="R392" i="7"/>
  <c r="S392" i="7" s="1"/>
  <c r="L330" i="7"/>
  <c r="Y342" i="7"/>
  <c r="Y346" i="7"/>
  <c r="Y350" i="7"/>
  <c r="Y354" i="7"/>
  <c r="Y358" i="7"/>
  <c r="Y362" i="7"/>
  <c r="Y366" i="7"/>
  <c r="Y370" i="7"/>
  <c r="Y378" i="7"/>
  <c r="Y382" i="7"/>
  <c r="AR102" i="7" l="1"/>
  <c r="AR96" i="7"/>
  <c r="AQ120" i="7"/>
  <c r="AK130" i="7"/>
  <c r="AK102" i="7"/>
  <c r="AK96" i="7"/>
  <c r="AK25" i="7"/>
  <c r="AP62" i="7"/>
  <c r="AS62" i="7" s="1"/>
  <c r="AP56" i="7"/>
  <c r="AS56" i="7" s="1"/>
  <c r="AR265" i="7"/>
  <c r="AR94" i="7"/>
  <c r="AR119" i="7"/>
  <c r="Y48" i="7"/>
  <c r="AR130" i="7"/>
  <c r="AP67" i="7"/>
  <c r="AS67" i="7" s="1"/>
  <c r="AP48" i="7"/>
  <c r="AQ265" i="7"/>
  <c r="Y67" i="7"/>
  <c r="AQ118" i="7"/>
  <c r="Y65" i="7"/>
  <c r="AP23" i="7"/>
  <c r="AS23" i="7" s="1"/>
  <c r="AE266" i="7"/>
  <c r="AP29" i="7"/>
  <c r="AS29" i="7" s="1"/>
  <c r="AP20" i="7"/>
  <c r="AS20" i="7" s="1"/>
  <c r="AK30" i="7"/>
  <c r="Y46" i="7"/>
  <c r="AS16" i="7"/>
  <c r="Y33" i="7"/>
  <c r="AP24" i="7"/>
  <c r="AS24" i="7" s="1"/>
  <c r="AQ16" i="7"/>
  <c r="AQ56" i="7"/>
  <c r="AP18" i="7"/>
  <c r="AS18" i="7" s="1"/>
  <c r="AP15" i="7"/>
  <c r="AS15" i="7" s="1"/>
  <c r="AK16" i="7"/>
  <c r="AK33" i="7"/>
  <c r="AK26" i="7"/>
  <c r="AQ33" i="7"/>
  <c r="AK41" i="7"/>
  <c r="AK48" i="7"/>
  <c r="AK31" i="7"/>
  <c r="AE61" i="7"/>
  <c r="AE26" i="7"/>
  <c r="AR276" i="7"/>
  <c r="AR330" i="7" s="1"/>
  <c r="AE55" i="7"/>
  <c r="AE21" i="7"/>
  <c r="AE35" i="7"/>
  <c r="Y27" i="7"/>
  <c r="AS49" i="7"/>
  <c r="Y55" i="7"/>
  <c r="Y35" i="7"/>
  <c r="Y56" i="7"/>
  <c r="AS68" i="7"/>
  <c r="Y68" i="7"/>
  <c r="Y59" i="7"/>
  <c r="AP57" i="7"/>
  <c r="AR57" i="7" s="1"/>
  <c r="AP38" i="7"/>
  <c r="AR38" i="7" s="1"/>
  <c r="AQ26" i="7"/>
  <c r="G361" i="18"/>
  <c r="AP66" i="7"/>
  <c r="AR66" i="7" s="1"/>
  <c r="AP34" i="7"/>
  <c r="AS34" i="7" s="1"/>
  <c r="AK49" i="7"/>
  <c r="AQ39" i="7"/>
  <c r="AQ51" i="7"/>
  <c r="AK35" i="7"/>
  <c r="AK61" i="7"/>
  <c r="AK57" i="7"/>
  <c r="AE63" i="7"/>
  <c r="AK51" i="7"/>
  <c r="AE32" i="7"/>
  <c r="Y208" i="7"/>
  <c r="Y61" i="7"/>
  <c r="AE208" i="7"/>
  <c r="AE28" i="7"/>
  <c r="AE68" i="7"/>
  <c r="AS32" i="7"/>
  <c r="Y41" i="7"/>
  <c r="AQ64" i="7"/>
  <c r="AS64" i="7"/>
  <c r="AS33" i="7"/>
  <c r="AQ43" i="7"/>
  <c r="G348" i="18"/>
  <c r="AP194" i="7"/>
  <c r="AS194" i="7" s="1"/>
  <c r="AP58" i="7"/>
  <c r="AQ58" i="7" s="1"/>
  <c r="AQ19" i="7"/>
  <c r="AQ62" i="7"/>
  <c r="AR184" i="7"/>
  <c r="AK152" i="7"/>
  <c r="AK56" i="7"/>
  <c r="AR152" i="7"/>
  <c r="AQ184" i="7"/>
  <c r="AK17" i="7"/>
  <c r="AK39" i="7"/>
  <c r="AK59" i="7"/>
  <c r="AK50" i="7"/>
  <c r="AK19" i="7"/>
  <c r="AK24" i="7"/>
  <c r="AK63" i="7"/>
  <c r="AK43" i="7"/>
  <c r="AE64" i="7"/>
  <c r="AR20" i="7"/>
  <c r="AE57" i="7"/>
  <c r="S64" i="7"/>
  <c r="Y36" i="7"/>
  <c r="Y43" i="7"/>
  <c r="AS44" i="7"/>
  <c r="AR51" i="7"/>
  <c r="Y50" i="7"/>
  <c r="S27" i="7"/>
  <c r="AS65" i="7"/>
  <c r="AS43" i="7"/>
  <c r="Y39" i="7"/>
  <c r="Y52" i="7"/>
  <c r="AQ24" i="7"/>
  <c r="AQ93" i="7"/>
  <c r="AS93" i="7"/>
  <c r="AP40" i="7"/>
  <c r="AR40" i="7" s="1"/>
  <c r="G337" i="18"/>
  <c r="AP61" i="7"/>
  <c r="AQ61" i="7" s="1"/>
  <c r="G358" i="18"/>
  <c r="AP63" i="7"/>
  <c r="AR63" i="7" s="1"/>
  <c r="G360" i="18"/>
  <c r="AP46" i="7"/>
  <c r="AR46" i="7" s="1"/>
  <c r="AP50" i="7"/>
  <c r="AQ50" i="7" s="1"/>
  <c r="G347" i="18"/>
  <c r="G352" i="18"/>
  <c r="AP55" i="7"/>
  <c r="AS55" i="7" s="1"/>
  <c r="AP53" i="7"/>
  <c r="AR53" i="7" s="1"/>
  <c r="G350" i="18"/>
  <c r="AP28" i="7"/>
  <c r="AS28" i="7" s="1"/>
  <c r="G325" i="18"/>
  <c r="AP42" i="7"/>
  <c r="AQ42" i="7" s="1"/>
  <c r="G339" i="18"/>
  <c r="AP27" i="7"/>
  <c r="AS27" i="7" s="1"/>
  <c r="G324" i="18"/>
  <c r="AP17" i="7"/>
  <c r="AQ17" i="7" s="1"/>
  <c r="G314" i="18"/>
  <c r="AP36" i="7"/>
  <c r="AS36" i="7" s="1"/>
  <c r="G333" i="18"/>
  <c r="AR32" i="7"/>
  <c r="AP35" i="7"/>
  <c r="G332" i="18"/>
  <c r="AQ65" i="7"/>
  <c r="AP37" i="7"/>
  <c r="AQ37" i="7" s="1"/>
  <c r="G334" i="18"/>
  <c r="AP52" i="7"/>
  <c r="AS52" i="7" s="1"/>
  <c r="G349" i="18"/>
  <c r="AP45" i="7"/>
  <c r="AQ45" i="7" s="1"/>
  <c r="G342" i="18"/>
  <c r="AP21" i="7"/>
  <c r="AQ21" i="7" s="1"/>
  <c r="G318" i="18"/>
  <c r="AP22" i="7"/>
  <c r="AQ22" i="7" s="1"/>
  <c r="G319" i="18"/>
  <c r="AP59" i="7"/>
  <c r="AS59" i="7" s="1"/>
  <c r="G356" i="18"/>
  <c r="AR65" i="7"/>
  <c r="AQ23" i="7"/>
  <c r="AQ25" i="7"/>
  <c r="AK42" i="7"/>
  <c r="AK32" i="7"/>
  <c r="AK65" i="7"/>
  <c r="AQ32" i="7"/>
  <c r="AK64" i="7"/>
  <c r="AR18" i="7"/>
  <c r="AR131" i="7"/>
  <c r="AR16" i="7"/>
  <c r="AK121" i="7"/>
  <c r="AE41" i="7"/>
  <c r="AE65" i="7"/>
  <c r="AK68" i="7"/>
  <c r="AR121" i="7"/>
  <c r="AE24" i="7"/>
  <c r="AK38" i="7"/>
  <c r="AK22" i="7"/>
  <c r="AK47" i="7"/>
  <c r="AK44" i="7"/>
  <c r="AR111" i="7"/>
  <c r="AK60" i="7"/>
  <c r="AE44" i="7"/>
  <c r="AK111" i="7"/>
  <c r="AE47" i="7"/>
  <c r="AR112" i="7"/>
  <c r="AK36" i="7"/>
  <c r="AR62" i="7"/>
  <c r="Y18" i="7"/>
  <c r="AE67" i="7"/>
  <c r="Y16" i="7"/>
  <c r="AE43" i="7"/>
  <c r="AE18" i="7"/>
  <c r="AR43" i="7"/>
  <c r="AE56" i="7"/>
  <c r="AR23" i="7"/>
  <c r="Y23" i="7"/>
  <c r="AE42" i="7"/>
  <c r="AR49" i="7"/>
  <c r="AE50" i="7"/>
  <c r="AR120" i="7"/>
  <c r="AE130" i="7"/>
  <c r="AR122" i="7"/>
  <c r="Y51" i="7"/>
  <c r="AE122" i="7"/>
  <c r="AE51" i="7"/>
  <c r="AE45" i="7"/>
  <c r="AE62" i="7"/>
  <c r="AE22" i="7"/>
  <c r="AE16" i="7"/>
  <c r="AE120" i="7"/>
  <c r="AR98" i="7"/>
  <c r="AE31" i="7"/>
  <c r="AE20" i="7"/>
  <c r="AR31" i="7"/>
  <c r="Y20" i="7"/>
  <c r="Y44" i="7"/>
  <c r="Y64" i="7"/>
  <c r="Y17" i="7"/>
  <c r="AE40" i="7"/>
  <c r="AE29" i="7"/>
  <c r="AK29" i="7"/>
  <c r="AE30" i="7"/>
  <c r="S61" i="7"/>
  <c r="AQ49" i="7"/>
  <c r="AE252" i="7"/>
  <c r="AQ123" i="7"/>
  <c r="AQ110" i="7"/>
  <c r="AK119" i="7"/>
  <c r="AQ114" i="7"/>
  <c r="AR39" i="7"/>
  <c r="AE39" i="7"/>
  <c r="AE37" i="7"/>
  <c r="AE34" i="7"/>
  <c r="AE98" i="7"/>
  <c r="AE17" i="7"/>
  <c r="AE19" i="7"/>
  <c r="AS25" i="7"/>
  <c r="Y60" i="7"/>
  <c r="AE53" i="7"/>
  <c r="AS60" i="7"/>
  <c r="AK46" i="7"/>
  <c r="AK18" i="7"/>
  <c r="AR56" i="7"/>
  <c r="AS48" i="7"/>
  <c r="AK127" i="7"/>
  <c r="AE119" i="7"/>
  <c r="F69" i="7"/>
  <c r="AE48" i="7"/>
  <c r="AK28" i="7"/>
  <c r="AK20" i="7"/>
  <c r="AR110" i="7"/>
  <c r="AK131" i="7"/>
  <c r="AS61" i="7"/>
  <c r="AR44" i="7"/>
  <c r="AS39" i="7"/>
  <c r="Y47" i="7"/>
  <c r="AR19" i="7"/>
  <c r="AR41" i="7"/>
  <c r="AE23" i="7"/>
  <c r="AQ44" i="7"/>
  <c r="AK23" i="7"/>
  <c r="AK392" i="7"/>
  <c r="AK114" i="7"/>
  <c r="AR64" i="7"/>
  <c r="AR54" i="7"/>
  <c r="AK40" i="7"/>
  <c r="AR30" i="7"/>
  <c r="Y45" i="7"/>
  <c r="AE27" i="7"/>
  <c r="AK27" i="7"/>
  <c r="AR25" i="7"/>
  <c r="Y25" i="7"/>
  <c r="AE25" i="7"/>
  <c r="AK117" i="7"/>
  <c r="AP132" i="7"/>
  <c r="AQ47" i="7"/>
  <c r="AK67" i="7"/>
  <c r="AE59" i="7"/>
  <c r="AE392" i="7"/>
  <c r="AR123" i="7"/>
  <c r="AK62" i="7"/>
  <c r="AR61" i="7"/>
  <c r="AQ41" i="7"/>
  <c r="Y26" i="7"/>
  <c r="AS31" i="7"/>
  <c r="AK37" i="7"/>
  <c r="AK45" i="7"/>
  <c r="AQ31" i="7"/>
  <c r="AJ194" i="7"/>
  <c r="AR60" i="7"/>
  <c r="S38" i="7"/>
  <c r="AS41" i="7"/>
  <c r="AR26" i="7"/>
  <c r="AK34" i="7"/>
  <c r="AE36" i="7"/>
  <c r="Y22" i="7"/>
  <c r="AH268" i="7"/>
  <c r="X132" i="7"/>
  <c r="Y132" i="7" s="1"/>
  <c r="AK78" i="7"/>
  <c r="AE49" i="7"/>
  <c r="AR33" i="7"/>
  <c r="AH69" i="7"/>
  <c r="AQ48" i="7"/>
  <c r="Y24" i="7"/>
  <c r="AQ30" i="7"/>
  <c r="S63" i="7"/>
  <c r="AE60" i="7"/>
  <c r="AR47" i="7"/>
  <c r="AQ267" i="7"/>
  <c r="S22" i="7"/>
  <c r="AE33" i="7"/>
  <c r="AK54" i="7"/>
  <c r="AE52" i="7"/>
  <c r="Y63" i="7"/>
  <c r="AR117" i="7"/>
  <c r="AQ68" i="7"/>
  <c r="AR68" i="7"/>
  <c r="AR48" i="7"/>
  <c r="AE54" i="7"/>
  <c r="AK53" i="7"/>
  <c r="AQ188" i="7"/>
  <c r="AS188" i="7"/>
  <c r="AS51" i="7"/>
  <c r="Y38" i="7"/>
  <c r="Y29" i="7"/>
  <c r="S29" i="7"/>
  <c r="AR392" i="7"/>
  <c r="AJ268" i="7"/>
  <c r="AK264" i="7"/>
  <c r="AP264" i="7"/>
  <c r="AN268" i="7"/>
  <c r="Y21" i="7"/>
  <c r="S21" i="7"/>
  <c r="AJ69" i="7"/>
  <c r="AK15" i="7"/>
  <c r="R69" i="7"/>
  <c r="S69" i="7" s="1"/>
  <c r="Y392" i="7"/>
  <c r="AD330" i="7"/>
  <c r="AE276" i="7"/>
  <c r="X264" i="7"/>
  <c r="V268" i="7"/>
  <c r="AR267" i="7"/>
  <c r="Y267" i="7"/>
  <c r="AD268" i="7"/>
  <c r="AD132" i="7"/>
  <c r="AE78" i="7"/>
  <c r="AN69" i="7"/>
  <c r="G366" i="18" s="1"/>
  <c r="AK52" i="7"/>
  <c r="AB69" i="7"/>
  <c r="J69" i="7"/>
  <c r="AJ132" i="7"/>
  <c r="AE46" i="7"/>
  <c r="AR202" i="7"/>
  <c r="AR256" i="7" s="1"/>
  <c r="X256" i="7"/>
  <c r="Y256" i="7" s="1"/>
  <c r="Y202" i="7"/>
  <c r="AE202" i="7"/>
  <c r="AK21" i="7"/>
  <c r="AJ330" i="7"/>
  <c r="AQ330" i="7" s="1"/>
  <c r="AK276" i="7"/>
  <c r="AS392" i="7"/>
  <c r="AQ392" i="7"/>
  <c r="AJ256" i="7"/>
  <c r="AK256" i="7" s="1"/>
  <c r="AQ202" i="7"/>
  <c r="AK202" i="7"/>
  <c r="X194" i="7"/>
  <c r="Y194" i="7" s="1"/>
  <c r="AR140" i="7"/>
  <c r="AR194" i="7" s="1"/>
  <c r="Y140" i="7"/>
  <c r="AE58" i="7"/>
  <c r="X69" i="7"/>
  <c r="Y15" i="7"/>
  <c r="AE15" i="7"/>
  <c r="AD69" i="7"/>
  <c r="AE66" i="7"/>
  <c r="AK66" i="7"/>
  <c r="N69" i="7"/>
  <c r="L69" i="7"/>
  <c r="AS54" i="7"/>
  <c r="AQ54" i="7"/>
  <c r="V69" i="7"/>
  <c r="AS330" i="7"/>
  <c r="AS256" i="7"/>
  <c r="AK55" i="7"/>
  <c r="H69" i="7"/>
  <c r="M69" i="7"/>
  <c r="AQ60" i="7"/>
  <c r="AK58" i="7"/>
  <c r="X330" i="7"/>
  <c r="Y330" i="7" s="1"/>
  <c r="Y276" i="7"/>
  <c r="AK194" i="7"/>
  <c r="AR67" i="7" l="1"/>
  <c r="AQ67" i="7"/>
  <c r="AS57" i="7"/>
  <c r="AR29" i="7"/>
  <c r="AR24" i="7"/>
  <c r="AQ18" i="7"/>
  <c r="AQ20" i="7"/>
  <c r="AQ57" i="7"/>
  <c r="AQ29" i="7"/>
  <c r="AR58" i="7"/>
  <c r="AQ38" i="7"/>
  <c r="AS38" i="7"/>
  <c r="AS66" i="7"/>
  <c r="AR34" i="7"/>
  <c r="AR36" i="7"/>
  <c r="AR15" i="7"/>
  <c r="AQ15" i="7"/>
  <c r="AQ34" i="7"/>
  <c r="AS58" i="7"/>
  <c r="AQ27" i="7"/>
  <c r="AK330" i="7"/>
  <c r="AQ66" i="7"/>
  <c r="AR22" i="7"/>
  <c r="AS37" i="7"/>
  <c r="AR37" i="7"/>
  <c r="AS22" i="7"/>
  <c r="AR52" i="7"/>
  <c r="AQ59" i="7"/>
  <c r="AS50" i="7"/>
  <c r="AR50" i="7"/>
  <c r="AQ194" i="7"/>
  <c r="AQ36" i="7"/>
  <c r="AR45" i="7"/>
  <c r="AQ52" i="7"/>
  <c r="AQ28" i="7"/>
  <c r="AR59" i="7"/>
  <c r="AS42" i="7"/>
  <c r="AR42" i="7"/>
  <c r="AR28" i="7"/>
  <c r="AR55" i="7"/>
  <c r="AS21" i="7"/>
  <c r="AQ55" i="7"/>
  <c r="AR27" i="7"/>
  <c r="AP69" i="7"/>
  <c r="AQ69" i="7" s="1"/>
  <c r="AR21" i="7"/>
  <c r="AS46" i="7"/>
  <c r="AQ46" i="7"/>
  <c r="AQ53" i="7"/>
  <c r="AS53" i="7"/>
  <c r="AS45" i="7"/>
  <c r="W350" i="13"/>
  <c r="AS35" i="7"/>
  <c r="AQ35" i="7"/>
  <c r="AR35" i="7"/>
  <c r="AS63" i="7"/>
  <c r="AQ63" i="7"/>
  <c r="AR17" i="7"/>
  <c r="AS17" i="7"/>
  <c r="AS40" i="7"/>
  <c r="AQ40" i="7"/>
  <c r="AE132" i="7"/>
  <c r="AK69" i="7"/>
  <c r="AQ132" i="7"/>
  <c r="AK268" i="7"/>
  <c r="AQ256" i="7"/>
  <c r="AR132" i="7"/>
  <c r="AS132" i="7"/>
  <c r="Y69" i="7"/>
  <c r="AE69" i="7"/>
  <c r="AE194" i="7"/>
  <c r="AE330" i="7"/>
  <c r="Y264" i="7"/>
  <c r="X268" i="7"/>
  <c r="Y268" i="7" s="1"/>
  <c r="AR264" i="7"/>
  <c r="AR268" i="7" s="1"/>
  <c r="AE256" i="7"/>
  <c r="AK132" i="7"/>
  <c r="AE264" i="7"/>
  <c r="AS264" i="7"/>
  <c r="AQ264" i="7"/>
  <c r="AP268" i="7"/>
  <c r="AS69" i="7" l="1"/>
  <c r="AR69" i="7"/>
  <c r="AE268" i="7"/>
  <c r="AS268" i="7"/>
  <c r="AQ268" i="7"/>
  <c r="U194" i="4" l="1"/>
  <c r="O194" i="4"/>
  <c r="AQ254" i="5"/>
  <c r="AP254" i="5"/>
  <c r="AL254" i="5"/>
  <c r="AK254" i="5"/>
  <c r="AG254" i="5"/>
  <c r="AF254" i="5"/>
  <c r="AQ192" i="5"/>
  <c r="AP192" i="5"/>
  <c r="AL192" i="5"/>
  <c r="AK192" i="5"/>
  <c r="AQ130" i="5"/>
  <c r="AP130" i="5"/>
  <c r="AL130" i="5"/>
  <c r="AK130" i="5"/>
  <c r="AG315" i="5"/>
  <c r="AF315" i="5"/>
  <c r="AG192" i="5"/>
  <c r="AF192" i="5"/>
  <c r="AG130" i="5"/>
  <c r="AF130" i="5"/>
  <c r="AB315" i="5"/>
  <c r="AA315" i="5"/>
  <c r="AB192" i="5"/>
  <c r="AA192" i="5"/>
  <c r="AB254" i="5"/>
  <c r="AA254" i="5"/>
  <c r="AB130" i="5"/>
  <c r="AA130" i="5"/>
  <c r="W315" i="5"/>
  <c r="V315" i="5"/>
  <c r="W192" i="5"/>
  <c r="V192" i="5"/>
  <c r="W254" i="5"/>
  <c r="V254" i="5"/>
  <c r="V130" i="5"/>
  <c r="M250" i="9"/>
  <c r="L250" i="9"/>
  <c r="K250" i="9"/>
  <c r="J250" i="9"/>
  <c r="I250" i="9"/>
  <c r="H250" i="9"/>
  <c r="G250" i="9"/>
  <c r="F250" i="9"/>
  <c r="E250" i="9"/>
  <c r="D250" i="9"/>
  <c r="M195" i="9"/>
  <c r="L195" i="9"/>
  <c r="K195" i="9"/>
  <c r="J195" i="9"/>
  <c r="I195" i="9"/>
  <c r="H195" i="9"/>
  <c r="G195" i="9"/>
  <c r="F195" i="9"/>
  <c r="E195" i="9"/>
  <c r="D195" i="9"/>
  <c r="M190" i="9"/>
  <c r="L190" i="9"/>
  <c r="K190" i="9"/>
  <c r="J190" i="9"/>
  <c r="I190" i="9"/>
  <c r="H190" i="9"/>
  <c r="G190" i="9"/>
  <c r="F190" i="9"/>
  <c r="E190" i="9"/>
  <c r="D190" i="9"/>
  <c r="M135" i="9"/>
  <c r="L135" i="9"/>
  <c r="K135" i="9"/>
  <c r="J135" i="9"/>
  <c r="I135" i="9"/>
  <c r="H135" i="9"/>
  <c r="G135" i="9"/>
  <c r="F135" i="9"/>
  <c r="E135" i="9"/>
  <c r="D135" i="9"/>
  <c r="M130" i="9"/>
  <c r="L130" i="9"/>
  <c r="K130" i="9"/>
  <c r="J130" i="9"/>
  <c r="I130" i="9"/>
  <c r="H130" i="9"/>
  <c r="G130" i="9"/>
  <c r="F130" i="9"/>
  <c r="E130" i="9"/>
  <c r="D130" i="9"/>
  <c r="M75" i="9"/>
  <c r="L75" i="9"/>
  <c r="K75" i="9"/>
  <c r="J75" i="9"/>
  <c r="I75" i="9"/>
  <c r="H75" i="9"/>
  <c r="G75" i="9"/>
  <c r="F75" i="9"/>
  <c r="E75" i="9"/>
  <c r="D75" i="9"/>
  <c r="AQ68" i="9"/>
  <c r="AP68" i="9"/>
  <c r="AO68" i="9"/>
  <c r="AM68" i="9"/>
  <c r="AL68" i="9"/>
  <c r="AK68" i="9"/>
  <c r="AI68" i="9"/>
  <c r="AH68" i="9"/>
  <c r="AG68" i="9"/>
  <c r="AE68" i="9"/>
  <c r="AD68" i="9"/>
  <c r="AC68" i="9"/>
  <c r="AA68" i="9"/>
  <c r="Z68" i="9"/>
  <c r="Y68" i="9"/>
  <c r="W68" i="9"/>
  <c r="V68" i="9"/>
  <c r="U68" i="9"/>
  <c r="S68" i="9"/>
  <c r="R68" i="9"/>
  <c r="Q68" i="9"/>
  <c r="O68" i="9"/>
  <c r="N68" i="9"/>
  <c r="M68" i="9"/>
  <c r="K68" i="9"/>
  <c r="J68" i="9"/>
  <c r="I68" i="9"/>
  <c r="G68" i="9"/>
  <c r="F68" i="9"/>
  <c r="E68" i="9"/>
  <c r="AN67" i="9"/>
  <c r="AJ67" i="9"/>
  <c r="AF67" i="9"/>
  <c r="AB67" i="9"/>
  <c r="X67" i="9"/>
  <c r="T67" i="9"/>
  <c r="P67" i="9"/>
  <c r="L67" i="9"/>
  <c r="H67" i="9"/>
  <c r="D67" i="9"/>
  <c r="AN66" i="9"/>
  <c r="AJ66" i="9"/>
  <c r="AF66" i="9"/>
  <c r="AB66" i="9"/>
  <c r="X66" i="9"/>
  <c r="T66" i="9"/>
  <c r="P66" i="9"/>
  <c r="L66" i="9"/>
  <c r="H66" i="9"/>
  <c r="D66" i="9"/>
  <c r="AN65" i="9"/>
  <c r="AJ65" i="9"/>
  <c r="AF65" i="9"/>
  <c r="AB65" i="9"/>
  <c r="X65" i="9"/>
  <c r="T65" i="9"/>
  <c r="P65" i="9"/>
  <c r="L65" i="9"/>
  <c r="H65" i="9"/>
  <c r="D65" i="9"/>
  <c r="AN64" i="9"/>
  <c r="AJ64" i="9"/>
  <c r="AF64" i="9"/>
  <c r="AB64" i="9"/>
  <c r="X64" i="9"/>
  <c r="T64" i="9"/>
  <c r="P64" i="9"/>
  <c r="L64" i="9"/>
  <c r="H64" i="9"/>
  <c r="D64" i="9"/>
  <c r="AN63" i="9"/>
  <c r="AJ63" i="9"/>
  <c r="AF63" i="9"/>
  <c r="AB63" i="9"/>
  <c r="X63" i="9"/>
  <c r="T63" i="9"/>
  <c r="P63" i="9"/>
  <c r="L63" i="9"/>
  <c r="H63" i="9"/>
  <c r="D63" i="9"/>
  <c r="AN62" i="9"/>
  <c r="AJ62" i="9"/>
  <c r="AF62" i="9"/>
  <c r="AB62" i="9"/>
  <c r="X62" i="9"/>
  <c r="T62" i="9"/>
  <c r="P62" i="9"/>
  <c r="L62" i="9"/>
  <c r="H62" i="9"/>
  <c r="D62" i="9"/>
  <c r="AN61" i="9"/>
  <c r="AJ61" i="9"/>
  <c r="AF61" i="9"/>
  <c r="AB61" i="9"/>
  <c r="X61" i="9"/>
  <c r="T61" i="9"/>
  <c r="P61" i="9"/>
  <c r="L61" i="9"/>
  <c r="H61" i="9"/>
  <c r="D61" i="9"/>
  <c r="AN60" i="9"/>
  <c r="AJ60" i="9"/>
  <c r="AF60" i="9"/>
  <c r="AB60" i="9"/>
  <c r="X60" i="9"/>
  <c r="T60" i="9"/>
  <c r="P60" i="9"/>
  <c r="L60" i="9"/>
  <c r="H60" i="9"/>
  <c r="D60" i="9"/>
  <c r="AN59" i="9"/>
  <c r="AJ59" i="9"/>
  <c r="AF59" i="9"/>
  <c r="AB59" i="9"/>
  <c r="X59" i="9"/>
  <c r="T59" i="9"/>
  <c r="P59" i="9"/>
  <c r="L59" i="9"/>
  <c r="H59" i="9"/>
  <c r="D59" i="9"/>
  <c r="AN58" i="9"/>
  <c r="AJ58" i="9"/>
  <c r="AF58" i="9"/>
  <c r="AB58" i="9"/>
  <c r="X58" i="9"/>
  <c r="T58" i="9"/>
  <c r="P58" i="9"/>
  <c r="L58" i="9"/>
  <c r="H58" i="9"/>
  <c r="D58" i="9"/>
  <c r="AN57" i="9"/>
  <c r="AJ57" i="9"/>
  <c r="AF57" i="9"/>
  <c r="AB57" i="9"/>
  <c r="X57" i="9"/>
  <c r="T57" i="9"/>
  <c r="P57" i="9"/>
  <c r="L57" i="9"/>
  <c r="H57" i="9"/>
  <c r="D57" i="9"/>
  <c r="AN56" i="9"/>
  <c r="AJ56" i="9"/>
  <c r="AF56" i="9"/>
  <c r="AB56" i="9"/>
  <c r="X56" i="9"/>
  <c r="T56" i="9"/>
  <c r="P56" i="9"/>
  <c r="L56" i="9"/>
  <c r="H56" i="9"/>
  <c r="D56" i="9"/>
  <c r="AN55" i="9"/>
  <c r="AJ55" i="9"/>
  <c r="AF55" i="9"/>
  <c r="AB55" i="9"/>
  <c r="X55" i="9"/>
  <c r="T55" i="9"/>
  <c r="P55" i="9"/>
  <c r="L55" i="9"/>
  <c r="H55" i="9"/>
  <c r="D55" i="9"/>
  <c r="AN54" i="9"/>
  <c r="AJ54" i="9"/>
  <c r="AF54" i="9"/>
  <c r="AB54" i="9"/>
  <c r="X54" i="9"/>
  <c r="T54" i="9"/>
  <c r="P54" i="9"/>
  <c r="L54" i="9"/>
  <c r="H54" i="9"/>
  <c r="D54" i="9"/>
  <c r="AN53" i="9"/>
  <c r="AJ53" i="9"/>
  <c r="AF53" i="9"/>
  <c r="AB53" i="9"/>
  <c r="X53" i="9"/>
  <c r="T53" i="9"/>
  <c r="P53" i="9"/>
  <c r="L53" i="9"/>
  <c r="H53" i="9"/>
  <c r="D53" i="9"/>
  <c r="AN52" i="9"/>
  <c r="AJ52" i="9"/>
  <c r="AF52" i="9"/>
  <c r="AB52" i="9"/>
  <c r="X52" i="9"/>
  <c r="T52" i="9"/>
  <c r="P52" i="9"/>
  <c r="L52" i="9"/>
  <c r="H52" i="9"/>
  <c r="D52" i="9"/>
  <c r="AN51" i="9"/>
  <c r="AJ51" i="9"/>
  <c r="AF51" i="9"/>
  <c r="AB51" i="9"/>
  <c r="X51" i="9"/>
  <c r="T51" i="9"/>
  <c r="P51" i="9"/>
  <c r="L51" i="9"/>
  <c r="H51" i="9"/>
  <c r="D51" i="9"/>
  <c r="AN50" i="9"/>
  <c r="AJ50" i="9"/>
  <c r="AF50" i="9"/>
  <c r="AB50" i="9"/>
  <c r="X50" i="9"/>
  <c r="T50" i="9"/>
  <c r="P50" i="9"/>
  <c r="L50" i="9"/>
  <c r="H50" i="9"/>
  <c r="D50" i="9"/>
  <c r="AN49" i="9"/>
  <c r="AJ49" i="9"/>
  <c r="AF49" i="9"/>
  <c r="AB49" i="9"/>
  <c r="X49" i="9"/>
  <c r="T49" i="9"/>
  <c r="P49" i="9"/>
  <c r="L49" i="9"/>
  <c r="H49" i="9"/>
  <c r="D49" i="9"/>
  <c r="AN48" i="9"/>
  <c r="AJ48" i="9"/>
  <c r="AF48" i="9"/>
  <c r="AB48" i="9"/>
  <c r="X48" i="9"/>
  <c r="T48" i="9"/>
  <c r="P48" i="9"/>
  <c r="L48" i="9"/>
  <c r="H48" i="9"/>
  <c r="D48" i="9"/>
  <c r="AN47" i="9"/>
  <c r="AJ47" i="9"/>
  <c r="AF47" i="9"/>
  <c r="AB47" i="9"/>
  <c r="X47" i="9"/>
  <c r="T47" i="9"/>
  <c r="P47" i="9"/>
  <c r="L47" i="9"/>
  <c r="H47" i="9"/>
  <c r="D47" i="9"/>
  <c r="AN46" i="9"/>
  <c r="AJ46" i="9"/>
  <c r="AF46" i="9"/>
  <c r="AB46" i="9"/>
  <c r="X46" i="9"/>
  <c r="T46" i="9"/>
  <c r="P46" i="9"/>
  <c r="L46" i="9"/>
  <c r="H46" i="9"/>
  <c r="D46" i="9"/>
  <c r="AN45" i="9"/>
  <c r="AJ45" i="9"/>
  <c r="AF45" i="9"/>
  <c r="AB45" i="9"/>
  <c r="X45" i="9"/>
  <c r="T45" i="9"/>
  <c r="P45" i="9"/>
  <c r="L45" i="9"/>
  <c r="H45" i="9"/>
  <c r="D45" i="9"/>
  <c r="AN44" i="9"/>
  <c r="AJ44" i="9"/>
  <c r="AF44" i="9"/>
  <c r="AB44" i="9"/>
  <c r="X44" i="9"/>
  <c r="T44" i="9"/>
  <c r="P44" i="9"/>
  <c r="L44" i="9"/>
  <c r="H44" i="9"/>
  <c r="D44" i="9"/>
  <c r="AN43" i="9"/>
  <c r="AJ43" i="9"/>
  <c r="AF43" i="9"/>
  <c r="AB43" i="9"/>
  <c r="X43" i="9"/>
  <c r="T43" i="9"/>
  <c r="P43" i="9"/>
  <c r="L43" i="9"/>
  <c r="H43" i="9"/>
  <c r="D43" i="9"/>
  <c r="AN42" i="9"/>
  <c r="AJ42" i="9"/>
  <c r="AF42" i="9"/>
  <c r="AB42" i="9"/>
  <c r="X42" i="9"/>
  <c r="T42" i="9"/>
  <c r="P42" i="9"/>
  <c r="L42" i="9"/>
  <c r="H42" i="9"/>
  <c r="D42" i="9"/>
  <c r="AN41" i="9"/>
  <c r="AJ41" i="9"/>
  <c r="AF41" i="9"/>
  <c r="AB41" i="9"/>
  <c r="X41" i="9"/>
  <c r="T41" i="9"/>
  <c r="P41" i="9"/>
  <c r="L41" i="9"/>
  <c r="H41" i="9"/>
  <c r="D41" i="9"/>
  <c r="AN40" i="9"/>
  <c r="AJ40" i="9"/>
  <c r="AF40" i="9"/>
  <c r="AB40" i="9"/>
  <c r="X40" i="9"/>
  <c r="T40" i="9"/>
  <c r="P40" i="9"/>
  <c r="L40" i="9"/>
  <c r="H40" i="9"/>
  <c r="D40" i="9"/>
  <c r="AN39" i="9"/>
  <c r="AJ39" i="9"/>
  <c r="AF39" i="9"/>
  <c r="AB39" i="9"/>
  <c r="X39" i="9"/>
  <c r="T39" i="9"/>
  <c r="P39" i="9"/>
  <c r="L39" i="9"/>
  <c r="H39" i="9"/>
  <c r="D39" i="9"/>
  <c r="AN38" i="9"/>
  <c r="AJ38" i="9"/>
  <c r="AF38" i="9"/>
  <c r="AB38" i="9"/>
  <c r="X38" i="9"/>
  <c r="T38" i="9"/>
  <c r="P38" i="9"/>
  <c r="L38" i="9"/>
  <c r="H38" i="9"/>
  <c r="D38" i="9"/>
  <c r="AN37" i="9"/>
  <c r="AJ37" i="9"/>
  <c r="AF37" i="9"/>
  <c r="AB37" i="9"/>
  <c r="X37" i="9"/>
  <c r="T37" i="9"/>
  <c r="P37" i="9"/>
  <c r="L37" i="9"/>
  <c r="H37" i="9"/>
  <c r="D37" i="9"/>
  <c r="AN36" i="9"/>
  <c r="AJ36" i="9"/>
  <c r="AF36" i="9"/>
  <c r="AB36" i="9"/>
  <c r="X36" i="9"/>
  <c r="T36" i="9"/>
  <c r="P36" i="9"/>
  <c r="L36" i="9"/>
  <c r="H36" i="9"/>
  <c r="D36" i="9"/>
  <c r="AN35" i="9"/>
  <c r="AJ35" i="9"/>
  <c r="AF35" i="9"/>
  <c r="AB35" i="9"/>
  <c r="X35" i="9"/>
  <c r="T35" i="9"/>
  <c r="P35" i="9"/>
  <c r="L35" i="9"/>
  <c r="H35" i="9"/>
  <c r="D35" i="9"/>
  <c r="AN34" i="9"/>
  <c r="AJ34" i="9"/>
  <c r="AF34" i="9"/>
  <c r="AB34" i="9"/>
  <c r="X34" i="9"/>
  <c r="T34" i="9"/>
  <c r="P34" i="9"/>
  <c r="L34" i="9"/>
  <c r="H34" i="9"/>
  <c r="D34" i="9"/>
  <c r="AN33" i="9"/>
  <c r="AJ33" i="9"/>
  <c r="AF33" i="9"/>
  <c r="AB33" i="9"/>
  <c r="X33" i="9"/>
  <c r="T33" i="9"/>
  <c r="P33" i="9"/>
  <c r="L33" i="9"/>
  <c r="H33" i="9"/>
  <c r="D33" i="9"/>
  <c r="AN32" i="9"/>
  <c r="AJ32" i="9"/>
  <c r="AF32" i="9"/>
  <c r="AB32" i="9"/>
  <c r="X32" i="9"/>
  <c r="T32" i="9"/>
  <c r="P32" i="9"/>
  <c r="L32" i="9"/>
  <c r="H32" i="9"/>
  <c r="D32" i="9"/>
  <c r="AN31" i="9"/>
  <c r="AJ31" i="9"/>
  <c r="AF31" i="9"/>
  <c r="AB31" i="9"/>
  <c r="X31" i="9"/>
  <c r="T31" i="9"/>
  <c r="P31" i="9"/>
  <c r="L31" i="9"/>
  <c r="H31" i="9"/>
  <c r="D31" i="9"/>
  <c r="AN30" i="9"/>
  <c r="AJ30" i="9"/>
  <c r="AF30" i="9"/>
  <c r="AB30" i="9"/>
  <c r="X30" i="9"/>
  <c r="T30" i="9"/>
  <c r="P30" i="9"/>
  <c r="L30" i="9"/>
  <c r="H30" i="9"/>
  <c r="D30" i="9"/>
  <c r="AN29" i="9"/>
  <c r="AJ29" i="9"/>
  <c r="AF29" i="9"/>
  <c r="AB29" i="9"/>
  <c r="X29" i="9"/>
  <c r="T29" i="9"/>
  <c r="P29" i="9"/>
  <c r="L29" i="9"/>
  <c r="H29" i="9"/>
  <c r="D29" i="9"/>
  <c r="AN28" i="9"/>
  <c r="AJ28" i="9"/>
  <c r="AF28" i="9"/>
  <c r="AB28" i="9"/>
  <c r="X28" i="9"/>
  <c r="T28" i="9"/>
  <c r="P28" i="9"/>
  <c r="L28" i="9"/>
  <c r="H28" i="9"/>
  <c r="D28" i="9"/>
  <c r="AN27" i="9"/>
  <c r="AJ27" i="9"/>
  <c r="AF27" i="9"/>
  <c r="AB27" i="9"/>
  <c r="X27" i="9"/>
  <c r="T27" i="9"/>
  <c r="P27" i="9"/>
  <c r="L27" i="9"/>
  <c r="H27" i="9"/>
  <c r="D27" i="9"/>
  <c r="AN26" i="9"/>
  <c r="AJ26" i="9"/>
  <c r="AF26" i="9"/>
  <c r="AB26" i="9"/>
  <c r="X26" i="9"/>
  <c r="T26" i="9"/>
  <c r="P26" i="9"/>
  <c r="L26" i="9"/>
  <c r="H26" i="9"/>
  <c r="D26" i="9"/>
  <c r="AN25" i="9"/>
  <c r="AJ25" i="9"/>
  <c r="AF25" i="9"/>
  <c r="AB25" i="9"/>
  <c r="X25" i="9"/>
  <c r="T25" i="9"/>
  <c r="P25" i="9"/>
  <c r="L25" i="9"/>
  <c r="H25" i="9"/>
  <c r="D25" i="9"/>
  <c r="AN24" i="9"/>
  <c r="AJ24" i="9"/>
  <c r="AF24" i="9"/>
  <c r="AB24" i="9"/>
  <c r="X24" i="9"/>
  <c r="T24" i="9"/>
  <c r="P24" i="9"/>
  <c r="L24" i="9"/>
  <c r="H24" i="9"/>
  <c r="D24" i="9"/>
  <c r="AN23" i="9"/>
  <c r="AJ23" i="9"/>
  <c r="AF23" i="9"/>
  <c r="AB23" i="9"/>
  <c r="X23" i="9"/>
  <c r="T23" i="9"/>
  <c r="P23" i="9"/>
  <c r="L23" i="9"/>
  <c r="H23" i="9"/>
  <c r="D23" i="9"/>
  <c r="AN22" i="9"/>
  <c r="AJ22" i="9"/>
  <c r="AF22" i="9"/>
  <c r="AB22" i="9"/>
  <c r="X22" i="9"/>
  <c r="T22" i="9"/>
  <c r="P22" i="9"/>
  <c r="L22" i="9"/>
  <c r="H22" i="9"/>
  <c r="D22" i="9"/>
  <c r="AN21" i="9"/>
  <c r="AJ21" i="9"/>
  <c r="AF21" i="9"/>
  <c r="AB21" i="9"/>
  <c r="X21" i="9"/>
  <c r="T21" i="9"/>
  <c r="P21" i="9"/>
  <c r="L21" i="9"/>
  <c r="H21" i="9"/>
  <c r="D21" i="9"/>
  <c r="AN20" i="9"/>
  <c r="AJ20" i="9"/>
  <c r="AF20" i="9"/>
  <c r="AB20" i="9"/>
  <c r="X20" i="9"/>
  <c r="T20" i="9"/>
  <c r="P20" i="9"/>
  <c r="L20" i="9"/>
  <c r="H20" i="9"/>
  <c r="D20" i="9"/>
  <c r="AN19" i="9"/>
  <c r="AJ19" i="9"/>
  <c r="AF19" i="9"/>
  <c r="AB19" i="9"/>
  <c r="X19" i="9"/>
  <c r="T19" i="9"/>
  <c r="P19" i="9"/>
  <c r="L19" i="9"/>
  <c r="H19" i="9"/>
  <c r="D19" i="9"/>
  <c r="AN18" i="9"/>
  <c r="AJ18" i="9"/>
  <c r="AF18" i="9"/>
  <c r="AB18" i="9"/>
  <c r="X18" i="9"/>
  <c r="T18" i="9"/>
  <c r="P18" i="9"/>
  <c r="L18" i="9"/>
  <c r="H18" i="9"/>
  <c r="D18" i="9"/>
  <c r="AN17" i="9"/>
  <c r="AJ17" i="9"/>
  <c r="AF17" i="9"/>
  <c r="AB17" i="9"/>
  <c r="X17" i="9"/>
  <c r="T17" i="9"/>
  <c r="P17" i="9"/>
  <c r="L17" i="9"/>
  <c r="H17" i="9"/>
  <c r="D17" i="9"/>
  <c r="AN16" i="9"/>
  <c r="AJ16" i="9"/>
  <c r="AF16" i="9"/>
  <c r="AB16" i="9"/>
  <c r="X16" i="9"/>
  <c r="T16" i="9"/>
  <c r="P16" i="9"/>
  <c r="L16" i="9"/>
  <c r="H16" i="9"/>
  <c r="D16" i="9"/>
  <c r="AN15" i="9"/>
  <c r="AJ15" i="9"/>
  <c r="AF15" i="9"/>
  <c r="AB15" i="9"/>
  <c r="X15" i="9"/>
  <c r="T15" i="9"/>
  <c r="P15" i="9"/>
  <c r="L15" i="9"/>
  <c r="H15" i="9"/>
  <c r="D15" i="9"/>
  <c r="AN14" i="9"/>
  <c r="AJ14" i="9"/>
  <c r="AF14" i="9"/>
  <c r="AB14" i="9"/>
  <c r="X14" i="9"/>
  <c r="T14" i="9"/>
  <c r="P14" i="9"/>
  <c r="L14" i="9"/>
  <c r="H14" i="9"/>
  <c r="D14" i="9"/>
  <c r="AN12" i="9"/>
  <c r="AJ12" i="9"/>
  <c r="AF12" i="9"/>
  <c r="AB12" i="9"/>
  <c r="X12" i="9"/>
  <c r="T12" i="9"/>
  <c r="P12" i="9"/>
  <c r="L12" i="9"/>
  <c r="H12" i="9"/>
  <c r="D12" i="9"/>
  <c r="E3" i="9"/>
  <c r="C2" i="9"/>
  <c r="L68" i="9" l="1"/>
  <c r="AB68" i="9"/>
  <c r="AN68" i="9"/>
  <c r="AF68" i="9"/>
  <c r="P68" i="9"/>
  <c r="D68" i="9"/>
  <c r="AJ68" i="9"/>
  <c r="X68" i="9"/>
  <c r="H68" i="9"/>
  <c r="T68" i="9"/>
  <c r="P315" i="5"/>
  <c r="AQ382" i="29"/>
  <c r="AP382" i="29"/>
  <c r="AL382" i="29"/>
  <c r="AK382" i="29"/>
  <c r="AG382" i="29"/>
  <c r="AF382" i="29"/>
  <c r="AB382" i="29"/>
  <c r="AA382" i="29"/>
  <c r="W382" i="29"/>
  <c r="V382" i="29"/>
  <c r="P382" i="29"/>
  <c r="O382" i="29"/>
  <c r="M382" i="29"/>
  <c r="L382" i="29"/>
  <c r="J382" i="29"/>
  <c r="I382" i="29"/>
  <c r="G382" i="29"/>
  <c r="F382" i="29"/>
  <c r="E382" i="29"/>
  <c r="D382" i="29"/>
  <c r="AO381" i="29"/>
  <c r="AJ381" i="29"/>
  <c r="AE381" i="29"/>
  <c r="Z381" i="29"/>
  <c r="U381" i="29"/>
  <c r="X381" i="29" s="1"/>
  <c r="Y381" i="29" s="1"/>
  <c r="S381" i="29"/>
  <c r="R381" i="29"/>
  <c r="Q381" i="29"/>
  <c r="N381" i="29"/>
  <c r="K381" i="29"/>
  <c r="H381" i="29"/>
  <c r="AO380" i="29"/>
  <c r="AJ380" i="29"/>
  <c r="AE380" i="29"/>
  <c r="Z380" i="29"/>
  <c r="U380" i="29"/>
  <c r="X380" i="29" s="1"/>
  <c r="Y380" i="29" s="1"/>
  <c r="S380" i="29"/>
  <c r="R380" i="29"/>
  <c r="Q380" i="29"/>
  <c r="N380" i="29"/>
  <c r="K380" i="29"/>
  <c r="H380" i="29"/>
  <c r="AO379" i="29"/>
  <c r="AJ379" i="29"/>
  <c r="AE379" i="29"/>
  <c r="Z379" i="29"/>
  <c r="U379" i="29"/>
  <c r="X379" i="29" s="1"/>
  <c r="Y379" i="29" s="1"/>
  <c r="S379" i="29"/>
  <c r="R379" i="29"/>
  <c r="Q379" i="29"/>
  <c r="N379" i="29"/>
  <c r="K379" i="29"/>
  <c r="H379" i="29"/>
  <c r="AO378" i="29"/>
  <c r="AJ378" i="29"/>
  <c r="AE378" i="29"/>
  <c r="Z378" i="29"/>
  <c r="U378" i="29"/>
  <c r="S378" i="29"/>
  <c r="R378" i="29"/>
  <c r="Q378" i="29"/>
  <c r="N378" i="29"/>
  <c r="K378" i="29"/>
  <c r="H378" i="29"/>
  <c r="AO377" i="29"/>
  <c r="AJ377" i="29"/>
  <c r="AE377" i="29"/>
  <c r="Z377" i="29"/>
  <c r="U377" i="29"/>
  <c r="X377" i="29" s="1"/>
  <c r="AC377" i="29" s="1"/>
  <c r="S377" i="29"/>
  <c r="R377" i="29"/>
  <c r="Q377" i="29"/>
  <c r="N377" i="29"/>
  <c r="K377" i="29"/>
  <c r="H377" i="29"/>
  <c r="AO376" i="29"/>
  <c r="AJ376" i="29"/>
  <c r="AE376" i="29"/>
  <c r="Z376" i="29"/>
  <c r="U376" i="29"/>
  <c r="X376" i="29" s="1"/>
  <c r="S376" i="29"/>
  <c r="R376" i="29"/>
  <c r="Q376" i="29"/>
  <c r="N376" i="29"/>
  <c r="K376" i="29"/>
  <c r="H376" i="29"/>
  <c r="AO375" i="29"/>
  <c r="AJ375" i="29"/>
  <c r="AE375" i="29"/>
  <c r="Z375" i="29"/>
  <c r="U375" i="29"/>
  <c r="S375" i="29"/>
  <c r="R375" i="29"/>
  <c r="Q375" i="29"/>
  <c r="N375" i="29"/>
  <c r="K375" i="29"/>
  <c r="H375" i="29"/>
  <c r="AO374" i="29"/>
  <c r="AJ374" i="29"/>
  <c r="AE374" i="29"/>
  <c r="Z374" i="29"/>
  <c r="U374" i="29"/>
  <c r="X374" i="29" s="1"/>
  <c r="S374" i="29"/>
  <c r="R374" i="29"/>
  <c r="Q374" i="29"/>
  <c r="N374" i="29"/>
  <c r="K374" i="29"/>
  <c r="H374" i="29"/>
  <c r="AO373" i="29"/>
  <c r="AJ373" i="29"/>
  <c r="AE373" i="29"/>
  <c r="Z373" i="29"/>
  <c r="U373" i="29"/>
  <c r="X373" i="29" s="1"/>
  <c r="S373" i="29"/>
  <c r="R373" i="29"/>
  <c r="Q373" i="29"/>
  <c r="N373" i="29"/>
  <c r="K373" i="29"/>
  <c r="H373" i="29"/>
  <c r="AO372" i="29"/>
  <c r="AJ372" i="29"/>
  <c r="AE372" i="29"/>
  <c r="Z372" i="29"/>
  <c r="U372" i="29"/>
  <c r="X372" i="29" s="1"/>
  <c r="Y372" i="29" s="1"/>
  <c r="S372" i="29"/>
  <c r="R372" i="29"/>
  <c r="Q372" i="29"/>
  <c r="N372" i="29"/>
  <c r="K372" i="29"/>
  <c r="H372" i="29"/>
  <c r="AO371" i="29"/>
  <c r="AJ371" i="29"/>
  <c r="AE371" i="29"/>
  <c r="Z371" i="29"/>
  <c r="U371" i="29"/>
  <c r="X371" i="29" s="1"/>
  <c r="Y371" i="29" s="1"/>
  <c r="S371" i="29"/>
  <c r="R371" i="29"/>
  <c r="Q371" i="29"/>
  <c r="N371" i="29"/>
  <c r="K371" i="29"/>
  <c r="H371" i="29"/>
  <c r="AO370" i="29"/>
  <c r="AJ370" i="29"/>
  <c r="AE370" i="29"/>
  <c r="Z370" i="29"/>
  <c r="U370" i="29"/>
  <c r="X370" i="29" s="1"/>
  <c r="S370" i="29"/>
  <c r="R370" i="29"/>
  <c r="Q370" i="29"/>
  <c r="N370" i="29"/>
  <c r="K370" i="29"/>
  <c r="H370" i="29"/>
  <c r="AO369" i="29"/>
  <c r="AJ369" i="29"/>
  <c r="AE369" i="29"/>
  <c r="Z369" i="29"/>
  <c r="U369" i="29"/>
  <c r="X369" i="29" s="1"/>
  <c r="S369" i="29"/>
  <c r="R369" i="29"/>
  <c r="Q369" i="29"/>
  <c r="N369" i="29"/>
  <c r="K369" i="29"/>
  <c r="H369" i="29"/>
  <c r="AO368" i="29"/>
  <c r="AJ368" i="29"/>
  <c r="AE368" i="29"/>
  <c r="Z368" i="29"/>
  <c r="U368" i="29"/>
  <c r="S368" i="29"/>
  <c r="R368" i="29"/>
  <c r="Q368" i="29"/>
  <c r="N368" i="29"/>
  <c r="K368" i="29"/>
  <c r="H368" i="29"/>
  <c r="AO367" i="29"/>
  <c r="AJ367" i="29"/>
  <c r="AE367" i="29"/>
  <c r="Z367" i="29"/>
  <c r="U367" i="29"/>
  <c r="S367" i="29"/>
  <c r="R367" i="29"/>
  <c r="Q367" i="29"/>
  <c r="N367" i="29"/>
  <c r="K367" i="29"/>
  <c r="H367" i="29"/>
  <c r="AO366" i="29"/>
  <c r="AJ366" i="29"/>
  <c r="AE366" i="29"/>
  <c r="Z366" i="29"/>
  <c r="U366" i="29"/>
  <c r="X366" i="29" s="1"/>
  <c r="S366" i="29"/>
  <c r="R366" i="29"/>
  <c r="Q366" i="29"/>
  <c r="N366" i="29"/>
  <c r="K366" i="29"/>
  <c r="H366" i="29"/>
  <c r="AO365" i="29"/>
  <c r="AJ365" i="29"/>
  <c r="AE365" i="29"/>
  <c r="Z365" i="29"/>
  <c r="U365" i="29"/>
  <c r="X365" i="29" s="1"/>
  <c r="S365" i="29"/>
  <c r="R365" i="29"/>
  <c r="Q365" i="29"/>
  <c r="N365" i="29"/>
  <c r="K365" i="29"/>
  <c r="H365" i="29"/>
  <c r="AO364" i="29"/>
  <c r="AJ364" i="29"/>
  <c r="AE364" i="29"/>
  <c r="Z364" i="29"/>
  <c r="U364" i="29"/>
  <c r="X364" i="29" s="1"/>
  <c r="Y364" i="29" s="1"/>
  <c r="S364" i="29"/>
  <c r="R364" i="29"/>
  <c r="Q364" i="29"/>
  <c r="N364" i="29"/>
  <c r="K364" i="29"/>
  <c r="H364" i="29"/>
  <c r="AO363" i="29"/>
  <c r="AJ363" i="29"/>
  <c r="AE363" i="29"/>
  <c r="Z363" i="29"/>
  <c r="U363" i="29"/>
  <c r="X363" i="29" s="1"/>
  <c r="S363" i="29"/>
  <c r="R363" i="29"/>
  <c r="Q363" i="29"/>
  <c r="N363" i="29"/>
  <c r="K363" i="29"/>
  <c r="H363" i="29"/>
  <c r="AO362" i="29"/>
  <c r="AJ362" i="29"/>
  <c r="AE362" i="29"/>
  <c r="Z362" i="29"/>
  <c r="U362" i="29"/>
  <c r="X362" i="29" s="1"/>
  <c r="Y362" i="29" s="1"/>
  <c r="S362" i="29"/>
  <c r="R362" i="29"/>
  <c r="Q362" i="29"/>
  <c r="N362" i="29"/>
  <c r="K362" i="29"/>
  <c r="H362" i="29"/>
  <c r="AO361" i="29"/>
  <c r="AJ361" i="29"/>
  <c r="AE361" i="29"/>
  <c r="Z361" i="29"/>
  <c r="U361" i="29"/>
  <c r="X361" i="29" s="1"/>
  <c r="Y361" i="29" s="1"/>
  <c r="S361" i="29"/>
  <c r="R361" i="29"/>
  <c r="Q361" i="29"/>
  <c r="N361" i="29"/>
  <c r="K361" i="29"/>
  <c r="H361" i="29"/>
  <c r="AO360" i="29"/>
  <c r="AJ360" i="29"/>
  <c r="AE360" i="29"/>
  <c r="Z360" i="29"/>
  <c r="U360" i="29"/>
  <c r="AT360" i="29" s="1"/>
  <c r="S360" i="29"/>
  <c r="R360" i="29"/>
  <c r="Q360" i="29"/>
  <c r="N360" i="29"/>
  <c r="K360" i="29"/>
  <c r="H360" i="29"/>
  <c r="AO359" i="29"/>
  <c r="AJ359" i="29"/>
  <c r="AE359" i="29"/>
  <c r="Z359" i="29"/>
  <c r="U359" i="29"/>
  <c r="S359" i="29"/>
  <c r="R359" i="29"/>
  <c r="Q359" i="29"/>
  <c r="N359" i="29"/>
  <c r="K359" i="29"/>
  <c r="H359" i="29"/>
  <c r="AO358" i="29"/>
  <c r="AJ358" i="29"/>
  <c r="AE358" i="29"/>
  <c r="Z358" i="29"/>
  <c r="U358" i="29"/>
  <c r="X358" i="29" s="1"/>
  <c r="S358" i="29"/>
  <c r="R358" i="29"/>
  <c r="Q358" i="29"/>
  <c r="N358" i="29"/>
  <c r="K358" i="29"/>
  <c r="H358" i="29"/>
  <c r="AO357" i="29"/>
  <c r="AJ357" i="29"/>
  <c r="AE357" i="29"/>
  <c r="Z357" i="29"/>
  <c r="U357" i="29"/>
  <c r="X357" i="29" s="1"/>
  <c r="S357" i="29"/>
  <c r="R357" i="29"/>
  <c r="Q357" i="29"/>
  <c r="N357" i="29"/>
  <c r="K357" i="29"/>
  <c r="H357" i="29"/>
  <c r="AO356" i="29"/>
  <c r="AJ356" i="29"/>
  <c r="AE356" i="29"/>
  <c r="Z356" i="29"/>
  <c r="U356" i="29"/>
  <c r="X356" i="29" s="1"/>
  <c r="Y356" i="29" s="1"/>
  <c r="S356" i="29"/>
  <c r="R356" i="29"/>
  <c r="Q356" i="29"/>
  <c r="N356" i="29"/>
  <c r="K356" i="29"/>
  <c r="H356" i="29"/>
  <c r="AO355" i="29"/>
  <c r="AJ355" i="29"/>
  <c r="AE355" i="29"/>
  <c r="Z355" i="29"/>
  <c r="U355" i="29"/>
  <c r="X355" i="29" s="1"/>
  <c r="Y355" i="29" s="1"/>
  <c r="S355" i="29"/>
  <c r="R355" i="29"/>
  <c r="Q355" i="29"/>
  <c r="N355" i="29"/>
  <c r="K355" i="29"/>
  <c r="H355" i="29"/>
  <c r="AO354" i="29"/>
  <c r="AJ354" i="29"/>
  <c r="AE354" i="29"/>
  <c r="Z354" i="29"/>
  <c r="U354" i="29"/>
  <c r="X354" i="29" s="1"/>
  <c r="S354" i="29"/>
  <c r="R354" i="29"/>
  <c r="Q354" i="29"/>
  <c r="N354" i="29"/>
  <c r="K354" i="29"/>
  <c r="H354" i="29"/>
  <c r="AO353" i="29"/>
  <c r="AJ353" i="29"/>
  <c r="AE353" i="29"/>
  <c r="Z353" i="29"/>
  <c r="U353" i="29"/>
  <c r="X353" i="29" s="1"/>
  <c r="Y353" i="29" s="1"/>
  <c r="S353" i="29"/>
  <c r="R353" i="29"/>
  <c r="Q353" i="29"/>
  <c r="N353" i="29"/>
  <c r="K353" i="29"/>
  <c r="H353" i="29"/>
  <c r="AO352" i="29"/>
  <c r="AJ352" i="29"/>
  <c r="AE352" i="29"/>
  <c r="Z352" i="29"/>
  <c r="U352" i="29"/>
  <c r="S352" i="29"/>
  <c r="R352" i="29"/>
  <c r="Q352" i="29"/>
  <c r="N352" i="29"/>
  <c r="K352" i="29"/>
  <c r="H352" i="29"/>
  <c r="AO351" i="29"/>
  <c r="AJ351" i="29"/>
  <c r="AE351" i="29"/>
  <c r="Z351" i="29"/>
  <c r="U351" i="29"/>
  <c r="X351" i="29" s="1"/>
  <c r="S351" i="29"/>
  <c r="R351" i="29"/>
  <c r="Q351" i="29"/>
  <c r="N351" i="29"/>
  <c r="K351" i="29"/>
  <c r="H351" i="29"/>
  <c r="AO350" i="29"/>
  <c r="AJ350" i="29"/>
  <c r="AE350" i="29"/>
  <c r="Z350" i="29"/>
  <c r="U350" i="29"/>
  <c r="S350" i="29"/>
  <c r="R350" i="29"/>
  <c r="Q350" i="29"/>
  <c r="N350" i="29"/>
  <c r="K350" i="29"/>
  <c r="H350" i="29"/>
  <c r="AO349" i="29"/>
  <c r="AJ349" i="29"/>
  <c r="AE349" i="29"/>
  <c r="Z349" i="29"/>
  <c r="U349" i="29"/>
  <c r="X349" i="29" s="1"/>
  <c r="S349" i="29"/>
  <c r="R349" i="29"/>
  <c r="Q349" i="29"/>
  <c r="N349" i="29"/>
  <c r="K349" i="29"/>
  <c r="H349" i="29"/>
  <c r="AO348" i="29"/>
  <c r="AJ348" i="29"/>
  <c r="AE348" i="29"/>
  <c r="Z348" i="29"/>
  <c r="U348" i="29"/>
  <c r="S348" i="29"/>
  <c r="R348" i="29"/>
  <c r="Q348" i="29"/>
  <c r="N348" i="29"/>
  <c r="K348" i="29"/>
  <c r="H348" i="29"/>
  <c r="AO347" i="29"/>
  <c r="AJ347" i="29"/>
  <c r="AE347" i="29"/>
  <c r="Z347" i="29"/>
  <c r="U347" i="29"/>
  <c r="X347" i="29" s="1"/>
  <c r="Y347" i="29" s="1"/>
  <c r="S347" i="29"/>
  <c r="R347" i="29"/>
  <c r="Q347" i="29"/>
  <c r="N347" i="29"/>
  <c r="K347" i="29"/>
  <c r="H347" i="29"/>
  <c r="AO346" i="29"/>
  <c r="AJ346" i="29"/>
  <c r="AE346" i="29"/>
  <c r="Z346" i="29"/>
  <c r="U346" i="29"/>
  <c r="S346" i="29"/>
  <c r="R346" i="29"/>
  <c r="Q346" i="29"/>
  <c r="N346" i="29"/>
  <c r="K346" i="29"/>
  <c r="H346" i="29"/>
  <c r="AO345" i="29"/>
  <c r="AJ345" i="29"/>
  <c r="AE345" i="29"/>
  <c r="Z345" i="29"/>
  <c r="U345" i="29"/>
  <c r="X345" i="29" s="1"/>
  <c r="Y345" i="29" s="1"/>
  <c r="S345" i="29"/>
  <c r="R345" i="29"/>
  <c r="Q345" i="29"/>
  <c r="N345" i="29"/>
  <c r="K345" i="29"/>
  <c r="H345" i="29"/>
  <c r="AO344" i="29"/>
  <c r="AJ344" i="29"/>
  <c r="AE344" i="29"/>
  <c r="Z344" i="29"/>
  <c r="U344" i="29"/>
  <c r="X344" i="29" s="1"/>
  <c r="S344" i="29"/>
  <c r="R344" i="29"/>
  <c r="Q344" i="29"/>
  <c r="N344" i="29"/>
  <c r="K344" i="29"/>
  <c r="H344" i="29"/>
  <c r="AO343" i="29"/>
  <c r="AJ343" i="29"/>
  <c r="AE343" i="29"/>
  <c r="Z343" i="29"/>
  <c r="U343" i="29"/>
  <c r="X343" i="29" s="1"/>
  <c r="S343" i="29"/>
  <c r="R343" i="29"/>
  <c r="Q343" i="29"/>
  <c r="N343" i="29"/>
  <c r="K343" i="29"/>
  <c r="H343" i="29"/>
  <c r="AO342" i="29"/>
  <c r="AJ342" i="29"/>
  <c r="AE342" i="29"/>
  <c r="Z342" i="29"/>
  <c r="U342" i="29"/>
  <c r="X342" i="29" s="1"/>
  <c r="S342" i="29"/>
  <c r="R342" i="29"/>
  <c r="Q342" i="29"/>
  <c r="N342" i="29"/>
  <c r="K342" i="29"/>
  <c r="H342" i="29"/>
  <c r="AO341" i="29"/>
  <c r="AJ341" i="29"/>
  <c r="AE341" i="29"/>
  <c r="Z341" i="29"/>
  <c r="U341" i="29"/>
  <c r="X341" i="29" s="1"/>
  <c r="S341" i="29"/>
  <c r="R341" i="29"/>
  <c r="Q341" i="29"/>
  <c r="N341" i="29"/>
  <c r="K341" i="29"/>
  <c r="H341" i="29"/>
  <c r="AO340" i="29"/>
  <c r="AJ340" i="29"/>
  <c r="AE340" i="29"/>
  <c r="Z340" i="29"/>
  <c r="U340" i="29"/>
  <c r="S340" i="29"/>
  <c r="R340" i="29"/>
  <c r="Q340" i="29"/>
  <c r="N340" i="29"/>
  <c r="K340" i="29"/>
  <c r="H340" i="29"/>
  <c r="AO339" i="29"/>
  <c r="AJ339" i="29"/>
  <c r="AE339" i="29"/>
  <c r="Z339" i="29"/>
  <c r="U339" i="29"/>
  <c r="X339" i="29" s="1"/>
  <c r="Y339" i="29" s="1"/>
  <c r="S339" i="29"/>
  <c r="R339" i="29"/>
  <c r="Q339" i="29"/>
  <c r="N339" i="29"/>
  <c r="K339" i="29"/>
  <c r="H339" i="29"/>
  <c r="AO338" i="29"/>
  <c r="AJ338" i="29"/>
  <c r="AE338" i="29"/>
  <c r="Z338" i="29"/>
  <c r="U338" i="29"/>
  <c r="S338" i="29"/>
  <c r="R338" i="29"/>
  <c r="Q338" i="29"/>
  <c r="N338" i="29"/>
  <c r="K338" i="29"/>
  <c r="H338" i="29"/>
  <c r="AO337" i="29"/>
  <c r="AJ337" i="29"/>
  <c r="AE337" i="29"/>
  <c r="Z337" i="29"/>
  <c r="U337" i="29"/>
  <c r="X337" i="29" s="1"/>
  <c r="AC337" i="29" s="1"/>
  <c r="S337" i="29"/>
  <c r="R337" i="29"/>
  <c r="Q337" i="29"/>
  <c r="N337" i="29"/>
  <c r="K337" i="29"/>
  <c r="H337" i="29"/>
  <c r="AO336" i="29"/>
  <c r="AJ336" i="29"/>
  <c r="AE336" i="29"/>
  <c r="Z336" i="29"/>
  <c r="U336" i="29"/>
  <c r="X336" i="29" s="1"/>
  <c r="Y336" i="29" s="1"/>
  <c r="S336" i="29"/>
  <c r="R336" i="29"/>
  <c r="Q336" i="29"/>
  <c r="N336" i="29"/>
  <c r="K336" i="29"/>
  <c r="H336" i="29"/>
  <c r="AO335" i="29"/>
  <c r="AJ335" i="29"/>
  <c r="AE335" i="29"/>
  <c r="Z335" i="29"/>
  <c r="U335" i="29"/>
  <c r="S335" i="29"/>
  <c r="R335" i="29"/>
  <c r="Q335" i="29"/>
  <c r="N335" i="29"/>
  <c r="K335" i="29"/>
  <c r="H335" i="29"/>
  <c r="AO334" i="29"/>
  <c r="AJ334" i="29"/>
  <c r="AE334" i="29"/>
  <c r="Z334" i="29"/>
  <c r="U334" i="29"/>
  <c r="S334" i="29"/>
  <c r="R334" i="29"/>
  <c r="Q334" i="29"/>
  <c r="N334" i="29"/>
  <c r="K334" i="29"/>
  <c r="H334" i="29"/>
  <c r="AO333" i="29"/>
  <c r="AJ333" i="29"/>
  <c r="AE333" i="29"/>
  <c r="Z333" i="29"/>
  <c r="U333" i="29"/>
  <c r="S333" i="29"/>
  <c r="R333" i="29"/>
  <c r="Q333" i="29"/>
  <c r="N333" i="29"/>
  <c r="K333" i="29"/>
  <c r="H333" i="29"/>
  <c r="AO332" i="29"/>
  <c r="AJ332" i="29"/>
  <c r="AE332" i="29"/>
  <c r="Z332" i="29"/>
  <c r="U332" i="29"/>
  <c r="X332" i="29" s="1"/>
  <c r="S332" i="29"/>
  <c r="R332" i="29"/>
  <c r="Q332" i="29"/>
  <c r="N332" i="29"/>
  <c r="K332" i="29"/>
  <c r="H332" i="29"/>
  <c r="AO331" i="29"/>
  <c r="AJ331" i="29"/>
  <c r="AE331" i="29"/>
  <c r="Z331" i="29"/>
  <c r="U331" i="29"/>
  <c r="X331" i="29" s="1"/>
  <c r="Y331" i="29" s="1"/>
  <c r="S331" i="29"/>
  <c r="R331" i="29"/>
  <c r="Q331" i="29"/>
  <c r="N331" i="29"/>
  <c r="K331" i="29"/>
  <c r="H331" i="29"/>
  <c r="AO330" i="29"/>
  <c r="AJ330" i="29"/>
  <c r="AE330" i="29"/>
  <c r="Z330" i="29"/>
  <c r="U330" i="29"/>
  <c r="S330" i="29"/>
  <c r="R330" i="29"/>
  <c r="Q330" i="29"/>
  <c r="N330" i="29"/>
  <c r="K330" i="29"/>
  <c r="H330" i="29"/>
  <c r="AO329" i="29"/>
  <c r="AJ329" i="29"/>
  <c r="AE329" i="29"/>
  <c r="Z329" i="29"/>
  <c r="U329" i="29"/>
  <c r="X329" i="29" s="1"/>
  <c r="S329" i="29"/>
  <c r="R329" i="29"/>
  <c r="Q329" i="29"/>
  <c r="N329" i="29"/>
  <c r="K329" i="29"/>
  <c r="H329" i="29"/>
  <c r="AO328" i="29"/>
  <c r="AJ328" i="29"/>
  <c r="AE328" i="29"/>
  <c r="Z328" i="29"/>
  <c r="U328" i="29"/>
  <c r="S328" i="29"/>
  <c r="R328" i="29"/>
  <c r="Q328" i="29"/>
  <c r="N328" i="29"/>
  <c r="K328" i="29"/>
  <c r="H328" i="29"/>
  <c r="AO326" i="29"/>
  <c r="AJ326" i="29"/>
  <c r="AE326" i="29"/>
  <c r="Z326" i="29"/>
  <c r="U326" i="29"/>
  <c r="AT326" i="29" s="1"/>
  <c r="O326" i="29"/>
  <c r="L326" i="29"/>
  <c r="I326" i="29"/>
  <c r="F326" i="29"/>
  <c r="D326" i="29"/>
  <c r="R325" i="29"/>
  <c r="AQ321" i="29"/>
  <c r="AP321" i="29"/>
  <c r="AL321" i="29"/>
  <c r="AK321" i="29"/>
  <c r="AG321" i="29"/>
  <c r="AF321" i="29"/>
  <c r="AB321" i="29"/>
  <c r="AA321" i="29"/>
  <c r="W321" i="29"/>
  <c r="V321" i="29"/>
  <c r="P321" i="29"/>
  <c r="O321" i="29"/>
  <c r="M321" i="29"/>
  <c r="L321" i="29"/>
  <c r="J321" i="29"/>
  <c r="I321" i="29"/>
  <c r="G321" i="29"/>
  <c r="F321" i="29"/>
  <c r="E321" i="29"/>
  <c r="S321" i="29" s="1"/>
  <c r="D321" i="29"/>
  <c r="AO320" i="29"/>
  <c r="AJ320" i="29"/>
  <c r="AE320" i="29"/>
  <c r="Z320" i="29"/>
  <c r="U320" i="29"/>
  <c r="S320" i="29"/>
  <c r="R320" i="29"/>
  <c r="Q320" i="29"/>
  <c r="N320" i="29"/>
  <c r="K320" i="29"/>
  <c r="H320" i="29"/>
  <c r="AO319" i="29"/>
  <c r="AJ319" i="29"/>
  <c r="AE319" i="29"/>
  <c r="Z319" i="29"/>
  <c r="U319" i="29"/>
  <c r="S319" i="29"/>
  <c r="R319" i="29"/>
  <c r="Q319" i="29"/>
  <c r="N319" i="29"/>
  <c r="K319" i="29"/>
  <c r="H319" i="29"/>
  <c r="AO318" i="29"/>
  <c r="AJ318" i="29"/>
  <c r="AE318" i="29"/>
  <c r="Z318" i="29"/>
  <c r="U318" i="29"/>
  <c r="X318" i="29" s="1"/>
  <c r="S318" i="29"/>
  <c r="R318" i="29"/>
  <c r="Q318" i="29"/>
  <c r="N318" i="29"/>
  <c r="K318" i="29"/>
  <c r="H318" i="29"/>
  <c r="AO317" i="29"/>
  <c r="AJ317" i="29"/>
  <c r="AE317" i="29"/>
  <c r="Z317" i="29"/>
  <c r="U317" i="29"/>
  <c r="X317" i="29" s="1"/>
  <c r="AC317" i="29" s="1"/>
  <c r="S317" i="29"/>
  <c r="R317" i="29"/>
  <c r="Q317" i="29"/>
  <c r="N317" i="29"/>
  <c r="K317" i="29"/>
  <c r="H317" i="29"/>
  <c r="AO316" i="29"/>
  <c r="AJ316" i="29"/>
  <c r="AE316" i="29"/>
  <c r="Z316" i="29"/>
  <c r="U316" i="29"/>
  <c r="AT316" i="29" s="1"/>
  <c r="S316" i="29"/>
  <c r="R316" i="29"/>
  <c r="Q316" i="29"/>
  <c r="N316" i="29"/>
  <c r="K316" i="29"/>
  <c r="H316" i="29"/>
  <c r="AO315" i="29"/>
  <c r="AJ315" i="29"/>
  <c r="AE315" i="29"/>
  <c r="Z315" i="29"/>
  <c r="U315" i="29"/>
  <c r="X315" i="29" s="1"/>
  <c r="Y315" i="29" s="1"/>
  <c r="S315" i="29"/>
  <c r="R315" i="29"/>
  <c r="Q315" i="29"/>
  <c r="N315" i="29"/>
  <c r="K315" i="29"/>
  <c r="H315" i="29"/>
  <c r="AO314" i="29"/>
  <c r="AJ314" i="29"/>
  <c r="AE314" i="29"/>
  <c r="Z314" i="29"/>
  <c r="U314" i="29"/>
  <c r="X314" i="29" s="1"/>
  <c r="Y314" i="29" s="1"/>
  <c r="S314" i="29"/>
  <c r="R314" i="29"/>
  <c r="Q314" i="29"/>
  <c r="N314" i="29"/>
  <c r="K314" i="29"/>
  <c r="H314" i="29"/>
  <c r="AO313" i="29"/>
  <c r="AJ313" i="29"/>
  <c r="AE313" i="29"/>
  <c r="Z313" i="29"/>
  <c r="U313" i="29"/>
  <c r="X313" i="29" s="1"/>
  <c r="Y313" i="29" s="1"/>
  <c r="S313" i="29"/>
  <c r="R313" i="29"/>
  <c r="Q313" i="29"/>
  <c r="N313" i="29"/>
  <c r="K313" i="29"/>
  <c r="H313" i="29"/>
  <c r="AO312" i="29"/>
  <c r="AJ312" i="29"/>
  <c r="AE312" i="29"/>
  <c r="Z312" i="29"/>
  <c r="U312" i="29"/>
  <c r="X312" i="29" s="1"/>
  <c r="S312" i="29"/>
  <c r="R312" i="29"/>
  <c r="Q312" i="29"/>
  <c r="N312" i="29"/>
  <c r="K312" i="29"/>
  <c r="H312" i="29"/>
  <c r="AO311" i="29"/>
  <c r="AJ311" i="29"/>
  <c r="AE311" i="29"/>
  <c r="Z311" i="29"/>
  <c r="U311" i="29"/>
  <c r="X311" i="29" s="1"/>
  <c r="S311" i="29"/>
  <c r="R311" i="29"/>
  <c r="Q311" i="29"/>
  <c r="N311" i="29"/>
  <c r="K311" i="29"/>
  <c r="H311" i="29"/>
  <c r="AO310" i="29"/>
  <c r="AJ310" i="29"/>
  <c r="AE310" i="29"/>
  <c r="Z310" i="29"/>
  <c r="U310" i="29"/>
  <c r="X310" i="29" s="1"/>
  <c r="S310" i="29"/>
  <c r="R310" i="29"/>
  <c r="Q310" i="29"/>
  <c r="N310" i="29"/>
  <c r="K310" i="29"/>
  <c r="H310" i="29"/>
  <c r="AO309" i="29"/>
  <c r="AJ309" i="29"/>
  <c r="AE309" i="29"/>
  <c r="Z309" i="29"/>
  <c r="U309" i="29"/>
  <c r="X309" i="29" s="1"/>
  <c r="Y309" i="29" s="1"/>
  <c r="S309" i="29"/>
  <c r="R309" i="29"/>
  <c r="Q309" i="29"/>
  <c r="N309" i="29"/>
  <c r="K309" i="29"/>
  <c r="H309" i="29"/>
  <c r="AO308" i="29"/>
  <c r="AJ308" i="29"/>
  <c r="AE308" i="29"/>
  <c r="Z308" i="29"/>
  <c r="U308" i="29"/>
  <c r="X308" i="29" s="1"/>
  <c r="S308" i="29"/>
  <c r="R308" i="29"/>
  <c r="Q308" i="29"/>
  <c r="N308" i="29"/>
  <c r="K308" i="29"/>
  <c r="H308" i="29"/>
  <c r="AO307" i="29"/>
  <c r="AJ307" i="29"/>
  <c r="AE307" i="29"/>
  <c r="Z307" i="29"/>
  <c r="U307" i="29"/>
  <c r="X307" i="29" s="1"/>
  <c r="Y307" i="29" s="1"/>
  <c r="S307" i="29"/>
  <c r="R307" i="29"/>
  <c r="Q307" i="29"/>
  <c r="N307" i="29"/>
  <c r="K307" i="29"/>
  <c r="H307" i="29"/>
  <c r="AO306" i="29"/>
  <c r="AJ306" i="29"/>
  <c r="AE306" i="29"/>
  <c r="Z306" i="29"/>
  <c r="U306" i="29"/>
  <c r="X306" i="29" s="1"/>
  <c r="S306" i="29"/>
  <c r="R306" i="29"/>
  <c r="Q306" i="29"/>
  <c r="N306" i="29"/>
  <c r="K306" i="29"/>
  <c r="H306" i="29"/>
  <c r="AO305" i="29"/>
  <c r="AJ305" i="29"/>
  <c r="AE305" i="29"/>
  <c r="Z305" i="29"/>
  <c r="U305" i="29"/>
  <c r="X305" i="29" s="1"/>
  <c r="S305" i="29"/>
  <c r="R305" i="29"/>
  <c r="Q305" i="29"/>
  <c r="N305" i="29"/>
  <c r="K305" i="29"/>
  <c r="H305" i="29"/>
  <c r="AO304" i="29"/>
  <c r="AJ304" i="29"/>
  <c r="AE304" i="29"/>
  <c r="Z304" i="29"/>
  <c r="U304" i="29"/>
  <c r="S304" i="29"/>
  <c r="R304" i="29"/>
  <c r="Q304" i="29"/>
  <c r="N304" i="29"/>
  <c r="K304" i="29"/>
  <c r="H304" i="29"/>
  <c r="AO303" i="29"/>
  <c r="AJ303" i="29"/>
  <c r="AE303" i="29"/>
  <c r="Z303" i="29"/>
  <c r="U303" i="29"/>
  <c r="S303" i="29"/>
  <c r="R303" i="29"/>
  <c r="Q303" i="29"/>
  <c r="N303" i="29"/>
  <c r="K303" i="29"/>
  <c r="H303" i="29"/>
  <c r="AO302" i="29"/>
  <c r="AJ302" i="29"/>
  <c r="AE302" i="29"/>
  <c r="Z302" i="29"/>
  <c r="U302" i="29"/>
  <c r="X302" i="29" s="1"/>
  <c r="S302" i="29"/>
  <c r="R302" i="29"/>
  <c r="Q302" i="29"/>
  <c r="N302" i="29"/>
  <c r="K302" i="29"/>
  <c r="H302" i="29"/>
  <c r="AO301" i="29"/>
  <c r="AJ301" i="29"/>
  <c r="AE301" i="29"/>
  <c r="Z301" i="29"/>
  <c r="U301" i="29"/>
  <c r="X301" i="29" s="1"/>
  <c r="S301" i="29"/>
  <c r="R301" i="29"/>
  <c r="Q301" i="29"/>
  <c r="N301" i="29"/>
  <c r="K301" i="29"/>
  <c r="H301" i="29"/>
  <c r="AO300" i="29"/>
  <c r="AJ300" i="29"/>
  <c r="AE300" i="29"/>
  <c r="Z300" i="29"/>
  <c r="U300" i="29"/>
  <c r="X300" i="29" s="1"/>
  <c r="S300" i="29"/>
  <c r="R300" i="29"/>
  <c r="Q300" i="29"/>
  <c r="N300" i="29"/>
  <c r="K300" i="29"/>
  <c r="H300" i="29"/>
  <c r="AO299" i="29"/>
  <c r="AJ299" i="29"/>
  <c r="AE299" i="29"/>
  <c r="Z299" i="29"/>
  <c r="U299" i="29"/>
  <c r="X299" i="29" s="1"/>
  <c r="Y299" i="29" s="1"/>
  <c r="S299" i="29"/>
  <c r="R299" i="29"/>
  <c r="Q299" i="29"/>
  <c r="N299" i="29"/>
  <c r="K299" i="29"/>
  <c r="H299" i="29"/>
  <c r="AO298" i="29"/>
  <c r="AJ298" i="29"/>
  <c r="AE298" i="29"/>
  <c r="Z298" i="29"/>
  <c r="U298" i="29"/>
  <c r="S298" i="29"/>
  <c r="R298" i="29"/>
  <c r="Q298" i="29"/>
  <c r="N298" i="29"/>
  <c r="K298" i="29"/>
  <c r="H298" i="29"/>
  <c r="AO297" i="29"/>
  <c r="AJ297" i="29"/>
  <c r="AE297" i="29"/>
  <c r="Z297" i="29"/>
  <c r="U297" i="29"/>
  <c r="X297" i="29" s="1"/>
  <c r="Y297" i="29" s="1"/>
  <c r="S297" i="29"/>
  <c r="R297" i="29"/>
  <c r="Q297" i="29"/>
  <c r="N297" i="29"/>
  <c r="K297" i="29"/>
  <c r="H297" i="29"/>
  <c r="AO296" i="29"/>
  <c r="AJ296" i="29"/>
  <c r="AE296" i="29"/>
  <c r="Z296" i="29"/>
  <c r="U296" i="29"/>
  <c r="X296" i="29" s="1"/>
  <c r="S296" i="29"/>
  <c r="R296" i="29"/>
  <c r="Q296" i="29"/>
  <c r="N296" i="29"/>
  <c r="K296" i="29"/>
  <c r="H296" i="29"/>
  <c r="AO295" i="29"/>
  <c r="AJ295" i="29"/>
  <c r="AE295" i="29"/>
  <c r="Z295" i="29"/>
  <c r="U295" i="29"/>
  <c r="X295" i="29" s="1"/>
  <c r="S295" i="29"/>
  <c r="R295" i="29"/>
  <c r="Q295" i="29"/>
  <c r="N295" i="29"/>
  <c r="K295" i="29"/>
  <c r="H295" i="29"/>
  <c r="AO294" i="29"/>
  <c r="AJ294" i="29"/>
  <c r="AE294" i="29"/>
  <c r="Z294" i="29"/>
  <c r="U294" i="29"/>
  <c r="X294" i="29" s="1"/>
  <c r="S294" i="29"/>
  <c r="R294" i="29"/>
  <c r="Q294" i="29"/>
  <c r="N294" i="29"/>
  <c r="K294" i="29"/>
  <c r="H294" i="29"/>
  <c r="AO293" i="29"/>
  <c r="AJ293" i="29"/>
  <c r="AE293" i="29"/>
  <c r="Z293" i="29"/>
  <c r="U293" i="29"/>
  <c r="S293" i="29"/>
  <c r="R293" i="29"/>
  <c r="Q293" i="29"/>
  <c r="N293" i="29"/>
  <c r="K293" i="29"/>
  <c r="H293" i="29"/>
  <c r="AO292" i="29"/>
  <c r="AJ292" i="29"/>
  <c r="AE292" i="29"/>
  <c r="Z292" i="29"/>
  <c r="U292" i="29"/>
  <c r="X292" i="29" s="1"/>
  <c r="S292" i="29"/>
  <c r="R292" i="29"/>
  <c r="Q292" i="29"/>
  <c r="N292" i="29"/>
  <c r="K292" i="29"/>
  <c r="H292" i="29"/>
  <c r="AO291" i="29"/>
  <c r="AJ291" i="29"/>
  <c r="AE291" i="29"/>
  <c r="Z291" i="29"/>
  <c r="U291" i="29"/>
  <c r="X291" i="29" s="1"/>
  <c r="Y291" i="29" s="1"/>
  <c r="S291" i="29"/>
  <c r="R291" i="29"/>
  <c r="Q291" i="29"/>
  <c r="N291" i="29"/>
  <c r="K291" i="29"/>
  <c r="H291" i="29"/>
  <c r="AO290" i="29"/>
  <c r="AJ290" i="29"/>
  <c r="AE290" i="29"/>
  <c r="Z290" i="29"/>
  <c r="U290" i="29"/>
  <c r="X290" i="29" s="1"/>
  <c r="Y290" i="29" s="1"/>
  <c r="S290" i="29"/>
  <c r="R290" i="29"/>
  <c r="Q290" i="29"/>
  <c r="N290" i="29"/>
  <c r="K290" i="29"/>
  <c r="H290" i="29"/>
  <c r="AO289" i="29"/>
  <c r="AJ289" i="29"/>
  <c r="AE289" i="29"/>
  <c r="Z289" i="29"/>
  <c r="U289" i="29"/>
  <c r="X289" i="29" s="1"/>
  <c r="S289" i="29"/>
  <c r="R289" i="29"/>
  <c r="Q289" i="29"/>
  <c r="N289" i="29"/>
  <c r="K289" i="29"/>
  <c r="H289" i="29"/>
  <c r="AO288" i="29"/>
  <c r="AJ288" i="29"/>
  <c r="AE288" i="29"/>
  <c r="Z288" i="29"/>
  <c r="U288" i="29"/>
  <c r="X288" i="29" s="1"/>
  <c r="S288" i="29"/>
  <c r="R288" i="29"/>
  <c r="Q288" i="29"/>
  <c r="N288" i="29"/>
  <c r="K288" i="29"/>
  <c r="H288" i="29"/>
  <c r="AO287" i="29"/>
  <c r="AJ287" i="29"/>
  <c r="AE287" i="29"/>
  <c r="Z287" i="29"/>
  <c r="U287" i="29"/>
  <c r="X287" i="29" s="1"/>
  <c r="Y287" i="29" s="1"/>
  <c r="S287" i="29"/>
  <c r="R287" i="29"/>
  <c r="Q287" i="29"/>
  <c r="N287" i="29"/>
  <c r="K287" i="29"/>
  <c r="H287" i="29"/>
  <c r="AO286" i="29"/>
  <c r="AJ286" i="29"/>
  <c r="AE286" i="29"/>
  <c r="Z286" i="29"/>
  <c r="U286" i="29"/>
  <c r="X286" i="29" s="1"/>
  <c r="Y286" i="29" s="1"/>
  <c r="S286" i="29"/>
  <c r="R286" i="29"/>
  <c r="Q286" i="29"/>
  <c r="N286" i="29"/>
  <c r="K286" i="29"/>
  <c r="H286" i="29"/>
  <c r="AO285" i="29"/>
  <c r="AJ285" i="29"/>
  <c r="AE285" i="29"/>
  <c r="Z285" i="29"/>
  <c r="U285" i="29"/>
  <c r="S285" i="29"/>
  <c r="R285" i="29"/>
  <c r="Q285" i="29"/>
  <c r="N285" i="29"/>
  <c r="K285" i="29"/>
  <c r="H285" i="29"/>
  <c r="AO284" i="29"/>
  <c r="AJ284" i="29"/>
  <c r="AE284" i="29"/>
  <c r="Z284" i="29"/>
  <c r="U284" i="29"/>
  <c r="X284" i="29" s="1"/>
  <c r="Y284" i="29" s="1"/>
  <c r="S284" i="29"/>
  <c r="R284" i="29"/>
  <c r="Q284" i="29"/>
  <c r="N284" i="29"/>
  <c r="K284" i="29"/>
  <c r="H284" i="29"/>
  <c r="AO283" i="29"/>
  <c r="AJ283" i="29"/>
  <c r="AE283" i="29"/>
  <c r="Z283" i="29"/>
  <c r="U283" i="29"/>
  <c r="X283" i="29" s="1"/>
  <c r="S283" i="29"/>
  <c r="R283" i="29"/>
  <c r="Q283" i="29"/>
  <c r="N283" i="29"/>
  <c r="K283" i="29"/>
  <c r="H283" i="29"/>
  <c r="AO282" i="29"/>
  <c r="AJ282" i="29"/>
  <c r="AE282" i="29"/>
  <c r="Z282" i="29"/>
  <c r="U282" i="29"/>
  <c r="S282" i="29"/>
  <c r="R282" i="29"/>
  <c r="Q282" i="29"/>
  <c r="N282" i="29"/>
  <c r="K282" i="29"/>
  <c r="H282" i="29"/>
  <c r="AO281" i="29"/>
  <c r="AJ281" i="29"/>
  <c r="AE281" i="29"/>
  <c r="Z281" i="29"/>
  <c r="U281" i="29"/>
  <c r="X281" i="29" s="1"/>
  <c r="S281" i="29"/>
  <c r="R281" i="29"/>
  <c r="Q281" i="29"/>
  <c r="N281" i="29"/>
  <c r="K281" i="29"/>
  <c r="H281" i="29"/>
  <c r="AO280" i="29"/>
  <c r="AJ280" i="29"/>
  <c r="AE280" i="29"/>
  <c r="Z280" i="29"/>
  <c r="U280" i="29"/>
  <c r="X280" i="29" s="1"/>
  <c r="S280" i="29"/>
  <c r="R280" i="29"/>
  <c r="Q280" i="29"/>
  <c r="N280" i="29"/>
  <c r="K280" i="29"/>
  <c r="H280" i="29"/>
  <c r="AO279" i="29"/>
  <c r="AJ279" i="29"/>
  <c r="AE279" i="29"/>
  <c r="Z279" i="29"/>
  <c r="U279" i="29"/>
  <c r="X279" i="29" s="1"/>
  <c r="AC279" i="29" s="1"/>
  <c r="S279" i="29"/>
  <c r="R279" i="29"/>
  <c r="Q279" i="29"/>
  <c r="N279" i="29"/>
  <c r="K279" i="29"/>
  <c r="H279" i="29"/>
  <c r="AO278" i="29"/>
  <c r="AJ278" i="29"/>
  <c r="AE278" i="29"/>
  <c r="Z278" i="29"/>
  <c r="U278" i="29"/>
  <c r="X278" i="29" s="1"/>
  <c r="S278" i="29"/>
  <c r="R278" i="29"/>
  <c r="Q278" i="29"/>
  <c r="N278" i="29"/>
  <c r="K278" i="29"/>
  <c r="H278" i="29"/>
  <c r="AO277" i="29"/>
  <c r="AJ277" i="29"/>
  <c r="AE277" i="29"/>
  <c r="Z277" i="29"/>
  <c r="U277" i="29"/>
  <c r="S277" i="29"/>
  <c r="R277" i="29"/>
  <c r="Q277" i="29"/>
  <c r="N277" i="29"/>
  <c r="K277" i="29"/>
  <c r="H277" i="29"/>
  <c r="AO276" i="29"/>
  <c r="AJ276" i="29"/>
  <c r="AE276" i="29"/>
  <c r="Z276" i="29"/>
  <c r="U276" i="29"/>
  <c r="X276" i="29" s="1"/>
  <c r="S276" i="29"/>
  <c r="R276" i="29"/>
  <c r="Q276" i="29"/>
  <c r="N276" i="29"/>
  <c r="K276" i="29"/>
  <c r="H276" i="29"/>
  <c r="AO275" i="29"/>
  <c r="AJ275" i="29"/>
  <c r="AE275" i="29"/>
  <c r="Z275" i="29"/>
  <c r="U275" i="29"/>
  <c r="X275" i="29" s="1"/>
  <c r="S275" i="29"/>
  <c r="R275" i="29"/>
  <c r="Q275" i="29"/>
  <c r="N275" i="29"/>
  <c r="K275" i="29"/>
  <c r="H275" i="29"/>
  <c r="AO274" i="29"/>
  <c r="AJ274" i="29"/>
  <c r="AE274" i="29"/>
  <c r="Z274" i="29"/>
  <c r="U274" i="29"/>
  <c r="X274" i="29" s="1"/>
  <c r="AC274" i="29" s="1"/>
  <c r="S274" i="29"/>
  <c r="R274" i="29"/>
  <c r="Q274" i="29"/>
  <c r="N274" i="29"/>
  <c r="K274" i="29"/>
  <c r="H274" i="29"/>
  <c r="AO273" i="29"/>
  <c r="AJ273" i="29"/>
  <c r="AE273" i="29"/>
  <c r="Z273" i="29"/>
  <c r="U273" i="29"/>
  <c r="X273" i="29" s="1"/>
  <c r="AC273" i="29" s="1"/>
  <c r="S273" i="29"/>
  <c r="R273" i="29"/>
  <c r="Q273" i="29"/>
  <c r="N273" i="29"/>
  <c r="K273" i="29"/>
  <c r="H273" i="29"/>
  <c r="AO272" i="29"/>
  <c r="AJ272" i="29"/>
  <c r="AE272" i="29"/>
  <c r="Z272" i="29"/>
  <c r="U272" i="29"/>
  <c r="X272" i="29" s="1"/>
  <c r="S272" i="29"/>
  <c r="R272" i="29"/>
  <c r="Q272" i="29"/>
  <c r="N272" i="29"/>
  <c r="K272" i="29"/>
  <c r="H272" i="29"/>
  <c r="AO271" i="29"/>
  <c r="AJ271" i="29"/>
  <c r="AE271" i="29"/>
  <c r="Z271" i="29"/>
  <c r="U271" i="29"/>
  <c r="X271" i="29" s="1"/>
  <c r="AC271" i="29" s="1"/>
  <c r="S271" i="29"/>
  <c r="R271" i="29"/>
  <c r="Q271" i="29"/>
  <c r="N271" i="29"/>
  <c r="K271" i="29"/>
  <c r="H271" i="29"/>
  <c r="AO270" i="29"/>
  <c r="AJ270" i="29"/>
  <c r="AE270" i="29"/>
  <c r="Z270" i="29"/>
  <c r="U270" i="29"/>
  <c r="X270" i="29" s="1"/>
  <c r="S270" i="29"/>
  <c r="R270" i="29"/>
  <c r="Q270" i="29"/>
  <c r="N270" i="29"/>
  <c r="K270" i="29"/>
  <c r="H270" i="29"/>
  <c r="AO269" i="29"/>
  <c r="AJ269" i="29"/>
  <c r="AE269" i="29"/>
  <c r="Z269" i="29"/>
  <c r="U269" i="29"/>
  <c r="S269" i="29"/>
  <c r="R269" i="29"/>
  <c r="Q269" i="29"/>
  <c r="N269" i="29"/>
  <c r="K269" i="29"/>
  <c r="H269" i="29"/>
  <c r="AO268" i="29"/>
  <c r="AJ268" i="29"/>
  <c r="AE268" i="29"/>
  <c r="Z268" i="29"/>
  <c r="U268" i="29"/>
  <c r="X268" i="29" s="1"/>
  <c r="S268" i="29"/>
  <c r="R268" i="29"/>
  <c r="Q268" i="29"/>
  <c r="N268" i="29"/>
  <c r="K268" i="29"/>
  <c r="H268" i="29"/>
  <c r="AO267" i="29"/>
  <c r="AJ267" i="29"/>
  <c r="AE267" i="29"/>
  <c r="Z267" i="29"/>
  <c r="U267" i="29"/>
  <c r="X267" i="29" s="1"/>
  <c r="S267" i="29"/>
  <c r="R267" i="29"/>
  <c r="Q267" i="29"/>
  <c r="N267" i="29"/>
  <c r="K267" i="29"/>
  <c r="H267" i="29"/>
  <c r="AO265" i="29"/>
  <c r="AJ265" i="29"/>
  <c r="AE265" i="29"/>
  <c r="Z265" i="29"/>
  <c r="U265" i="29"/>
  <c r="AT265" i="29" s="1"/>
  <c r="O265" i="29"/>
  <c r="L265" i="29"/>
  <c r="I265" i="29"/>
  <c r="F265" i="29"/>
  <c r="D265" i="29"/>
  <c r="R264" i="29"/>
  <c r="AT260" i="29"/>
  <c r="AR260" i="29"/>
  <c r="AQ260" i="29"/>
  <c r="AP260" i="29"/>
  <c r="AO260" i="29"/>
  <c r="AM260" i="29"/>
  <c r="AL260" i="29"/>
  <c r="AK260" i="29"/>
  <c r="AJ260" i="29"/>
  <c r="AH260" i="29"/>
  <c r="AG260" i="29"/>
  <c r="AF260" i="29"/>
  <c r="AE260" i="29"/>
  <c r="AC260" i="29"/>
  <c r="AI260" i="29" s="1"/>
  <c r="AB260" i="29"/>
  <c r="AA260" i="29"/>
  <c r="Z260" i="29"/>
  <c r="X260" i="29"/>
  <c r="W260" i="29"/>
  <c r="V260" i="29"/>
  <c r="U260" i="29"/>
  <c r="P260" i="29"/>
  <c r="O260" i="29"/>
  <c r="M260" i="29"/>
  <c r="L260" i="29"/>
  <c r="J260" i="29"/>
  <c r="I260" i="29"/>
  <c r="G260" i="29"/>
  <c r="F260" i="29"/>
  <c r="E260" i="29"/>
  <c r="D260" i="29"/>
  <c r="R260" i="29" s="1"/>
  <c r="AO257" i="29"/>
  <c r="AJ257" i="29"/>
  <c r="AE257" i="29"/>
  <c r="Z257" i="29"/>
  <c r="U257" i="29"/>
  <c r="AT257" i="29" s="1"/>
  <c r="O257" i="29"/>
  <c r="L257" i="29"/>
  <c r="I257" i="29"/>
  <c r="F257" i="29"/>
  <c r="D257" i="29"/>
  <c r="AQ252" i="29"/>
  <c r="AP252" i="29"/>
  <c r="AL252" i="29"/>
  <c r="AK252" i="29"/>
  <c r="AG252" i="29"/>
  <c r="AF252" i="29"/>
  <c r="AB252" i="29"/>
  <c r="AA252" i="29"/>
  <c r="W252" i="29"/>
  <c r="V252" i="29"/>
  <c r="P252" i="29"/>
  <c r="O252" i="29"/>
  <c r="M252" i="29"/>
  <c r="L252" i="29"/>
  <c r="J252" i="29"/>
  <c r="I252" i="29"/>
  <c r="G252" i="29"/>
  <c r="F252" i="29"/>
  <c r="E252" i="29"/>
  <c r="D252" i="29"/>
  <c r="AO251" i="29"/>
  <c r="AJ251" i="29"/>
  <c r="AE251" i="29"/>
  <c r="Z251" i="29"/>
  <c r="U251" i="29"/>
  <c r="X251" i="29" s="1"/>
  <c r="S251" i="29"/>
  <c r="R251" i="29"/>
  <c r="Q251" i="29"/>
  <c r="N251" i="29"/>
  <c r="K251" i="29"/>
  <c r="H251" i="29"/>
  <c r="AO250" i="29"/>
  <c r="AJ250" i="29"/>
  <c r="AE250" i="29"/>
  <c r="Z250" i="29"/>
  <c r="U250" i="29"/>
  <c r="AT250" i="29" s="1"/>
  <c r="S250" i="29"/>
  <c r="R250" i="29"/>
  <c r="Q250" i="29"/>
  <c r="N250" i="29"/>
  <c r="K250" i="29"/>
  <c r="H250" i="29"/>
  <c r="AO249" i="29"/>
  <c r="AJ249" i="29"/>
  <c r="AE249" i="29"/>
  <c r="Z249" i="29"/>
  <c r="U249" i="29"/>
  <c r="X249" i="29" s="1"/>
  <c r="S249" i="29"/>
  <c r="R249" i="29"/>
  <c r="Q249" i="29"/>
  <c r="N249" i="29"/>
  <c r="K249" i="29"/>
  <c r="H249" i="29"/>
  <c r="AO248" i="29"/>
  <c r="AJ248" i="29"/>
  <c r="AE248" i="29"/>
  <c r="Z248" i="29"/>
  <c r="U248" i="29"/>
  <c r="S248" i="29"/>
  <c r="R248" i="29"/>
  <c r="Q248" i="29"/>
  <c r="N248" i="29"/>
  <c r="K248" i="29"/>
  <c r="H248" i="29"/>
  <c r="AO247" i="29"/>
  <c r="AJ247" i="29"/>
  <c r="AE247" i="29"/>
  <c r="Z247" i="29"/>
  <c r="U247" i="29"/>
  <c r="X247" i="29" s="1"/>
  <c r="S247" i="29"/>
  <c r="R247" i="29"/>
  <c r="Q247" i="29"/>
  <c r="N247" i="29"/>
  <c r="K247" i="29"/>
  <c r="H247" i="29"/>
  <c r="AO246" i="29"/>
  <c r="AJ246" i="29"/>
  <c r="AE246" i="29"/>
  <c r="Z246" i="29"/>
  <c r="U246" i="29"/>
  <c r="X246" i="29" s="1"/>
  <c r="S246" i="29"/>
  <c r="R246" i="29"/>
  <c r="Q246" i="29"/>
  <c r="N246" i="29"/>
  <c r="K246" i="29"/>
  <c r="H246" i="29"/>
  <c r="AO245" i="29"/>
  <c r="AJ245" i="29"/>
  <c r="AE245" i="29"/>
  <c r="Z245" i="29"/>
  <c r="U245" i="29"/>
  <c r="AT245" i="29" s="1"/>
  <c r="S245" i="29"/>
  <c r="R245" i="29"/>
  <c r="Q245" i="29"/>
  <c r="N245" i="29"/>
  <c r="K245" i="29"/>
  <c r="H245" i="29"/>
  <c r="AO244" i="29"/>
  <c r="AJ244" i="29"/>
  <c r="AE244" i="29"/>
  <c r="Z244" i="29"/>
  <c r="U244" i="29"/>
  <c r="S244" i="29"/>
  <c r="R244" i="29"/>
  <c r="Q244" i="29"/>
  <c r="N244" i="29"/>
  <c r="K244" i="29"/>
  <c r="H244" i="29"/>
  <c r="AO243" i="29"/>
  <c r="AJ243" i="29"/>
  <c r="AE243" i="29"/>
  <c r="Z243" i="29"/>
  <c r="U243" i="29"/>
  <c r="X243" i="29" s="1"/>
  <c r="Y243" i="29" s="1"/>
  <c r="S243" i="29"/>
  <c r="R243" i="29"/>
  <c r="Q243" i="29"/>
  <c r="N243" i="29"/>
  <c r="K243" i="29"/>
  <c r="H243" i="29"/>
  <c r="AO242" i="29"/>
  <c r="AJ242" i="29"/>
  <c r="AE242" i="29"/>
  <c r="Z242" i="29"/>
  <c r="U242" i="29"/>
  <c r="S242" i="29"/>
  <c r="R242" i="29"/>
  <c r="Q242" i="29"/>
  <c r="N242" i="29"/>
  <c r="K242" i="29"/>
  <c r="H242" i="29"/>
  <c r="AO241" i="29"/>
  <c r="AJ241" i="29"/>
  <c r="AE241" i="29"/>
  <c r="Z241" i="29"/>
  <c r="U241" i="29"/>
  <c r="S241" i="29"/>
  <c r="R241" i="29"/>
  <c r="Q241" i="29"/>
  <c r="N241" i="29"/>
  <c r="K241" i="29"/>
  <c r="H241" i="29"/>
  <c r="AO240" i="29"/>
  <c r="AJ240" i="29"/>
  <c r="AE240" i="29"/>
  <c r="Z240" i="29"/>
  <c r="U240" i="29"/>
  <c r="S240" i="29"/>
  <c r="R240" i="29"/>
  <c r="Q240" i="29"/>
  <c r="N240" i="29"/>
  <c r="K240" i="29"/>
  <c r="H240" i="29"/>
  <c r="AO239" i="29"/>
  <c r="AJ239" i="29"/>
  <c r="AE239" i="29"/>
  <c r="Z239" i="29"/>
  <c r="U239" i="29"/>
  <c r="X239" i="29" s="1"/>
  <c r="Y239" i="29" s="1"/>
  <c r="S239" i="29"/>
  <c r="R239" i="29"/>
  <c r="Q239" i="29"/>
  <c r="N239" i="29"/>
  <c r="K239" i="29"/>
  <c r="H239" i="29"/>
  <c r="AO238" i="29"/>
  <c r="AJ238" i="29"/>
  <c r="AE238" i="29"/>
  <c r="Z238" i="29"/>
  <c r="U238" i="29"/>
  <c r="X238" i="29" s="1"/>
  <c r="S238" i="29"/>
  <c r="R238" i="29"/>
  <c r="Q238" i="29"/>
  <c r="N238" i="29"/>
  <c r="K238" i="29"/>
  <c r="H238" i="29"/>
  <c r="AO237" i="29"/>
  <c r="AJ237" i="29"/>
  <c r="AE237" i="29"/>
  <c r="Z237" i="29"/>
  <c r="U237" i="29"/>
  <c r="AT237" i="29" s="1"/>
  <c r="S237" i="29"/>
  <c r="R237" i="29"/>
  <c r="Q237" i="29"/>
  <c r="N237" i="29"/>
  <c r="K237" i="29"/>
  <c r="H237" i="29"/>
  <c r="AO236" i="29"/>
  <c r="AJ236" i="29"/>
  <c r="AE236" i="29"/>
  <c r="Z236" i="29"/>
  <c r="U236" i="29"/>
  <c r="S236" i="29"/>
  <c r="R236" i="29"/>
  <c r="Q236" i="29"/>
  <c r="N236" i="29"/>
  <c r="K236" i="29"/>
  <c r="H236" i="29"/>
  <c r="AO235" i="29"/>
  <c r="AJ235" i="29"/>
  <c r="AE235" i="29"/>
  <c r="Z235" i="29"/>
  <c r="U235" i="29"/>
  <c r="S235" i="29"/>
  <c r="R235" i="29"/>
  <c r="Q235" i="29"/>
  <c r="N235" i="29"/>
  <c r="K235" i="29"/>
  <c r="H235" i="29"/>
  <c r="AO234" i="29"/>
  <c r="AJ234" i="29"/>
  <c r="AE234" i="29"/>
  <c r="Z234" i="29"/>
  <c r="U234" i="29"/>
  <c r="S234" i="29"/>
  <c r="R234" i="29"/>
  <c r="Q234" i="29"/>
  <c r="N234" i="29"/>
  <c r="K234" i="29"/>
  <c r="H234" i="29"/>
  <c r="AO233" i="29"/>
  <c r="AJ233" i="29"/>
  <c r="AE233" i="29"/>
  <c r="Z233" i="29"/>
  <c r="U233" i="29"/>
  <c r="X233" i="29" s="1"/>
  <c r="Y233" i="29" s="1"/>
  <c r="S233" i="29"/>
  <c r="R233" i="29"/>
  <c r="Q233" i="29"/>
  <c r="N233" i="29"/>
  <c r="K233" i="29"/>
  <c r="H233" i="29"/>
  <c r="AO232" i="29"/>
  <c r="AJ232" i="29"/>
  <c r="AE232" i="29"/>
  <c r="Z232" i="29"/>
  <c r="U232" i="29"/>
  <c r="X232" i="29" s="1"/>
  <c r="AC232" i="29" s="1"/>
  <c r="S232" i="29"/>
  <c r="R232" i="29"/>
  <c r="Q232" i="29"/>
  <c r="N232" i="29"/>
  <c r="K232" i="29"/>
  <c r="H232" i="29"/>
  <c r="AO231" i="29"/>
  <c r="AJ231" i="29"/>
  <c r="AE231" i="29"/>
  <c r="Z231" i="29"/>
  <c r="U231" i="29"/>
  <c r="X231" i="29" s="1"/>
  <c r="S231" i="29"/>
  <c r="R231" i="29"/>
  <c r="Q231" i="29"/>
  <c r="N231" i="29"/>
  <c r="K231" i="29"/>
  <c r="H231" i="29"/>
  <c r="AO230" i="29"/>
  <c r="AJ230" i="29"/>
  <c r="AE230" i="29"/>
  <c r="Z230" i="29"/>
  <c r="U230" i="29"/>
  <c r="S230" i="29"/>
  <c r="R230" i="29"/>
  <c r="Q230" i="29"/>
  <c r="N230" i="29"/>
  <c r="K230" i="29"/>
  <c r="H230" i="29"/>
  <c r="AO229" i="29"/>
  <c r="AJ229" i="29"/>
  <c r="AE229" i="29"/>
  <c r="Z229" i="29"/>
  <c r="U229" i="29"/>
  <c r="X229" i="29" s="1"/>
  <c r="S229" i="29"/>
  <c r="R229" i="29"/>
  <c r="Q229" i="29"/>
  <c r="N229" i="29"/>
  <c r="K229" i="29"/>
  <c r="H229" i="29"/>
  <c r="AO228" i="29"/>
  <c r="AJ228" i="29"/>
  <c r="AE228" i="29"/>
  <c r="Z228" i="29"/>
  <c r="U228" i="29"/>
  <c r="S228" i="29"/>
  <c r="R228" i="29"/>
  <c r="Q228" i="29"/>
  <c r="N228" i="29"/>
  <c r="K228" i="29"/>
  <c r="H228" i="29"/>
  <c r="AO227" i="29"/>
  <c r="AJ227" i="29"/>
  <c r="AE227" i="29"/>
  <c r="Z227" i="29"/>
  <c r="U227" i="29"/>
  <c r="S227" i="29"/>
  <c r="R227" i="29"/>
  <c r="Q227" i="29"/>
  <c r="N227" i="29"/>
  <c r="K227" i="29"/>
  <c r="H227" i="29"/>
  <c r="AO226" i="29"/>
  <c r="AJ226" i="29"/>
  <c r="AE226" i="29"/>
  <c r="Z226" i="29"/>
  <c r="U226" i="29"/>
  <c r="X226" i="29" s="1"/>
  <c r="Y226" i="29" s="1"/>
  <c r="S226" i="29"/>
  <c r="R226" i="29"/>
  <c r="Q226" i="29"/>
  <c r="N226" i="29"/>
  <c r="K226" i="29"/>
  <c r="H226" i="29"/>
  <c r="AO225" i="29"/>
  <c r="AJ225" i="29"/>
  <c r="AE225" i="29"/>
  <c r="Z225" i="29"/>
  <c r="U225" i="29"/>
  <c r="S225" i="29"/>
  <c r="R225" i="29"/>
  <c r="Q225" i="29"/>
  <c r="N225" i="29"/>
  <c r="K225" i="29"/>
  <c r="H225" i="29"/>
  <c r="AO224" i="29"/>
  <c r="AJ224" i="29"/>
  <c r="AE224" i="29"/>
  <c r="Z224" i="29"/>
  <c r="U224" i="29"/>
  <c r="X224" i="29" s="1"/>
  <c r="S224" i="29"/>
  <c r="R224" i="29"/>
  <c r="Q224" i="29"/>
  <c r="N224" i="29"/>
  <c r="K224" i="29"/>
  <c r="H224" i="29"/>
  <c r="AO223" i="29"/>
  <c r="AJ223" i="29"/>
  <c r="AE223" i="29"/>
  <c r="Z223" i="29"/>
  <c r="U223" i="29"/>
  <c r="X223" i="29" s="1"/>
  <c r="S223" i="29"/>
  <c r="R223" i="29"/>
  <c r="Q223" i="29"/>
  <c r="N223" i="29"/>
  <c r="K223" i="29"/>
  <c r="H223" i="29"/>
  <c r="AO222" i="29"/>
  <c r="AJ222" i="29"/>
  <c r="AE222" i="29"/>
  <c r="Z222" i="29"/>
  <c r="U222" i="29"/>
  <c r="S222" i="29"/>
  <c r="R222" i="29"/>
  <c r="Q222" i="29"/>
  <c r="N222" i="29"/>
  <c r="K222" i="29"/>
  <c r="H222" i="29"/>
  <c r="AO221" i="29"/>
  <c r="AJ221" i="29"/>
  <c r="AE221" i="29"/>
  <c r="Z221" i="29"/>
  <c r="U221" i="29"/>
  <c r="X221" i="29" s="1"/>
  <c r="S221" i="29"/>
  <c r="R221" i="29"/>
  <c r="Q221" i="29"/>
  <c r="N221" i="29"/>
  <c r="K221" i="29"/>
  <c r="H221" i="29"/>
  <c r="AO220" i="29"/>
  <c r="AJ220" i="29"/>
  <c r="AE220" i="29"/>
  <c r="Z220" i="29"/>
  <c r="U220" i="29"/>
  <c r="X220" i="29" s="1"/>
  <c r="AC220" i="29" s="1"/>
  <c r="S220" i="29"/>
  <c r="R220" i="29"/>
  <c r="Q220" i="29"/>
  <c r="N220" i="29"/>
  <c r="K220" i="29"/>
  <c r="H220" i="29"/>
  <c r="AO219" i="29"/>
  <c r="AJ219" i="29"/>
  <c r="AE219" i="29"/>
  <c r="Z219" i="29"/>
  <c r="U219" i="29"/>
  <c r="X219" i="29" s="1"/>
  <c r="S219" i="29"/>
  <c r="R219" i="29"/>
  <c r="Q219" i="29"/>
  <c r="N219" i="29"/>
  <c r="K219" i="29"/>
  <c r="H219" i="29"/>
  <c r="AO218" i="29"/>
  <c r="AJ218" i="29"/>
  <c r="AE218" i="29"/>
  <c r="Z218" i="29"/>
  <c r="U218" i="29"/>
  <c r="X218" i="29" s="1"/>
  <c r="S218" i="29"/>
  <c r="R218" i="29"/>
  <c r="Q218" i="29"/>
  <c r="N218" i="29"/>
  <c r="K218" i="29"/>
  <c r="H218" i="29"/>
  <c r="AO217" i="29"/>
  <c r="AJ217" i="29"/>
  <c r="AE217" i="29"/>
  <c r="Z217" i="29"/>
  <c r="U217" i="29"/>
  <c r="X217" i="29" s="1"/>
  <c r="Y217" i="29" s="1"/>
  <c r="S217" i="29"/>
  <c r="R217" i="29"/>
  <c r="Q217" i="29"/>
  <c r="N217" i="29"/>
  <c r="K217" i="29"/>
  <c r="H217" i="29"/>
  <c r="AO216" i="29"/>
  <c r="AJ216" i="29"/>
  <c r="AE216" i="29"/>
  <c r="Z216" i="29"/>
  <c r="U216" i="29"/>
  <c r="X216" i="29" s="1"/>
  <c r="S216" i="29"/>
  <c r="R216" i="29"/>
  <c r="Q216" i="29"/>
  <c r="N216" i="29"/>
  <c r="K216" i="29"/>
  <c r="H216" i="29"/>
  <c r="AO215" i="29"/>
  <c r="AJ215" i="29"/>
  <c r="AE215" i="29"/>
  <c r="Z215" i="29"/>
  <c r="U215" i="29"/>
  <c r="X215" i="29" s="1"/>
  <c r="S215" i="29"/>
  <c r="R215" i="29"/>
  <c r="Q215" i="29"/>
  <c r="N215" i="29"/>
  <c r="K215" i="29"/>
  <c r="H215" i="29"/>
  <c r="AO214" i="29"/>
  <c r="AJ214" i="29"/>
  <c r="AE214" i="29"/>
  <c r="Z214" i="29"/>
  <c r="U214" i="29"/>
  <c r="S214" i="29"/>
  <c r="R214" i="29"/>
  <c r="Q214" i="29"/>
  <c r="N214" i="29"/>
  <c r="K214" i="29"/>
  <c r="H214" i="29"/>
  <c r="AO213" i="29"/>
  <c r="AJ213" i="29"/>
  <c r="AE213" i="29"/>
  <c r="Z213" i="29"/>
  <c r="U213" i="29"/>
  <c r="X213" i="29" s="1"/>
  <c r="S213" i="29"/>
  <c r="R213" i="29"/>
  <c r="Q213" i="29"/>
  <c r="N213" i="29"/>
  <c r="K213" i="29"/>
  <c r="H213" i="29"/>
  <c r="AO212" i="29"/>
  <c r="AJ212" i="29"/>
  <c r="AE212" i="29"/>
  <c r="Z212" i="29"/>
  <c r="U212" i="29"/>
  <c r="X212" i="29" s="1"/>
  <c r="S212" i="29"/>
  <c r="R212" i="29"/>
  <c r="Q212" i="29"/>
  <c r="N212" i="29"/>
  <c r="K212" i="29"/>
  <c r="H212" i="29"/>
  <c r="AO211" i="29"/>
  <c r="AJ211" i="29"/>
  <c r="AE211" i="29"/>
  <c r="Z211" i="29"/>
  <c r="U211" i="29"/>
  <c r="X211" i="29" s="1"/>
  <c r="S211" i="29"/>
  <c r="R211" i="29"/>
  <c r="Q211" i="29"/>
  <c r="N211" i="29"/>
  <c r="K211" i="29"/>
  <c r="H211" i="29"/>
  <c r="AO210" i="29"/>
  <c r="AJ210" i="29"/>
  <c r="AE210" i="29"/>
  <c r="Z210" i="29"/>
  <c r="U210" i="29"/>
  <c r="X210" i="29" s="1"/>
  <c r="Y210" i="29" s="1"/>
  <c r="S210" i="29"/>
  <c r="R210" i="29"/>
  <c r="Q210" i="29"/>
  <c r="N210" i="29"/>
  <c r="K210" i="29"/>
  <c r="H210" i="29"/>
  <c r="AO209" i="29"/>
  <c r="AJ209" i="29"/>
  <c r="AE209" i="29"/>
  <c r="Z209" i="29"/>
  <c r="U209" i="29"/>
  <c r="AT209" i="29" s="1"/>
  <c r="S209" i="29"/>
  <c r="R209" i="29"/>
  <c r="Q209" i="29"/>
  <c r="N209" i="29"/>
  <c r="K209" i="29"/>
  <c r="H209" i="29"/>
  <c r="AO208" i="29"/>
  <c r="AJ208" i="29"/>
  <c r="AE208" i="29"/>
  <c r="Z208" i="29"/>
  <c r="U208" i="29"/>
  <c r="X208" i="29" s="1"/>
  <c r="S208" i="29"/>
  <c r="R208" i="29"/>
  <c r="Q208" i="29"/>
  <c r="N208" i="29"/>
  <c r="K208" i="29"/>
  <c r="H208" i="29"/>
  <c r="AO207" i="29"/>
  <c r="AJ207" i="29"/>
  <c r="AE207" i="29"/>
  <c r="Z207" i="29"/>
  <c r="U207" i="29"/>
  <c r="X207" i="29" s="1"/>
  <c r="S207" i="29"/>
  <c r="R207" i="29"/>
  <c r="Q207" i="29"/>
  <c r="N207" i="29"/>
  <c r="K207" i="29"/>
  <c r="H207" i="29"/>
  <c r="AO206" i="29"/>
  <c r="AJ206" i="29"/>
  <c r="AE206" i="29"/>
  <c r="Z206" i="29"/>
  <c r="U206" i="29"/>
  <c r="S206" i="29"/>
  <c r="R206" i="29"/>
  <c r="Q206" i="29"/>
  <c r="N206" i="29"/>
  <c r="K206" i="29"/>
  <c r="H206" i="29"/>
  <c r="AO205" i="29"/>
  <c r="AJ205" i="29"/>
  <c r="AE205" i="29"/>
  <c r="Z205" i="29"/>
  <c r="U205" i="29"/>
  <c r="X205" i="29" s="1"/>
  <c r="S205" i="29"/>
  <c r="R205" i="29"/>
  <c r="Q205" i="29"/>
  <c r="N205" i="29"/>
  <c r="K205" i="29"/>
  <c r="H205" i="29"/>
  <c r="AO204" i="29"/>
  <c r="AJ204" i="29"/>
  <c r="AE204" i="29"/>
  <c r="Z204" i="29"/>
  <c r="U204" i="29"/>
  <c r="X204" i="29" s="1"/>
  <c r="AC204" i="29" s="1"/>
  <c r="S204" i="29"/>
  <c r="R204" i="29"/>
  <c r="Q204" i="29"/>
  <c r="N204" i="29"/>
  <c r="K204" i="29"/>
  <c r="H204" i="29"/>
  <c r="AO203" i="29"/>
  <c r="AJ203" i="29"/>
  <c r="AE203" i="29"/>
  <c r="Z203" i="29"/>
  <c r="U203" i="29"/>
  <c r="X203" i="29" s="1"/>
  <c r="S203" i="29"/>
  <c r="R203" i="29"/>
  <c r="Q203" i="29"/>
  <c r="N203" i="29"/>
  <c r="K203" i="29"/>
  <c r="H203" i="29"/>
  <c r="AO202" i="29"/>
  <c r="AJ202" i="29"/>
  <c r="AE202" i="29"/>
  <c r="Z202" i="29"/>
  <c r="U202" i="29"/>
  <c r="X202" i="29" s="1"/>
  <c r="Y202" i="29" s="1"/>
  <c r="S202" i="29"/>
  <c r="R202" i="29"/>
  <c r="Q202" i="29"/>
  <c r="N202" i="29"/>
  <c r="K202" i="29"/>
  <c r="H202" i="29"/>
  <c r="AO201" i="29"/>
  <c r="AJ201" i="29"/>
  <c r="AE201" i="29"/>
  <c r="Z201" i="29"/>
  <c r="U201" i="29"/>
  <c r="X201" i="29" s="1"/>
  <c r="S201" i="29"/>
  <c r="R201" i="29"/>
  <c r="Q201" i="29"/>
  <c r="N201" i="29"/>
  <c r="K201" i="29"/>
  <c r="H201" i="29"/>
  <c r="AO200" i="29"/>
  <c r="AJ200" i="29"/>
  <c r="AE200" i="29"/>
  <c r="Z200" i="29"/>
  <c r="U200" i="29"/>
  <c r="X200" i="29" s="1"/>
  <c r="AC200" i="29" s="1"/>
  <c r="S200" i="29"/>
  <c r="R200" i="29"/>
  <c r="Q200" i="29"/>
  <c r="N200" i="29"/>
  <c r="K200" i="29"/>
  <c r="H200" i="29"/>
  <c r="AO199" i="29"/>
  <c r="AJ199" i="29"/>
  <c r="AE199" i="29"/>
  <c r="Z199" i="29"/>
  <c r="U199" i="29"/>
  <c r="X199" i="29" s="1"/>
  <c r="S199" i="29"/>
  <c r="R199" i="29"/>
  <c r="Q199" i="29"/>
  <c r="N199" i="29"/>
  <c r="K199" i="29"/>
  <c r="H199" i="29"/>
  <c r="AO198" i="29"/>
  <c r="AJ198" i="29"/>
  <c r="AE198" i="29"/>
  <c r="Z198" i="29"/>
  <c r="U198" i="29"/>
  <c r="S198" i="29"/>
  <c r="R198" i="29"/>
  <c r="Q198" i="29"/>
  <c r="N198" i="29"/>
  <c r="K198" i="29"/>
  <c r="H198" i="29"/>
  <c r="AO196" i="29"/>
  <c r="AJ196" i="29"/>
  <c r="AE196" i="29"/>
  <c r="Z196" i="29"/>
  <c r="U196" i="29"/>
  <c r="O196" i="29"/>
  <c r="L196" i="29"/>
  <c r="I196" i="29"/>
  <c r="F196" i="29"/>
  <c r="D196" i="29"/>
  <c r="R195" i="29"/>
  <c r="AQ191" i="29"/>
  <c r="AP191" i="29"/>
  <c r="AL191" i="29"/>
  <c r="AK191" i="29"/>
  <c r="AG191" i="29"/>
  <c r="AF191" i="29"/>
  <c r="AB191" i="29"/>
  <c r="AA191" i="29"/>
  <c r="W191" i="29"/>
  <c r="V191" i="29"/>
  <c r="P191" i="29"/>
  <c r="O191" i="29"/>
  <c r="M191" i="29"/>
  <c r="L191" i="29"/>
  <c r="J191" i="29"/>
  <c r="I191" i="29"/>
  <c r="G191" i="29"/>
  <c r="F191" i="29"/>
  <c r="E191" i="29"/>
  <c r="D191" i="29"/>
  <c r="AO190" i="29"/>
  <c r="AJ190" i="29"/>
  <c r="AE190" i="29"/>
  <c r="Z190" i="29"/>
  <c r="U190" i="29"/>
  <c r="X190" i="29" s="1"/>
  <c r="S190" i="29"/>
  <c r="R190" i="29"/>
  <c r="Q190" i="29"/>
  <c r="N190" i="29"/>
  <c r="K190" i="29"/>
  <c r="H190" i="29"/>
  <c r="AO189" i="29"/>
  <c r="AJ189" i="29"/>
  <c r="AE189" i="29"/>
  <c r="Z189" i="29"/>
  <c r="U189" i="29"/>
  <c r="X189" i="29" s="1"/>
  <c r="S189" i="29"/>
  <c r="R189" i="29"/>
  <c r="Q189" i="29"/>
  <c r="N189" i="29"/>
  <c r="K189" i="29"/>
  <c r="H189" i="29"/>
  <c r="AO188" i="29"/>
  <c r="AJ188" i="29"/>
  <c r="AE188" i="29"/>
  <c r="Z188" i="29"/>
  <c r="U188" i="29"/>
  <c r="X188" i="29" s="1"/>
  <c r="Y188" i="29" s="1"/>
  <c r="S188" i="29"/>
  <c r="R188" i="29"/>
  <c r="Q188" i="29"/>
  <c r="N188" i="29"/>
  <c r="K188" i="29"/>
  <c r="H188" i="29"/>
  <c r="AO187" i="29"/>
  <c r="AJ187" i="29"/>
  <c r="AE187" i="29"/>
  <c r="Z187" i="29"/>
  <c r="U187" i="29"/>
  <c r="X187" i="29" s="1"/>
  <c r="Y187" i="29" s="1"/>
  <c r="S187" i="29"/>
  <c r="R187" i="29"/>
  <c r="Q187" i="29"/>
  <c r="N187" i="29"/>
  <c r="K187" i="29"/>
  <c r="H187" i="29"/>
  <c r="AO186" i="29"/>
  <c r="AJ186" i="29"/>
  <c r="AE186" i="29"/>
  <c r="Z186" i="29"/>
  <c r="U186" i="29"/>
  <c r="X186" i="29" s="1"/>
  <c r="S186" i="29"/>
  <c r="R186" i="29"/>
  <c r="Q186" i="29"/>
  <c r="N186" i="29"/>
  <c r="K186" i="29"/>
  <c r="H186" i="29"/>
  <c r="AO185" i="29"/>
  <c r="AJ185" i="29"/>
  <c r="AE185" i="29"/>
  <c r="Z185" i="29"/>
  <c r="U185" i="29"/>
  <c r="X185" i="29" s="1"/>
  <c r="Y185" i="29" s="1"/>
  <c r="S185" i="29"/>
  <c r="R185" i="29"/>
  <c r="Q185" i="29"/>
  <c r="N185" i="29"/>
  <c r="K185" i="29"/>
  <c r="H185" i="29"/>
  <c r="AO184" i="29"/>
  <c r="AJ184" i="29"/>
  <c r="AE184" i="29"/>
  <c r="Z184" i="29"/>
  <c r="U184" i="29"/>
  <c r="X184" i="29" s="1"/>
  <c r="S184" i="29"/>
  <c r="R184" i="29"/>
  <c r="Q184" i="29"/>
  <c r="N184" i="29"/>
  <c r="K184" i="29"/>
  <c r="H184" i="29"/>
  <c r="AO183" i="29"/>
  <c r="AJ183" i="29"/>
  <c r="AE183" i="29"/>
  <c r="Z183" i="29"/>
  <c r="U183" i="29"/>
  <c r="X183" i="29" s="1"/>
  <c r="Y183" i="29" s="1"/>
  <c r="S183" i="29"/>
  <c r="R183" i="29"/>
  <c r="Q183" i="29"/>
  <c r="N183" i="29"/>
  <c r="K183" i="29"/>
  <c r="H183" i="29"/>
  <c r="AO182" i="29"/>
  <c r="AJ182" i="29"/>
  <c r="AE182" i="29"/>
  <c r="Z182" i="29"/>
  <c r="U182" i="29"/>
  <c r="X182" i="29" s="1"/>
  <c r="S182" i="29"/>
  <c r="R182" i="29"/>
  <c r="Q182" i="29"/>
  <c r="N182" i="29"/>
  <c r="K182" i="29"/>
  <c r="H182" i="29"/>
  <c r="AO181" i="29"/>
  <c r="AJ181" i="29"/>
  <c r="AE181" i="29"/>
  <c r="Z181" i="29"/>
  <c r="U181" i="29"/>
  <c r="X181" i="29" s="1"/>
  <c r="S181" i="29"/>
  <c r="R181" i="29"/>
  <c r="Q181" i="29"/>
  <c r="N181" i="29"/>
  <c r="K181" i="29"/>
  <c r="H181" i="29"/>
  <c r="AO180" i="29"/>
  <c r="AJ180" i="29"/>
  <c r="AE180" i="29"/>
  <c r="Z180" i="29"/>
  <c r="U180" i="29"/>
  <c r="X180" i="29" s="1"/>
  <c r="S180" i="29"/>
  <c r="R180" i="29"/>
  <c r="Q180" i="29"/>
  <c r="N180" i="29"/>
  <c r="K180" i="29"/>
  <c r="H180" i="29"/>
  <c r="AO179" i="29"/>
  <c r="AJ179" i="29"/>
  <c r="AE179" i="29"/>
  <c r="Z179" i="29"/>
  <c r="U179" i="29"/>
  <c r="X179" i="29" s="1"/>
  <c r="S179" i="29"/>
  <c r="R179" i="29"/>
  <c r="Q179" i="29"/>
  <c r="N179" i="29"/>
  <c r="K179" i="29"/>
  <c r="H179" i="29"/>
  <c r="AO178" i="29"/>
  <c r="AJ178" i="29"/>
  <c r="AE178" i="29"/>
  <c r="Z178" i="29"/>
  <c r="U178" i="29"/>
  <c r="S178" i="29"/>
  <c r="R178" i="29"/>
  <c r="Q178" i="29"/>
  <c r="N178" i="29"/>
  <c r="K178" i="29"/>
  <c r="H178" i="29"/>
  <c r="AO177" i="29"/>
  <c r="AJ177" i="29"/>
  <c r="AE177" i="29"/>
  <c r="Z177" i="29"/>
  <c r="U177" i="29"/>
  <c r="S177" i="29"/>
  <c r="R177" i="29"/>
  <c r="Q177" i="29"/>
  <c r="N177" i="29"/>
  <c r="K177" i="29"/>
  <c r="H177" i="29"/>
  <c r="AO176" i="29"/>
  <c r="AJ176" i="29"/>
  <c r="AE176" i="29"/>
  <c r="Z176" i="29"/>
  <c r="U176" i="29"/>
  <c r="AT176" i="29" s="1"/>
  <c r="S176" i="29"/>
  <c r="R176" i="29"/>
  <c r="Q176" i="29"/>
  <c r="N176" i="29"/>
  <c r="K176" i="29"/>
  <c r="H176" i="29"/>
  <c r="AO175" i="29"/>
  <c r="AJ175" i="29"/>
  <c r="AE175" i="29"/>
  <c r="Z175" i="29"/>
  <c r="U175" i="29"/>
  <c r="S175" i="29"/>
  <c r="R175" i="29"/>
  <c r="Q175" i="29"/>
  <c r="N175" i="29"/>
  <c r="K175" i="29"/>
  <c r="H175" i="29"/>
  <c r="AO174" i="29"/>
  <c r="AJ174" i="29"/>
  <c r="AE174" i="29"/>
  <c r="Z174" i="29"/>
  <c r="U174" i="29"/>
  <c r="X174" i="29" s="1"/>
  <c r="S174" i="29"/>
  <c r="R174" i="29"/>
  <c r="Q174" i="29"/>
  <c r="N174" i="29"/>
  <c r="K174" i="29"/>
  <c r="H174" i="29"/>
  <c r="AO173" i="29"/>
  <c r="AJ173" i="29"/>
  <c r="AE173" i="29"/>
  <c r="Z173" i="29"/>
  <c r="U173" i="29"/>
  <c r="X173" i="29" s="1"/>
  <c r="Y173" i="29" s="1"/>
  <c r="S173" i="29"/>
  <c r="R173" i="29"/>
  <c r="Q173" i="29"/>
  <c r="N173" i="29"/>
  <c r="K173" i="29"/>
  <c r="H173" i="29"/>
  <c r="AO172" i="29"/>
  <c r="AJ172" i="29"/>
  <c r="AE172" i="29"/>
  <c r="Z172" i="29"/>
  <c r="U172" i="29"/>
  <c r="X172" i="29" s="1"/>
  <c r="S172" i="29"/>
  <c r="R172" i="29"/>
  <c r="Q172" i="29"/>
  <c r="N172" i="29"/>
  <c r="K172" i="29"/>
  <c r="H172" i="29"/>
  <c r="AO171" i="29"/>
  <c r="AJ171" i="29"/>
  <c r="AE171" i="29"/>
  <c r="Z171" i="29"/>
  <c r="U171" i="29"/>
  <c r="X171" i="29" s="1"/>
  <c r="AC171" i="29" s="1"/>
  <c r="S171" i="29"/>
  <c r="R171" i="29"/>
  <c r="Q171" i="29"/>
  <c r="N171" i="29"/>
  <c r="K171" i="29"/>
  <c r="H171" i="29"/>
  <c r="AO170" i="29"/>
  <c r="AJ170" i="29"/>
  <c r="AE170" i="29"/>
  <c r="Z170" i="29"/>
  <c r="U170" i="29"/>
  <c r="X170" i="29" s="1"/>
  <c r="S170" i="29"/>
  <c r="R170" i="29"/>
  <c r="Q170" i="29"/>
  <c r="N170" i="29"/>
  <c r="K170" i="29"/>
  <c r="H170" i="29"/>
  <c r="AO169" i="29"/>
  <c r="AJ169" i="29"/>
  <c r="AE169" i="29"/>
  <c r="Z169" i="29"/>
  <c r="U169" i="29"/>
  <c r="S169" i="29"/>
  <c r="R169" i="29"/>
  <c r="Q169" i="29"/>
  <c r="N169" i="29"/>
  <c r="K169" i="29"/>
  <c r="H169" i="29"/>
  <c r="AO168" i="29"/>
  <c r="AJ168" i="29"/>
  <c r="AE168" i="29"/>
  <c r="Z168" i="29"/>
  <c r="AC168" i="29" s="1"/>
  <c r="S168" i="29"/>
  <c r="R168" i="29"/>
  <c r="Q168" i="29"/>
  <c r="N168" i="29"/>
  <c r="K168" i="29"/>
  <c r="H168" i="29"/>
  <c r="AO167" i="29"/>
  <c r="AJ167" i="29"/>
  <c r="AE167" i="29"/>
  <c r="Z167" i="29"/>
  <c r="U167" i="29"/>
  <c r="X167" i="29" s="1"/>
  <c r="S167" i="29"/>
  <c r="R167" i="29"/>
  <c r="Q167" i="29"/>
  <c r="N167" i="29"/>
  <c r="K167" i="29"/>
  <c r="H167" i="29"/>
  <c r="AO166" i="29"/>
  <c r="AJ166" i="29"/>
  <c r="AE166" i="29"/>
  <c r="Z166" i="29"/>
  <c r="U166" i="29"/>
  <c r="X166" i="29" s="1"/>
  <c r="AC166" i="29" s="1"/>
  <c r="S166" i="29"/>
  <c r="R166" i="29"/>
  <c r="Q166" i="29"/>
  <c r="N166" i="29"/>
  <c r="K166" i="29"/>
  <c r="H166" i="29"/>
  <c r="AO165" i="29"/>
  <c r="AJ165" i="29"/>
  <c r="AE165" i="29"/>
  <c r="Z165" i="29"/>
  <c r="U165" i="29"/>
  <c r="X165" i="29" s="1"/>
  <c r="S165" i="29"/>
  <c r="R165" i="29"/>
  <c r="Q165" i="29"/>
  <c r="N165" i="29"/>
  <c r="K165" i="29"/>
  <c r="H165" i="29"/>
  <c r="AO164" i="29"/>
  <c r="AJ164" i="29"/>
  <c r="AE164" i="29"/>
  <c r="Z164" i="29"/>
  <c r="U164" i="29"/>
  <c r="S164" i="29"/>
  <c r="R164" i="29"/>
  <c r="Q164" i="29"/>
  <c r="N164" i="29"/>
  <c r="K164" i="29"/>
  <c r="H164" i="29"/>
  <c r="AO163" i="29"/>
  <c r="AJ163" i="29"/>
  <c r="AE163" i="29"/>
  <c r="Z163" i="29"/>
  <c r="U163" i="29"/>
  <c r="X163" i="29" s="1"/>
  <c r="S163" i="29"/>
  <c r="R163" i="29"/>
  <c r="Q163" i="29"/>
  <c r="N163" i="29"/>
  <c r="K163" i="29"/>
  <c r="H163" i="29"/>
  <c r="AO162" i="29"/>
  <c r="AJ162" i="29"/>
  <c r="AE162" i="29"/>
  <c r="Z162" i="29"/>
  <c r="U162" i="29"/>
  <c r="S162" i="29"/>
  <c r="R162" i="29"/>
  <c r="Q162" i="29"/>
  <c r="N162" i="29"/>
  <c r="K162" i="29"/>
  <c r="H162" i="29"/>
  <c r="AO161" i="29"/>
  <c r="AJ161" i="29"/>
  <c r="AE161" i="29"/>
  <c r="Z161" i="29"/>
  <c r="U161" i="29"/>
  <c r="X161" i="29" s="1"/>
  <c r="S161" i="29"/>
  <c r="R161" i="29"/>
  <c r="Q161" i="29"/>
  <c r="N161" i="29"/>
  <c r="K161" i="29"/>
  <c r="H161" i="29"/>
  <c r="AO160" i="29"/>
  <c r="AJ160" i="29"/>
  <c r="AE160" i="29"/>
  <c r="Z160" i="29"/>
  <c r="U160" i="29"/>
  <c r="X160" i="29" s="1"/>
  <c r="Y160" i="29" s="1"/>
  <c r="S160" i="29"/>
  <c r="R160" i="29"/>
  <c r="Q160" i="29"/>
  <c r="N160" i="29"/>
  <c r="K160" i="29"/>
  <c r="H160" i="29"/>
  <c r="AO159" i="29"/>
  <c r="AJ159" i="29"/>
  <c r="AE159" i="29"/>
  <c r="Z159" i="29"/>
  <c r="U159" i="29"/>
  <c r="X159" i="29" s="1"/>
  <c r="S159" i="29"/>
  <c r="R159" i="29"/>
  <c r="Q159" i="29"/>
  <c r="N159" i="29"/>
  <c r="K159" i="29"/>
  <c r="H159" i="29"/>
  <c r="AO158" i="29"/>
  <c r="AJ158" i="29"/>
  <c r="AE158" i="29"/>
  <c r="Z158" i="29"/>
  <c r="U158" i="29"/>
  <c r="X158" i="29" s="1"/>
  <c r="S158" i="29"/>
  <c r="R158" i="29"/>
  <c r="Q158" i="29"/>
  <c r="N158" i="29"/>
  <c r="K158" i="29"/>
  <c r="H158" i="29"/>
  <c r="AO157" i="29"/>
  <c r="AJ157" i="29"/>
  <c r="AE157" i="29"/>
  <c r="Z157" i="29"/>
  <c r="U157" i="29"/>
  <c r="X157" i="29" s="1"/>
  <c r="S157" i="29"/>
  <c r="R157" i="29"/>
  <c r="Q157" i="29"/>
  <c r="N157" i="29"/>
  <c r="K157" i="29"/>
  <c r="H157" i="29"/>
  <c r="AO156" i="29"/>
  <c r="AJ156" i="29"/>
  <c r="AE156" i="29"/>
  <c r="Z156" i="29"/>
  <c r="U156" i="29"/>
  <c r="S156" i="29"/>
  <c r="R156" i="29"/>
  <c r="Q156" i="29"/>
  <c r="N156" i="29"/>
  <c r="K156" i="29"/>
  <c r="H156" i="29"/>
  <c r="AO155" i="29"/>
  <c r="AJ155" i="29"/>
  <c r="AE155" i="29"/>
  <c r="Z155" i="29"/>
  <c r="U155" i="29"/>
  <c r="X155" i="29" s="1"/>
  <c r="S155" i="29"/>
  <c r="R155" i="29"/>
  <c r="Q155" i="29"/>
  <c r="N155" i="29"/>
  <c r="K155" i="29"/>
  <c r="H155" i="29"/>
  <c r="AO154" i="29"/>
  <c r="AJ154" i="29"/>
  <c r="AE154" i="29"/>
  <c r="Z154" i="29"/>
  <c r="U154" i="29"/>
  <c r="S154" i="29"/>
  <c r="R154" i="29"/>
  <c r="Q154" i="29"/>
  <c r="N154" i="29"/>
  <c r="K154" i="29"/>
  <c r="H154" i="29"/>
  <c r="AO153" i="29"/>
  <c r="AJ153" i="29"/>
  <c r="AE153" i="29"/>
  <c r="Z153" i="29"/>
  <c r="U153" i="29"/>
  <c r="X153" i="29" s="1"/>
  <c r="S153" i="29"/>
  <c r="R153" i="29"/>
  <c r="Q153" i="29"/>
  <c r="N153" i="29"/>
  <c r="K153" i="29"/>
  <c r="H153" i="29"/>
  <c r="AO152" i="29"/>
  <c r="AJ152" i="29"/>
  <c r="AE152" i="29"/>
  <c r="Z152" i="29"/>
  <c r="U152" i="29"/>
  <c r="S152" i="29"/>
  <c r="R152" i="29"/>
  <c r="Q152" i="29"/>
  <c r="N152" i="29"/>
  <c r="K152" i="29"/>
  <c r="H152" i="29"/>
  <c r="AO151" i="29"/>
  <c r="AJ151" i="29"/>
  <c r="AE151" i="29"/>
  <c r="Z151" i="29"/>
  <c r="U151" i="29"/>
  <c r="X151" i="29" s="1"/>
  <c r="Y151" i="29" s="1"/>
  <c r="S151" i="29"/>
  <c r="R151" i="29"/>
  <c r="Q151" i="29"/>
  <c r="N151" i="29"/>
  <c r="K151" i="29"/>
  <c r="H151" i="29"/>
  <c r="AO150" i="29"/>
  <c r="AJ150" i="29"/>
  <c r="AE150" i="29"/>
  <c r="Z150" i="29"/>
  <c r="U150" i="29"/>
  <c r="X150" i="29" s="1"/>
  <c r="AC150" i="29" s="1"/>
  <c r="S150" i="29"/>
  <c r="R150" i="29"/>
  <c r="Q150" i="29"/>
  <c r="N150" i="29"/>
  <c r="K150" i="29"/>
  <c r="H150" i="29"/>
  <c r="AO149" i="29"/>
  <c r="AJ149" i="29"/>
  <c r="AE149" i="29"/>
  <c r="Z149" i="29"/>
  <c r="U149" i="29"/>
  <c r="X149" i="29" s="1"/>
  <c r="S149" i="29"/>
  <c r="R149" i="29"/>
  <c r="Q149" i="29"/>
  <c r="N149" i="29"/>
  <c r="K149" i="29"/>
  <c r="H149" i="29"/>
  <c r="AO148" i="29"/>
  <c r="AJ148" i="29"/>
  <c r="AE148" i="29"/>
  <c r="Z148" i="29"/>
  <c r="U148" i="29"/>
  <c r="S148" i="29"/>
  <c r="R148" i="29"/>
  <c r="Q148" i="29"/>
  <c r="N148" i="29"/>
  <c r="K148" i="29"/>
  <c r="H148" i="29"/>
  <c r="AO147" i="29"/>
  <c r="AJ147" i="29"/>
  <c r="AE147" i="29"/>
  <c r="Z147" i="29"/>
  <c r="U147" i="29"/>
  <c r="X147" i="29" s="1"/>
  <c r="S147" i="29"/>
  <c r="R147" i="29"/>
  <c r="Q147" i="29"/>
  <c r="N147" i="29"/>
  <c r="K147" i="29"/>
  <c r="H147" i="29"/>
  <c r="AO146" i="29"/>
  <c r="AJ146" i="29"/>
  <c r="AE146" i="29"/>
  <c r="Z146" i="29"/>
  <c r="U146" i="29"/>
  <c r="X146" i="29" s="1"/>
  <c r="S146" i="29"/>
  <c r="R146" i="29"/>
  <c r="Q146" i="29"/>
  <c r="N146" i="29"/>
  <c r="K146" i="29"/>
  <c r="H146" i="29"/>
  <c r="AO145" i="29"/>
  <c r="AJ145" i="29"/>
  <c r="AE145" i="29"/>
  <c r="Z145" i="29"/>
  <c r="U145" i="29"/>
  <c r="X145" i="29" s="1"/>
  <c r="S145" i="29"/>
  <c r="R145" i="29"/>
  <c r="Q145" i="29"/>
  <c r="N145" i="29"/>
  <c r="K145" i="29"/>
  <c r="H145" i="29"/>
  <c r="AO144" i="29"/>
  <c r="AJ144" i="29"/>
  <c r="AE144" i="29"/>
  <c r="Z144" i="29"/>
  <c r="U144" i="29"/>
  <c r="X144" i="29" s="1"/>
  <c r="Y144" i="29" s="1"/>
  <c r="S144" i="29"/>
  <c r="R144" i="29"/>
  <c r="Q144" i="29"/>
  <c r="N144" i="29"/>
  <c r="K144" i="29"/>
  <c r="H144" i="29"/>
  <c r="AO143" i="29"/>
  <c r="AJ143" i="29"/>
  <c r="AE143" i="29"/>
  <c r="Z143" i="29"/>
  <c r="U143" i="29"/>
  <c r="S143" i="29"/>
  <c r="R143" i="29"/>
  <c r="Q143" i="29"/>
  <c r="N143" i="29"/>
  <c r="K143" i="29"/>
  <c r="H143" i="29"/>
  <c r="AO142" i="29"/>
  <c r="AJ142" i="29"/>
  <c r="AE142" i="29"/>
  <c r="Z142" i="29"/>
  <c r="U142" i="29"/>
  <c r="X142" i="29" s="1"/>
  <c r="S142" i="29"/>
  <c r="R142" i="29"/>
  <c r="Q142" i="29"/>
  <c r="N142" i="29"/>
  <c r="K142" i="29"/>
  <c r="H142" i="29"/>
  <c r="AO141" i="29"/>
  <c r="AJ141" i="29"/>
  <c r="AE141" i="29"/>
  <c r="Z141" i="29"/>
  <c r="U141" i="29"/>
  <c r="X141" i="29" s="1"/>
  <c r="S141" i="29"/>
  <c r="R141" i="29"/>
  <c r="Q141" i="29"/>
  <c r="N141" i="29"/>
  <c r="K141" i="29"/>
  <c r="H141" i="29"/>
  <c r="AO140" i="29"/>
  <c r="AJ140" i="29"/>
  <c r="AE140" i="29"/>
  <c r="Z140" i="29"/>
  <c r="U140" i="29"/>
  <c r="S140" i="29"/>
  <c r="R140" i="29"/>
  <c r="Q140" i="29"/>
  <c r="N140" i="29"/>
  <c r="K140" i="29"/>
  <c r="H140" i="29"/>
  <c r="AO139" i="29"/>
  <c r="AJ139" i="29"/>
  <c r="AE139" i="29"/>
  <c r="Z139" i="29"/>
  <c r="U139" i="29"/>
  <c r="S139" i="29"/>
  <c r="R139" i="29"/>
  <c r="Q139" i="29"/>
  <c r="N139" i="29"/>
  <c r="K139" i="29"/>
  <c r="H139" i="29"/>
  <c r="AO138" i="29"/>
  <c r="AJ138" i="29"/>
  <c r="AE138" i="29"/>
  <c r="Z138" i="29"/>
  <c r="U138" i="29"/>
  <c r="S138" i="29"/>
  <c r="R138" i="29"/>
  <c r="Q138" i="29"/>
  <c r="N138" i="29"/>
  <c r="K138" i="29"/>
  <c r="H138" i="29"/>
  <c r="AO137" i="29"/>
  <c r="AJ137" i="29"/>
  <c r="AE137" i="29"/>
  <c r="Z137" i="29"/>
  <c r="U137" i="29"/>
  <c r="AT137" i="29" s="1"/>
  <c r="S137" i="29"/>
  <c r="R137" i="29"/>
  <c r="Q137" i="29"/>
  <c r="N137" i="29"/>
  <c r="K137" i="29"/>
  <c r="H137" i="29"/>
  <c r="AO135" i="29"/>
  <c r="AJ135" i="29"/>
  <c r="AE135" i="29"/>
  <c r="Z135" i="29"/>
  <c r="U135" i="29"/>
  <c r="AT135" i="29" s="1"/>
  <c r="O135" i="29"/>
  <c r="L135" i="29"/>
  <c r="I135" i="29"/>
  <c r="F135" i="29"/>
  <c r="D135" i="29"/>
  <c r="R134" i="29"/>
  <c r="AQ130" i="29"/>
  <c r="AP130" i="29"/>
  <c r="AL130" i="29"/>
  <c r="AK130" i="29"/>
  <c r="AG130" i="29"/>
  <c r="AF130" i="29"/>
  <c r="AB130" i="29"/>
  <c r="AA130" i="29"/>
  <c r="W130" i="29"/>
  <c r="V130" i="29"/>
  <c r="P130" i="29"/>
  <c r="O130" i="29"/>
  <c r="M130" i="29"/>
  <c r="L130" i="29"/>
  <c r="J130" i="29"/>
  <c r="N130" i="29" s="1"/>
  <c r="I130" i="29"/>
  <c r="G130" i="29"/>
  <c r="F130" i="29"/>
  <c r="E130" i="29"/>
  <c r="D130" i="29"/>
  <c r="AO129" i="29"/>
  <c r="AJ129" i="29"/>
  <c r="AJ67" i="29" s="1"/>
  <c r="AE129" i="29"/>
  <c r="Z129" i="29"/>
  <c r="U129" i="29"/>
  <c r="X129" i="29" s="1"/>
  <c r="S129" i="29"/>
  <c r="R129" i="29"/>
  <c r="Q129" i="29"/>
  <c r="N129" i="29"/>
  <c r="K129" i="29"/>
  <c r="H129" i="29"/>
  <c r="AO128" i="29"/>
  <c r="AJ128" i="29"/>
  <c r="AE128" i="29"/>
  <c r="Z128" i="29"/>
  <c r="U128" i="29"/>
  <c r="S128" i="29"/>
  <c r="R128" i="29"/>
  <c r="Q128" i="29"/>
  <c r="N128" i="29"/>
  <c r="K128" i="29"/>
  <c r="H128" i="29"/>
  <c r="AO127" i="29"/>
  <c r="AJ127" i="29"/>
  <c r="AE127" i="29"/>
  <c r="Z127" i="29"/>
  <c r="U127" i="29"/>
  <c r="X127" i="29" s="1"/>
  <c r="S127" i="29"/>
  <c r="R127" i="29"/>
  <c r="Q127" i="29"/>
  <c r="N127" i="29"/>
  <c r="K127" i="29"/>
  <c r="H127" i="29"/>
  <c r="AO126" i="29"/>
  <c r="AJ126" i="29"/>
  <c r="AE126" i="29"/>
  <c r="Z126" i="29"/>
  <c r="U126" i="29"/>
  <c r="X126" i="29" s="1"/>
  <c r="Y126" i="29" s="1"/>
  <c r="S126" i="29"/>
  <c r="R126" i="29"/>
  <c r="Q126" i="29"/>
  <c r="N126" i="29"/>
  <c r="K126" i="29"/>
  <c r="H126" i="29"/>
  <c r="AO125" i="29"/>
  <c r="AJ125" i="29"/>
  <c r="AE125" i="29"/>
  <c r="Z125" i="29"/>
  <c r="U125" i="29"/>
  <c r="X125" i="29" s="1"/>
  <c r="S125" i="29"/>
  <c r="R125" i="29"/>
  <c r="Q125" i="29"/>
  <c r="N125" i="29"/>
  <c r="K125" i="29"/>
  <c r="H125" i="29"/>
  <c r="AO124" i="29"/>
  <c r="AJ124" i="29"/>
  <c r="AE124" i="29"/>
  <c r="AE62" i="29" s="1"/>
  <c r="Z124" i="29"/>
  <c r="U124" i="29"/>
  <c r="X124" i="29" s="1"/>
  <c r="S124" i="29"/>
  <c r="R124" i="29"/>
  <c r="Q124" i="29"/>
  <c r="N124" i="29"/>
  <c r="K124" i="29"/>
  <c r="H124" i="29"/>
  <c r="AO123" i="29"/>
  <c r="AO61" i="29" s="1"/>
  <c r="AJ123" i="29"/>
  <c r="AE123" i="29"/>
  <c r="Z123" i="29"/>
  <c r="U123" i="29"/>
  <c r="X123" i="29" s="1"/>
  <c r="S123" i="29"/>
  <c r="R123" i="29"/>
  <c r="Q123" i="29"/>
  <c r="N123" i="29"/>
  <c r="K123" i="29"/>
  <c r="H123" i="29"/>
  <c r="AO122" i="29"/>
  <c r="AJ122" i="29"/>
  <c r="AE122" i="29"/>
  <c r="Z122" i="29"/>
  <c r="Z60" i="29" s="1"/>
  <c r="U122" i="29"/>
  <c r="S122" i="29"/>
  <c r="R122" i="29"/>
  <c r="Q122" i="29"/>
  <c r="N122" i="29"/>
  <c r="K122" i="29"/>
  <c r="H122" i="29"/>
  <c r="AO121" i="29"/>
  <c r="AJ121" i="29"/>
  <c r="AE121" i="29"/>
  <c r="Z121" i="29"/>
  <c r="U121" i="29"/>
  <c r="X121" i="29" s="1"/>
  <c r="S121" i="29"/>
  <c r="R121" i="29"/>
  <c r="Q121" i="29"/>
  <c r="N121" i="29"/>
  <c r="K121" i="29"/>
  <c r="H121" i="29"/>
  <c r="AO120" i="29"/>
  <c r="AJ120" i="29"/>
  <c r="AE120" i="29"/>
  <c r="Z120" i="29"/>
  <c r="U120" i="29"/>
  <c r="S120" i="29"/>
  <c r="R120" i="29"/>
  <c r="Q120" i="29"/>
  <c r="N120" i="29"/>
  <c r="K120" i="29"/>
  <c r="H120" i="29"/>
  <c r="AO119" i="29"/>
  <c r="AJ119" i="29"/>
  <c r="AE119" i="29"/>
  <c r="AE57" i="29" s="1"/>
  <c r="Z119" i="29"/>
  <c r="U119" i="29"/>
  <c r="S119" i="29"/>
  <c r="R119" i="29"/>
  <c r="Q119" i="29"/>
  <c r="N119" i="29"/>
  <c r="K119" i="29"/>
  <c r="H119" i="29"/>
  <c r="AO118" i="29"/>
  <c r="AO56" i="29" s="1"/>
  <c r="AJ118" i="29"/>
  <c r="AE118" i="29"/>
  <c r="Z118" i="29"/>
  <c r="U118" i="29"/>
  <c r="X118" i="29" s="1"/>
  <c r="Y118" i="29" s="1"/>
  <c r="S118" i="29"/>
  <c r="R118" i="29"/>
  <c r="Q118" i="29"/>
  <c r="N118" i="29"/>
  <c r="K118" i="29"/>
  <c r="H118" i="29"/>
  <c r="AO117" i="29"/>
  <c r="AJ117" i="29"/>
  <c r="AE117" i="29"/>
  <c r="Z117" i="29"/>
  <c r="U117" i="29"/>
  <c r="X117" i="29" s="1"/>
  <c r="Y117" i="29" s="1"/>
  <c r="S117" i="29"/>
  <c r="R117" i="29"/>
  <c r="Q117" i="29"/>
  <c r="N117" i="29"/>
  <c r="K117" i="29"/>
  <c r="H117" i="29"/>
  <c r="AO116" i="29"/>
  <c r="AJ116" i="29"/>
  <c r="AE116" i="29"/>
  <c r="Z116" i="29"/>
  <c r="U116" i="29"/>
  <c r="X116" i="29" s="1"/>
  <c r="AC116" i="29" s="1"/>
  <c r="S116" i="29"/>
  <c r="R116" i="29"/>
  <c r="Q116" i="29"/>
  <c r="N116" i="29"/>
  <c r="K116" i="29"/>
  <c r="H116" i="29"/>
  <c r="AO115" i="29"/>
  <c r="AJ115" i="29"/>
  <c r="AE115" i="29"/>
  <c r="Z115" i="29"/>
  <c r="U115" i="29"/>
  <c r="S115" i="29"/>
  <c r="R115" i="29"/>
  <c r="Q115" i="29"/>
  <c r="N115" i="29"/>
  <c r="K115" i="29"/>
  <c r="H115" i="29"/>
  <c r="AO114" i="29"/>
  <c r="AJ114" i="29"/>
  <c r="AE114" i="29"/>
  <c r="AE52" i="29" s="1"/>
  <c r="Z114" i="29"/>
  <c r="Z52" i="29" s="1"/>
  <c r="U114" i="29"/>
  <c r="S114" i="29"/>
  <c r="R114" i="29"/>
  <c r="Q114" i="29"/>
  <c r="N114" i="29"/>
  <c r="K114" i="29"/>
  <c r="H114" i="29"/>
  <c r="AO113" i="29"/>
  <c r="AO51" i="29" s="1"/>
  <c r="AJ113" i="29"/>
  <c r="AE113" i="29"/>
  <c r="Z113" i="29"/>
  <c r="U113" i="29"/>
  <c r="X113" i="29" s="1"/>
  <c r="S113" i="29"/>
  <c r="R113" i="29"/>
  <c r="Q113" i="29"/>
  <c r="N113" i="29"/>
  <c r="K113" i="29"/>
  <c r="H113" i="29"/>
  <c r="AO112" i="29"/>
  <c r="AJ112" i="29"/>
  <c r="AE112" i="29"/>
  <c r="Z112" i="29"/>
  <c r="U112" i="29"/>
  <c r="S112" i="29"/>
  <c r="R112" i="29"/>
  <c r="Q112" i="29"/>
  <c r="N112" i="29"/>
  <c r="K112" i="29"/>
  <c r="H112" i="29"/>
  <c r="AO111" i="29"/>
  <c r="AJ111" i="29"/>
  <c r="AE111" i="29"/>
  <c r="Z111" i="29"/>
  <c r="U111" i="29"/>
  <c r="X111" i="29" s="1"/>
  <c r="S111" i="29"/>
  <c r="R111" i="29"/>
  <c r="Q111" i="29"/>
  <c r="N111" i="29"/>
  <c r="K111" i="29"/>
  <c r="H111" i="29"/>
  <c r="AO110" i="29"/>
  <c r="AJ110" i="29"/>
  <c r="AE110" i="29"/>
  <c r="Z110" i="29"/>
  <c r="U110" i="29"/>
  <c r="X110" i="29" s="1"/>
  <c r="Y110" i="29" s="1"/>
  <c r="S110" i="29"/>
  <c r="R110" i="29"/>
  <c r="Q110" i="29"/>
  <c r="N110" i="29"/>
  <c r="K110" i="29"/>
  <c r="H110" i="29"/>
  <c r="AO109" i="29"/>
  <c r="AJ109" i="29"/>
  <c r="AJ47" i="29" s="1"/>
  <c r="AE109" i="29"/>
  <c r="Z109" i="29"/>
  <c r="U109" i="29"/>
  <c r="X109" i="29" s="1"/>
  <c r="Y109" i="29" s="1"/>
  <c r="S109" i="29"/>
  <c r="R109" i="29"/>
  <c r="Q109" i="29"/>
  <c r="N109" i="29"/>
  <c r="K109" i="29"/>
  <c r="H109" i="29"/>
  <c r="AO108" i="29"/>
  <c r="AJ108" i="29"/>
  <c r="AE108" i="29"/>
  <c r="Z108" i="29"/>
  <c r="U108" i="29"/>
  <c r="X108" i="29" s="1"/>
  <c r="AC108" i="29" s="1"/>
  <c r="S108" i="29"/>
  <c r="R108" i="29"/>
  <c r="Q108" i="29"/>
  <c r="N108" i="29"/>
  <c r="K108" i="29"/>
  <c r="H108" i="29"/>
  <c r="AO107" i="29"/>
  <c r="AJ107" i="29"/>
  <c r="AE107" i="29"/>
  <c r="Z107" i="29"/>
  <c r="U107" i="29"/>
  <c r="X107" i="29" s="1"/>
  <c r="S107" i="29"/>
  <c r="R107" i="29"/>
  <c r="Q107" i="29"/>
  <c r="N107" i="29"/>
  <c r="K107" i="29"/>
  <c r="H107" i="29"/>
  <c r="AO106" i="29"/>
  <c r="AJ106" i="29"/>
  <c r="AE106" i="29"/>
  <c r="Z106" i="29"/>
  <c r="U106" i="29"/>
  <c r="S106" i="29"/>
  <c r="R106" i="29"/>
  <c r="Q106" i="29"/>
  <c r="N106" i="29"/>
  <c r="K106" i="29"/>
  <c r="H106" i="29"/>
  <c r="AO105" i="29"/>
  <c r="AJ105" i="29"/>
  <c r="AE105" i="29"/>
  <c r="Z105" i="29"/>
  <c r="U105" i="29"/>
  <c r="X105" i="29" s="1"/>
  <c r="S105" i="29"/>
  <c r="R105" i="29"/>
  <c r="Q105" i="29"/>
  <c r="N105" i="29"/>
  <c r="K105" i="29"/>
  <c r="H105" i="29"/>
  <c r="AO104" i="29"/>
  <c r="AJ104" i="29"/>
  <c r="AJ42" i="29" s="1"/>
  <c r="AE104" i="29"/>
  <c r="AE42" i="29" s="1"/>
  <c r="Z104" i="29"/>
  <c r="U104" i="29"/>
  <c r="S104" i="29"/>
  <c r="R104" i="29"/>
  <c r="Q104" i="29"/>
  <c r="N104" i="29"/>
  <c r="K104" i="29"/>
  <c r="H104" i="29"/>
  <c r="AO103" i="29"/>
  <c r="AJ103" i="29"/>
  <c r="AE103" i="29"/>
  <c r="Z103" i="29"/>
  <c r="U103" i="29"/>
  <c r="X103" i="29" s="1"/>
  <c r="S103" i="29"/>
  <c r="R103" i="29"/>
  <c r="Q103" i="29"/>
  <c r="N103" i="29"/>
  <c r="K103" i="29"/>
  <c r="H103" i="29"/>
  <c r="AO102" i="29"/>
  <c r="AJ102" i="29"/>
  <c r="AE102" i="29"/>
  <c r="Z102" i="29"/>
  <c r="U102" i="29"/>
  <c r="X102" i="29" s="1"/>
  <c r="S102" i="29"/>
  <c r="R102" i="29"/>
  <c r="Q102" i="29"/>
  <c r="N102" i="29"/>
  <c r="K102" i="29"/>
  <c r="H102" i="29"/>
  <c r="AO101" i="29"/>
  <c r="AO39" i="29" s="1"/>
  <c r="AJ101" i="29"/>
  <c r="AE101" i="29"/>
  <c r="Z101" i="29"/>
  <c r="U101" i="29"/>
  <c r="X101" i="29" s="1"/>
  <c r="S101" i="29"/>
  <c r="R101" i="29"/>
  <c r="Q101" i="29"/>
  <c r="N101" i="29"/>
  <c r="K101" i="29"/>
  <c r="H101" i="29"/>
  <c r="AO100" i="29"/>
  <c r="AJ100" i="29"/>
  <c r="AE100" i="29"/>
  <c r="Z100" i="29"/>
  <c r="U100" i="29"/>
  <c r="X100" i="29" s="1"/>
  <c r="AC100" i="29" s="1"/>
  <c r="S100" i="29"/>
  <c r="R100" i="29"/>
  <c r="Q100" i="29"/>
  <c r="N100" i="29"/>
  <c r="K100" i="29"/>
  <c r="H100" i="29"/>
  <c r="AO99" i="29"/>
  <c r="AJ99" i="29"/>
  <c r="AE99" i="29"/>
  <c r="Z99" i="29"/>
  <c r="Z37" i="29" s="1"/>
  <c r="U99" i="29"/>
  <c r="X99" i="29" s="1"/>
  <c r="S99" i="29"/>
  <c r="R99" i="29"/>
  <c r="Q99" i="29"/>
  <c r="N99" i="29"/>
  <c r="K99" i="29"/>
  <c r="H99" i="29"/>
  <c r="AO98" i="29"/>
  <c r="AJ98" i="29"/>
  <c r="AE98" i="29"/>
  <c r="Z98" i="29"/>
  <c r="U98" i="29"/>
  <c r="S98" i="29"/>
  <c r="R98" i="29"/>
  <c r="Q98" i="29"/>
  <c r="N98" i="29"/>
  <c r="K98" i="29"/>
  <c r="H98" i="29"/>
  <c r="AO97" i="29"/>
  <c r="AJ97" i="29"/>
  <c r="AE97" i="29"/>
  <c r="Z97" i="29"/>
  <c r="U97" i="29"/>
  <c r="X97" i="29" s="1"/>
  <c r="Y97" i="29" s="1"/>
  <c r="S97" i="29"/>
  <c r="R97" i="29"/>
  <c r="Q97" i="29"/>
  <c r="N97" i="29"/>
  <c r="K97" i="29"/>
  <c r="H97" i="29"/>
  <c r="AO96" i="29"/>
  <c r="AJ96" i="29"/>
  <c r="AE96" i="29"/>
  <c r="Z96" i="29"/>
  <c r="U96" i="29"/>
  <c r="S96" i="29"/>
  <c r="R96" i="29"/>
  <c r="Q96" i="29"/>
  <c r="N96" i="29"/>
  <c r="K96" i="29"/>
  <c r="H96" i="29"/>
  <c r="AO95" i="29"/>
  <c r="AJ95" i="29"/>
  <c r="AE95" i="29"/>
  <c r="AE33" i="29" s="1"/>
  <c r="Z95" i="29"/>
  <c r="U95" i="29"/>
  <c r="S95" i="29"/>
  <c r="R95" i="29"/>
  <c r="Q95" i="29"/>
  <c r="N95" i="29"/>
  <c r="K95" i="29"/>
  <c r="H95" i="29"/>
  <c r="AO94" i="29"/>
  <c r="AO32" i="29" s="1"/>
  <c r="AJ94" i="29"/>
  <c r="AE94" i="29"/>
  <c r="Z94" i="29"/>
  <c r="U94" i="29"/>
  <c r="X94" i="29" s="1"/>
  <c r="Y94" i="29" s="1"/>
  <c r="S94" i="29"/>
  <c r="R94" i="29"/>
  <c r="Q94" i="29"/>
  <c r="N94" i="29"/>
  <c r="K94" i="29"/>
  <c r="H94" i="29"/>
  <c r="AO93" i="29"/>
  <c r="AJ93" i="29"/>
  <c r="AE93" i="29"/>
  <c r="Z93" i="29"/>
  <c r="U93" i="29"/>
  <c r="S93" i="29"/>
  <c r="R93" i="29"/>
  <c r="Q93" i="29"/>
  <c r="N93" i="29"/>
  <c r="K93" i="29"/>
  <c r="H93" i="29"/>
  <c r="AO92" i="29"/>
  <c r="AJ92" i="29"/>
  <c r="AJ30" i="29" s="1"/>
  <c r="AE92" i="29"/>
  <c r="AE30" i="29" s="1"/>
  <c r="Z92" i="29"/>
  <c r="U92" i="29"/>
  <c r="X92" i="29" s="1"/>
  <c r="S92" i="29"/>
  <c r="R92" i="29"/>
  <c r="Q92" i="29"/>
  <c r="N92" i="29"/>
  <c r="K92" i="29"/>
  <c r="H92" i="29"/>
  <c r="AO91" i="29"/>
  <c r="AJ91" i="29"/>
  <c r="AE91" i="29"/>
  <c r="Z91" i="29"/>
  <c r="U91" i="29"/>
  <c r="S91" i="29"/>
  <c r="R91" i="29"/>
  <c r="Q91" i="29"/>
  <c r="N91" i="29"/>
  <c r="K91" i="29"/>
  <c r="H91" i="29"/>
  <c r="AO90" i="29"/>
  <c r="AJ90" i="29"/>
  <c r="AE90" i="29"/>
  <c r="AE28" i="29" s="1"/>
  <c r="Z90" i="29"/>
  <c r="U90" i="29"/>
  <c r="S90" i="29"/>
  <c r="R90" i="29"/>
  <c r="Q90" i="29"/>
  <c r="N90" i="29"/>
  <c r="K90" i="29"/>
  <c r="H90" i="29"/>
  <c r="AO89" i="29"/>
  <c r="AJ89" i="29"/>
  <c r="AE89" i="29"/>
  <c r="Z89" i="29"/>
  <c r="U89" i="29"/>
  <c r="X89" i="29" s="1"/>
  <c r="S89" i="29"/>
  <c r="R89" i="29"/>
  <c r="Q89" i="29"/>
  <c r="N89" i="29"/>
  <c r="K89" i="29"/>
  <c r="H89" i="29"/>
  <c r="AO88" i="29"/>
  <c r="AJ88" i="29"/>
  <c r="AE88" i="29"/>
  <c r="Z88" i="29"/>
  <c r="U88" i="29"/>
  <c r="X88" i="29" s="1"/>
  <c r="AC88" i="29" s="1"/>
  <c r="S88" i="29"/>
  <c r="R88" i="29"/>
  <c r="Q88" i="29"/>
  <c r="N88" i="29"/>
  <c r="K88" i="29"/>
  <c r="H88" i="29"/>
  <c r="AO87" i="29"/>
  <c r="AJ87" i="29"/>
  <c r="AE87" i="29"/>
  <c r="Z87" i="29"/>
  <c r="U87" i="29"/>
  <c r="X87" i="29" s="1"/>
  <c r="S87" i="29"/>
  <c r="R87" i="29"/>
  <c r="Q87" i="29"/>
  <c r="N87" i="29"/>
  <c r="K87" i="29"/>
  <c r="H87" i="29"/>
  <c r="AO86" i="29"/>
  <c r="AJ86" i="29"/>
  <c r="AE86" i="29"/>
  <c r="Z86" i="29"/>
  <c r="U86" i="29"/>
  <c r="X86" i="29" s="1"/>
  <c r="Y86" i="29" s="1"/>
  <c r="S86" i="29"/>
  <c r="R86" i="29"/>
  <c r="Q86" i="29"/>
  <c r="N86" i="29"/>
  <c r="K86" i="29"/>
  <c r="H86" i="29"/>
  <c r="AO85" i="29"/>
  <c r="AJ85" i="29"/>
  <c r="AE85" i="29"/>
  <c r="AE23" i="29" s="1"/>
  <c r="Z85" i="29"/>
  <c r="U85" i="29"/>
  <c r="X85" i="29" s="1"/>
  <c r="S85" i="29"/>
  <c r="R85" i="29"/>
  <c r="Q85" i="29"/>
  <c r="N85" i="29"/>
  <c r="K85" i="29"/>
  <c r="H85" i="29"/>
  <c r="AO84" i="29"/>
  <c r="AJ84" i="29"/>
  <c r="AE84" i="29"/>
  <c r="Z84" i="29"/>
  <c r="U84" i="29"/>
  <c r="S84" i="29"/>
  <c r="R84" i="29"/>
  <c r="Q84" i="29"/>
  <c r="N84" i="29"/>
  <c r="K84" i="29"/>
  <c r="H84" i="29"/>
  <c r="AO83" i="29"/>
  <c r="AJ83" i="29"/>
  <c r="AE83" i="29"/>
  <c r="Z83" i="29"/>
  <c r="U83" i="29"/>
  <c r="X83" i="29" s="1"/>
  <c r="S83" i="29"/>
  <c r="R83" i="29"/>
  <c r="Q83" i="29"/>
  <c r="N83" i="29"/>
  <c r="K83" i="29"/>
  <c r="H83" i="29"/>
  <c r="AO82" i="29"/>
  <c r="AJ82" i="29"/>
  <c r="AE82" i="29"/>
  <c r="Z82" i="29"/>
  <c r="U82" i="29"/>
  <c r="S82" i="29"/>
  <c r="R82" i="29"/>
  <c r="Q82" i="29"/>
  <c r="N82" i="29"/>
  <c r="K82" i="29"/>
  <c r="H82" i="29"/>
  <c r="AO81" i="29"/>
  <c r="AJ81" i="29"/>
  <c r="AE81" i="29"/>
  <c r="Z81" i="29"/>
  <c r="U81" i="29"/>
  <c r="X81" i="29" s="1"/>
  <c r="S81" i="29"/>
  <c r="R81" i="29"/>
  <c r="Q81" i="29"/>
  <c r="N81" i="29"/>
  <c r="K81" i="29"/>
  <c r="H81" i="29"/>
  <c r="AO80" i="29"/>
  <c r="AJ80" i="29"/>
  <c r="AE80" i="29"/>
  <c r="AE18" i="29" s="1"/>
  <c r="Z80" i="29"/>
  <c r="U80" i="29"/>
  <c r="X80" i="29" s="1"/>
  <c r="S80" i="29"/>
  <c r="R80" i="29"/>
  <c r="Q80" i="29"/>
  <c r="N80" i="29"/>
  <c r="K80" i="29"/>
  <c r="H80" i="29"/>
  <c r="AO79" i="29"/>
  <c r="AJ79" i="29"/>
  <c r="AE79" i="29"/>
  <c r="Z79" i="29"/>
  <c r="U79" i="29"/>
  <c r="S79" i="29"/>
  <c r="R79" i="29"/>
  <c r="Q79" i="29"/>
  <c r="N79" i="29"/>
  <c r="K79" i="29"/>
  <c r="H79" i="29"/>
  <c r="AO78" i="29"/>
  <c r="AJ78" i="29"/>
  <c r="AE78" i="29"/>
  <c r="Z78" i="29"/>
  <c r="Z16" i="29" s="1"/>
  <c r="U78" i="29"/>
  <c r="X78" i="29" s="1"/>
  <c r="S78" i="29"/>
  <c r="R78" i="29"/>
  <c r="Q78" i="29"/>
  <c r="N78" i="29"/>
  <c r="K78" i="29"/>
  <c r="H78" i="29"/>
  <c r="AO77" i="29"/>
  <c r="AO15" i="29" s="1"/>
  <c r="AJ77" i="29"/>
  <c r="AE77" i="29"/>
  <c r="Z77" i="29"/>
  <c r="U77" i="29"/>
  <c r="X77" i="29" s="1"/>
  <c r="S77" i="29"/>
  <c r="R77" i="29"/>
  <c r="Q77" i="29"/>
  <c r="N77" i="29"/>
  <c r="K77" i="29"/>
  <c r="H77" i="29"/>
  <c r="AO76" i="29"/>
  <c r="AJ76" i="29"/>
  <c r="AE76" i="29"/>
  <c r="Z76" i="29"/>
  <c r="U76" i="29"/>
  <c r="AT76" i="29" s="1"/>
  <c r="S76" i="29"/>
  <c r="R76" i="29"/>
  <c r="Q76" i="29"/>
  <c r="N76" i="29"/>
  <c r="K76" i="29"/>
  <c r="H76" i="29"/>
  <c r="AO74" i="29"/>
  <c r="AJ74" i="29"/>
  <c r="AE74" i="29"/>
  <c r="Z74" i="29"/>
  <c r="U74" i="29"/>
  <c r="AT74" i="29" s="1"/>
  <c r="O74" i="29"/>
  <c r="L74" i="29"/>
  <c r="I74" i="29"/>
  <c r="F74" i="29"/>
  <c r="D74" i="29"/>
  <c r="R73" i="29" s="1"/>
  <c r="AQ67" i="29"/>
  <c r="AP67" i="29"/>
  <c r="AL67" i="29"/>
  <c r="AK67" i="29"/>
  <c r="AG67" i="29"/>
  <c r="AF67" i="29"/>
  <c r="AB67" i="29"/>
  <c r="AA67" i="29"/>
  <c r="W67" i="29"/>
  <c r="V67" i="29"/>
  <c r="U67" i="29"/>
  <c r="P67" i="29"/>
  <c r="M67" i="29"/>
  <c r="L67" i="29"/>
  <c r="J67" i="29"/>
  <c r="I67" i="29"/>
  <c r="G67" i="29"/>
  <c r="F67" i="29"/>
  <c r="E67" i="29"/>
  <c r="D67" i="29"/>
  <c r="AQ66" i="29"/>
  <c r="AP66" i="29"/>
  <c r="AL66" i="29"/>
  <c r="AK66" i="29"/>
  <c r="AJ66" i="29"/>
  <c r="AG66" i="29"/>
  <c r="AF66" i="29"/>
  <c r="AE66" i="29"/>
  <c r="AB66" i="29"/>
  <c r="AA66" i="29"/>
  <c r="Z66" i="29"/>
  <c r="W66" i="29"/>
  <c r="V66" i="29"/>
  <c r="P66" i="29"/>
  <c r="M66" i="29"/>
  <c r="L66" i="29"/>
  <c r="J66" i="29"/>
  <c r="I66" i="29"/>
  <c r="G66" i="29"/>
  <c r="F66" i="29"/>
  <c r="E66" i="29"/>
  <c r="D66" i="29"/>
  <c r="AQ65" i="29"/>
  <c r="AP65" i="29"/>
  <c r="AO65" i="29"/>
  <c r="AL65" i="29"/>
  <c r="AK65" i="29"/>
  <c r="AG65" i="29"/>
  <c r="AF65" i="29"/>
  <c r="AB65" i="29"/>
  <c r="AA65" i="29"/>
  <c r="W65" i="29"/>
  <c r="V65" i="29"/>
  <c r="U65" i="29"/>
  <c r="P65" i="29"/>
  <c r="M65" i="29"/>
  <c r="L65" i="29"/>
  <c r="J65" i="29"/>
  <c r="I65" i="29"/>
  <c r="G65" i="29"/>
  <c r="F65" i="29"/>
  <c r="E65" i="29"/>
  <c r="D65" i="29"/>
  <c r="AQ64" i="29"/>
  <c r="AP64" i="29"/>
  <c r="AL64" i="29"/>
  <c r="AK64" i="29"/>
  <c r="AG64" i="29"/>
  <c r="AF64" i="29"/>
  <c r="AE64" i="29"/>
  <c r="AB64" i="29"/>
  <c r="AA64" i="29"/>
  <c r="W64" i="29"/>
  <c r="V64" i="29"/>
  <c r="U64" i="29"/>
  <c r="P64" i="29"/>
  <c r="M64" i="29"/>
  <c r="L64" i="29"/>
  <c r="J64" i="29"/>
  <c r="I64" i="29"/>
  <c r="G64" i="29"/>
  <c r="F64" i="29"/>
  <c r="E64" i="29"/>
  <c r="D64" i="29"/>
  <c r="AQ63" i="29"/>
  <c r="AP63" i="29"/>
  <c r="AO63" i="29"/>
  <c r="AL63" i="29"/>
  <c r="AK63" i="29"/>
  <c r="AG63" i="29"/>
  <c r="AF63" i="29"/>
  <c r="AB63" i="29"/>
  <c r="AA63" i="29"/>
  <c r="Z63" i="29"/>
  <c r="W63" i="29"/>
  <c r="V63" i="29"/>
  <c r="U63" i="29"/>
  <c r="P63" i="29"/>
  <c r="M63" i="29"/>
  <c r="L63" i="29"/>
  <c r="J63" i="29"/>
  <c r="I63" i="29"/>
  <c r="G63" i="29"/>
  <c r="F63" i="29"/>
  <c r="E63" i="29"/>
  <c r="D63" i="29"/>
  <c r="AQ62" i="29"/>
  <c r="AP62" i="29"/>
  <c r="AL62" i="29"/>
  <c r="AK62" i="29"/>
  <c r="AG62" i="29"/>
  <c r="AF62" i="29"/>
  <c r="AB62" i="29"/>
  <c r="AA62" i="29"/>
  <c r="Z62" i="29"/>
  <c r="W62" i="29"/>
  <c r="V62" i="29"/>
  <c r="P62" i="29"/>
  <c r="M62" i="29"/>
  <c r="L62" i="29"/>
  <c r="J62" i="29"/>
  <c r="I62" i="29"/>
  <c r="G62" i="29"/>
  <c r="F62" i="29"/>
  <c r="E62" i="29"/>
  <c r="D62" i="29"/>
  <c r="AQ61" i="29"/>
  <c r="AP61" i="29"/>
  <c r="AL61" i="29"/>
  <c r="AK61" i="29"/>
  <c r="AJ61" i="29"/>
  <c r="AG61" i="29"/>
  <c r="AF61" i="29"/>
  <c r="AE61" i="29"/>
  <c r="AB61" i="29"/>
  <c r="AA61" i="29"/>
  <c r="Z61" i="29"/>
  <c r="W61" i="29"/>
  <c r="V61" i="29"/>
  <c r="U61" i="29"/>
  <c r="P61" i="29"/>
  <c r="M61" i="29"/>
  <c r="L61" i="29"/>
  <c r="J61" i="29"/>
  <c r="I61" i="29"/>
  <c r="G61" i="29"/>
  <c r="F61" i="29"/>
  <c r="E61" i="29"/>
  <c r="D61" i="29"/>
  <c r="AQ60" i="29"/>
  <c r="AP60" i="29"/>
  <c r="AL60" i="29"/>
  <c r="AK60" i="29"/>
  <c r="AG60" i="29"/>
  <c r="AF60" i="29"/>
  <c r="AB60" i="29"/>
  <c r="AA60" i="29"/>
  <c r="W60" i="29"/>
  <c r="V60" i="29"/>
  <c r="P60" i="29"/>
  <c r="M60" i="29"/>
  <c r="L60" i="29"/>
  <c r="J60" i="29"/>
  <c r="I60" i="29"/>
  <c r="G60" i="29"/>
  <c r="F60" i="29"/>
  <c r="E60" i="29"/>
  <c r="D60" i="29"/>
  <c r="AQ59" i="29"/>
  <c r="AP59" i="29"/>
  <c r="AL59" i="29"/>
  <c r="AK59" i="29"/>
  <c r="AJ59" i="29"/>
  <c r="AG59" i="29"/>
  <c r="AF59" i="29"/>
  <c r="AE59" i="29"/>
  <c r="AB59" i="29"/>
  <c r="AA59" i="29"/>
  <c r="W59" i="29"/>
  <c r="V59" i="29"/>
  <c r="P59" i="29"/>
  <c r="M59" i="29"/>
  <c r="L59" i="29"/>
  <c r="J59" i="29"/>
  <c r="N59" i="29" s="1"/>
  <c r="I59" i="29"/>
  <c r="G59" i="29"/>
  <c r="F59" i="29"/>
  <c r="E59" i="29"/>
  <c r="D59" i="29"/>
  <c r="AQ58" i="29"/>
  <c r="AP58" i="29"/>
  <c r="AO58" i="29"/>
  <c r="AL58" i="29"/>
  <c r="AK58" i="29"/>
  <c r="AG58" i="29"/>
  <c r="AF58" i="29"/>
  <c r="AE58" i="29"/>
  <c r="AB58" i="29"/>
  <c r="AA58" i="29"/>
  <c r="W58" i="29"/>
  <c r="V58" i="29"/>
  <c r="U58" i="29"/>
  <c r="P58" i="29"/>
  <c r="M58" i="29"/>
  <c r="L58" i="29"/>
  <c r="J58" i="29"/>
  <c r="I58" i="29"/>
  <c r="G58" i="29"/>
  <c r="F58" i="29"/>
  <c r="E58" i="29"/>
  <c r="D58" i="29"/>
  <c r="AQ57" i="29"/>
  <c r="AP57" i="29"/>
  <c r="AL57" i="29"/>
  <c r="AK57" i="29"/>
  <c r="AG57" i="29"/>
  <c r="AF57" i="29"/>
  <c r="AB57" i="29"/>
  <c r="AA57" i="29"/>
  <c r="W57" i="29"/>
  <c r="V57" i="29"/>
  <c r="P57" i="29"/>
  <c r="M57" i="29"/>
  <c r="L57" i="29"/>
  <c r="J57" i="29"/>
  <c r="I57" i="29"/>
  <c r="G57" i="29"/>
  <c r="F57" i="29"/>
  <c r="E57" i="29"/>
  <c r="D57" i="29"/>
  <c r="AQ56" i="29"/>
  <c r="AP56" i="29"/>
  <c r="AL56" i="29"/>
  <c r="AK56" i="29"/>
  <c r="AJ56" i="29"/>
  <c r="AG56" i="29"/>
  <c r="AF56" i="29"/>
  <c r="AB56" i="29"/>
  <c r="AA56" i="29"/>
  <c r="W56" i="29"/>
  <c r="V56" i="29"/>
  <c r="P56" i="29"/>
  <c r="M56" i="29"/>
  <c r="L56" i="29"/>
  <c r="J56" i="29"/>
  <c r="I56" i="29"/>
  <c r="G56" i="29"/>
  <c r="F56" i="29"/>
  <c r="E56" i="29"/>
  <c r="D56" i="29"/>
  <c r="AQ55" i="29"/>
  <c r="AP55" i="29"/>
  <c r="AL55" i="29"/>
  <c r="AK55" i="29"/>
  <c r="AG55" i="29"/>
  <c r="AF55" i="29"/>
  <c r="AB55" i="29"/>
  <c r="AA55" i="29"/>
  <c r="W55" i="29"/>
  <c r="V55" i="29"/>
  <c r="P55" i="29"/>
  <c r="M55" i="29"/>
  <c r="L55" i="29"/>
  <c r="J55" i="29"/>
  <c r="I55" i="29"/>
  <c r="G55" i="29"/>
  <c r="F55" i="29"/>
  <c r="E55" i="29"/>
  <c r="D55" i="29"/>
  <c r="AQ54" i="29"/>
  <c r="AP54" i="29"/>
  <c r="AL54" i="29"/>
  <c r="AK54" i="29"/>
  <c r="AJ54" i="29"/>
  <c r="AG54" i="29"/>
  <c r="AF54" i="29"/>
  <c r="AE54" i="29"/>
  <c r="AB54" i="29"/>
  <c r="AA54" i="29"/>
  <c r="Z54" i="29"/>
  <c r="W54" i="29"/>
  <c r="V54" i="29"/>
  <c r="U54" i="29"/>
  <c r="P54" i="29"/>
  <c r="M54" i="29"/>
  <c r="L54" i="29"/>
  <c r="J54" i="29"/>
  <c r="I54" i="29"/>
  <c r="G54" i="29"/>
  <c r="F54" i="29"/>
  <c r="E54" i="29"/>
  <c r="D54" i="29"/>
  <c r="AQ53" i="29"/>
  <c r="AP53" i="29"/>
  <c r="AL53" i="29"/>
  <c r="AK53" i="29"/>
  <c r="AJ53" i="29"/>
  <c r="AG53" i="29"/>
  <c r="AF53" i="29"/>
  <c r="AB53" i="29"/>
  <c r="AA53" i="29"/>
  <c r="Z53" i="29"/>
  <c r="W53" i="29"/>
  <c r="V53" i="29"/>
  <c r="P53" i="29"/>
  <c r="M53" i="29"/>
  <c r="L53" i="29"/>
  <c r="J53" i="29"/>
  <c r="I53" i="29"/>
  <c r="G53" i="29"/>
  <c r="F53" i="29"/>
  <c r="E53" i="29"/>
  <c r="D53" i="29"/>
  <c r="AQ52" i="29"/>
  <c r="AP52" i="29"/>
  <c r="AL52" i="29"/>
  <c r="AK52" i="29"/>
  <c r="AG52" i="29"/>
  <c r="AF52" i="29"/>
  <c r="AB52" i="29"/>
  <c r="AA52" i="29"/>
  <c r="W52" i="29"/>
  <c r="V52" i="29"/>
  <c r="P52" i="29"/>
  <c r="M52" i="29"/>
  <c r="L52" i="29"/>
  <c r="J52" i="29"/>
  <c r="I52" i="29"/>
  <c r="G52" i="29"/>
  <c r="F52" i="29"/>
  <c r="E52" i="29"/>
  <c r="D52" i="29"/>
  <c r="AQ51" i="29"/>
  <c r="AP51" i="29"/>
  <c r="AL51" i="29"/>
  <c r="AK51" i="29"/>
  <c r="AJ51" i="29"/>
  <c r="AG51" i="29"/>
  <c r="AF51" i="29"/>
  <c r="AE51" i="29"/>
  <c r="AB51" i="29"/>
  <c r="AA51" i="29"/>
  <c r="W51" i="29"/>
  <c r="V51" i="29"/>
  <c r="P51" i="29"/>
  <c r="M51" i="29"/>
  <c r="L51" i="29"/>
  <c r="J51" i="29"/>
  <c r="N51" i="29" s="1"/>
  <c r="I51" i="29"/>
  <c r="G51" i="29"/>
  <c r="F51" i="29"/>
  <c r="E51" i="29"/>
  <c r="S51" i="29" s="1"/>
  <c r="D51" i="29"/>
  <c r="AQ50" i="29"/>
  <c r="AP50" i="29"/>
  <c r="AL50" i="29"/>
  <c r="AK50" i="29"/>
  <c r="AG50" i="29"/>
  <c r="AF50" i="29"/>
  <c r="AB50" i="29"/>
  <c r="AA50" i="29"/>
  <c r="W50" i="29"/>
  <c r="V50" i="29"/>
  <c r="U50" i="29"/>
  <c r="P50" i="29"/>
  <c r="M50" i="29"/>
  <c r="L50" i="29"/>
  <c r="J50" i="29"/>
  <c r="I50" i="29"/>
  <c r="G50" i="29"/>
  <c r="F50" i="29"/>
  <c r="E50" i="29"/>
  <c r="D50" i="29"/>
  <c r="AQ49" i="29"/>
  <c r="AP49" i="29"/>
  <c r="AL49" i="29"/>
  <c r="AK49" i="29"/>
  <c r="AJ49" i="29"/>
  <c r="AG49" i="29"/>
  <c r="AF49" i="29"/>
  <c r="AE49" i="29"/>
  <c r="AB49" i="29"/>
  <c r="AA49" i="29"/>
  <c r="W49" i="29"/>
  <c r="V49" i="29"/>
  <c r="U49" i="29"/>
  <c r="P49" i="29"/>
  <c r="M49" i="29"/>
  <c r="L49" i="29"/>
  <c r="J49" i="29"/>
  <c r="I49" i="29"/>
  <c r="G49" i="29"/>
  <c r="F49" i="29"/>
  <c r="E49" i="29"/>
  <c r="D49" i="29"/>
  <c r="AQ48" i="29"/>
  <c r="AP48" i="29"/>
  <c r="AL48" i="29"/>
  <c r="AK48" i="29"/>
  <c r="AJ48" i="29"/>
  <c r="AG48" i="29"/>
  <c r="AF48" i="29"/>
  <c r="AB48" i="29"/>
  <c r="AA48" i="29"/>
  <c r="Z48" i="29"/>
  <c r="W48" i="29"/>
  <c r="V48" i="29"/>
  <c r="U48" i="29"/>
  <c r="P48" i="29"/>
  <c r="M48" i="29"/>
  <c r="L48" i="29"/>
  <c r="J48" i="29"/>
  <c r="I48" i="29"/>
  <c r="G48" i="29"/>
  <c r="F48" i="29"/>
  <c r="E48" i="29"/>
  <c r="D48" i="29"/>
  <c r="AQ47" i="29"/>
  <c r="AP47" i="29"/>
  <c r="AL47" i="29"/>
  <c r="AK47" i="29"/>
  <c r="AG47" i="29"/>
  <c r="AF47" i="29"/>
  <c r="AB47" i="29"/>
  <c r="AA47" i="29"/>
  <c r="Z47" i="29"/>
  <c r="W47" i="29"/>
  <c r="V47" i="29"/>
  <c r="P47" i="29"/>
  <c r="M47" i="29"/>
  <c r="L47" i="29"/>
  <c r="J47" i="29"/>
  <c r="I47" i="29"/>
  <c r="G47" i="29"/>
  <c r="F47" i="29"/>
  <c r="E47" i="29"/>
  <c r="D47" i="29"/>
  <c r="AQ46" i="29"/>
  <c r="AP46" i="29"/>
  <c r="AO46" i="29"/>
  <c r="AL46" i="29"/>
  <c r="AK46" i="29"/>
  <c r="AJ46" i="29"/>
  <c r="AG46" i="29"/>
  <c r="AF46" i="29"/>
  <c r="AB46" i="29"/>
  <c r="AA46" i="29"/>
  <c r="W46" i="29"/>
  <c r="V46" i="29"/>
  <c r="P46" i="29"/>
  <c r="M46" i="29"/>
  <c r="L46" i="29"/>
  <c r="J46" i="29"/>
  <c r="I46" i="29"/>
  <c r="G46" i="29"/>
  <c r="F46" i="29"/>
  <c r="E46" i="29"/>
  <c r="D46" i="29"/>
  <c r="AQ45" i="29"/>
  <c r="AP45" i="29"/>
  <c r="AL45" i="29"/>
  <c r="AK45" i="29"/>
  <c r="AG45" i="29"/>
  <c r="AF45" i="29"/>
  <c r="AB45" i="29"/>
  <c r="AA45" i="29"/>
  <c r="W45" i="29"/>
  <c r="V45" i="29"/>
  <c r="P45" i="29"/>
  <c r="M45" i="29"/>
  <c r="L45" i="29"/>
  <c r="J45" i="29"/>
  <c r="I45" i="29"/>
  <c r="G45" i="29"/>
  <c r="F45" i="29"/>
  <c r="E45" i="29"/>
  <c r="D45" i="29"/>
  <c r="AQ44" i="29"/>
  <c r="AP44" i="29"/>
  <c r="AL44" i="29"/>
  <c r="AK44" i="29"/>
  <c r="AG44" i="29"/>
  <c r="AF44" i="29"/>
  <c r="AE44" i="29"/>
  <c r="AB44" i="29"/>
  <c r="AA44" i="29"/>
  <c r="W44" i="29"/>
  <c r="V44" i="29"/>
  <c r="P44" i="29"/>
  <c r="M44" i="29"/>
  <c r="L44" i="29"/>
  <c r="J44" i="29"/>
  <c r="I44" i="29"/>
  <c r="G44" i="29"/>
  <c r="F44" i="29"/>
  <c r="E44" i="29"/>
  <c r="D44" i="29"/>
  <c r="AQ43" i="29"/>
  <c r="AP43" i="29"/>
  <c r="AL43" i="29"/>
  <c r="AK43" i="29"/>
  <c r="AG43" i="29"/>
  <c r="AF43" i="29"/>
  <c r="AB43" i="29"/>
  <c r="AA43" i="29"/>
  <c r="W43" i="29"/>
  <c r="V43" i="29"/>
  <c r="P43" i="29"/>
  <c r="M43" i="29"/>
  <c r="L43" i="29"/>
  <c r="J43" i="29"/>
  <c r="I43" i="29"/>
  <c r="G43" i="29"/>
  <c r="F43" i="29"/>
  <c r="E43" i="29"/>
  <c r="D43" i="29"/>
  <c r="AQ42" i="29"/>
  <c r="AP42" i="29"/>
  <c r="AL42" i="29"/>
  <c r="AK42" i="29"/>
  <c r="AG42" i="29"/>
  <c r="AF42" i="29"/>
  <c r="AB42" i="29"/>
  <c r="AA42" i="29"/>
  <c r="Z42" i="29"/>
  <c r="W42" i="29"/>
  <c r="V42" i="29"/>
  <c r="P42" i="29"/>
  <c r="M42" i="29"/>
  <c r="L42" i="29"/>
  <c r="J42" i="29"/>
  <c r="I42" i="29"/>
  <c r="G42" i="29"/>
  <c r="F42" i="29"/>
  <c r="E42" i="29"/>
  <c r="D42" i="29"/>
  <c r="AQ41" i="29"/>
  <c r="AP41" i="29"/>
  <c r="AL41" i="29"/>
  <c r="AK41" i="29"/>
  <c r="AG41" i="29"/>
  <c r="AF41" i="29"/>
  <c r="AB41" i="29"/>
  <c r="AA41" i="29"/>
  <c r="W41" i="29"/>
  <c r="V41" i="29"/>
  <c r="P41" i="29"/>
  <c r="M41" i="29"/>
  <c r="L41" i="29"/>
  <c r="J41" i="29"/>
  <c r="I41" i="29"/>
  <c r="G41" i="29"/>
  <c r="F41" i="29"/>
  <c r="E41" i="29"/>
  <c r="D41" i="29"/>
  <c r="AQ40" i="29"/>
  <c r="AP40" i="29"/>
  <c r="AL40" i="29"/>
  <c r="AK40" i="29"/>
  <c r="AG40" i="29"/>
  <c r="AF40" i="29"/>
  <c r="AB40" i="29"/>
  <c r="AA40" i="29"/>
  <c r="W40" i="29"/>
  <c r="V40" i="29"/>
  <c r="P40" i="29"/>
  <c r="M40" i="29"/>
  <c r="L40" i="29"/>
  <c r="J40" i="29"/>
  <c r="I40" i="29"/>
  <c r="G40" i="29"/>
  <c r="F40" i="29"/>
  <c r="E40" i="29"/>
  <c r="D40" i="29"/>
  <c r="AQ39" i="29"/>
  <c r="AP39" i="29"/>
  <c r="AL39" i="29"/>
  <c r="AK39" i="29"/>
  <c r="AG39" i="29"/>
  <c r="AF39" i="29"/>
  <c r="AE39" i="29"/>
  <c r="AB39" i="29"/>
  <c r="AA39" i="29"/>
  <c r="W39" i="29"/>
  <c r="V39" i="29"/>
  <c r="U39" i="29"/>
  <c r="P39" i="29"/>
  <c r="M39" i="29"/>
  <c r="L39" i="29"/>
  <c r="J39" i="29"/>
  <c r="I39" i="29"/>
  <c r="G39" i="29"/>
  <c r="F39" i="29"/>
  <c r="E39" i="29"/>
  <c r="D39" i="29"/>
  <c r="AQ38" i="29"/>
  <c r="AP38" i="29"/>
  <c r="AL38" i="29"/>
  <c r="AK38" i="29"/>
  <c r="AG38" i="29"/>
  <c r="AF38" i="29"/>
  <c r="AB38" i="29"/>
  <c r="AA38" i="29"/>
  <c r="W38" i="29"/>
  <c r="V38" i="29"/>
  <c r="U38" i="29"/>
  <c r="P38" i="29"/>
  <c r="M38" i="29"/>
  <c r="L38" i="29"/>
  <c r="J38" i="29"/>
  <c r="I38" i="29"/>
  <c r="G38" i="29"/>
  <c r="F38" i="29"/>
  <c r="E38" i="29"/>
  <c r="D38" i="29"/>
  <c r="AQ37" i="29"/>
  <c r="AP37" i="29"/>
  <c r="AO37" i="29"/>
  <c r="AL37" i="29"/>
  <c r="AK37" i="29"/>
  <c r="AG37" i="29"/>
  <c r="AF37" i="29"/>
  <c r="AB37" i="29"/>
  <c r="AA37" i="29"/>
  <c r="W37" i="29"/>
  <c r="V37" i="29"/>
  <c r="U37" i="29"/>
  <c r="P37" i="29"/>
  <c r="M37" i="29"/>
  <c r="L37" i="29"/>
  <c r="J37" i="29"/>
  <c r="I37" i="29"/>
  <c r="G37" i="29"/>
  <c r="F37" i="29"/>
  <c r="E37" i="29"/>
  <c r="D37" i="29"/>
  <c r="AQ36" i="29"/>
  <c r="AP36" i="29"/>
  <c r="AL36" i="29"/>
  <c r="AK36" i="29"/>
  <c r="AG36" i="29"/>
  <c r="AF36" i="29"/>
  <c r="AB36" i="29"/>
  <c r="AA36" i="29"/>
  <c r="W36" i="29"/>
  <c r="V36" i="29"/>
  <c r="U36" i="29"/>
  <c r="P36" i="29"/>
  <c r="M36" i="29"/>
  <c r="L36" i="29"/>
  <c r="J36" i="29"/>
  <c r="I36" i="29"/>
  <c r="G36" i="29"/>
  <c r="F36" i="29"/>
  <c r="E36" i="29"/>
  <c r="D36" i="29"/>
  <c r="AQ35" i="29"/>
  <c r="AP35" i="29"/>
  <c r="AL35" i="29"/>
  <c r="AK35" i="29"/>
  <c r="AJ35" i="29"/>
  <c r="AG35" i="29"/>
  <c r="AF35" i="29"/>
  <c r="AB35" i="29"/>
  <c r="AA35" i="29"/>
  <c r="W35" i="29"/>
  <c r="V35" i="29"/>
  <c r="P35" i="29"/>
  <c r="M35" i="29"/>
  <c r="L35" i="29"/>
  <c r="J35" i="29"/>
  <c r="I35" i="29"/>
  <c r="G35" i="29"/>
  <c r="F35" i="29"/>
  <c r="E35" i="29"/>
  <c r="D35" i="29"/>
  <c r="AQ34" i="29"/>
  <c r="AP34" i="29"/>
  <c r="AL34" i="29"/>
  <c r="AK34" i="29"/>
  <c r="AG34" i="29"/>
  <c r="AF34" i="29"/>
  <c r="AB34" i="29"/>
  <c r="AA34" i="29"/>
  <c r="W34" i="29"/>
  <c r="V34" i="29"/>
  <c r="P34" i="29"/>
  <c r="M34" i="29"/>
  <c r="L34" i="29"/>
  <c r="J34" i="29"/>
  <c r="I34" i="29"/>
  <c r="G34" i="29"/>
  <c r="F34" i="29"/>
  <c r="E34" i="29"/>
  <c r="D34" i="29"/>
  <c r="AQ33" i="29"/>
  <c r="AP33" i="29"/>
  <c r="AL33" i="29"/>
  <c r="AK33" i="29"/>
  <c r="AG33" i="29"/>
  <c r="AF33" i="29"/>
  <c r="AB33" i="29"/>
  <c r="AA33" i="29"/>
  <c r="W33" i="29"/>
  <c r="V33" i="29"/>
  <c r="U33" i="29"/>
  <c r="P33" i="29"/>
  <c r="M33" i="29"/>
  <c r="L33" i="29"/>
  <c r="J33" i="29"/>
  <c r="I33" i="29"/>
  <c r="G33" i="29"/>
  <c r="F33" i="29"/>
  <c r="E33" i="29"/>
  <c r="D33" i="29"/>
  <c r="AQ32" i="29"/>
  <c r="AP32" i="29"/>
  <c r="AL32" i="29"/>
  <c r="AK32" i="29"/>
  <c r="AG32" i="29"/>
  <c r="AF32" i="29"/>
  <c r="AB32" i="29"/>
  <c r="AA32" i="29"/>
  <c r="W32" i="29"/>
  <c r="V32" i="29"/>
  <c r="U32" i="29"/>
  <c r="P32" i="29"/>
  <c r="M32" i="29"/>
  <c r="L32" i="29"/>
  <c r="J32" i="29"/>
  <c r="I32" i="29"/>
  <c r="G32" i="29"/>
  <c r="F32" i="29"/>
  <c r="E32" i="29"/>
  <c r="D32" i="29"/>
  <c r="AQ31" i="29"/>
  <c r="AP31" i="29"/>
  <c r="AL31" i="29"/>
  <c r="AK31" i="29"/>
  <c r="AG31" i="29"/>
  <c r="AF31" i="29"/>
  <c r="AB31" i="29"/>
  <c r="AA31" i="29"/>
  <c r="Z31" i="29"/>
  <c r="W31" i="29"/>
  <c r="V31" i="29"/>
  <c r="P31" i="29"/>
  <c r="M31" i="29"/>
  <c r="L31" i="29"/>
  <c r="J31" i="29"/>
  <c r="I31" i="29"/>
  <c r="G31" i="29"/>
  <c r="F31" i="29"/>
  <c r="E31" i="29"/>
  <c r="D31" i="29"/>
  <c r="AQ30" i="29"/>
  <c r="AP30" i="29"/>
  <c r="AO30" i="29"/>
  <c r="AL30" i="29"/>
  <c r="AK30" i="29"/>
  <c r="AG30" i="29"/>
  <c r="AF30" i="29"/>
  <c r="AB30" i="29"/>
  <c r="AA30" i="29"/>
  <c r="W30" i="29"/>
  <c r="V30" i="29"/>
  <c r="U30" i="29"/>
  <c r="P30" i="29"/>
  <c r="M30" i="29"/>
  <c r="L30" i="29"/>
  <c r="J30" i="29"/>
  <c r="I30" i="29"/>
  <c r="G30" i="29"/>
  <c r="F30" i="29"/>
  <c r="E30" i="29"/>
  <c r="D30" i="29"/>
  <c r="AQ29" i="29"/>
  <c r="AP29" i="29"/>
  <c r="AO29" i="29"/>
  <c r="AL29" i="29"/>
  <c r="AK29" i="29"/>
  <c r="AG29" i="29"/>
  <c r="AF29" i="29"/>
  <c r="AB29" i="29"/>
  <c r="AA29" i="29"/>
  <c r="Z29" i="29"/>
  <c r="W29" i="29"/>
  <c r="V29" i="29"/>
  <c r="P29" i="29"/>
  <c r="M29" i="29"/>
  <c r="L29" i="29"/>
  <c r="J29" i="29"/>
  <c r="I29" i="29"/>
  <c r="G29" i="29"/>
  <c r="F29" i="29"/>
  <c r="E29" i="29"/>
  <c r="D29" i="29"/>
  <c r="AQ28" i="29"/>
  <c r="AP28" i="29"/>
  <c r="AL28" i="29"/>
  <c r="AK28" i="29"/>
  <c r="AG28" i="29"/>
  <c r="AF28" i="29"/>
  <c r="AB28" i="29"/>
  <c r="AA28" i="29"/>
  <c r="W28" i="29"/>
  <c r="V28" i="29"/>
  <c r="U28" i="29"/>
  <c r="P28" i="29"/>
  <c r="M28" i="29"/>
  <c r="L28" i="29"/>
  <c r="J28" i="29"/>
  <c r="I28" i="29"/>
  <c r="G28" i="29"/>
  <c r="F28" i="29"/>
  <c r="E28" i="29"/>
  <c r="D28" i="29"/>
  <c r="AQ27" i="29"/>
  <c r="AP27" i="29"/>
  <c r="AO27" i="29"/>
  <c r="AL27" i="29"/>
  <c r="AK27" i="29"/>
  <c r="AJ27" i="29"/>
  <c r="AG27" i="29"/>
  <c r="AF27" i="29"/>
  <c r="AB27" i="29"/>
  <c r="AA27" i="29"/>
  <c r="W27" i="29"/>
  <c r="V27" i="29"/>
  <c r="U27" i="29"/>
  <c r="P27" i="29"/>
  <c r="M27" i="29"/>
  <c r="L27" i="29"/>
  <c r="J27" i="29"/>
  <c r="I27" i="29"/>
  <c r="G27" i="29"/>
  <c r="F27" i="29"/>
  <c r="E27" i="29"/>
  <c r="S27" i="29" s="1"/>
  <c r="D27" i="29"/>
  <c r="AQ26" i="29"/>
  <c r="AP26" i="29"/>
  <c r="AL26" i="29"/>
  <c r="AK26" i="29"/>
  <c r="AG26" i="29"/>
  <c r="AF26" i="29"/>
  <c r="AE26" i="29"/>
  <c r="AB26" i="29"/>
  <c r="AA26" i="29"/>
  <c r="W26" i="29"/>
  <c r="V26" i="29"/>
  <c r="U26" i="29"/>
  <c r="P26" i="29"/>
  <c r="M26" i="29"/>
  <c r="L26" i="29"/>
  <c r="J26" i="29"/>
  <c r="I26" i="29"/>
  <c r="G26" i="29"/>
  <c r="F26" i="29"/>
  <c r="E26" i="29"/>
  <c r="D26" i="29"/>
  <c r="AQ25" i="29"/>
  <c r="AP25" i="29"/>
  <c r="AO25" i="29"/>
  <c r="AL25" i="29"/>
  <c r="AK25" i="29"/>
  <c r="AJ25" i="29"/>
  <c r="AG25" i="29"/>
  <c r="AF25" i="29"/>
  <c r="AE25" i="29"/>
  <c r="AB25" i="29"/>
  <c r="AA25" i="29"/>
  <c r="Z25" i="29"/>
  <c r="W25" i="29"/>
  <c r="V25" i="29"/>
  <c r="P25" i="29"/>
  <c r="M25" i="29"/>
  <c r="L25" i="29"/>
  <c r="J25" i="29"/>
  <c r="I25" i="29"/>
  <c r="G25" i="29"/>
  <c r="F25" i="29"/>
  <c r="E25" i="29"/>
  <c r="D25" i="29"/>
  <c r="AQ24" i="29"/>
  <c r="AP24" i="29"/>
  <c r="AO24" i="29"/>
  <c r="AL24" i="29"/>
  <c r="AK24" i="29"/>
  <c r="AG24" i="29"/>
  <c r="AF24" i="29"/>
  <c r="AB24" i="29"/>
  <c r="AA24" i="29"/>
  <c r="Z24" i="29"/>
  <c r="W24" i="29"/>
  <c r="V24" i="29"/>
  <c r="U24" i="29"/>
  <c r="P24" i="29"/>
  <c r="M24" i="29"/>
  <c r="L24" i="29"/>
  <c r="J24" i="29"/>
  <c r="I24" i="29"/>
  <c r="G24" i="29"/>
  <c r="F24" i="29"/>
  <c r="E24" i="29"/>
  <c r="D24" i="29"/>
  <c r="AQ23" i="29"/>
  <c r="AP23" i="29"/>
  <c r="AL23" i="29"/>
  <c r="AK23" i="29"/>
  <c r="AG23" i="29"/>
  <c r="AF23" i="29"/>
  <c r="AB23" i="29"/>
  <c r="AA23" i="29"/>
  <c r="Z23" i="29"/>
  <c r="W23" i="29"/>
  <c r="V23" i="29"/>
  <c r="P23" i="29"/>
  <c r="M23" i="29"/>
  <c r="L23" i="29"/>
  <c r="J23" i="29"/>
  <c r="I23" i="29"/>
  <c r="G23" i="29"/>
  <c r="F23" i="29"/>
  <c r="E23" i="29"/>
  <c r="D23" i="29"/>
  <c r="AQ22" i="29"/>
  <c r="AP22" i="29"/>
  <c r="AO22" i="29"/>
  <c r="AL22" i="29"/>
  <c r="AK22" i="29"/>
  <c r="AJ22" i="29"/>
  <c r="AG22" i="29"/>
  <c r="AF22" i="29"/>
  <c r="AB22" i="29"/>
  <c r="AA22" i="29"/>
  <c r="W22" i="29"/>
  <c r="V22" i="29"/>
  <c r="P22" i="29"/>
  <c r="M22" i="29"/>
  <c r="L22" i="29"/>
  <c r="J22" i="29"/>
  <c r="I22" i="29"/>
  <c r="G22" i="29"/>
  <c r="F22" i="29"/>
  <c r="E22" i="29"/>
  <c r="D22" i="29"/>
  <c r="AQ21" i="29"/>
  <c r="AP21" i="29"/>
  <c r="AL21" i="29"/>
  <c r="AK21" i="29"/>
  <c r="AG21" i="29"/>
  <c r="AF21" i="29"/>
  <c r="AE21" i="29"/>
  <c r="AB21" i="29"/>
  <c r="AA21" i="29"/>
  <c r="W21" i="29"/>
  <c r="V21" i="29"/>
  <c r="U21" i="29"/>
  <c r="P21" i="29"/>
  <c r="M21" i="29"/>
  <c r="L21" i="29"/>
  <c r="J21" i="29"/>
  <c r="I21" i="29"/>
  <c r="G21" i="29"/>
  <c r="F21" i="29"/>
  <c r="E21" i="29"/>
  <c r="D21" i="29"/>
  <c r="AQ20" i="29"/>
  <c r="AP20" i="29"/>
  <c r="AL20" i="29"/>
  <c r="AK20" i="29"/>
  <c r="AJ20" i="29"/>
  <c r="AG20" i="29"/>
  <c r="AF20" i="29"/>
  <c r="AB20" i="29"/>
  <c r="AA20" i="29"/>
  <c r="W20" i="29"/>
  <c r="V20" i="29"/>
  <c r="P20" i="29"/>
  <c r="M20" i="29"/>
  <c r="L20" i="29"/>
  <c r="J20" i="29"/>
  <c r="I20" i="29"/>
  <c r="G20" i="29"/>
  <c r="F20" i="29"/>
  <c r="E20" i="29"/>
  <c r="D20" i="29"/>
  <c r="AQ19" i="29"/>
  <c r="AP19" i="29"/>
  <c r="AO19" i="29"/>
  <c r="AL19" i="29"/>
  <c r="AK19" i="29"/>
  <c r="AG19" i="29"/>
  <c r="AF19" i="29"/>
  <c r="AB19" i="29"/>
  <c r="AA19" i="29"/>
  <c r="W19" i="29"/>
  <c r="V19" i="29"/>
  <c r="U19" i="29"/>
  <c r="P19" i="29"/>
  <c r="M19" i="29"/>
  <c r="L19" i="29"/>
  <c r="J19" i="29"/>
  <c r="I19" i="29"/>
  <c r="G19" i="29"/>
  <c r="F19" i="29"/>
  <c r="E19" i="29"/>
  <c r="D19" i="29"/>
  <c r="AQ18" i="29"/>
  <c r="AP18" i="29"/>
  <c r="AL18" i="29"/>
  <c r="AK18" i="29"/>
  <c r="AG18" i="29"/>
  <c r="AF18" i="29"/>
  <c r="AB18" i="29"/>
  <c r="AA18" i="29"/>
  <c r="Z18" i="29"/>
  <c r="W18" i="29"/>
  <c r="V18" i="29"/>
  <c r="P18" i="29"/>
  <c r="M18" i="29"/>
  <c r="L18" i="29"/>
  <c r="J18" i="29"/>
  <c r="I18" i="29"/>
  <c r="G18" i="29"/>
  <c r="F18" i="29"/>
  <c r="E18" i="29"/>
  <c r="D18" i="29"/>
  <c r="AQ17" i="29"/>
  <c r="AP17" i="29"/>
  <c r="AO17" i="29"/>
  <c r="AL17" i="29"/>
  <c r="AK17" i="29"/>
  <c r="AG17" i="29"/>
  <c r="AF17" i="29"/>
  <c r="AB17" i="29"/>
  <c r="AA17" i="29"/>
  <c r="W17" i="29"/>
  <c r="V17" i="29"/>
  <c r="P17" i="29"/>
  <c r="M17" i="29"/>
  <c r="L17" i="29"/>
  <c r="J17" i="29"/>
  <c r="I17" i="29"/>
  <c r="G17" i="29"/>
  <c r="F17" i="29"/>
  <c r="E17" i="29"/>
  <c r="D17" i="29"/>
  <c r="AQ16" i="29"/>
  <c r="AP16" i="29"/>
  <c r="AO16" i="29"/>
  <c r="AL16" i="29"/>
  <c r="AK16" i="29"/>
  <c r="AG16" i="29"/>
  <c r="AF16" i="29"/>
  <c r="AE16" i="29"/>
  <c r="AB16" i="29"/>
  <c r="AA16" i="29"/>
  <c r="W16" i="29"/>
  <c r="V16" i="29"/>
  <c r="U16" i="29"/>
  <c r="P16" i="29"/>
  <c r="M16" i="29"/>
  <c r="L16" i="29"/>
  <c r="J16" i="29"/>
  <c r="I16" i="29"/>
  <c r="G16" i="29"/>
  <c r="F16" i="29"/>
  <c r="E16" i="29"/>
  <c r="D16" i="29"/>
  <c r="AQ15" i="29"/>
  <c r="AP15" i="29"/>
  <c r="AL15" i="29"/>
  <c r="AK15" i="29"/>
  <c r="AJ15" i="29"/>
  <c r="AG15" i="29"/>
  <c r="AF15" i="29"/>
  <c r="AB15" i="29"/>
  <c r="AA15" i="29"/>
  <c r="W15" i="29"/>
  <c r="V15" i="29"/>
  <c r="U15" i="29"/>
  <c r="P15" i="29"/>
  <c r="M15" i="29"/>
  <c r="L15" i="29"/>
  <c r="J15" i="29"/>
  <c r="I15" i="29"/>
  <c r="G15" i="29"/>
  <c r="F15" i="29"/>
  <c r="E15" i="29"/>
  <c r="D15" i="29"/>
  <c r="AQ14" i="29"/>
  <c r="AP14" i="29"/>
  <c r="AL14" i="29"/>
  <c r="AK14" i="29"/>
  <c r="AG14" i="29"/>
  <c r="AF14" i="29"/>
  <c r="AB14" i="29"/>
  <c r="AA14" i="29"/>
  <c r="Z14" i="29"/>
  <c r="W14" i="29"/>
  <c r="V14" i="29"/>
  <c r="P14" i="29"/>
  <c r="O14" i="29"/>
  <c r="M14" i="29"/>
  <c r="L14" i="29"/>
  <c r="J14" i="29"/>
  <c r="I14" i="29"/>
  <c r="G14" i="29"/>
  <c r="F14" i="29"/>
  <c r="E14" i="29"/>
  <c r="D14" i="29"/>
  <c r="AO12" i="29"/>
  <c r="AJ12" i="29"/>
  <c r="AE12" i="29"/>
  <c r="Z12" i="29"/>
  <c r="U12" i="29"/>
  <c r="AT12" i="29" s="1"/>
  <c r="O12" i="29"/>
  <c r="L12" i="29"/>
  <c r="I12" i="29"/>
  <c r="F12" i="29"/>
  <c r="D12" i="29"/>
  <c r="R11" i="29"/>
  <c r="E3" i="29"/>
  <c r="B7" i="29" s="1"/>
  <c r="C2" i="29"/>
  <c r="F45" i="30"/>
  <c r="G45" i="30"/>
  <c r="H45" i="30"/>
  <c r="I45" i="30"/>
  <c r="J45" i="30"/>
  <c r="AG321" i="6"/>
  <c r="AD321" i="6"/>
  <c r="AA321" i="6"/>
  <c r="X321" i="6"/>
  <c r="U321" i="6"/>
  <c r="E252" i="6"/>
  <c r="F252" i="6"/>
  <c r="G252" i="6"/>
  <c r="P191" i="6"/>
  <c r="M191" i="6"/>
  <c r="O191" i="6"/>
  <c r="L191" i="6"/>
  <c r="J191" i="6"/>
  <c r="I191" i="6"/>
  <c r="E191" i="6"/>
  <c r="F191" i="6"/>
  <c r="G191" i="6"/>
  <c r="D191" i="6"/>
  <c r="AT91" i="29" l="1"/>
  <c r="X91" i="29"/>
  <c r="AT93" i="29"/>
  <c r="X93" i="29"/>
  <c r="Y93" i="29" s="1"/>
  <c r="AT95" i="29"/>
  <c r="X95" i="29"/>
  <c r="AC95" i="29" s="1"/>
  <c r="AH95" i="29" s="1"/>
  <c r="AT112" i="29"/>
  <c r="X112" i="29"/>
  <c r="Y112" i="29" s="1"/>
  <c r="H130" i="29"/>
  <c r="S130" i="29"/>
  <c r="AJ16" i="29"/>
  <c r="AO18" i="29"/>
  <c r="Z19" i="29"/>
  <c r="U20" i="29"/>
  <c r="AT147" i="29"/>
  <c r="AT149" i="29"/>
  <c r="AE27" i="29"/>
  <c r="Z28" i="29"/>
  <c r="AJ31" i="29"/>
  <c r="AO31" i="29"/>
  <c r="AJ32" i="29"/>
  <c r="AE34" i="29"/>
  <c r="Z36" i="29"/>
  <c r="AJ36" i="29"/>
  <c r="AO36" i="29"/>
  <c r="AO38" i="29"/>
  <c r="AJ41" i="29"/>
  <c r="AO41" i="29"/>
  <c r="Z43" i="29"/>
  <c r="U46" i="29"/>
  <c r="U55" i="29"/>
  <c r="Z55" i="29"/>
  <c r="AJ58" i="29"/>
  <c r="AJ62" i="29"/>
  <c r="AJ63" i="29"/>
  <c r="AO67" i="29"/>
  <c r="N191" i="29"/>
  <c r="AJ14" i="29"/>
  <c r="Z17" i="29"/>
  <c r="AE20" i="29"/>
  <c r="AE22" i="29"/>
  <c r="Z30" i="29"/>
  <c r="AE32" i="29"/>
  <c r="AJ34" i="29"/>
  <c r="AO34" i="29"/>
  <c r="AE35" i="29"/>
  <c r="AE37" i="29"/>
  <c r="AJ37" i="29"/>
  <c r="AE38" i="29"/>
  <c r="AJ39" i="29"/>
  <c r="AE40" i="29"/>
  <c r="AT227" i="29"/>
  <c r="X227" i="29"/>
  <c r="AC227" i="29" s="1"/>
  <c r="AH227" i="29" s="1"/>
  <c r="AJ44" i="29"/>
  <c r="AE45" i="29"/>
  <c r="Z46" i="29"/>
  <c r="AJ52" i="29"/>
  <c r="Z59" i="29"/>
  <c r="Z64" i="29"/>
  <c r="AJ65" i="29"/>
  <c r="K252" i="29"/>
  <c r="N252" i="29"/>
  <c r="R256" i="29"/>
  <c r="H260" i="29"/>
  <c r="N260" i="29"/>
  <c r="S260" i="29"/>
  <c r="AN260" i="29"/>
  <c r="AU260" i="29"/>
  <c r="AS260" i="29"/>
  <c r="AO14" i="29"/>
  <c r="AT268" i="29"/>
  <c r="AT278" i="29"/>
  <c r="AE29" i="29"/>
  <c r="Z32" i="29"/>
  <c r="AO33" i="29"/>
  <c r="Z34" i="29"/>
  <c r="AO35" i="29"/>
  <c r="Z39" i="29"/>
  <c r="AO43" i="29"/>
  <c r="AO45" i="29"/>
  <c r="AE46" i="29"/>
  <c r="AO50" i="29"/>
  <c r="AO55" i="29"/>
  <c r="AO59" i="29"/>
  <c r="AJ60" i="29"/>
  <c r="AC314" i="29"/>
  <c r="AD317" i="29"/>
  <c r="AH317" i="29"/>
  <c r="AJ64" i="29"/>
  <c r="AO66" i="29"/>
  <c r="K321" i="29"/>
  <c r="U14" i="29"/>
  <c r="Z15" i="29"/>
  <c r="AT332" i="29"/>
  <c r="AT339" i="29"/>
  <c r="Z26" i="29"/>
  <c r="AE36" i="29"/>
  <c r="Z38" i="29"/>
  <c r="AJ40" i="29"/>
  <c r="AO40" i="29"/>
  <c r="AO42" i="29"/>
  <c r="AT357" i="29"/>
  <c r="AJ45" i="29"/>
  <c r="AO47" i="29"/>
  <c r="AO48" i="29"/>
  <c r="Z49" i="29"/>
  <c r="AE50" i="29"/>
  <c r="AO52" i="29"/>
  <c r="AO53" i="29"/>
  <c r="AT368" i="29"/>
  <c r="X368" i="29"/>
  <c r="Z57" i="29"/>
  <c r="AO60" i="29"/>
  <c r="AC379" i="29"/>
  <c r="K382" i="29"/>
  <c r="AT366" i="29"/>
  <c r="AO62" i="29"/>
  <c r="AO20" i="29"/>
  <c r="AO23" i="29"/>
  <c r="AJ28" i="29"/>
  <c r="AJ382" i="29"/>
  <c r="AT380" i="29"/>
  <c r="AT376" i="29"/>
  <c r="AJ23" i="29"/>
  <c r="AT337" i="29"/>
  <c r="AJ18" i="29"/>
  <c r="AJ33" i="29"/>
  <c r="AJ38" i="29"/>
  <c r="AJ43" i="29"/>
  <c r="AJ55" i="29"/>
  <c r="AT378" i="29"/>
  <c r="AE43" i="29"/>
  <c r="AE31" i="29"/>
  <c r="AE41" i="29"/>
  <c r="AE53" i="29"/>
  <c r="AT364" i="29"/>
  <c r="AE67" i="29"/>
  <c r="AC342" i="29"/>
  <c r="AD342" i="29" s="1"/>
  <c r="AT352" i="29"/>
  <c r="AT356" i="29"/>
  <c r="AC373" i="29"/>
  <c r="Z20" i="29"/>
  <c r="AT20" i="29" s="1"/>
  <c r="Z44" i="29"/>
  <c r="Z56" i="29"/>
  <c r="Z382" i="29"/>
  <c r="AT333" i="29"/>
  <c r="AC371" i="29"/>
  <c r="Z45" i="29"/>
  <c r="AT372" i="29"/>
  <c r="Z33" i="29"/>
  <c r="AC329" i="29"/>
  <c r="AT377" i="29"/>
  <c r="AC344" i="29"/>
  <c r="AH344" i="29" s="1"/>
  <c r="Y344" i="29"/>
  <c r="AC369" i="29"/>
  <c r="Y369" i="29"/>
  <c r="AT347" i="29"/>
  <c r="AT369" i="29"/>
  <c r="AT373" i="29"/>
  <c r="AT381" i="29"/>
  <c r="U17" i="29"/>
  <c r="AT331" i="29"/>
  <c r="AT365" i="29"/>
  <c r="X328" i="29"/>
  <c r="AT358" i="29"/>
  <c r="AT370" i="29"/>
  <c r="U56" i="29"/>
  <c r="U40" i="29"/>
  <c r="AT341" i="29"/>
  <c r="AC347" i="29"/>
  <c r="AC355" i="29"/>
  <c r="AH355" i="29" s="1"/>
  <c r="U43" i="29"/>
  <c r="AT43" i="29" s="1"/>
  <c r="AT349" i="29"/>
  <c r="X18" i="29"/>
  <c r="U41" i="29"/>
  <c r="X352" i="29"/>
  <c r="X360" i="29"/>
  <c r="AC360" i="29" s="1"/>
  <c r="AD360" i="29" s="1"/>
  <c r="AT362" i="29"/>
  <c r="AT374" i="29"/>
  <c r="Y377" i="29"/>
  <c r="AH329" i="29"/>
  <c r="AI329" i="29" s="1"/>
  <c r="AD329" i="29"/>
  <c r="AH337" i="29"/>
  <c r="AM337" i="29" s="1"/>
  <c r="AD337" i="29"/>
  <c r="Y337" i="29"/>
  <c r="Q382" i="29"/>
  <c r="Y329" i="29"/>
  <c r="AC331" i="29"/>
  <c r="Y360" i="29"/>
  <c r="S15" i="29"/>
  <c r="AC336" i="29"/>
  <c r="AD336" i="29" s="1"/>
  <c r="Y373" i="29"/>
  <c r="N60" i="29"/>
  <c r="N382" i="29"/>
  <c r="N62" i="29"/>
  <c r="H60" i="29"/>
  <c r="R382" i="29"/>
  <c r="S382" i="29"/>
  <c r="H382" i="29"/>
  <c r="AO26" i="29"/>
  <c r="AO57" i="29"/>
  <c r="AO21" i="29"/>
  <c r="AT298" i="29"/>
  <c r="AO28" i="29"/>
  <c r="AJ19" i="29"/>
  <c r="AJ29" i="29"/>
  <c r="AT312" i="29"/>
  <c r="AJ50" i="29"/>
  <c r="AJ24" i="29"/>
  <c r="AJ17" i="29"/>
  <c r="AJ21" i="29"/>
  <c r="AE60" i="29"/>
  <c r="AE63" i="29"/>
  <c r="AE19" i="29"/>
  <c r="AE48" i="29"/>
  <c r="AE17" i="29"/>
  <c r="AT274" i="29"/>
  <c r="AE15" i="29"/>
  <c r="AE56" i="29"/>
  <c r="AT272" i="29"/>
  <c r="AH274" i="29"/>
  <c r="AT282" i="29"/>
  <c r="AC267" i="29"/>
  <c r="AT281" i="29"/>
  <c r="AT288" i="29"/>
  <c r="AC300" i="29"/>
  <c r="AD300" i="29" s="1"/>
  <c r="AC281" i="29"/>
  <c r="AD281" i="29" s="1"/>
  <c r="AC286" i="29"/>
  <c r="AD286" i="29" s="1"/>
  <c r="AC288" i="29"/>
  <c r="AD288" i="29" s="1"/>
  <c r="Z27" i="29"/>
  <c r="AT27" i="29" s="1"/>
  <c r="Z51" i="29"/>
  <c r="AT284" i="29"/>
  <c r="AC296" i="29"/>
  <c r="AT303" i="29"/>
  <c r="AC308" i="29"/>
  <c r="AD308" i="29" s="1"/>
  <c r="AC272" i="29"/>
  <c r="AT301" i="29"/>
  <c r="Z22" i="29"/>
  <c r="Z67" i="29"/>
  <c r="AC268" i="29"/>
  <c r="AC301" i="29"/>
  <c r="AD301" i="29" s="1"/>
  <c r="AC297" i="29"/>
  <c r="AT304" i="29"/>
  <c r="AT320" i="29"/>
  <c r="X282" i="29"/>
  <c r="AC282" i="29" s="1"/>
  <c r="AH282" i="29" s="1"/>
  <c r="AM282" i="29" s="1"/>
  <c r="Y288" i="29"/>
  <c r="X293" i="29"/>
  <c r="AC293" i="29" s="1"/>
  <c r="AD293" i="29" s="1"/>
  <c r="AC309" i="29"/>
  <c r="AD309" i="29" s="1"/>
  <c r="AT313" i="29"/>
  <c r="U29" i="29"/>
  <c r="AT302" i="29"/>
  <c r="AT309" i="29"/>
  <c r="U52" i="29"/>
  <c r="AT293" i="29"/>
  <c r="AT318" i="29"/>
  <c r="Y281" i="29"/>
  <c r="X298" i="29"/>
  <c r="Y298" i="29" s="1"/>
  <c r="X316" i="29"/>
  <c r="X63" i="29" s="1"/>
  <c r="Y63" i="29" s="1"/>
  <c r="AT317" i="29"/>
  <c r="AT276" i="29"/>
  <c r="X304" i="29"/>
  <c r="AC304" i="29" s="1"/>
  <c r="AH304" i="29" s="1"/>
  <c r="U321" i="29"/>
  <c r="AT270" i="29"/>
  <c r="X320" i="29"/>
  <c r="AC320" i="29" s="1"/>
  <c r="AD268" i="29"/>
  <c r="AH268" i="29"/>
  <c r="AI268" i="29" s="1"/>
  <c r="Q15" i="29"/>
  <c r="Y274" i="29"/>
  <c r="Y304" i="29"/>
  <c r="Y271" i="29"/>
  <c r="AC287" i="29"/>
  <c r="AH287" i="29" s="1"/>
  <c r="AC291" i="29"/>
  <c r="AC299" i="29"/>
  <c r="Y317" i="29"/>
  <c r="S35" i="29"/>
  <c r="Y268" i="29"/>
  <c r="Y273" i="29"/>
  <c r="AC284" i="29"/>
  <c r="Y267" i="29"/>
  <c r="Q31" i="29"/>
  <c r="AC290" i="29"/>
  <c r="AC315" i="29"/>
  <c r="X37" i="29"/>
  <c r="Y37" i="29" s="1"/>
  <c r="R321" i="29"/>
  <c r="AO44" i="29"/>
  <c r="AO49" i="29"/>
  <c r="AT233" i="29"/>
  <c r="AJ57" i="29"/>
  <c r="AE24" i="29"/>
  <c r="AE55" i="29"/>
  <c r="AT55" i="29" s="1"/>
  <c r="AT247" i="29"/>
  <c r="AT228" i="29"/>
  <c r="AE47" i="29"/>
  <c r="AE65" i="29"/>
  <c r="AC212" i="29"/>
  <c r="Z41" i="29"/>
  <c r="AT41" i="29" s="1"/>
  <c r="AT241" i="29"/>
  <c r="AC251" i="29"/>
  <c r="AH251" i="29" s="1"/>
  <c r="AC216" i="29"/>
  <c r="AH216" i="29" s="1"/>
  <c r="Z50" i="29"/>
  <c r="AT50" i="29" s="1"/>
  <c r="Z58" i="29"/>
  <c r="AT58" i="29" s="1"/>
  <c r="AC224" i="29"/>
  <c r="AH224" i="29" s="1"/>
  <c r="AT234" i="29"/>
  <c r="AT242" i="29"/>
  <c r="X49" i="29"/>
  <c r="Y49" i="29" s="1"/>
  <c r="AT205" i="29"/>
  <c r="AT221" i="29"/>
  <c r="X250" i="29"/>
  <c r="X47" i="29"/>
  <c r="AC202" i="29"/>
  <c r="AH202" i="29" s="1"/>
  <c r="X209" i="29"/>
  <c r="Y209" i="29" s="1"/>
  <c r="X225" i="29"/>
  <c r="Y225" i="29" s="1"/>
  <c r="X43" i="29"/>
  <c r="Y43" i="29" s="1"/>
  <c r="U62" i="29"/>
  <c r="AT225" i="29"/>
  <c r="X242" i="29"/>
  <c r="AC242" i="29" s="1"/>
  <c r="AT213" i="29"/>
  <c r="AT231" i="29"/>
  <c r="X234" i="29"/>
  <c r="AT239" i="29"/>
  <c r="X228" i="29"/>
  <c r="AT223" i="29"/>
  <c r="AT229" i="29"/>
  <c r="X245" i="29"/>
  <c r="Y245" i="29" s="1"/>
  <c r="AT251" i="29"/>
  <c r="U34" i="29"/>
  <c r="AT34" i="29" s="1"/>
  <c r="U45" i="29"/>
  <c r="X237" i="29"/>
  <c r="X241" i="29"/>
  <c r="Q43" i="29"/>
  <c r="AD227" i="29"/>
  <c r="X23" i="29"/>
  <c r="Y23" i="29" s="1"/>
  <c r="Y224" i="29"/>
  <c r="AC226" i="29"/>
  <c r="AH226" i="29" s="1"/>
  <c r="AC245" i="29"/>
  <c r="Y251" i="29"/>
  <c r="Q51" i="29"/>
  <c r="Y242" i="29"/>
  <c r="Q17" i="29"/>
  <c r="Q63" i="29"/>
  <c r="Q252" i="29"/>
  <c r="Q27" i="29"/>
  <c r="Q33" i="29"/>
  <c r="N48" i="29"/>
  <c r="H34" i="29"/>
  <c r="K62" i="29"/>
  <c r="K29" i="29"/>
  <c r="K39" i="29"/>
  <c r="K50" i="29"/>
  <c r="S16" i="29"/>
  <c r="H252" i="29"/>
  <c r="H33" i="29"/>
  <c r="H44" i="29"/>
  <c r="H16" i="29"/>
  <c r="S60" i="29"/>
  <c r="H42" i="29"/>
  <c r="H63" i="29"/>
  <c r="AO64" i="29"/>
  <c r="AT64" i="29" s="1"/>
  <c r="AO54" i="29"/>
  <c r="AJ26" i="29"/>
  <c r="AT138" i="29"/>
  <c r="AT155" i="29"/>
  <c r="AT139" i="29"/>
  <c r="AT154" i="29"/>
  <c r="AT187" i="29"/>
  <c r="AT175" i="29"/>
  <c r="AT162" i="29"/>
  <c r="AD168" i="29"/>
  <c r="AH168" i="29"/>
  <c r="AC142" i="29"/>
  <c r="AC179" i="29"/>
  <c r="AC184" i="29"/>
  <c r="AH184" i="29" s="1"/>
  <c r="Z21" i="29"/>
  <c r="Z35" i="29"/>
  <c r="Z40" i="29"/>
  <c r="Z65" i="29"/>
  <c r="AT168" i="29"/>
  <c r="AT181" i="29"/>
  <c r="AC190" i="29"/>
  <c r="AT151" i="29"/>
  <c r="AC158" i="29"/>
  <c r="Y181" i="29"/>
  <c r="AC181" i="29"/>
  <c r="AH181" i="29" s="1"/>
  <c r="U18" i="29"/>
  <c r="X139" i="29"/>
  <c r="AC139" i="29" s="1"/>
  <c r="X143" i="29"/>
  <c r="Y143" i="29" s="1"/>
  <c r="X176" i="29"/>
  <c r="AC176" i="29" s="1"/>
  <c r="AH176" i="29" s="1"/>
  <c r="X178" i="29"/>
  <c r="U23" i="29"/>
  <c r="U47" i="29"/>
  <c r="Y150" i="29"/>
  <c r="X152" i="29"/>
  <c r="X154" i="29"/>
  <c r="U22" i="29"/>
  <c r="U57" i="29"/>
  <c r="AT57" i="29" s="1"/>
  <c r="U51" i="29"/>
  <c r="U60" i="29"/>
  <c r="AT60" i="29" s="1"/>
  <c r="U66" i="29"/>
  <c r="AT66" i="29" s="1"/>
  <c r="AT165" i="29"/>
  <c r="AT178" i="29"/>
  <c r="U31" i="29"/>
  <c r="U44" i="29"/>
  <c r="X138" i="29"/>
  <c r="Y138" i="29" s="1"/>
  <c r="Y142" i="29"/>
  <c r="X175" i="29"/>
  <c r="Y175" i="29" s="1"/>
  <c r="Y179" i="29"/>
  <c r="AC183" i="29"/>
  <c r="AD183" i="29" s="1"/>
  <c r="X27" i="29"/>
  <c r="AT170" i="29"/>
  <c r="AC175" i="29"/>
  <c r="AD175" i="29" s="1"/>
  <c r="U53" i="29"/>
  <c r="AT141" i="29"/>
  <c r="U35" i="29"/>
  <c r="X162" i="29"/>
  <c r="AT163" i="29"/>
  <c r="AD139" i="29"/>
  <c r="AH139" i="29"/>
  <c r="AI139" i="29" s="1"/>
  <c r="AD176" i="29"/>
  <c r="Y139" i="29"/>
  <c r="AC144" i="29"/>
  <c r="AH144" i="29" s="1"/>
  <c r="Y176" i="29"/>
  <c r="Y166" i="29"/>
  <c r="Y184" i="29"/>
  <c r="Q42" i="29"/>
  <c r="Q49" i="29"/>
  <c r="X62" i="29"/>
  <c r="Y62" i="29" s="1"/>
  <c r="AC185" i="29"/>
  <c r="AH185" i="29" s="1"/>
  <c r="S57" i="29"/>
  <c r="X59" i="29"/>
  <c r="Y59" i="29" s="1"/>
  <c r="S32" i="29"/>
  <c r="Q58" i="29"/>
  <c r="AC160" i="29"/>
  <c r="AD160" i="29" s="1"/>
  <c r="AC173" i="29"/>
  <c r="AD173" i="29" s="1"/>
  <c r="N26" i="29"/>
  <c r="Q32" i="29"/>
  <c r="N42" i="29"/>
  <c r="N44" i="29"/>
  <c r="N31" i="29"/>
  <c r="N58" i="29"/>
  <c r="Q191" i="29"/>
  <c r="N32" i="29"/>
  <c r="N33" i="29"/>
  <c r="Q46" i="29"/>
  <c r="N16" i="29"/>
  <c r="Q50" i="29"/>
  <c r="Q54" i="29"/>
  <c r="K25" i="29"/>
  <c r="K26" i="29"/>
  <c r="N30" i="29"/>
  <c r="K43" i="29"/>
  <c r="K45" i="29"/>
  <c r="R46" i="29"/>
  <c r="K59" i="29"/>
  <c r="K60" i="29"/>
  <c r="K61" i="29"/>
  <c r="N57" i="29"/>
  <c r="N18" i="29"/>
  <c r="N21" i="29"/>
  <c r="N37" i="29"/>
  <c r="K67" i="29"/>
  <c r="N53" i="29"/>
  <c r="N56" i="29"/>
  <c r="N40" i="29"/>
  <c r="N50" i="29"/>
  <c r="N54" i="29"/>
  <c r="N46" i="29"/>
  <c r="K19" i="29"/>
  <c r="K21" i="29"/>
  <c r="K22" i="29"/>
  <c r="K36" i="29"/>
  <c r="K55" i="29"/>
  <c r="K57" i="29"/>
  <c r="K24" i="29"/>
  <c r="K37" i="29"/>
  <c r="K52" i="29"/>
  <c r="K41" i="29"/>
  <c r="R23" i="29"/>
  <c r="K28" i="29"/>
  <c r="K44" i="29"/>
  <c r="H26" i="29"/>
  <c r="K47" i="29"/>
  <c r="K49" i="29"/>
  <c r="H52" i="29"/>
  <c r="K63" i="29"/>
  <c r="K15" i="29"/>
  <c r="K16" i="29"/>
  <c r="K65" i="29"/>
  <c r="K191" i="29"/>
  <c r="H28" i="29"/>
  <c r="S191" i="29"/>
  <c r="H17" i="29"/>
  <c r="S26" i="29"/>
  <c r="H65" i="29"/>
  <c r="H191" i="29"/>
  <c r="H19" i="29"/>
  <c r="H20" i="29"/>
  <c r="H21" i="29"/>
  <c r="S58" i="29"/>
  <c r="H48" i="29"/>
  <c r="R36" i="29"/>
  <c r="H64" i="29"/>
  <c r="S42" i="29"/>
  <c r="H51" i="29"/>
  <c r="H55" i="29"/>
  <c r="H58" i="29"/>
  <c r="AT125" i="29"/>
  <c r="AT49" i="29"/>
  <c r="AT96" i="29"/>
  <c r="AK68" i="29"/>
  <c r="AT17" i="29"/>
  <c r="AT111" i="29"/>
  <c r="AT28" i="29"/>
  <c r="AT15" i="29"/>
  <c r="AT36" i="29"/>
  <c r="AT30" i="29"/>
  <c r="AT46" i="29"/>
  <c r="AE130" i="29"/>
  <c r="AE14" i="29"/>
  <c r="AT16" i="29"/>
  <c r="AT48" i="29"/>
  <c r="AT54" i="29"/>
  <c r="AT120" i="29"/>
  <c r="AT84" i="29"/>
  <c r="AB68" i="29"/>
  <c r="AT37" i="29"/>
  <c r="AT31" i="29"/>
  <c r="AT38" i="29"/>
  <c r="AT80" i="29"/>
  <c r="AT92" i="29"/>
  <c r="AC111" i="29"/>
  <c r="AH111" i="29" s="1"/>
  <c r="AM111" i="29" s="1"/>
  <c r="AT52" i="29"/>
  <c r="AT19" i="29"/>
  <c r="AT32" i="29"/>
  <c r="AC92" i="29"/>
  <c r="AH92" i="29" s="1"/>
  <c r="AT104" i="29"/>
  <c r="AT88" i="29"/>
  <c r="AT97" i="29"/>
  <c r="AT119" i="29"/>
  <c r="AC124" i="29"/>
  <c r="AH124" i="29" s="1"/>
  <c r="Y102" i="29"/>
  <c r="X40" i="29"/>
  <c r="Y40" i="29" s="1"/>
  <c r="AC127" i="29"/>
  <c r="AH127" i="29" s="1"/>
  <c r="AI127" i="29" s="1"/>
  <c r="X65" i="29"/>
  <c r="Y65" i="29" s="1"/>
  <c r="Y125" i="29"/>
  <c r="Y129" i="29"/>
  <c r="X67" i="29"/>
  <c r="Y67" i="29" s="1"/>
  <c r="Y78" i="29"/>
  <c r="AC78" i="29"/>
  <c r="X35" i="29"/>
  <c r="Y35" i="29" s="1"/>
  <c r="U59" i="29"/>
  <c r="AT59" i="29" s="1"/>
  <c r="AT61" i="29"/>
  <c r="X104" i="29"/>
  <c r="AC104" i="29" s="1"/>
  <c r="AD104" i="29" s="1"/>
  <c r="AT105" i="29"/>
  <c r="X115" i="29"/>
  <c r="AC115" i="29" s="1"/>
  <c r="AT117" i="29"/>
  <c r="AT39" i="29"/>
  <c r="X31" i="29"/>
  <c r="Y31" i="29" s="1"/>
  <c r="U42" i="29"/>
  <c r="AT42" i="29" s="1"/>
  <c r="X55" i="29"/>
  <c r="Y55" i="29" s="1"/>
  <c r="X120" i="29"/>
  <c r="AT123" i="29"/>
  <c r="AT127" i="29"/>
  <c r="AT89" i="29"/>
  <c r="Y92" i="29"/>
  <c r="X96" i="29"/>
  <c r="AC96" i="29" s="1"/>
  <c r="AD96" i="29" s="1"/>
  <c r="AT109" i="29"/>
  <c r="AT115" i="29"/>
  <c r="AC94" i="29"/>
  <c r="AT121" i="29"/>
  <c r="U25" i="29"/>
  <c r="AT25" i="29" s="1"/>
  <c r="AT63" i="29"/>
  <c r="X84" i="29"/>
  <c r="AT113" i="29"/>
  <c r="AT81" i="29"/>
  <c r="AT107" i="29"/>
  <c r="X119" i="29"/>
  <c r="AT129" i="29"/>
  <c r="R19" i="29"/>
  <c r="R47" i="29"/>
  <c r="Q67" i="29"/>
  <c r="R16" i="29"/>
  <c r="S67" i="29"/>
  <c r="Y104" i="29"/>
  <c r="AC118" i="29"/>
  <c r="AH118" i="29" s="1"/>
  <c r="S24" i="29"/>
  <c r="S33" i="29"/>
  <c r="Q65" i="29"/>
  <c r="AC102" i="29"/>
  <c r="AH102" i="29" s="1"/>
  <c r="AC112" i="29"/>
  <c r="AD112" i="29" s="1"/>
  <c r="Q23" i="29"/>
  <c r="Q41" i="29"/>
  <c r="X42" i="29"/>
  <c r="Y42" i="29" s="1"/>
  <c r="S44" i="29"/>
  <c r="Y47" i="29"/>
  <c r="Q66" i="29"/>
  <c r="S17" i="29"/>
  <c r="Q24" i="29"/>
  <c r="AD95" i="29"/>
  <c r="S25" i="29"/>
  <c r="Y116" i="29"/>
  <c r="Y18" i="29"/>
  <c r="Y27" i="29"/>
  <c r="X48" i="29"/>
  <c r="Y48" i="29" s="1"/>
  <c r="S50" i="29"/>
  <c r="Q59" i="29"/>
  <c r="AC97" i="29"/>
  <c r="AD127" i="29"/>
  <c r="Q35" i="29"/>
  <c r="Q39" i="29"/>
  <c r="Q47" i="29"/>
  <c r="Q60" i="29"/>
  <c r="R28" i="29"/>
  <c r="N66" i="29"/>
  <c r="N67" i="29"/>
  <c r="L68" i="29"/>
  <c r="Q55" i="29"/>
  <c r="Q36" i="29"/>
  <c r="R62" i="29"/>
  <c r="Q25" i="29"/>
  <c r="N43" i="29"/>
  <c r="Q44" i="29"/>
  <c r="Q28" i="29"/>
  <c r="Q20" i="29"/>
  <c r="Q30" i="29"/>
  <c r="Q52" i="29"/>
  <c r="Q57" i="29"/>
  <c r="N17" i="29"/>
  <c r="N22" i="29"/>
  <c r="R30" i="29"/>
  <c r="K33" i="29"/>
  <c r="R40" i="29"/>
  <c r="R55" i="29"/>
  <c r="N23" i="29"/>
  <c r="N27" i="29"/>
  <c r="K32" i="29"/>
  <c r="K34" i="29"/>
  <c r="N36" i="29"/>
  <c r="R39" i="29"/>
  <c r="N41" i="29"/>
  <c r="N47" i="29"/>
  <c r="N52" i="29"/>
  <c r="R63" i="29"/>
  <c r="N15" i="29"/>
  <c r="N19" i="29"/>
  <c r="N28" i="29"/>
  <c r="R42" i="29"/>
  <c r="R54" i="29"/>
  <c r="N64" i="29"/>
  <c r="R67" i="29"/>
  <c r="R24" i="29"/>
  <c r="N24" i="29"/>
  <c r="N29" i="29"/>
  <c r="N34" i="29"/>
  <c r="R38" i="29"/>
  <c r="N49" i="29"/>
  <c r="N55" i="29"/>
  <c r="N65" i="29"/>
  <c r="K18" i="29"/>
  <c r="N20" i="29"/>
  <c r="N25" i="29"/>
  <c r="N35" i="29"/>
  <c r="N39" i="29"/>
  <c r="N45" i="29"/>
  <c r="K53" i="29"/>
  <c r="N61" i="29"/>
  <c r="R18" i="29"/>
  <c r="R27" i="29"/>
  <c r="R35" i="29"/>
  <c r="H38" i="29"/>
  <c r="R44" i="29"/>
  <c r="H45" i="29"/>
  <c r="H53" i="29"/>
  <c r="R15" i="29"/>
  <c r="H18" i="29"/>
  <c r="K20" i="29"/>
  <c r="R31" i="29"/>
  <c r="R33" i="29"/>
  <c r="R50" i="29"/>
  <c r="R52" i="29"/>
  <c r="R60" i="29"/>
  <c r="K64" i="29"/>
  <c r="K51" i="29"/>
  <c r="K17" i="29"/>
  <c r="R20" i="29"/>
  <c r="K23" i="29"/>
  <c r="R25" i="29"/>
  <c r="K30" i="29"/>
  <c r="H36" i="29"/>
  <c r="K38" i="29"/>
  <c r="H43" i="29"/>
  <c r="R45" i="29"/>
  <c r="K46" i="29"/>
  <c r="R48" i="29"/>
  <c r="R53" i="29"/>
  <c r="K54" i="29"/>
  <c r="R56" i="29"/>
  <c r="R59" i="29"/>
  <c r="R61" i="29"/>
  <c r="R64" i="29"/>
  <c r="H67" i="29"/>
  <c r="R17" i="29"/>
  <c r="R21" i="29"/>
  <c r="K27" i="29"/>
  <c r="R29" i="29"/>
  <c r="R32" i="29"/>
  <c r="K35" i="29"/>
  <c r="R37" i="29"/>
  <c r="R57" i="29"/>
  <c r="H59" i="29"/>
  <c r="H61" i="29"/>
  <c r="R22" i="29"/>
  <c r="R26" i="29"/>
  <c r="K31" i="29"/>
  <c r="R49" i="29"/>
  <c r="K130" i="29"/>
  <c r="H22" i="29"/>
  <c r="S52" i="29"/>
  <c r="R34" i="29"/>
  <c r="H56" i="29"/>
  <c r="D68" i="29"/>
  <c r="H15" i="29"/>
  <c r="S19" i="29"/>
  <c r="H23" i="29"/>
  <c r="S29" i="29"/>
  <c r="S49" i="29"/>
  <c r="S56" i="29"/>
  <c r="H29" i="29"/>
  <c r="S30" i="29"/>
  <c r="H32" i="29"/>
  <c r="H39" i="29"/>
  <c r="S40" i="29"/>
  <c r="H49" i="29"/>
  <c r="S66" i="29"/>
  <c r="H66" i="29"/>
  <c r="S21" i="29"/>
  <c r="H30" i="29"/>
  <c r="S34" i="29"/>
  <c r="S37" i="29"/>
  <c r="H40" i="29"/>
  <c r="S41" i="29"/>
  <c r="H57" i="29"/>
  <c r="H24" i="29"/>
  <c r="S22" i="29"/>
  <c r="S31" i="29"/>
  <c r="H47" i="29"/>
  <c r="H50" i="29"/>
  <c r="S59" i="29"/>
  <c r="S64" i="29"/>
  <c r="S23" i="29"/>
  <c r="H25" i="29"/>
  <c r="H31" i="29"/>
  <c r="H37" i="29"/>
  <c r="H41" i="29"/>
  <c r="S43" i="29"/>
  <c r="S48" i="29"/>
  <c r="S65" i="29"/>
  <c r="E68" i="29"/>
  <c r="M68" i="29"/>
  <c r="V68" i="29"/>
  <c r="AL68" i="29"/>
  <c r="Q18" i="29"/>
  <c r="S20" i="29"/>
  <c r="Q26" i="29"/>
  <c r="S28" i="29"/>
  <c r="Q34" i="29"/>
  <c r="S36" i="29"/>
  <c r="S38" i="29"/>
  <c r="Q38" i="29"/>
  <c r="R51" i="29"/>
  <c r="S53" i="29"/>
  <c r="Q53" i="29"/>
  <c r="S62" i="29"/>
  <c r="H62" i="29"/>
  <c r="Q62" i="29"/>
  <c r="R66" i="29"/>
  <c r="AT78" i="29"/>
  <c r="F68" i="29"/>
  <c r="N14" i="29"/>
  <c r="W68" i="29"/>
  <c r="Q21" i="29"/>
  <c r="Q29" i="29"/>
  <c r="Q37" i="29"/>
  <c r="R41" i="29"/>
  <c r="K48" i="29"/>
  <c r="R58" i="29"/>
  <c r="G68" i="29"/>
  <c r="O68" i="29"/>
  <c r="AF68" i="29"/>
  <c r="Q16" i="29"/>
  <c r="S18" i="29"/>
  <c r="H27" i="29"/>
  <c r="H35" i="29"/>
  <c r="R43" i="29"/>
  <c r="S54" i="29"/>
  <c r="H54" i="29"/>
  <c r="H14" i="29"/>
  <c r="P68" i="29"/>
  <c r="AG68" i="29"/>
  <c r="Q19" i="29"/>
  <c r="K40" i="29"/>
  <c r="S45" i="29"/>
  <c r="Q45" i="29"/>
  <c r="N63" i="29"/>
  <c r="R65" i="29"/>
  <c r="AC83" i="29"/>
  <c r="Y83" i="29"/>
  <c r="I68" i="29"/>
  <c r="Q14" i="29"/>
  <c r="AP68" i="29"/>
  <c r="Q22" i="29"/>
  <c r="AT90" i="29"/>
  <c r="X90" i="29"/>
  <c r="Y101" i="29"/>
  <c r="AC101" i="29"/>
  <c r="X39" i="29"/>
  <c r="Y39" i="29" s="1"/>
  <c r="J68" i="29"/>
  <c r="R14" i="29"/>
  <c r="AA68" i="29"/>
  <c r="AQ68" i="29"/>
  <c r="S46" i="29"/>
  <c r="H46" i="29"/>
  <c r="AC99" i="29"/>
  <c r="Y99" i="29"/>
  <c r="AD118" i="29"/>
  <c r="Y77" i="29"/>
  <c r="AC77" i="29"/>
  <c r="AC107" i="29"/>
  <c r="Y107" i="29"/>
  <c r="K14" i="29"/>
  <c r="S14" i="29"/>
  <c r="N38" i="29"/>
  <c r="K56" i="29"/>
  <c r="S61" i="29"/>
  <c r="Q61" i="29"/>
  <c r="AH78" i="29"/>
  <c r="AD78" i="29"/>
  <c r="S39" i="29"/>
  <c r="S47" i="29"/>
  <c r="S55" i="29"/>
  <c r="S63" i="29"/>
  <c r="Z130" i="29"/>
  <c r="AC80" i="29"/>
  <c r="Y80" i="29"/>
  <c r="Y85" i="29"/>
  <c r="AC85" i="29"/>
  <c r="AC87" i="29"/>
  <c r="Y87" i="29"/>
  <c r="AM95" i="29"/>
  <c r="AI95" i="29"/>
  <c r="AC103" i="29"/>
  <c r="Y103" i="29"/>
  <c r="Y115" i="29"/>
  <c r="AC126" i="29"/>
  <c r="AT128" i="29"/>
  <c r="X128" i="29"/>
  <c r="Q40" i="29"/>
  <c r="K42" i="29"/>
  <c r="Q48" i="29"/>
  <c r="Q56" i="29"/>
  <c r="K58" i="29"/>
  <c r="Q64" i="29"/>
  <c r="K66" i="29"/>
  <c r="AO130" i="29"/>
  <c r="AT82" i="29"/>
  <c r="X82" i="29"/>
  <c r="AT98" i="29"/>
  <c r="X98" i="29"/>
  <c r="AT106" i="29"/>
  <c r="X106" i="29"/>
  <c r="AC123" i="29"/>
  <c r="Y123" i="29"/>
  <c r="AC182" i="29"/>
  <c r="Y182" i="29"/>
  <c r="AT79" i="29"/>
  <c r="AC89" i="29"/>
  <c r="Y89" i="29"/>
  <c r="AH100" i="29"/>
  <c r="AD100" i="29"/>
  <c r="AH108" i="29"/>
  <c r="AD108" i="29"/>
  <c r="AT114" i="29"/>
  <c r="X114" i="29"/>
  <c r="AC213" i="29"/>
  <c r="Y213" i="29"/>
  <c r="AT77" i="29"/>
  <c r="X79" i="29"/>
  <c r="Y100" i="29"/>
  <c r="AT102" i="29"/>
  <c r="Y108" i="29"/>
  <c r="AH116" i="29"/>
  <c r="AD116" i="29"/>
  <c r="AT122" i="29"/>
  <c r="X122" i="29"/>
  <c r="AM127" i="29"/>
  <c r="AC81" i="29"/>
  <c r="Y81" i="29"/>
  <c r="AC105" i="29"/>
  <c r="Y105" i="29"/>
  <c r="AH160" i="29"/>
  <c r="U130" i="29"/>
  <c r="AC91" i="29"/>
  <c r="Y91" i="29"/>
  <c r="AH94" i="29"/>
  <c r="AD94" i="29"/>
  <c r="AC113" i="29"/>
  <c r="Y113" i="29"/>
  <c r="Y124" i="29"/>
  <c r="AT169" i="29"/>
  <c r="X169" i="29"/>
  <c r="X76" i="29"/>
  <c r="AJ130" i="29"/>
  <c r="AT83" i="29"/>
  <c r="AC86" i="29"/>
  <c r="AD88" i="29"/>
  <c r="AH88" i="29"/>
  <c r="AT99" i="29"/>
  <c r="AD102" i="29"/>
  <c r="AC110" i="29"/>
  <c r="AC121" i="29"/>
  <c r="Y121" i="29"/>
  <c r="AC149" i="29"/>
  <c r="Y149" i="29"/>
  <c r="AC93" i="29"/>
  <c r="AC109" i="29"/>
  <c r="AC117" i="29"/>
  <c r="AC125" i="29"/>
  <c r="R130" i="29"/>
  <c r="AC146" i="29"/>
  <c r="Y146" i="29"/>
  <c r="AC157" i="29"/>
  <c r="Y157" i="29"/>
  <c r="Y159" i="29"/>
  <c r="AC159" i="29"/>
  <c r="AT164" i="29"/>
  <c r="X164" i="29"/>
  <c r="AH171" i="29"/>
  <c r="AD171" i="29"/>
  <c r="AT177" i="29"/>
  <c r="X177" i="29"/>
  <c r="AT87" i="29"/>
  <c r="AT103" i="29"/>
  <c r="AC141" i="29"/>
  <c r="Y141" i="29"/>
  <c r="AT143" i="29"/>
  <c r="AT148" i="29"/>
  <c r="X148" i="29"/>
  <c r="AT160" i="29"/>
  <c r="AC161" i="29"/>
  <c r="Y161" i="29"/>
  <c r="AH166" i="29"/>
  <c r="AD166" i="29"/>
  <c r="Y171" i="29"/>
  <c r="AH179" i="29"/>
  <c r="AD179" i="29"/>
  <c r="AT86" i="29"/>
  <c r="AT94" i="29"/>
  <c r="AT110" i="29"/>
  <c r="AT118" i="29"/>
  <c r="AT126" i="29"/>
  <c r="Z191" i="29"/>
  <c r="AH150" i="29"/>
  <c r="AD150" i="29"/>
  <c r="AT152" i="29"/>
  <c r="AC153" i="29"/>
  <c r="Y153" i="29"/>
  <c r="AT156" i="29"/>
  <c r="X156" i="29"/>
  <c r="AT157" i="29"/>
  <c r="AD226" i="29"/>
  <c r="AT85" i="29"/>
  <c r="Y88" i="29"/>
  <c r="Y96" i="29"/>
  <c r="AT101" i="29"/>
  <c r="AT140" i="29"/>
  <c r="X140" i="29"/>
  <c r="AC145" i="29"/>
  <c r="Y145" i="29"/>
  <c r="AH158" i="29"/>
  <c r="AD158" i="29"/>
  <c r="AC163" i="29"/>
  <c r="Y163" i="29"/>
  <c r="AC203" i="29"/>
  <c r="Y203" i="29"/>
  <c r="Y218" i="29"/>
  <c r="AC218" i="29"/>
  <c r="Y95" i="29"/>
  <c r="AT100" i="29"/>
  <c r="AT108" i="29"/>
  <c r="Y111" i="29"/>
  <c r="AT116" i="29"/>
  <c r="Y119" i="29"/>
  <c r="AT124" i="29"/>
  <c r="Y127" i="29"/>
  <c r="AH142" i="29"/>
  <c r="AD142" i="29"/>
  <c r="AC147" i="29"/>
  <c r="Y147" i="29"/>
  <c r="Y158" i="29"/>
  <c r="AT183" i="29"/>
  <c r="Y201" i="29"/>
  <c r="AC201" i="29"/>
  <c r="AC155" i="29"/>
  <c r="Y155" i="29"/>
  <c r="AM168" i="29"/>
  <c r="AI168" i="29"/>
  <c r="AC170" i="29"/>
  <c r="Y170" i="29"/>
  <c r="Y172" i="29"/>
  <c r="AC172" i="29"/>
  <c r="AC199" i="29"/>
  <c r="Y199" i="29"/>
  <c r="AC208" i="29"/>
  <c r="Y208" i="29"/>
  <c r="AT144" i="29"/>
  <c r="AC165" i="29"/>
  <c r="Y165" i="29"/>
  <c r="Y167" i="29"/>
  <c r="AC167" i="29"/>
  <c r="AT173" i="29"/>
  <c r="AC174" i="29"/>
  <c r="Y174" i="29"/>
  <c r="AC178" i="29"/>
  <c r="Y178" i="29"/>
  <c r="Y180" i="29"/>
  <c r="AC180" i="29"/>
  <c r="AH183" i="29"/>
  <c r="AC186" i="29"/>
  <c r="Y186" i="29"/>
  <c r="AC129" i="29"/>
  <c r="AE191" i="29"/>
  <c r="AT146" i="29"/>
  <c r="AC151" i="29"/>
  <c r="AT184" i="29"/>
  <c r="AT220" i="29"/>
  <c r="AC223" i="29"/>
  <c r="Y223" i="29"/>
  <c r="AD242" i="29"/>
  <c r="AH242" i="29"/>
  <c r="AT145" i="29"/>
  <c r="AT153" i="29"/>
  <c r="AT161" i="29"/>
  <c r="AT174" i="29"/>
  <c r="AT182" i="29"/>
  <c r="R191" i="29"/>
  <c r="U252" i="29"/>
  <c r="AT198" i="29"/>
  <c r="X198" i="29"/>
  <c r="AC205" i="29"/>
  <c r="Y205" i="29"/>
  <c r="AT215" i="29"/>
  <c r="AD220" i="29"/>
  <c r="AH220" i="29"/>
  <c r="AC231" i="29"/>
  <c r="Y231" i="29"/>
  <c r="AC270" i="29"/>
  <c r="Y270" i="29"/>
  <c r="Q130" i="29"/>
  <c r="U191" i="29"/>
  <c r="AT185" i="29"/>
  <c r="AH200" i="29"/>
  <c r="AD200" i="29"/>
  <c r="AT212" i="29"/>
  <c r="AC215" i="29"/>
  <c r="Y215" i="29"/>
  <c r="AT217" i="29"/>
  <c r="AT222" i="29"/>
  <c r="X222" i="29"/>
  <c r="AM227" i="29"/>
  <c r="AI227" i="29"/>
  <c r="X137" i="29"/>
  <c r="AJ191" i="29"/>
  <c r="AT159" i="29"/>
  <c r="AT167" i="29"/>
  <c r="AT172" i="29"/>
  <c r="AT180" i="29"/>
  <c r="AC188" i="29"/>
  <c r="AD190" i="29"/>
  <c r="AH190" i="29"/>
  <c r="AE252" i="29"/>
  <c r="Y200" i="29"/>
  <c r="AT207" i="29"/>
  <c r="AC210" i="29"/>
  <c r="AD212" i="29"/>
  <c r="AH212" i="29"/>
  <c r="AC219" i="29"/>
  <c r="Y219" i="29"/>
  <c r="AD224" i="29"/>
  <c r="AT230" i="29"/>
  <c r="X230" i="29"/>
  <c r="AT142" i="29"/>
  <c r="AT150" i="29"/>
  <c r="AT158" i="29"/>
  <c r="AT166" i="29"/>
  <c r="AT171" i="29"/>
  <c r="AT179" i="29"/>
  <c r="AT190" i="29"/>
  <c r="AT204" i="29"/>
  <c r="AC207" i="29"/>
  <c r="Y207" i="29"/>
  <c r="AT214" i="29"/>
  <c r="X214" i="29"/>
  <c r="AH232" i="29"/>
  <c r="AD232" i="29"/>
  <c r="AC189" i="29"/>
  <c r="Y189" i="29"/>
  <c r="AD202" i="29"/>
  <c r="AD204" i="29"/>
  <c r="AH204" i="29"/>
  <c r="AC211" i="29"/>
  <c r="Y211" i="29"/>
  <c r="AC221" i="29"/>
  <c r="Y221" i="29"/>
  <c r="Y232" i="29"/>
  <c r="AO191" i="29"/>
  <c r="AT196" i="29"/>
  <c r="AT199" i="29"/>
  <c r="AT206" i="29"/>
  <c r="X206" i="29"/>
  <c r="Y216" i="29"/>
  <c r="AC229" i="29"/>
  <c r="Y229" i="29"/>
  <c r="AC187" i="29"/>
  <c r="AJ252" i="29"/>
  <c r="AC217" i="29"/>
  <c r="AC225" i="29"/>
  <c r="AC233" i="29"/>
  <c r="AT236" i="29"/>
  <c r="AH272" i="29"/>
  <c r="AD272" i="29"/>
  <c r="AH273" i="29"/>
  <c r="AD273" i="29"/>
  <c r="AC278" i="29"/>
  <c r="Y278" i="29"/>
  <c r="AT280" i="29"/>
  <c r="AT319" i="29"/>
  <c r="X319" i="29"/>
  <c r="AT189" i="29"/>
  <c r="AT203" i="29"/>
  <c r="AT211" i="29"/>
  <c r="AT219" i="29"/>
  <c r="Y247" i="29"/>
  <c r="AC247" i="29"/>
  <c r="X269" i="29"/>
  <c r="AT269" i="29"/>
  <c r="Y275" i="29"/>
  <c r="AC275" i="29"/>
  <c r="AC280" i="29"/>
  <c r="AH281" i="29"/>
  <c r="AT188" i="29"/>
  <c r="Z252" i="29"/>
  <c r="AT202" i="29"/>
  <c r="AT210" i="29"/>
  <c r="AT218" i="29"/>
  <c r="AT226" i="29"/>
  <c r="AT244" i="29"/>
  <c r="AD271" i="29"/>
  <c r="AH271" i="29"/>
  <c r="X277" i="29"/>
  <c r="AT277" i="29"/>
  <c r="Y283" i="29"/>
  <c r="AC283" i="29"/>
  <c r="Y190" i="29"/>
  <c r="AO252" i="29"/>
  <c r="AT201" i="29"/>
  <c r="Y204" i="29"/>
  <c r="Y212" i="29"/>
  <c r="Y220" i="29"/>
  <c r="Y238" i="29"/>
  <c r="AC238" i="29"/>
  <c r="AC241" i="29"/>
  <c r="Y241" i="29"/>
  <c r="AT249" i="29"/>
  <c r="AI274" i="29"/>
  <c r="AM274" i="29"/>
  <c r="AD279" i="29"/>
  <c r="AH279" i="29"/>
  <c r="Y306" i="29"/>
  <c r="AC306" i="29"/>
  <c r="AT186" i="29"/>
  <c r="AT200" i="29"/>
  <c r="AT208" i="29"/>
  <c r="AT216" i="29"/>
  <c r="AT224" i="29"/>
  <c r="Y227" i="29"/>
  <c r="AT232" i="29"/>
  <c r="AT235" i="29"/>
  <c r="AT243" i="29"/>
  <c r="AC249" i="29"/>
  <c r="Y249" i="29"/>
  <c r="K260" i="29"/>
  <c r="Y260" i="29"/>
  <c r="AD260" i="29"/>
  <c r="AT273" i="29"/>
  <c r="Y279" i="29"/>
  <c r="AI282" i="29"/>
  <c r="X240" i="29"/>
  <c r="AT240" i="29"/>
  <c r="AC243" i="29"/>
  <c r="Y246" i="29"/>
  <c r="AC246" i="29"/>
  <c r="R252" i="29"/>
  <c r="Y276" i="29"/>
  <c r="AC276" i="29"/>
  <c r="AC312" i="29"/>
  <c r="Y312" i="29"/>
  <c r="X248" i="29"/>
  <c r="AT248" i="29"/>
  <c r="AE321" i="29"/>
  <c r="AD274" i="29"/>
  <c r="X285" i="29"/>
  <c r="AT285" i="29"/>
  <c r="X236" i="29"/>
  <c r="AC239" i="29"/>
  <c r="X244" i="29"/>
  <c r="S252" i="29"/>
  <c r="Z321" i="29"/>
  <c r="AT271" i="29"/>
  <c r="AT279" i="29"/>
  <c r="X235" i="29"/>
  <c r="AO321" i="29"/>
  <c r="AC289" i="29"/>
  <c r="AH290" i="29"/>
  <c r="AD290" i="29"/>
  <c r="AC313" i="29"/>
  <c r="AH314" i="29"/>
  <c r="AD314" i="29"/>
  <c r="AM317" i="29"/>
  <c r="AI317" i="29"/>
  <c r="Q321" i="29"/>
  <c r="N321" i="29"/>
  <c r="AE382" i="29"/>
  <c r="X333" i="29"/>
  <c r="AT359" i="29"/>
  <c r="X359" i="29"/>
  <c r="AD267" i="29"/>
  <c r="Y272" i="29"/>
  <c r="Y280" i="29"/>
  <c r="Y289" i="29"/>
  <c r="AC292" i="29"/>
  <c r="Y292" i="29"/>
  <c r="AH297" i="29"/>
  <c r="AD297" i="29"/>
  <c r="AC302" i="29"/>
  <c r="Y302" i="29"/>
  <c r="X303" i="29"/>
  <c r="AC307" i="29"/>
  <c r="AH309" i="29"/>
  <c r="AH320" i="29"/>
  <c r="AD320" i="29"/>
  <c r="Y363" i="29"/>
  <c r="AC363" i="29"/>
  <c r="AT238" i="29"/>
  <c r="AT246" i="29"/>
  <c r="AH267" i="29"/>
  <c r="AT267" i="29"/>
  <c r="AT275" i="29"/>
  <c r="AT283" i="29"/>
  <c r="AT286" i="29"/>
  <c r="AT287" i="29"/>
  <c r="AH288" i="29"/>
  <c r="AH293" i="29"/>
  <c r="AT296" i="29"/>
  <c r="AT300" i="29"/>
  <c r="AT310" i="29"/>
  <c r="AT311" i="29"/>
  <c r="AT315" i="29"/>
  <c r="AC318" i="29"/>
  <c r="Y318" i="29"/>
  <c r="H321" i="29"/>
  <c r="Y354" i="29"/>
  <c r="AC354" i="29"/>
  <c r="AH371" i="29"/>
  <c r="AD371" i="29"/>
  <c r="Q260" i="29"/>
  <c r="AH296" i="29"/>
  <c r="AD296" i="29"/>
  <c r="AH300" i="29"/>
  <c r="AC305" i="29"/>
  <c r="AC310" i="29"/>
  <c r="Y310" i="29"/>
  <c r="AC311" i="29"/>
  <c r="Y311" i="29"/>
  <c r="AT361" i="29"/>
  <c r="AC361" i="29"/>
  <c r="AJ321" i="29"/>
  <c r="AH286" i="29"/>
  <c r="AT294" i="29"/>
  <c r="AT295" i="29"/>
  <c r="Y296" i="29"/>
  <c r="Y305" i="29"/>
  <c r="AT308" i="29"/>
  <c r="AT334" i="29"/>
  <c r="X334" i="29"/>
  <c r="X350" i="29"/>
  <c r="AT350" i="29"/>
  <c r="AH360" i="29"/>
  <c r="AC294" i="29"/>
  <c r="Y294" i="29"/>
  <c r="AC295" i="29"/>
  <c r="Y295" i="29"/>
  <c r="AH308" i="29"/>
  <c r="AT292" i="29"/>
  <c r="X348" i="29"/>
  <c r="AT348" i="29"/>
  <c r="AT351" i="29"/>
  <c r="AT354" i="29"/>
  <c r="AC358" i="29"/>
  <c r="Y358" i="29"/>
  <c r="AC368" i="29"/>
  <c r="Y368" i="29"/>
  <c r="AH373" i="29"/>
  <c r="AD373" i="29"/>
  <c r="AC376" i="29"/>
  <c r="Y376" i="29"/>
  <c r="AH379" i="29"/>
  <c r="AD379" i="29"/>
  <c r="AT291" i="29"/>
  <c r="AT299" i="29"/>
  <c r="AT307" i="29"/>
  <c r="U382" i="29"/>
  <c r="AM329" i="29"/>
  <c r="AT335" i="29"/>
  <c r="AT344" i="29"/>
  <c r="AT346" i="29"/>
  <c r="Y349" i="29"/>
  <c r="AC349" i="29"/>
  <c r="AC351" i="29"/>
  <c r="Y351" i="29"/>
  <c r="AT353" i="29"/>
  <c r="AC353" i="29"/>
  <c r="Y365" i="29"/>
  <c r="AC365" i="29"/>
  <c r="AC370" i="29"/>
  <c r="Y370" i="29"/>
  <c r="AT290" i="29"/>
  <c r="Y293" i="29"/>
  <c r="Y301" i="29"/>
  <c r="AT306" i="29"/>
  <c r="AT314" i="29"/>
  <c r="AO382" i="29"/>
  <c r="X335" i="29"/>
  <c r="AT336" i="29"/>
  <c r="X340" i="29"/>
  <c r="AT340" i="29"/>
  <c r="Y342" i="29"/>
  <c r="AT342" i="29"/>
  <c r="AT343" i="29"/>
  <c r="Y357" i="29"/>
  <c r="AC357" i="29"/>
  <c r="X367" i="29"/>
  <c r="AT367" i="29"/>
  <c r="X375" i="29"/>
  <c r="AT375" i="29"/>
  <c r="AT289" i="29"/>
  <c r="AT297" i="29"/>
  <c r="Y300" i="29"/>
  <c r="AT305" i="29"/>
  <c r="Y308" i="29"/>
  <c r="AT330" i="29"/>
  <c r="Y341" i="29"/>
  <c r="AC341" i="29"/>
  <c r="AC343" i="29"/>
  <c r="Y343" i="29"/>
  <c r="AT345" i="29"/>
  <c r="AC345" i="29"/>
  <c r="AT329" i="29"/>
  <c r="Y332" i="29"/>
  <c r="AC332" i="29"/>
  <c r="AT338" i="29"/>
  <c r="AC339" i="29"/>
  <c r="AC362" i="29"/>
  <c r="AH369" i="29"/>
  <c r="AD369" i="29"/>
  <c r="AH377" i="29"/>
  <c r="AD377" i="29"/>
  <c r="AD344" i="29"/>
  <c r="AC366" i="29"/>
  <c r="Y366" i="29"/>
  <c r="AC374" i="29"/>
  <c r="Y374" i="29"/>
  <c r="AT379" i="29"/>
  <c r="AT328" i="29"/>
  <c r="X330" i="29"/>
  <c r="X338" i="29"/>
  <c r="X346" i="29"/>
  <c r="X378" i="29"/>
  <c r="AC381" i="29"/>
  <c r="AC356" i="29"/>
  <c r="AC364" i="29"/>
  <c r="AC372" i="29"/>
  <c r="AC380" i="29"/>
  <c r="AT355" i="29"/>
  <c r="AT363" i="29"/>
  <c r="AT371" i="29"/>
  <c r="AG15" i="6"/>
  <c r="AG16" i="6"/>
  <c r="AG17" i="6"/>
  <c r="AG18" i="6"/>
  <c r="AG19" i="6"/>
  <c r="AG20" i="6"/>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60" i="6"/>
  <c r="AG61" i="6"/>
  <c r="AG62" i="6"/>
  <c r="AG63" i="6"/>
  <c r="AG64" i="6"/>
  <c r="AG65" i="6"/>
  <c r="AG66" i="6"/>
  <c r="AG67" i="6"/>
  <c r="AG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14" i="6"/>
  <c r="X15" i="6"/>
  <c r="D193" i="18" s="1"/>
  <c r="X16" i="6"/>
  <c r="D194" i="18" s="1"/>
  <c r="X17" i="6"/>
  <c r="D195" i="18" s="1"/>
  <c r="X18" i="6"/>
  <c r="D196" i="18" s="1"/>
  <c r="X19" i="6"/>
  <c r="D197" i="18" s="1"/>
  <c r="X20" i="6"/>
  <c r="D198" i="18" s="1"/>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14" i="6"/>
  <c r="U15" i="6"/>
  <c r="C193" i="18" s="1"/>
  <c r="U16" i="6"/>
  <c r="C194" i="18" s="1"/>
  <c r="U17" i="6"/>
  <c r="C195" i="18" s="1"/>
  <c r="U18" i="6"/>
  <c r="C196" i="18" s="1"/>
  <c r="U19" i="6"/>
  <c r="C197" i="18" s="1"/>
  <c r="U20" i="6"/>
  <c r="C198" i="18" s="1"/>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14" i="6"/>
  <c r="O15" i="6"/>
  <c r="P15" i="6"/>
  <c r="O16" i="6"/>
  <c r="P16" i="6"/>
  <c r="O17" i="6"/>
  <c r="P17" i="6"/>
  <c r="O18" i="6"/>
  <c r="P18" i="6"/>
  <c r="O19" i="6"/>
  <c r="P19" i="6"/>
  <c r="O20" i="6"/>
  <c r="P20" i="6"/>
  <c r="O21" i="6"/>
  <c r="P21" i="6"/>
  <c r="O22" i="6"/>
  <c r="P22" i="6"/>
  <c r="O23" i="6"/>
  <c r="P23" i="6"/>
  <c r="O24" i="6"/>
  <c r="P24" i="6"/>
  <c r="O25" i="6"/>
  <c r="P25" i="6"/>
  <c r="O26" i="6"/>
  <c r="P26" i="6"/>
  <c r="O27" i="6"/>
  <c r="P27" i="6"/>
  <c r="O28" i="6"/>
  <c r="P28" i="6"/>
  <c r="O29" i="6"/>
  <c r="P29" i="6"/>
  <c r="O30" i="6"/>
  <c r="P30" i="6"/>
  <c r="O31" i="6"/>
  <c r="P31" i="6"/>
  <c r="O32" i="6"/>
  <c r="P32" i="6"/>
  <c r="O33" i="6"/>
  <c r="P33" i="6"/>
  <c r="O34" i="6"/>
  <c r="P34" i="6"/>
  <c r="O35" i="6"/>
  <c r="P35" i="6"/>
  <c r="O36" i="6"/>
  <c r="P36" i="6"/>
  <c r="O37" i="6"/>
  <c r="P37" i="6"/>
  <c r="O38" i="6"/>
  <c r="P38" i="6"/>
  <c r="O39" i="6"/>
  <c r="P39" i="6"/>
  <c r="O40" i="6"/>
  <c r="P40" i="6"/>
  <c r="O41" i="6"/>
  <c r="P41" i="6"/>
  <c r="O42" i="6"/>
  <c r="P42" i="6"/>
  <c r="O43" i="6"/>
  <c r="P43" i="6"/>
  <c r="O44" i="6"/>
  <c r="P44" i="6"/>
  <c r="O45" i="6"/>
  <c r="P45" i="6"/>
  <c r="O46" i="6"/>
  <c r="P46" i="6"/>
  <c r="O47" i="6"/>
  <c r="P47" i="6"/>
  <c r="O48" i="6"/>
  <c r="P48" i="6"/>
  <c r="O49" i="6"/>
  <c r="P49" i="6"/>
  <c r="O50" i="6"/>
  <c r="P50" i="6"/>
  <c r="O51" i="6"/>
  <c r="P51" i="6"/>
  <c r="O52" i="6"/>
  <c r="P52" i="6"/>
  <c r="O53" i="6"/>
  <c r="P53" i="6"/>
  <c r="O54" i="6"/>
  <c r="P54" i="6"/>
  <c r="O55" i="6"/>
  <c r="P55" i="6"/>
  <c r="O56" i="6"/>
  <c r="P56" i="6"/>
  <c r="O57" i="6"/>
  <c r="P57" i="6"/>
  <c r="O58" i="6"/>
  <c r="P58" i="6"/>
  <c r="O59" i="6"/>
  <c r="P59" i="6"/>
  <c r="O60" i="6"/>
  <c r="P60" i="6"/>
  <c r="O61" i="6"/>
  <c r="P61" i="6"/>
  <c r="O62" i="6"/>
  <c r="P62" i="6"/>
  <c r="O63" i="6"/>
  <c r="P63" i="6"/>
  <c r="O64" i="6"/>
  <c r="P64" i="6"/>
  <c r="O65" i="6"/>
  <c r="P65" i="6"/>
  <c r="O66" i="6"/>
  <c r="P66" i="6"/>
  <c r="O67" i="6"/>
  <c r="P67" i="6"/>
  <c r="P14" i="6"/>
  <c r="O14" i="6"/>
  <c r="L15" i="6"/>
  <c r="M15" i="6"/>
  <c r="L16" i="6"/>
  <c r="M16" i="6"/>
  <c r="L17" i="6"/>
  <c r="M17" i="6"/>
  <c r="L18" i="6"/>
  <c r="M18" i="6"/>
  <c r="L19" i="6"/>
  <c r="M19" i="6"/>
  <c r="L20" i="6"/>
  <c r="M20" i="6"/>
  <c r="L21" i="6"/>
  <c r="M21" i="6"/>
  <c r="L22" i="6"/>
  <c r="M22" i="6"/>
  <c r="L23" i="6"/>
  <c r="M23" i="6"/>
  <c r="L24" i="6"/>
  <c r="M24" i="6"/>
  <c r="L25" i="6"/>
  <c r="M25" i="6"/>
  <c r="L26" i="6"/>
  <c r="M26" i="6"/>
  <c r="L27" i="6"/>
  <c r="M27" i="6"/>
  <c r="L28" i="6"/>
  <c r="M28" i="6"/>
  <c r="L29" i="6"/>
  <c r="M29" i="6"/>
  <c r="L30" i="6"/>
  <c r="M30" i="6"/>
  <c r="L31" i="6"/>
  <c r="M31" i="6"/>
  <c r="L32" i="6"/>
  <c r="M32" i="6"/>
  <c r="L33" i="6"/>
  <c r="M33" i="6"/>
  <c r="L34" i="6"/>
  <c r="M34" i="6"/>
  <c r="L35" i="6"/>
  <c r="M35" i="6"/>
  <c r="L36" i="6"/>
  <c r="M36" i="6"/>
  <c r="L37" i="6"/>
  <c r="M37" i="6"/>
  <c r="L38" i="6"/>
  <c r="M38" i="6"/>
  <c r="L39" i="6"/>
  <c r="M39" i="6"/>
  <c r="L40" i="6"/>
  <c r="M40" i="6"/>
  <c r="L41" i="6"/>
  <c r="M41" i="6"/>
  <c r="L42" i="6"/>
  <c r="M42" i="6"/>
  <c r="L43" i="6"/>
  <c r="M43" i="6"/>
  <c r="L44" i="6"/>
  <c r="M44" i="6"/>
  <c r="L45" i="6"/>
  <c r="M45" i="6"/>
  <c r="L46" i="6"/>
  <c r="M46" i="6"/>
  <c r="L47" i="6"/>
  <c r="M47" i="6"/>
  <c r="L48" i="6"/>
  <c r="M48" i="6"/>
  <c r="L49" i="6"/>
  <c r="M49" i="6"/>
  <c r="L50" i="6"/>
  <c r="M50" i="6"/>
  <c r="L51" i="6"/>
  <c r="M51" i="6"/>
  <c r="L52" i="6"/>
  <c r="M52" i="6"/>
  <c r="L53" i="6"/>
  <c r="M53" i="6"/>
  <c r="L54" i="6"/>
  <c r="M54" i="6"/>
  <c r="L55" i="6"/>
  <c r="M55" i="6"/>
  <c r="L56" i="6"/>
  <c r="M56" i="6"/>
  <c r="L57" i="6"/>
  <c r="M57" i="6"/>
  <c r="L58" i="6"/>
  <c r="M58" i="6"/>
  <c r="L59" i="6"/>
  <c r="M59" i="6"/>
  <c r="L60" i="6"/>
  <c r="M60" i="6"/>
  <c r="L61" i="6"/>
  <c r="M61" i="6"/>
  <c r="L62" i="6"/>
  <c r="M62" i="6"/>
  <c r="L63" i="6"/>
  <c r="M63" i="6"/>
  <c r="L64" i="6"/>
  <c r="M64" i="6"/>
  <c r="L65" i="6"/>
  <c r="M65" i="6"/>
  <c r="L66" i="6"/>
  <c r="M66" i="6"/>
  <c r="L67" i="6"/>
  <c r="M67" i="6"/>
  <c r="M14" i="6"/>
  <c r="L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G67" i="13" s="1"/>
  <c r="J14" i="6"/>
  <c r="I14" i="6"/>
  <c r="D15" i="6"/>
  <c r="E15" i="6"/>
  <c r="F15" i="6"/>
  <c r="G15" i="6"/>
  <c r="D16" i="6"/>
  <c r="E16" i="6"/>
  <c r="F16" i="6"/>
  <c r="G16" i="6"/>
  <c r="D17" i="6"/>
  <c r="E17" i="6"/>
  <c r="F17" i="6"/>
  <c r="G17" i="6"/>
  <c r="D18" i="6"/>
  <c r="E18" i="6"/>
  <c r="F18" i="6"/>
  <c r="G18" i="6"/>
  <c r="D19" i="6"/>
  <c r="E19" i="6"/>
  <c r="F19" i="6"/>
  <c r="G19" i="6"/>
  <c r="D20" i="6"/>
  <c r="E20" i="6"/>
  <c r="F20" i="6"/>
  <c r="G20" i="6"/>
  <c r="D21" i="6"/>
  <c r="E21" i="6"/>
  <c r="F21" i="6"/>
  <c r="G21" i="6"/>
  <c r="D22" i="6"/>
  <c r="E22" i="6"/>
  <c r="F22" i="6"/>
  <c r="G22" i="6"/>
  <c r="D23" i="6"/>
  <c r="E23" i="6"/>
  <c r="F23" i="6"/>
  <c r="G23" i="6"/>
  <c r="D24" i="6"/>
  <c r="E24" i="6"/>
  <c r="F24" i="6"/>
  <c r="G24" i="6"/>
  <c r="D25" i="6"/>
  <c r="E25" i="6"/>
  <c r="F25" i="6"/>
  <c r="G25" i="6"/>
  <c r="D26" i="6"/>
  <c r="E26" i="6"/>
  <c r="F26" i="6"/>
  <c r="G26" i="6"/>
  <c r="D27" i="6"/>
  <c r="E27" i="6"/>
  <c r="F27" i="6"/>
  <c r="G27" i="6"/>
  <c r="D28" i="6"/>
  <c r="E28" i="6"/>
  <c r="F28" i="6"/>
  <c r="G28" i="6"/>
  <c r="D29" i="6"/>
  <c r="E29" i="6"/>
  <c r="F29" i="6"/>
  <c r="G29" i="6"/>
  <c r="D30" i="6"/>
  <c r="E30" i="6"/>
  <c r="F30" i="6"/>
  <c r="G30" i="6"/>
  <c r="D31" i="6"/>
  <c r="E31" i="6"/>
  <c r="F31" i="6"/>
  <c r="G31" i="6"/>
  <c r="D32" i="6"/>
  <c r="E32" i="6"/>
  <c r="F32" i="6"/>
  <c r="G32" i="6"/>
  <c r="D33" i="6"/>
  <c r="E33" i="6"/>
  <c r="F33" i="6"/>
  <c r="G33" i="6"/>
  <c r="D34" i="6"/>
  <c r="E34" i="6"/>
  <c r="F34" i="6"/>
  <c r="G34" i="6"/>
  <c r="D35" i="6"/>
  <c r="E35" i="6"/>
  <c r="F35" i="6"/>
  <c r="G35" i="6"/>
  <c r="D36" i="6"/>
  <c r="E36" i="6"/>
  <c r="F36" i="6"/>
  <c r="G36" i="6"/>
  <c r="D37" i="6"/>
  <c r="E37" i="6"/>
  <c r="F37" i="6"/>
  <c r="G37" i="6"/>
  <c r="D38" i="6"/>
  <c r="E38" i="6"/>
  <c r="F38" i="6"/>
  <c r="G38" i="6"/>
  <c r="D39" i="6"/>
  <c r="E39" i="6"/>
  <c r="F39" i="6"/>
  <c r="G39" i="6"/>
  <c r="D40" i="6"/>
  <c r="E40" i="6"/>
  <c r="F40" i="6"/>
  <c r="G40" i="6"/>
  <c r="D41" i="6"/>
  <c r="E41" i="6"/>
  <c r="F41" i="6"/>
  <c r="G41" i="6"/>
  <c r="D42" i="6"/>
  <c r="E42" i="6"/>
  <c r="F42" i="6"/>
  <c r="G42" i="6"/>
  <c r="D43" i="6"/>
  <c r="E43" i="6"/>
  <c r="F43" i="6"/>
  <c r="G43" i="6"/>
  <c r="D44" i="6"/>
  <c r="E44" i="6"/>
  <c r="F44" i="6"/>
  <c r="G44" i="6"/>
  <c r="D45" i="6"/>
  <c r="E45" i="6"/>
  <c r="F45" i="6"/>
  <c r="G45" i="6"/>
  <c r="D46" i="6"/>
  <c r="E46" i="6"/>
  <c r="F46" i="6"/>
  <c r="G46" i="6"/>
  <c r="D47" i="6"/>
  <c r="E47" i="6"/>
  <c r="F47" i="6"/>
  <c r="G47" i="6"/>
  <c r="D48" i="6"/>
  <c r="E48" i="6"/>
  <c r="F48" i="6"/>
  <c r="G48" i="6"/>
  <c r="D49" i="6"/>
  <c r="E49" i="6"/>
  <c r="F49" i="6"/>
  <c r="G49" i="6"/>
  <c r="D50" i="6"/>
  <c r="E50" i="6"/>
  <c r="F50" i="6"/>
  <c r="G50" i="6"/>
  <c r="D51" i="6"/>
  <c r="E51" i="6"/>
  <c r="F51" i="6"/>
  <c r="G51" i="6"/>
  <c r="D52" i="6"/>
  <c r="E52" i="6"/>
  <c r="F52" i="6"/>
  <c r="G52" i="6"/>
  <c r="D53" i="6"/>
  <c r="E53" i="6"/>
  <c r="F53" i="6"/>
  <c r="G53" i="6"/>
  <c r="D54" i="6"/>
  <c r="E54" i="6"/>
  <c r="F54" i="6"/>
  <c r="G54" i="6"/>
  <c r="D55" i="6"/>
  <c r="E55" i="6"/>
  <c r="F55" i="6"/>
  <c r="G55" i="6"/>
  <c r="D56" i="6"/>
  <c r="E56" i="6"/>
  <c r="F56" i="6"/>
  <c r="G56" i="6"/>
  <c r="D57" i="6"/>
  <c r="E57" i="6"/>
  <c r="F57" i="6"/>
  <c r="G57" i="6"/>
  <c r="D58" i="6"/>
  <c r="E58" i="6"/>
  <c r="F58" i="6"/>
  <c r="G58" i="6"/>
  <c r="D59" i="6"/>
  <c r="E59" i="6"/>
  <c r="F59" i="6"/>
  <c r="G59" i="6"/>
  <c r="D60" i="6"/>
  <c r="E60" i="6"/>
  <c r="F60" i="6"/>
  <c r="G60" i="6"/>
  <c r="D61" i="6"/>
  <c r="E61" i="6"/>
  <c r="F61" i="6"/>
  <c r="G61" i="6"/>
  <c r="D62" i="6"/>
  <c r="E62" i="6"/>
  <c r="F62" i="6"/>
  <c r="G62" i="6"/>
  <c r="D63" i="6"/>
  <c r="E63" i="6"/>
  <c r="F63" i="6"/>
  <c r="G63" i="6"/>
  <c r="D64" i="6"/>
  <c r="E64" i="6"/>
  <c r="F64" i="6"/>
  <c r="G64" i="6"/>
  <c r="D65" i="6"/>
  <c r="E65" i="6"/>
  <c r="F65" i="6"/>
  <c r="G65" i="6"/>
  <c r="D66" i="6"/>
  <c r="E66" i="6"/>
  <c r="F66" i="6"/>
  <c r="G66" i="6"/>
  <c r="D67" i="6"/>
  <c r="E67" i="6"/>
  <c r="F67" i="6"/>
  <c r="G67" i="6"/>
  <c r="F14" i="6"/>
  <c r="G14" i="6"/>
  <c r="E14" i="6"/>
  <c r="D14" i="6"/>
  <c r="AT45" i="29" l="1"/>
  <c r="AT62" i="29"/>
  <c r="AT44" i="29"/>
  <c r="Y162" i="29"/>
  <c r="AC162" i="29"/>
  <c r="AD162" i="29" s="1"/>
  <c r="AT67" i="29"/>
  <c r="AO68" i="29"/>
  <c r="AT33" i="29"/>
  <c r="AT23" i="29"/>
  <c r="AT29" i="29"/>
  <c r="AT18" i="29"/>
  <c r="AT24" i="29"/>
  <c r="AT53" i="29"/>
  <c r="AH336" i="29"/>
  <c r="AI336" i="29" s="1"/>
  <c r="AI337" i="29"/>
  <c r="AT51" i="29"/>
  <c r="AH342" i="29"/>
  <c r="AM342" i="29" s="1"/>
  <c r="AR342" i="29" s="1"/>
  <c r="AT56" i="29"/>
  <c r="AN342" i="29"/>
  <c r="AD355" i="29"/>
  <c r="AT47" i="29"/>
  <c r="AC328" i="29"/>
  <c r="Y328" i="29"/>
  <c r="AH347" i="29"/>
  <c r="AD347" i="29"/>
  <c r="AT40" i="29"/>
  <c r="AC352" i="29"/>
  <c r="Y352" i="29"/>
  <c r="AH331" i="29"/>
  <c r="AD331" i="29"/>
  <c r="X382" i="29"/>
  <c r="Y382" i="29" s="1"/>
  <c r="AJ68" i="29"/>
  <c r="AT26" i="29"/>
  <c r="AT21" i="29"/>
  <c r="AT22" i="29"/>
  <c r="AD304" i="29"/>
  <c r="AM268" i="29"/>
  <c r="AH301" i="29"/>
  <c r="X45" i="29"/>
  <c r="Y45" i="29" s="1"/>
  <c r="Y320" i="29"/>
  <c r="AD282" i="29"/>
  <c r="Y282" i="29"/>
  <c r="Y316" i="29"/>
  <c r="AC316" i="29"/>
  <c r="AC298" i="29"/>
  <c r="AH284" i="29"/>
  <c r="AD284" i="29"/>
  <c r="X321" i="29"/>
  <c r="Y321" i="29" s="1"/>
  <c r="AH315" i="29"/>
  <c r="AD315" i="29"/>
  <c r="AD287" i="29"/>
  <c r="AH299" i="29"/>
  <c r="AD299" i="29"/>
  <c r="AH291" i="29"/>
  <c r="AD291" i="29"/>
  <c r="AE68" i="29"/>
  <c r="AT65" i="29"/>
  <c r="AD251" i="29"/>
  <c r="AD216" i="29"/>
  <c r="Y237" i="29"/>
  <c r="AC237" i="29"/>
  <c r="Y234" i="29"/>
  <c r="AC234" i="29"/>
  <c r="AC209" i="29"/>
  <c r="AH209" i="29" s="1"/>
  <c r="AC250" i="29"/>
  <c r="Y250" i="29"/>
  <c r="AT35" i="29"/>
  <c r="Y228" i="29"/>
  <c r="AC228" i="29"/>
  <c r="AH245" i="29"/>
  <c r="AD245" i="29"/>
  <c r="Z68" i="29"/>
  <c r="AD181" i="29"/>
  <c r="AD184" i="29"/>
  <c r="AH173" i="29"/>
  <c r="AM173" i="29" s="1"/>
  <c r="AM176" i="29"/>
  <c r="AN176" i="29" s="1"/>
  <c r="AI176" i="29"/>
  <c r="AM139" i="29"/>
  <c r="AR139" i="29" s="1"/>
  <c r="Y154" i="29"/>
  <c r="AC154" i="29"/>
  <c r="AH175" i="29"/>
  <c r="X15" i="29"/>
  <c r="Y15" i="29" s="1"/>
  <c r="AT191" i="29"/>
  <c r="AH162" i="29"/>
  <c r="AI162" i="29" s="1"/>
  <c r="Y152" i="29"/>
  <c r="X29" i="29"/>
  <c r="Y29" i="29" s="1"/>
  <c r="AC152" i="29"/>
  <c r="AC29" i="29" s="1"/>
  <c r="AC138" i="29"/>
  <c r="AC143" i="29"/>
  <c r="AD144" i="29"/>
  <c r="AM184" i="29"/>
  <c r="AI184" i="29"/>
  <c r="AD185" i="29"/>
  <c r="K68" i="29"/>
  <c r="AI111" i="29"/>
  <c r="AT14" i="29"/>
  <c r="AD124" i="29"/>
  <c r="AD92" i="29"/>
  <c r="AH104" i="29"/>
  <c r="AM104" i="29" s="1"/>
  <c r="AD111" i="29"/>
  <c r="AT130" i="29"/>
  <c r="AC119" i="29"/>
  <c r="AC57" i="29" s="1"/>
  <c r="X57" i="29"/>
  <c r="Y57" i="29" s="1"/>
  <c r="AC120" i="29"/>
  <c r="Y120" i="29"/>
  <c r="X58" i="29"/>
  <c r="Y58" i="29" s="1"/>
  <c r="AH96" i="29"/>
  <c r="U68" i="29"/>
  <c r="AC84" i="29"/>
  <c r="Y84" i="29"/>
  <c r="AH112" i="29"/>
  <c r="AM112" i="29" s="1"/>
  <c r="AD97" i="29"/>
  <c r="AH97" i="29"/>
  <c r="N68" i="29"/>
  <c r="R68" i="29"/>
  <c r="H68" i="29"/>
  <c r="AH356" i="29"/>
  <c r="AD356" i="29"/>
  <c r="AD247" i="29"/>
  <c r="AH247" i="29"/>
  <c r="AH381" i="29"/>
  <c r="AD381" i="29"/>
  <c r="AD374" i="29"/>
  <c r="AH374" i="29"/>
  <c r="AH365" i="29"/>
  <c r="AD365" i="29"/>
  <c r="AM308" i="29"/>
  <c r="AI308" i="29"/>
  <c r="AM287" i="29"/>
  <c r="AI287" i="29"/>
  <c r="AM300" i="29"/>
  <c r="AI300" i="29"/>
  <c r="AM293" i="29"/>
  <c r="AI293" i="29"/>
  <c r="AM267" i="29"/>
  <c r="AI267" i="29"/>
  <c r="AI320" i="29"/>
  <c r="AM320" i="29"/>
  <c r="AM336" i="29"/>
  <c r="AC235" i="29"/>
  <c r="Y235" i="29"/>
  <c r="X51" i="29"/>
  <c r="Y51" i="29" s="1"/>
  <c r="AN282" i="29"/>
  <c r="AR282" i="29"/>
  <c r="AD249" i="29"/>
  <c r="AH249" i="29"/>
  <c r="AH217" i="29"/>
  <c r="AD217" i="29"/>
  <c r="AD221" i="29"/>
  <c r="AH221" i="29"/>
  <c r="AM202" i="29"/>
  <c r="AI202" i="29"/>
  <c r="AH219" i="29"/>
  <c r="AD219" i="29"/>
  <c r="AC35" i="29"/>
  <c r="AD35" i="29" s="1"/>
  <c r="X191" i="29"/>
  <c r="Y191" i="29" s="1"/>
  <c r="AC137" i="29"/>
  <c r="Y137" i="29"/>
  <c r="AH223" i="29"/>
  <c r="AD223" i="29"/>
  <c r="AH129" i="29"/>
  <c r="AD129" i="29"/>
  <c r="AC67" i="29"/>
  <c r="AD67" i="29" s="1"/>
  <c r="AH178" i="29"/>
  <c r="AD178" i="29"/>
  <c r="AM181" i="29"/>
  <c r="AI181" i="29"/>
  <c r="AR168" i="29"/>
  <c r="AN168" i="29"/>
  <c r="AH203" i="29"/>
  <c r="AD203" i="29"/>
  <c r="AC156" i="29"/>
  <c r="Y156" i="29"/>
  <c r="X33" i="29"/>
  <c r="Y33" i="29" s="1"/>
  <c r="AM144" i="29"/>
  <c r="AI144" i="29"/>
  <c r="AD146" i="29"/>
  <c r="AH146" i="29"/>
  <c r="AH109" i="29"/>
  <c r="AD109" i="29"/>
  <c r="AC47" i="29"/>
  <c r="AD47" i="29" s="1"/>
  <c r="AI124" i="29"/>
  <c r="AM124" i="29"/>
  <c r="AC122" i="29"/>
  <c r="Y122" i="29"/>
  <c r="X60" i="29"/>
  <c r="Y60" i="29" s="1"/>
  <c r="AC114" i="29"/>
  <c r="Y114" i="29"/>
  <c r="X52" i="29"/>
  <c r="Y52" i="29" s="1"/>
  <c r="AC106" i="29"/>
  <c r="Y106" i="29"/>
  <c r="X44" i="29"/>
  <c r="Y44" i="29" s="1"/>
  <c r="AC128" i="29"/>
  <c r="Y128" i="29"/>
  <c r="X66" i="29"/>
  <c r="Y66" i="29" s="1"/>
  <c r="AN95" i="29"/>
  <c r="AR95" i="29"/>
  <c r="AH99" i="29"/>
  <c r="AD99" i="29"/>
  <c r="AC37" i="29"/>
  <c r="AD37" i="29" s="1"/>
  <c r="AH101" i="29"/>
  <c r="AD101" i="29"/>
  <c r="AC39" i="29"/>
  <c r="AD39" i="29" s="1"/>
  <c r="AC206" i="29"/>
  <c r="Y206" i="29"/>
  <c r="X22" i="29"/>
  <c r="Y22" i="29" s="1"/>
  <c r="AC222" i="29"/>
  <c r="Y222" i="29"/>
  <c r="X38" i="29"/>
  <c r="Y38" i="29" s="1"/>
  <c r="AH110" i="29"/>
  <c r="AD110" i="29"/>
  <c r="AC48" i="29"/>
  <c r="AD48" i="29" s="1"/>
  <c r="AC378" i="29"/>
  <c r="Y378" i="29"/>
  <c r="AH332" i="29"/>
  <c r="AD332" i="29"/>
  <c r="AD343" i="29"/>
  <c r="AH343" i="29"/>
  <c r="AI379" i="29"/>
  <c r="AM379" i="29"/>
  <c r="AD358" i="29"/>
  <c r="AH358" i="29"/>
  <c r="AR337" i="29"/>
  <c r="AN337" i="29"/>
  <c r="AI360" i="29"/>
  <c r="AM360" i="29"/>
  <c r="AH361" i="29"/>
  <c r="AD361" i="29"/>
  <c r="AM309" i="29"/>
  <c r="AI309" i="29"/>
  <c r="AH292" i="29"/>
  <c r="AD292" i="29"/>
  <c r="AM314" i="29"/>
  <c r="AI314" i="29"/>
  <c r="Y244" i="29"/>
  <c r="AC244" i="29"/>
  <c r="AM251" i="29"/>
  <c r="AI251" i="29"/>
  <c r="AH246" i="29"/>
  <c r="AD246" i="29"/>
  <c r="AC62" i="29"/>
  <c r="AD62" i="29" s="1"/>
  <c r="AI281" i="29"/>
  <c r="AM281" i="29"/>
  <c r="AM272" i="29"/>
  <c r="AI272" i="29"/>
  <c r="AD209" i="29"/>
  <c r="AM212" i="29"/>
  <c r="AI212" i="29"/>
  <c r="AH188" i="29"/>
  <c r="AD188" i="29"/>
  <c r="AC65" i="29"/>
  <c r="AD65" i="29" s="1"/>
  <c r="AH165" i="29"/>
  <c r="AD165" i="29"/>
  <c r="AC42" i="29"/>
  <c r="AD42" i="29" s="1"/>
  <c r="AM175" i="29"/>
  <c r="AI175" i="29"/>
  <c r="AI166" i="29"/>
  <c r="AM166" i="29"/>
  <c r="AC177" i="29"/>
  <c r="Y177" i="29"/>
  <c r="X54" i="29"/>
  <c r="Y54" i="29" s="1"/>
  <c r="AH159" i="29"/>
  <c r="AD159" i="29"/>
  <c r="AI104" i="29"/>
  <c r="AM102" i="29"/>
  <c r="AI102" i="29"/>
  <c r="AM94" i="29"/>
  <c r="AI94" i="29"/>
  <c r="AH107" i="29"/>
  <c r="AD107" i="29"/>
  <c r="AD368" i="29"/>
  <c r="AH368" i="29"/>
  <c r="AI271" i="29"/>
  <c r="AM271" i="29"/>
  <c r="AM190" i="29"/>
  <c r="AI190" i="29"/>
  <c r="Y346" i="29"/>
  <c r="AC346" i="29"/>
  <c r="AD366" i="29"/>
  <c r="AH366" i="29"/>
  <c r="AD341" i="29"/>
  <c r="AH341" i="29"/>
  <c r="AH353" i="29"/>
  <c r="AD353" i="29"/>
  <c r="AI296" i="29"/>
  <c r="AM296" i="29"/>
  <c r="AD318" i="29"/>
  <c r="AH318" i="29"/>
  <c r="AI288" i="29"/>
  <c r="AM288" i="29"/>
  <c r="AH307" i="29"/>
  <c r="AD307" i="29"/>
  <c r="Y333" i="29"/>
  <c r="AC333" i="29"/>
  <c r="X19" i="29"/>
  <c r="Y19" i="29" s="1"/>
  <c r="AH313" i="29"/>
  <c r="AD313" i="29"/>
  <c r="AI304" i="29"/>
  <c r="AM304" i="29"/>
  <c r="AD239" i="29"/>
  <c r="AH239" i="29"/>
  <c r="AH306" i="29"/>
  <c r="AD306" i="29"/>
  <c r="AD241" i="29"/>
  <c r="AH241" i="29"/>
  <c r="AH280" i="29"/>
  <c r="AD280" i="29"/>
  <c r="AI216" i="29"/>
  <c r="AM216" i="29"/>
  <c r="AH189" i="29"/>
  <c r="AD189" i="29"/>
  <c r="AH207" i="29"/>
  <c r="AD207" i="29"/>
  <c r="AN268" i="29"/>
  <c r="AR268" i="29"/>
  <c r="AD205" i="29"/>
  <c r="AH205" i="29"/>
  <c r="AH186" i="29"/>
  <c r="AD186" i="29"/>
  <c r="AD155" i="29"/>
  <c r="AH155" i="29"/>
  <c r="AD147" i="29"/>
  <c r="AH147" i="29"/>
  <c r="AD163" i="29"/>
  <c r="AH163" i="29"/>
  <c r="AC40" i="29"/>
  <c r="AD40" i="29" s="1"/>
  <c r="AH93" i="29"/>
  <c r="AD93" i="29"/>
  <c r="AC31" i="29"/>
  <c r="AD31" i="29" s="1"/>
  <c r="X130" i="29"/>
  <c r="Y130" i="29" s="1"/>
  <c r="AC76" i="29"/>
  <c r="Y76" i="29"/>
  <c r="X14" i="29"/>
  <c r="AD105" i="29"/>
  <c r="AC43" i="29"/>
  <c r="AD43" i="29" s="1"/>
  <c r="AH105" i="29"/>
  <c r="AC79" i="29"/>
  <c r="Y79" i="29"/>
  <c r="X17" i="29"/>
  <c r="Y17" i="29" s="1"/>
  <c r="AC98" i="29"/>
  <c r="Y98" i="29"/>
  <c r="X36" i="29"/>
  <c r="Y36" i="29" s="1"/>
  <c r="AH126" i="29"/>
  <c r="AD126" i="29"/>
  <c r="AH87" i="29"/>
  <c r="AD87" i="29"/>
  <c r="AH77" i="29"/>
  <c r="AD77" i="29"/>
  <c r="AC15" i="29"/>
  <c r="AC90" i="29"/>
  <c r="Y90" i="29"/>
  <c r="X28" i="29"/>
  <c r="Y28" i="29" s="1"/>
  <c r="Y338" i="29"/>
  <c r="AC338" i="29"/>
  <c r="AI377" i="29"/>
  <c r="AM377" i="29"/>
  <c r="AC375" i="29"/>
  <c r="AC61" i="29" s="1"/>
  <c r="Y375" i="29"/>
  <c r="X61" i="29"/>
  <c r="Y61" i="29" s="1"/>
  <c r="AR329" i="29"/>
  <c r="AN329" i="29"/>
  <c r="AD376" i="29"/>
  <c r="AH376" i="29"/>
  <c r="AH363" i="29"/>
  <c r="AD363" i="29"/>
  <c r="AC303" i="29"/>
  <c r="Y303" i="29"/>
  <c r="X50" i="29"/>
  <c r="Y50" i="29" s="1"/>
  <c r="Y236" i="29"/>
  <c r="AC236" i="29"/>
  <c r="AC248" i="29"/>
  <c r="Y248" i="29"/>
  <c r="X64" i="29"/>
  <c r="Y64" i="29" s="1"/>
  <c r="AH243" i="29"/>
  <c r="AD243" i="29"/>
  <c r="AH238" i="29"/>
  <c r="AD238" i="29"/>
  <c r="AH283" i="29"/>
  <c r="AD283" i="29"/>
  <c r="AH275" i="29"/>
  <c r="AD275" i="29"/>
  <c r="AH187" i="29"/>
  <c r="AD187" i="29"/>
  <c r="AC230" i="29"/>
  <c r="Y230" i="29"/>
  <c r="AH210" i="29"/>
  <c r="AD210" i="29"/>
  <c r="AH215" i="29"/>
  <c r="AD215" i="29"/>
  <c r="AD270" i="29"/>
  <c r="AH270" i="29"/>
  <c r="X252" i="29"/>
  <c r="Y252" i="29" s="1"/>
  <c r="AC198" i="29"/>
  <c r="Y198" i="29"/>
  <c r="AM183" i="29"/>
  <c r="AI183" i="29"/>
  <c r="AH172" i="29"/>
  <c r="AD172" i="29"/>
  <c r="AC49" i="29"/>
  <c r="AD49" i="29" s="1"/>
  <c r="AH201" i="29"/>
  <c r="AD201" i="29"/>
  <c r="AH153" i="29"/>
  <c r="AD153" i="29"/>
  <c r="AH161" i="29"/>
  <c r="AD161" i="29"/>
  <c r="AH141" i="29"/>
  <c r="AD141" i="29"/>
  <c r="AM96" i="29"/>
  <c r="AI96" i="29"/>
  <c r="AC169" i="29"/>
  <c r="Y169" i="29"/>
  <c r="X46" i="29"/>
  <c r="Y46" i="29" s="1"/>
  <c r="AH91" i="29"/>
  <c r="AD91" i="29"/>
  <c r="AI116" i="29"/>
  <c r="AM116" i="29"/>
  <c r="AI108" i="29"/>
  <c r="AM108" i="29"/>
  <c r="AH182" i="29"/>
  <c r="AD182" i="29"/>
  <c r="AH85" i="29"/>
  <c r="AD85" i="29"/>
  <c r="AC23" i="29"/>
  <c r="AD23" i="29" s="1"/>
  <c r="AS342" i="29"/>
  <c r="AU342" i="29"/>
  <c r="AH305" i="29"/>
  <c r="AD305" i="29"/>
  <c r="AI297" i="29"/>
  <c r="AM297" i="29"/>
  <c r="AC319" i="29"/>
  <c r="Y319" i="29"/>
  <c r="AH86" i="29"/>
  <c r="AD86" i="29"/>
  <c r="AR127" i="29"/>
  <c r="AN127" i="29"/>
  <c r="AD89" i="29"/>
  <c r="AH89" i="29"/>
  <c r="AC27" i="29"/>
  <c r="AD27" i="29" s="1"/>
  <c r="AH380" i="29"/>
  <c r="AD380" i="29"/>
  <c r="Y330" i="29"/>
  <c r="AC330" i="29"/>
  <c r="Y340" i="29"/>
  <c r="AC340" i="29"/>
  <c r="AC26" i="29" s="1"/>
  <c r="X26" i="29"/>
  <c r="Y26" i="29" s="1"/>
  <c r="AH295" i="29"/>
  <c r="AD295" i="29"/>
  <c r="AC350" i="29"/>
  <c r="Y350" i="29"/>
  <c r="AH311" i="29"/>
  <c r="AD311" i="29"/>
  <c r="AC58" i="29"/>
  <c r="AM290" i="29"/>
  <c r="AI290" i="29"/>
  <c r="AI279" i="29"/>
  <c r="AM279" i="29"/>
  <c r="AH211" i="29"/>
  <c r="AD211" i="29"/>
  <c r="AI185" i="29"/>
  <c r="AM185" i="29"/>
  <c r="AT252" i="29"/>
  <c r="AH151" i="29"/>
  <c r="AD151" i="29"/>
  <c r="AH174" i="29"/>
  <c r="AD174" i="29"/>
  <c r="AH208" i="29"/>
  <c r="AD208" i="29"/>
  <c r="AI142" i="29"/>
  <c r="AM142" i="29"/>
  <c r="AI158" i="29"/>
  <c r="AM158" i="29"/>
  <c r="AI171" i="29"/>
  <c r="AM171" i="29"/>
  <c r="AH157" i="29"/>
  <c r="AD157" i="29"/>
  <c r="AH125" i="29"/>
  <c r="AD125" i="29"/>
  <c r="AC63" i="29"/>
  <c r="AD63" i="29" s="1"/>
  <c r="AH149" i="29"/>
  <c r="AD149" i="29"/>
  <c r="AD81" i="29"/>
  <c r="AC19" i="29"/>
  <c r="AH81" i="29"/>
  <c r="AH115" i="29"/>
  <c r="AD115" i="29"/>
  <c r="AH83" i="29"/>
  <c r="AD83" i="29"/>
  <c r="AD339" i="29"/>
  <c r="AH339" i="29"/>
  <c r="AR317" i="29"/>
  <c r="AN317" i="29"/>
  <c r="AH225" i="29"/>
  <c r="AD225" i="29"/>
  <c r="AC140" i="29"/>
  <c r="Y140" i="29"/>
  <c r="AM78" i="29"/>
  <c r="AI78" i="29"/>
  <c r="AH372" i="29"/>
  <c r="AD372" i="29"/>
  <c r="AT382" i="29"/>
  <c r="AI344" i="29"/>
  <c r="AM344" i="29"/>
  <c r="AI369" i="29"/>
  <c r="AM369" i="29"/>
  <c r="AC367" i="29"/>
  <c r="Y367" i="29"/>
  <c r="X53" i="29"/>
  <c r="Y53" i="29" s="1"/>
  <c r="AD351" i="29"/>
  <c r="AH351" i="29"/>
  <c r="AM373" i="29"/>
  <c r="AI373" i="29"/>
  <c r="Y348" i="29"/>
  <c r="AC348" i="29"/>
  <c r="AC34" i="29" s="1"/>
  <c r="X34" i="29"/>
  <c r="Y34" i="29" s="1"/>
  <c r="AC334" i="29"/>
  <c r="Y334" i="29"/>
  <c r="AI371" i="29"/>
  <c r="AM371" i="29"/>
  <c r="AD302" i="29"/>
  <c r="AH302" i="29"/>
  <c r="AH289" i="29"/>
  <c r="AD289" i="29"/>
  <c r="AC285" i="29"/>
  <c r="AC32" i="29" s="1"/>
  <c r="Y285" i="29"/>
  <c r="X32" i="29"/>
  <c r="Y32" i="29" s="1"/>
  <c r="AH312" i="29"/>
  <c r="AD312" i="29"/>
  <c r="AC240" i="29"/>
  <c r="Y240" i="29"/>
  <c r="X56" i="29"/>
  <c r="Y56" i="29" s="1"/>
  <c r="AD278" i="29"/>
  <c r="AH278" i="29"/>
  <c r="AH233" i="29"/>
  <c r="AD233" i="29"/>
  <c r="AD229" i="29"/>
  <c r="AH229" i="29"/>
  <c r="AM204" i="29"/>
  <c r="AI204" i="29"/>
  <c r="AH231" i="29"/>
  <c r="AD231" i="29"/>
  <c r="AI242" i="29"/>
  <c r="AM242" i="29"/>
  <c r="AH180" i="29"/>
  <c r="AD180" i="29"/>
  <c r="AH218" i="29"/>
  <c r="AD218" i="29"/>
  <c r="AC148" i="29"/>
  <c r="Y148" i="29"/>
  <c r="X25" i="29"/>
  <c r="Y25" i="29" s="1"/>
  <c r="AC164" i="29"/>
  <c r="AC41" i="29" s="1"/>
  <c r="Y164" i="29"/>
  <c r="X41" i="29"/>
  <c r="Y41" i="29" s="1"/>
  <c r="AM88" i="29"/>
  <c r="AI88" i="29"/>
  <c r="AD213" i="29"/>
  <c r="AH213" i="29"/>
  <c r="AI100" i="29"/>
  <c r="AM100" i="29"/>
  <c r="AH123" i="29"/>
  <c r="AD123" i="29"/>
  <c r="AI92" i="29"/>
  <c r="AM92" i="29"/>
  <c r="Q68" i="29"/>
  <c r="S68" i="29"/>
  <c r="AH370" i="29"/>
  <c r="AD370" i="29"/>
  <c r="AT321" i="29"/>
  <c r="AI273" i="29"/>
  <c r="AM273" i="29"/>
  <c r="AC214" i="29"/>
  <c r="AC30" i="29" s="1"/>
  <c r="Y214" i="29"/>
  <c r="X30" i="29"/>
  <c r="Y30" i="29" s="1"/>
  <c r="AD113" i="29"/>
  <c r="AC51" i="29"/>
  <c r="AH113" i="29"/>
  <c r="AN111" i="29"/>
  <c r="AR111" i="29"/>
  <c r="AH364" i="29"/>
  <c r="AD364" i="29"/>
  <c r="AH362" i="29"/>
  <c r="AD362" i="29"/>
  <c r="AH345" i="29"/>
  <c r="AD345" i="29"/>
  <c r="AD357" i="29"/>
  <c r="AH357" i="29"/>
  <c r="AC335" i="29"/>
  <c r="AC21" i="29" s="1"/>
  <c r="Y335" i="29"/>
  <c r="X21" i="29"/>
  <c r="Y21" i="29" s="1"/>
  <c r="AD349" i="29"/>
  <c r="AH349" i="29"/>
  <c r="AD294" i="29"/>
  <c r="AH294" i="29"/>
  <c r="AI286" i="29"/>
  <c r="AM286" i="29"/>
  <c r="AD310" i="29"/>
  <c r="AH310" i="29"/>
  <c r="AH354" i="29"/>
  <c r="AD354" i="29"/>
  <c r="AI355" i="29"/>
  <c r="AM355" i="29"/>
  <c r="AC359" i="29"/>
  <c r="Y359" i="29"/>
  <c r="AD276" i="29"/>
  <c r="AH276" i="29"/>
  <c r="AN274" i="29"/>
  <c r="AR274" i="29"/>
  <c r="AC277" i="29"/>
  <c r="Y277" i="29"/>
  <c r="X24" i="29"/>
  <c r="Y24" i="29" s="1"/>
  <c r="AC269" i="29"/>
  <c r="Y269" i="29"/>
  <c r="X16" i="29"/>
  <c r="Y16" i="29" s="1"/>
  <c r="AI232" i="29"/>
  <c r="AM232" i="29"/>
  <c r="AI224" i="29"/>
  <c r="AM224" i="29"/>
  <c r="AN227" i="29"/>
  <c r="AR227" i="29"/>
  <c r="AI200" i="29"/>
  <c r="AM200" i="29"/>
  <c r="AM220" i="29"/>
  <c r="AI220" i="29"/>
  <c r="AH143" i="29"/>
  <c r="AD143" i="29"/>
  <c r="AH167" i="29"/>
  <c r="AD167" i="29"/>
  <c r="AH199" i="29"/>
  <c r="AD199" i="29"/>
  <c r="AH170" i="29"/>
  <c r="AD170" i="29"/>
  <c r="AH145" i="29"/>
  <c r="AD145" i="29"/>
  <c r="AM226" i="29"/>
  <c r="AI226" i="29"/>
  <c r="AI150" i="29"/>
  <c r="AM150" i="29"/>
  <c r="AI179" i="29"/>
  <c r="AM179" i="29"/>
  <c r="AH117" i="29"/>
  <c r="AD117" i="29"/>
  <c r="AC55" i="29"/>
  <c r="AD55" i="29" s="1"/>
  <c r="AD121" i="29"/>
  <c r="AC59" i="29"/>
  <c r="AD59" i="29" s="1"/>
  <c r="AH121" i="29"/>
  <c r="AM160" i="29"/>
  <c r="AI160" i="29"/>
  <c r="AC82" i="29"/>
  <c r="Y82" i="29"/>
  <c r="X20" i="29"/>
  <c r="Y20" i="29" s="1"/>
  <c r="AH103" i="29"/>
  <c r="AD103" i="29"/>
  <c r="AD80" i="29"/>
  <c r="AH80" i="29"/>
  <c r="AC18" i="29"/>
  <c r="AD18" i="29" s="1"/>
  <c r="AM118" i="29"/>
  <c r="AI118" i="29"/>
  <c r="AJ64" i="6"/>
  <c r="AJ56" i="6"/>
  <c r="AJ48" i="6"/>
  <c r="AJ32" i="6"/>
  <c r="AJ24" i="6"/>
  <c r="AJ16" i="6"/>
  <c r="AJ29" i="6"/>
  <c r="AJ40" i="6"/>
  <c r="AJ66" i="6"/>
  <c r="AJ58" i="6"/>
  <c r="AJ50" i="6"/>
  <c r="AJ42" i="6"/>
  <c r="AJ34" i="6"/>
  <c r="AJ26" i="6"/>
  <c r="AJ18" i="6"/>
  <c r="AJ61" i="6"/>
  <c r="AJ53" i="6"/>
  <c r="AJ45" i="6"/>
  <c r="AJ37" i="6"/>
  <c r="AJ21" i="6"/>
  <c r="G68" i="6"/>
  <c r="F68" i="6"/>
  <c r="R64" i="6"/>
  <c r="R60" i="6"/>
  <c r="R56" i="6"/>
  <c r="R52" i="6"/>
  <c r="R48" i="6"/>
  <c r="R44" i="6"/>
  <c r="R40" i="6"/>
  <c r="R36" i="6"/>
  <c r="R32" i="6"/>
  <c r="R28" i="6"/>
  <c r="R24" i="6"/>
  <c r="R20" i="6"/>
  <c r="R16" i="6"/>
  <c r="R61" i="6"/>
  <c r="E68" i="6"/>
  <c r="AJ52" i="6"/>
  <c r="AJ60" i="6"/>
  <c r="AJ44" i="6"/>
  <c r="AJ36" i="6"/>
  <c r="AJ28" i="6"/>
  <c r="AJ20" i="6"/>
  <c r="AJ67" i="6"/>
  <c r="AJ59" i="6"/>
  <c r="AJ51" i="6"/>
  <c r="AJ43" i="6"/>
  <c r="AJ35" i="6"/>
  <c r="AJ27" i="6"/>
  <c r="AJ19" i="6"/>
  <c r="AJ65" i="6"/>
  <c r="AJ57" i="6"/>
  <c r="AJ49" i="6"/>
  <c r="AJ41" i="6"/>
  <c r="AJ33" i="6"/>
  <c r="AJ25" i="6"/>
  <c r="AJ17" i="6"/>
  <c r="AJ62" i="6"/>
  <c r="AJ54" i="6"/>
  <c r="AJ46" i="6"/>
  <c r="AJ38" i="6"/>
  <c r="AJ30" i="6"/>
  <c r="AJ22" i="6"/>
  <c r="AJ63" i="6"/>
  <c r="AJ55" i="6"/>
  <c r="AJ47" i="6"/>
  <c r="AJ39" i="6"/>
  <c r="AJ31" i="6"/>
  <c r="AJ23" i="6"/>
  <c r="AJ15" i="6"/>
  <c r="R53" i="6"/>
  <c r="R45" i="6"/>
  <c r="R37" i="6"/>
  <c r="R29" i="6"/>
  <c r="R21" i="6"/>
  <c r="R66" i="6"/>
  <c r="R62" i="6"/>
  <c r="R58" i="6"/>
  <c r="R54" i="6"/>
  <c r="R50" i="6"/>
  <c r="R46" i="6"/>
  <c r="R42" i="6"/>
  <c r="R38" i="6"/>
  <c r="R34" i="6"/>
  <c r="R26" i="6"/>
  <c r="R22" i="6"/>
  <c r="R18" i="6"/>
  <c r="R30" i="6"/>
  <c r="R67" i="6"/>
  <c r="R65" i="6"/>
  <c r="R63" i="6"/>
  <c r="R59" i="6"/>
  <c r="R57" i="6"/>
  <c r="R55" i="6"/>
  <c r="R51" i="6"/>
  <c r="R49" i="6"/>
  <c r="R47" i="6"/>
  <c r="R43" i="6"/>
  <c r="R41" i="6"/>
  <c r="R39" i="6"/>
  <c r="R35" i="6"/>
  <c r="R33" i="6"/>
  <c r="R31" i="6"/>
  <c r="R27" i="6"/>
  <c r="R25" i="6"/>
  <c r="R23" i="6"/>
  <c r="R19" i="6"/>
  <c r="R17" i="6"/>
  <c r="R15" i="6"/>
  <c r="AC38" i="29" l="1"/>
  <c r="AI342" i="29"/>
  <c r="AI347" i="29"/>
  <c r="AM347" i="29"/>
  <c r="AH328" i="29"/>
  <c r="AD328" i="29"/>
  <c r="AD352" i="29"/>
  <c r="AH352" i="29"/>
  <c r="AC24" i="29"/>
  <c r="AD24" i="29" s="1"/>
  <c r="AH35" i="29"/>
  <c r="AI35" i="29" s="1"/>
  <c r="AM331" i="29"/>
  <c r="AI331" i="29"/>
  <c r="AH62" i="29"/>
  <c r="AI62" i="29" s="1"/>
  <c r="AM301" i="29"/>
  <c r="AI301" i="29"/>
  <c r="AD316" i="29"/>
  <c r="AH316" i="29"/>
  <c r="AH63" i="29" s="1"/>
  <c r="AI63" i="29" s="1"/>
  <c r="AH298" i="29"/>
  <c r="AD298" i="29"/>
  <c r="AC45" i="29"/>
  <c r="AD45" i="29" s="1"/>
  <c r="AD38" i="29"/>
  <c r="AM315" i="29"/>
  <c r="AI315" i="29"/>
  <c r="AM299" i="29"/>
  <c r="AI299" i="29"/>
  <c r="AM291" i="29"/>
  <c r="AI291" i="29"/>
  <c r="AI284" i="29"/>
  <c r="AM284" i="29"/>
  <c r="AC22" i="29"/>
  <c r="AD22" i="29" s="1"/>
  <c r="AD26" i="29"/>
  <c r="AD250" i="29"/>
  <c r="AH250" i="29"/>
  <c r="AD29" i="29"/>
  <c r="AH234" i="29"/>
  <c r="AD234" i="29"/>
  <c r="AD228" i="29"/>
  <c r="AH228" i="29"/>
  <c r="AH237" i="29"/>
  <c r="AD237" i="29"/>
  <c r="AD51" i="29"/>
  <c r="AI245" i="29"/>
  <c r="AM245" i="29"/>
  <c r="AN139" i="29"/>
  <c r="AR176" i="29"/>
  <c r="AS176" i="29" s="1"/>
  <c r="AI173" i="29"/>
  <c r="AM162" i="29"/>
  <c r="AD19" i="29"/>
  <c r="AH138" i="29"/>
  <c r="AH15" i="29" s="1"/>
  <c r="AI15" i="29" s="1"/>
  <c r="AD138" i="29"/>
  <c r="AD154" i="29"/>
  <c r="AH154" i="29"/>
  <c r="AD61" i="29"/>
  <c r="AD15" i="29"/>
  <c r="AD152" i="29"/>
  <c r="AH152" i="29"/>
  <c r="AD57" i="29"/>
  <c r="AD58" i="29"/>
  <c r="AR184" i="29"/>
  <c r="AN184" i="29"/>
  <c r="AI112" i="29"/>
  <c r="AD34" i="29"/>
  <c r="AD120" i="29"/>
  <c r="AH120" i="29"/>
  <c r="AH119" i="29"/>
  <c r="AH57" i="29" s="1"/>
  <c r="AI57" i="29" s="1"/>
  <c r="AD119" i="29"/>
  <c r="AD84" i="29"/>
  <c r="AH84" i="29"/>
  <c r="AD21" i="29"/>
  <c r="AM97" i="29"/>
  <c r="AI97" i="29"/>
  <c r="AD32" i="29"/>
  <c r="AI231" i="29"/>
  <c r="AM231" i="29"/>
  <c r="AI363" i="29"/>
  <c r="AM363" i="29"/>
  <c r="AI186" i="29"/>
  <c r="AM186" i="29"/>
  <c r="AM280" i="29"/>
  <c r="AI280" i="29"/>
  <c r="AR288" i="29"/>
  <c r="AN288" i="29"/>
  <c r="AU282" i="29"/>
  <c r="AS282" i="29"/>
  <c r="AM103" i="29"/>
  <c r="AI103" i="29"/>
  <c r="AR150" i="29"/>
  <c r="AN150" i="29"/>
  <c r="AI170" i="29"/>
  <c r="AM170" i="29"/>
  <c r="AR220" i="29"/>
  <c r="AN220" i="29"/>
  <c r="AH277" i="29"/>
  <c r="AD277" i="29"/>
  <c r="AH214" i="29"/>
  <c r="AD214" i="29"/>
  <c r="AM218" i="29"/>
  <c r="AI218" i="29"/>
  <c r="AN373" i="29"/>
  <c r="AR373" i="29"/>
  <c r="AR344" i="29"/>
  <c r="AN344" i="29"/>
  <c r="AU317" i="29"/>
  <c r="AS317" i="29"/>
  <c r="AI115" i="29"/>
  <c r="AM115" i="29"/>
  <c r="AR158" i="29"/>
  <c r="AN158" i="29"/>
  <c r="AM211" i="29"/>
  <c r="AI211" i="29"/>
  <c r="AR290" i="29"/>
  <c r="AN290" i="29"/>
  <c r="AM380" i="29"/>
  <c r="AI380" i="29"/>
  <c r="AM182" i="29"/>
  <c r="AI182" i="29"/>
  <c r="AH248" i="29"/>
  <c r="AD248" i="29"/>
  <c r="AD375" i="29"/>
  <c r="AH375" i="29"/>
  <c r="AM87" i="29"/>
  <c r="AI87" i="29"/>
  <c r="AM205" i="29"/>
  <c r="AI205" i="29"/>
  <c r="AR216" i="29"/>
  <c r="AN216" i="29"/>
  <c r="AM241" i="29"/>
  <c r="AI241" i="29"/>
  <c r="AI353" i="29"/>
  <c r="AM353" i="29"/>
  <c r="AR190" i="29"/>
  <c r="AN190" i="29"/>
  <c r="AN102" i="29"/>
  <c r="AR102" i="29"/>
  <c r="AM209" i="29"/>
  <c r="AI209" i="29"/>
  <c r="AH106" i="29"/>
  <c r="AD106" i="29"/>
  <c r="AC44" i="29"/>
  <c r="AD44" i="29" s="1"/>
  <c r="AN144" i="29"/>
  <c r="AR144" i="29"/>
  <c r="AI223" i="29"/>
  <c r="AM223" i="29"/>
  <c r="AN202" i="29"/>
  <c r="AR202" i="29"/>
  <c r="AR287" i="29"/>
  <c r="AN287" i="29"/>
  <c r="AM381" i="29"/>
  <c r="AI381" i="29"/>
  <c r="AM295" i="29"/>
  <c r="AI295" i="29"/>
  <c r="AR96" i="29"/>
  <c r="AN96" i="29"/>
  <c r="AM153" i="29"/>
  <c r="AI153" i="29"/>
  <c r="AC130" i="29"/>
  <c r="AD130" i="29" s="1"/>
  <c r="AH76" i="29"/>
  <c r="AD76" i="29"/>
  <c r="AC14" i="29"/>
  <c r="AM189" i="29"/>
  <c r="AI189" i="29"/>
  <c r="AI107" i="29"/>
  <c r="AM107" i="29"/>
  <c r="AM159" i="29"/>
  <c r="AI159" i="29"/>
  <c r="AI99" i="29"/>
  <c r="AM99" i="29"/>
  <c r="AH37" i="29"/>
  <c r="AI37" i="29" s="1"/>
  <c r="AR124" i="29"/>
  <c r="AN124" i="29"/>
  <c r="AS168" i="29"/>
  <c r="AU168" i="29"/>
  <c r="AR200" i="29"/>
  <c r="AN200" i="29"/>
  <c r="AU274" i="29"/>
  <c r="AS274" i="29"/>
  <c r="AM349" i="29"/>
  <c r="AI349" i="29"/>
  <c r="AI345" i="29"/>
  <c r="AM345" i="29"/>
  <c r="AM113" i="29"/>
  <c r="AI113" i="29"/>
  <c r="AR273" i="29"/>
  <c r="AN273" i="29"/>
  <c r="AH164" i="29"/>
  <c r="AH41" i="29" s="1"/>
  <c r="AI41" i="29" s="1"/>
  <c r="AD164" i="29"/>
  <c r="AR204" i="29"/>
  <c r="AN204" i="29"/>
  <c r="AI289" i="29"/>
  <c r="AM289" i="29"/>
  <c r="AD334" i="29"/>
  <c r="AH334" i="29"/>
  <c r="AM351" i="29"/>
  <c r="AI351" i="29"/>
  <c r="AI339" i="29"/>
  <c r="AM339" i="29"/>
  <c r="AM81" i="29"/>
  <c r="AI81" i="29"/>
  <c r="AM125" i="29"/>
  <c r="AI125" i="29"/>
  <c r="AM151" i="29"/>
  <c r="AI151" i="29"/>
  <c r="AH340" i="29"/>
  <c r="AH26" i="29" s="1"/>
  <c r="AI26" i="29" s="1"/>
  <c r="AD340" i="29"/>
  <c r="AM86" i="29"/>
  <c r="AI86" i="29"/>
  <c r="AI305" i="29"/>
  <c r="AM305" i="29"/>
  <c r="AR108" i="29"/>
  <c r="AN108" i="29"/>
  <c r="AI91" i="29"/>
  <c r="AM91" i="29"/>
  <c r="AI141" i="29"/>
  <c r="AM141" i="29"/>
  <c r="AM201" i="29"/>
  <c r="AI201" i="29"/>
  <c r="AM210" i="29"/>
  <c r="AI210" i="29"/>
  <c r="AM283" i="29"/>
  <c r="AI283" i="29"/>
  <c r="AH236" i="29"/>
  <c r="AD236" i="29"/>
  <c r="AR377" i="29"/>
  <c r="AN377" i="29"/>
  <c r="AC64" i="29"/>
  <c r="AD64" i="29" s="1"/>
  <c r="AH79" i="29"/>
  <c r="AD79" i="29"/>
  <c r="AC17" i="29"/>
  <c r="AD17" i="29" s="1"/>
  <c r="AI313" i="29"/>
  <c r="AM313" i="29"/>
  <c r="AM318" i="29"/>
  <c r="AI318" i="29"/>
  <c r="AM341" i="29"/>
  <c r="AI341" i="29"/>
  <c r="AR271" i="29"/>
  <c r="AN271" i="29"/>
  <c r="AH42" i="29"/>
  <c r="AI42" i="29" s="1"/>
  <c r="AI165" i="29"/>
  <c r="AM165" i="29"/>
  <c r="AM246" i="29"/>
  <c r="AI246" i="29"/>
  <c r="AM292" i="29"/>
  <c r="AI292" i="29"/>
  <c r="AS337" i="29"/>
  <c r="AU337" i="29"/>
  <c r="AM332" i="29"/>
  <c r="AI332" i="29"/>
  <c r="AM110" i="29"/>
  <c r="AI110" i="29"/>
  <c r="AH48" i="29"/>
  <c r="AI48" i="29" s="1"/>
  <c r="AH206" i="29"/>
  <c r="AD206" i="29"/>
  <c r="AU95" i="29"/>
  <c r="AS95" i="29"/>
  <c r="AN181" i="29"/>
  <c r="AR181" i="29"/>
  <c r="AM221" i="29"/>
  <c r="AI221" i="29"/>
  <c r="AR267" i="29"/>
  <c r="AN267" i="29"/>
  <c r="AM247" i="29"/>
  <c r="AI247" i="29"/>
  <c r="AN78" i="29"/>
  <c r="AR78" i="29"/>
  <c r="AM147" i="29"/>
  <c r="AI147" i="29"/>
  <c r="AI199" i="29"/>
  <c r="AM199" i="29"/>
  <c r="AI354" i="29"/>
  <c r="AM354" i="29"/>
  <c r="AM229" i="29"/>
  <c r="AI229" i="29"/>
  <c r="AH240" i="29"/>
  <c r="AD240" i="29"/>
  <c r="AC56" i="29"/>
  <c r="AD56" i="29" s="1"/>
  <c r="AM302" i="29"/>
  <c r="AI302" i="29"/>
  <c r="AR112" i="29"/>
  <c r="AN112" i="29"/>
  <c r="AR142" i="29"/>
  <c r="AN142" i="29"/>
  <c r="AM89" i="29"/>
  <c r="AI89" i="29"/>
  <c r="AH27" i="29"/>
  <c r="AI27" i="29" s="1"/>
  <c r="AC252" i="29"/>
  <c r="AD252" i="29" s="1"/>
  <c r="AH198" i="29"/>
  <c r="AD198" i="29"/>
  <c r="AM376" i="29"/>
  <c r="AI376" i="29"/>
  <c r="AH90" i="29"/>
  <c r="AD90" i="29"/>
  <c r="AC28" i="29"/>
  <c r="AD28" i="29" s="1"/>
  <c r="AM105" i="29"/>
  <c r="AI105" i="29"/>
  <c r="AH43" i="29"/>
  <c r="AI43" i="29" s="1"/>
  <c r="AM155" i="29"/>
  <c r="AI155" i="29"/>
  <c r="AU268" i="29"/>
  <c r="AS268" i="29"/>
  <c r="AH177" i="29"/>
  <c r="AD177" i="29"/>
  <c r="AC54" i="29"/>
  <c r="AD54" i="29" s="1"/>
  <c r="AR272" i="29"/>
  <c r="AN272" i="29"/>
  <c r="AM358" i="29"/>
  <c r="AI358" i="29"/>
  <c r="AC191" i="29"/>
  <c r="AD191" i="29" s="1"/>
  <c r="AH137" i="29"/>
  <c r="AD137" i="29"/>
  <c r="AN308" i="29"/>
  <c r="AR308" i="29"/>
  <c r="AI215" i="29"/>
  <c r="AM215" i="29"/>
  <c r="AM117" i="29"/>
  <c r="AI117" i="29"/>
  <c r="AH55" i="29"/>
  <c r="AI55" i="29" s="1"/>
  <c r="AU227" i="29"/>
  <c r="AS227" i="29"/>
  <c r="AI123" i="29"/>
  <c r="AM123" i="29"/>
  <c r="AR88" i="29"/>
  <c r="AN88" i="29"/>
  <c r="AS139" i="29"/>
  <c r="AU139" i="29"/>
  <c r="AM180" i="29"/>
  <c r="AI180" i="29"/>
  <c r="AR279" i="29"/>
  <c r="AN279" i="29"/>
  <c r="AM311" i="29"/>
  <c r="AI311" i="29"/>
  <c r="AH319" i="29"/>
  <c r="AD319" i="29"/>
  <c r="AH230" i="29"/>
  <c r="AD230" i="29"/>
  <c r="AM238" i="29"/>
  <c r="AI238" i="29"/>
  <c r="AM126" i="29"/>
  <c r="AI126" i="29"/>
  <c r="AM93" i="29"/>
  <c r="AI93" i="29"/>
  <c r="AH31" i="29"/>
  <c r="AI31" i="29" s="1"/>
  <c r="AM306" i="29"/>
  <c r="AI306" i="29"/>
  <c r="AD333" i="29"/>
  <c r="AH333" i="29"/>
  <c r="AR296" i="29"/>
  <c r="AN296" i="29"/>
  <c r="AM366" i="29"/>
  <c r="AI366" i="29"/>
  <c r="AM368" i="29"/>
  <c r="AI368" i="29"/>
  <c r="AR104" i="29"/>
  <c r="AN104" i="29"/>
  <c r="AR166" i="29"/>
  <c r="AN166" i="29"/>
  <c r="AR251" i="29"/>
  <c r="AN251" i="29"/>
  <c r="AR309" i="29"/>
  <c r="AN309" i="29"/>
  <c r="AH378" i="29"/>
  <c r="AD378" i="29"/>
  <c r="AN173" i="29"/>
  <c r="AR173" i="29"/>
  <c r="AH114" i="29"/>
  <c r="AD114" i="29"/>
  <c r="AC52" i="29"/>
  <c r="AD52" i="29" s="1"/>
  <c r="AH156" i="29"/>
  <c r="AD156" i="29"/>
  <c r="AC33" i="29"/>
  <c r="AD33" i="29" s="1"/>
  <c r="AI178" i="29"/>
  <c r="AM178" i="29"/>
  <c r="AH235" i="29"/>
  <c r="AH51" i="29" s="1"/>
  <c r="AI51" i="29" s="1"/>
  <c r="AD235" i="29"/>
  <c r="AN355" i="29"/>
  <c r="AR355" i="29"/>
  <c r="AR92" i="29"/>
  <c r="AN92" i="29"/>
  <c r="AN118" i="29"/>
  <c r="AR118" i="29"/>
  <c r="AH82" i="29"/>
  <c r="AD82" i="29"/>
  <c r="AC20" i="29"/>
  <c r="AD20" i="29" s="1"/>
  <c r="AN226" i="29"/>
  <c r="AR226" i="29"/>
  <c r="AM276" i="29"/>
  <c r="AI276" i="29"/>
  <c r="AM310" i="29"/>
  <c r="AI310" i="29"/>
  <c r="AI362" i="29"/>
  <c r="AM362" i="29"/>
  <c r="AM80" i="29"/>
  <c r="AI80" i="29"/>
  <c r="AH18" i="29"/>
  <c r="AI18" i="29" s="1"/>
  <c r="AM167" i="29"/>
  <c r="AI167" i="29"/>
  <c r="AR100" i="29"/>
  <c r="AN100" i="29"/>
  <c r="AH58" i="29"/>
  <c r="AI58" i="29" s="1"/>
  <c r="AR242" i="29"/>
  <c r="AN242" i="29"/>
  <c r="AI312" i="29"/>
  <c r="AM312" i="29"/>
  <c r="AR371" i="29"/>
  <c r="AN371" i="29"/>
  <c r="AM372" i="29"/>
  <c r="AI372" i="29"/>
  <c r="AH140" i="29"/>
  <c r="AD140" i="29"/>
  <c r="AI157" i="29"/>
  <c r="AM157" i="29"/>
  <c r="AR116" i="29"/>
  <c r="AN116" i="29"/>
  <c r="AH169" i="29"/>
  <c r="AD169" i="29"/>
  <c r="AC46" i="29"/>
  <c r="AD46" i="29" s="1"/>
  <c r="AM161" i="29"/>
  <c r="AI161" i="29"/>
  <c r="AM172" i="29"/>
  <c r="AI172" i="29"/>
  <c r="AH49" i="29"/>
  <c r="AI49" i="29" s="1"/>
  <c r="AM270" i="29"/>
  <c r="AI270" i="29"/>
  <c r="AM239" i="29"/>
  <c r="AI239" i="29"/>
  <c r="AM188" i="29"/>
  <c r="AI188" i="29"/>
  <c r="AH65" i="29"/>
  <c r="AI65" i="29" s="1"/>
  <c r="AH244" i="29"/>
  <c r="AD244" i="29"/>
  <c r="AR379" i="29"/>
  <c r="AN379" i="29"/>
  <c r="AM101" i="29"/>
  <c r="AI101" i="29"/>
  <c r="AH39" i="29"/>
  <c r="AI39" i="29" s="1"/>
  <c r="AM109" i="29"/>
  <c r="AI109" i="29"/>
  <c r="AH47" i="29"/>
  <c r="AI47" i="29" s="1"/>
  <c r="AM217" i="29"/>
  <c r="AI217" i="29"/>
  <c r="AR336" i="29"/>
  <c r="AN336" i="29"/>
  <c r="AR293" i="29"/>
  <c r="AN293" i="29"/>
  <c r="AM365" i="29"/>
  <c r="AI365" i="29"/>
  <c r="AR232" i="29"/>
  <c r="AN232" i="29"/>
  <c r="AM174" i="29"/>
  <c r="AI174" i="29"/>
  <c r="AM275" i="29"/>
  <c r="AI275" i="29"/>
  <c r="AR314" i="29"/>
  <c r="AN314" i="29"/>
  <c r="AN160" i="29"/>
  <c r="AR160" i="29"/>
  <c r="AD335" i="29"/>
  <c r="AH335" i="29"/>
  <c r="AM364" i="29"/>
  <c r="AI364" i="29"/>
  <c r="AR162" i="29"/>
  <c r="AN162" i="29"/>
  <c r="AM233" i="29"/>
  <c r="AI233" i="29"/>
  <c r="AH348" i="29"/>
  <c r="AD348" i="29"/>
  <c r="AD367" i="29"/>
  <c r="AH367" i="29"/>
  <c r="AH53" i="29" s="1"/>
  <c r="AI83" i="29"/>
  <c r="AM83" i="29"/>
  <c r="AH21" i="29"/>
  <c r="AI21" i="29" s="1"/>
  <c r="AR171" i="29"/>
  <c r="AN171" i="29"/>
  <c r="AI208" i="29"/>
  <c r="AM208" i="29"/>
  <c r="AR185" i="29"/>
  <c r="AN185" i="29"/>
  <c r="AD350" i="29"/>
  <c r="AH350" i="29"/>
  <c r="AH330" i="29"/>
  <c r="AD330" i="29"/>
  <c r="AC382" i="29"/>
  <c r="AD382" i="29" s="1"/>
  <c r="AD30" i="29"/>
  <c r="AM187" i="29"/>
  <c r="AI187" i="29"/>
  <c r="AM243" i="29"/>
  <c r="AI243" i="29"/>
  <c r="AH303" i="29"/>
  <c r="AD303" i="29"/>
  <c r="AC50" i="29"/>
  <c r="AD50" i="29" s="1"/>
  <c r="AS329" i="29"/>
  <c r="AU329" i="29"/>
  <c r="AH338" i="29"/>
  <c r="AD338" i="29"/>
  <c r="AM77" i="29"/>
  <c r="AI77" i="29"/>
  <c r="X68" i="29"/>
  <c r="Y68" i="29" s="1"/>
  <c r="Y14" i="29"/>
  <c r="AM163" i="29"/>
  <c r="AI163" i="29"/>
  <c r="AI207" i="29"/>
  <c r="AM207" i="29"/>
  <c r="AH346" i="29"/>
  <c r="AD346" i="29"/>
  <c r="AN94" i="29"/>
  <c r="AR94" i="29"/>
  <c r="AR281" i="29"/>
  <c r="AN281" i="29"/>
  <c r="AI361" i="29"/>
  <c r="AM361" i="29"/>
  <c r="AH128" i="29"/>
  <c r="AD128" i="29"/>
  <c r="AC66" i="29"/>
  <c r="AD66" i="29" s="1"/>
  <c r="AM146" i="29"/>
  <c r="AI146" i="29"/>
  <c r="AM203" i="29"/>
  <c r="AI203" i="29"/>
  <c r="AM249" i="29"/>
  <c r="AI249" i="29"/>
  <c r="AM374" i="29"/>
  <c r="AI374" i="29"/>
  <c r="AM294" i="29"/>
  <c r="AI294" i="29"/>
  <c r="AM213" i="29"/>
  <c r="AI213" i="29"/>
  <c r="AH285" i="29"/>
  <c r="AD285" i="29"/>
  <c r="AR224" i="29"/>
  <c r="AN224" i="29"/>
  <c r="AH269" i="29"/>
  <c r="AD269" i="29"/>
  <c r="AC16" i="29"/>
  <c r="AD16" i="29" s="1"/>
  <c r="AC321" i="29"/>
  <c r="AD321" i="29" s="1"/>
  <c r="AR286" i="29"/>
  <c r="AN286" i="29"/>
  <c r="AI370" i="29"/>
  <c r="AM370" i="29"/>
  <c r="AD41" i="29"/>
  <c r="AM121" i="29"/>
  <c r="AI121" i="29"/>
  <c r="AH59" i="29"/>
  <c r="AI59" i="29" s="1"/>
  <c r="AR179" i="29"/>
  <c r="AN179" i="29"/>
  <c r="AM145" i="29"/>
  <c r="AI145" i="29"/>
  <c r="AM143" i="29"/>
  <c r="AI143" i="29"/>
  <c r="AD359" i="29"/>
  <c r="AH359" i="29"/>
  <c r="AH45" i="29" s="1"/>
  <c r="AI45" i="29" s="1"/>
  <c r="AM357" i="29"/>
  <c r="AI357" i="29"/>
  <c r="AU111" i="29"/>
  <c r="AS111" i="29"/>
  <c r="AH30" i="29"/>
  <c r="AI30" i="29" s="1"/>
  <c r="AH148" i="29"/>
  <c r="AD148" i="29"/>
  <c r="AM278" i="29"/>
  <c r="AI278" i="29"/>
  <c r="AR369" i="29"/>
  <c r="AN369" i="29"/>
  <c r="AM225" i="29"/>
  <c r="AI225" i="29"/>
  <c r="AC53" i="29"/>
  <c r="AD53" i="29" s="1"/>
  <c r="AI149" i="29"/>
  <c r="AM149" i="29"/>
  <c r="AS127" i="29"/>
  <c r="AU127" i="29"/>
  <c r="AR297" i="29"/>
  <c r="AN297" i="29"/>
  <c r="AM85" i="29"/>
  <c r="AI85" i="29"/>
  <c r="AH23" i="29"/>
  <c r="AI23" i="29" s="1"/>
  <c r="AR183" i="29"/>
  <c r="AN183" i="29"/>
  <c r="AC25" i="29"/>
  <c r="AD25" i="29" s="1"/>
  <c r="AH98" i="29"/>
  <c r="AD98" i="29"/>
  <c r="AC36" i="29"/>
  <c r="AD36" i="29" s="1"/>
  <c r="AR304" i="29"/>
  <c r="AN304" i="29"/>
  <c r="AM307" i="29"/>
  <c r="AI307" i="29"/>
  <c r="AH40" i="29"/>
  <c r="AI40" i="29" s="1"/>
  <c r="AR175" i="29"/>
  <c r="AN175" i="29"/>
  <c r="AR212" i="29"/>
  <c r="AN212" i="29"/>
  <c r="AR360" i="29"/>
  <c r="AN360" i="29"/>
  <c r="AM343" i="29"/>
  <c r="AI343" i="29"/>
  <c r="AH222" i="29"/>
  <c r="AD222" i="29"/>
  <c r="AH122" i="29"/>
  <c r="AD122" i="29"/>
  <c r="AC60" i="29"/>
  <c r="AD60" i="29" s="1"/>
  <c r="AM129" i="29"/>
  <c r="AI129" i="29"/>
  <c r="AH67" i="29"/>
  <c r="AI67" i="29" s="1"/>
  <c r="AM219" i="29"/>
  <c r="AI219" i="29"/>
  <c r="AR320" i="29"/>
  <c r="AN320" i="29"/>
  <c r="AN300" i="29"/>
  <c r="AR300" i="29"/>
  <c r="AM356" i="29"/>
  <c r="AI356" i="29"/>
  <c r="G151" i="30"/>
  <c r="H151" i="30"/>
  <c r="I151" i="30"/>
  <c r="J151" i="30"/>
  <c r="F151" i="30"/>
  <c r="G150" i="30"/>
  <c r="H150" i="30"/>
  <c r="I150" i="30"/>
  <c r="J150" i="30"/>
  <c r="F150" i="30"/>
  <c r="D192" i="12"/>
  <c r="C2" i="12"/>
  <c r="AM40" i="29" l="1"/>
  <c r="AN40" i="29" s="1"/>
  <c r="AI352" i="29"/>
  <c r="AM352" i="29"/>
  <c r="AI328" i="29"/>
  <c r="AM328" i="29"/>
  <c r="AN347" i="29"/>
  <c r="AR347" i="29"/>
  <c r="AN331" i="29"/>
  <c r="AR331" i="29"/>
  <c r="AH64" i="29"/>
  <c r="AI64" i="29" s="1"/>
  <c r="AN301" i="29"/>
  <c r="AR301" i="29"/>
  <c r="AM298" i="29"/>
  <c r="AI298" i="29"/>
  <c r="AM316" i="29"/>
  <c r="AI316" i="29"/>
  <c r="AM62" i="29"/>
  <c r="AN62" i="29" s="1"/>
  <c r="AR291" i="29"/>
  <c r="AN291" i="29"/>
  <c r="AN299" i="29"/>
  <c r="AR299" i="29"/>
  <c r="AN315" i="29"/>
  <c r="AR315" i="29"/>
  <c r="AN284" i="29"/>
  <c r="AR284" i="29"/>
  <c r="AM228" i="29"/>
  <c r="AI228" i="29"/>
  <c r="AI234" i="29"/>
  <c r="AM234" i="29"/>
  <c r="AI250" i="29"/>
  <c r="AM250" i="29"/>
  <c r="AI237" i="29"/>
  <c r="AM237" i="29"/>
  <c r="AN245" i="29"/>
  <c r="AR245" i="29"/>
  <c r="AU176" i="29"/>
  <c r="AM152" i="29"/>
  <c r="AM29" i="29" s="1"/>
  <c r="AI152" i="29"/>
  <c r="AH29" i="29"/>
  <c r="AI29" i="29" s="1"/>
  <c r="AM154" i="29"/>
  <c r="AI154" i="29"/>
  <c r="AM138" i="29"/>
  <c r="AI138" i="29"/>
  <c r="AS184" i="29"/>
  <c r="AU184" i="29"/>
  <c r="AI84" i="29"/>
  <c r="AM84" i="29"/>
  <c r="AM119" i="29"/>
  <c r="AI119" i="29"/>
  <c r="AI120" i="29"/>
  <c r="AM120" i="29"/>
  <c r="AI53" i="29"/>
  <c r="AN97" i="29"/>
  <c r="AR97" i="29"/>
  <c r="AS360" i="29"/>
  <c r="AU360" i="29"/>
  <c r="AU183" i="29"/>
  <c r="AS183" i="29"/>
  <c r="AR207" i="29"/>
  <c r="AN207" i="29"/>
  <c r="AN161" i="29"/>
  <c r="AR161" i="29"/>
  <c r="AU371" i="29"/>
  <c r="AS371" i="29"/>
  <c r="AU100" i="29"/>
  <c r="AS100" i="29"/>
  <c r="AU355" i="29"/>
  <c r="AS355" i="29"/>
  <c r="AN366" i="29"/>
  <c r="AR366" i="29"/>
  <c r="AR238" i="29"/>
  <c r="AN238" i="29"/>
  <c r="AN110" i="29"/>
  <c r="AR110" i="29"/>
  <c r="AM48" i="29"/>
  <c r="AN48" i="29" s="1"/>
  <c r="AH130" i="29"/>
  <c r="AI130" i="29" s="1"/>
  <c r="AI76" i="29"/>
  <c r="AM76" i="29"/>
  <c r="AH14" i="29"/>
  <c r="AR241" i="29"/>
  <c r="AN241" i="29"/>
  <c r="AS344" i="29"/>
  <c r="AU344" i="29"/>
  <c r="AR186" i="29"/>
  <c r="AN186" i="29"/>
  <c r="AU320" i="29"/>
  <c r="AS320" i="29"/>
  <c r="AM122" i="29"/>
  <c r="AI122" i="29"/>
  <c r="AH60" i="29"/>
  <c r="AI60" i="29" s="1"/>
  <c r="AU212" i="29"/>
  <c r="AS212" i="29"/>
  <c r="AR149" i="29"/>
  <c r="AN149" i="29"/>
  <c r="AN357" i="29"/>
  <c r="AR357" i="29"/>
  <c r="AU179" i="29"/>
  <c r="AS179" i="29"/>
  <c r="AS286" i="29"/>
  <c r="AU286" i="29"/>
  <c r="AN374" i="29"/>
  <c r="AR374" i="29"/>
  <c r="AM303" i="29"/>
  <c r="AI303" i="29"/>
  <c r="AH50" i="29"/>
  <c r="AI50" i="29" s="1"/>
  <c r="AI330" i="29"/>
  <c r="AM330" i="29"/>
  <c r="AH382" i="29"/>
  <c r="AI382" i="29" s="1"/>
  <c r="AU162" i="29"/>
  <c r="AS162" i="29"/>
  <c r="AU314" i="29"/>
  <c r="AS314" i="29"/>
  <c r="AN365" i="29"/>
  <c r="AR365" i="29"/>
  <c r="AN239" i="29"/>
  <c r="AR239" i="29"/>
  <c r="AR157" i="29"/>
  <c r="AN157" i="29"/>
  <c r="AR312" i="29"/>
  <c r="AN312" i="29"/>
  <c r="AM82" i="29"/>
  <c r="AI82" i="29"/>
  <c r="AH20" i="29"/>
  <c r="AI20" i="29" s="1"/>
  <c r="AI378" i="29"/>
  <c r="AM378" i="29"/>
  <c r="AU166" i="29"/>
  <c r="AS166" i="29"/>
  <c r="AR93" i="29"/>
  <c r="AN93" i="29"/>
  <c r="AM31" i="29"/>
  <c r="AN31" i="29" s="1"/>
  <c r="AR180" i="29"/>
  <c r="AN180" i="29"/>
  <c r="AM57" i="29"/>
  <c r="AN57" i="29" s="1"/>
  <c r="AU308" i="29"/>
  <c r="AS308" i="29"/>
  <c r="AS272" i="29"/>
  <c r="AU272" i="29"/>
  <c r="AR199" i="29"/>
  <c r="AN199" i="29"/>
  <c r="AN247" i="29"/>
  <c r="AR247" i="29"/>
  <c r="AR165" i="29"/>
  <c r="AN165" i="29"/>
  <c r="AM79" i="29"/>
  <c r="AI79" i="29"/>
  <c r="AH17" i="29"/>
  <c r="AI17" i="29" s="1"/>
  <c r="AN86" i="29"/>
  <c r="AR86" i="29"/>
  <c r="AR351" i="29"/>
  <c r="AN351" i="29"/>
  <c r="AM164" i="29"/>
  <c r="AM41" i="29" s="1"/>
  <c r="AN41" i="29" s="1"/>
  <c r="AI164" i="29"/>
  <c r="AU144" i="29"/>
  <c r="AS144" i="29"/>
  <c r="AU102" i="29"/>
  <c r="AS102" i="29"/>
  <c r="AN182" i="29"/>
  <c r="AR182" i="29"/>
  <c r="AU158" i="29"/>
  <c r="AS158" i="29"/>
  <c r="AU373" i="29"/>
  <c r="AS373" i="29"/>
  <c r="AN103" i="29"/>
  <c r="AR103" i="29"/>
  <c r="AN307" i="29"/>
  <c r="AR307" i="29"/>
  <c r="AR208" i="29"/>
  <c r="AN208" i="29"/>
  <c r="AR311" i="29"/>
  <c r="AN311" i="29"/>
  <c r="AR123" i="29"/>
  <c r="AN123" i="29"/>
  <c r="AM90" i="29"/>
  <c r="AI90" i="29"/>
  <c r="AH28" i="29"/>
  <c r="AI28" i="29" s="1"/>
  <c r="AR89" i="29"/>
  <c r="AN89" i="29"/>
  <c r="AM27" i="29"/>
  <c r="AN27" i="29" s="1"/>
  <c r="AR246" i="29"/>
  <c r="AN246" i="29"/>
  <c r="AS271" i="29"/>
  <c r="AU271" i="29"/>
  <c r="AR283" i="29"/>
  <c r="AN283" i="29"/>
  <c r="AR91" i="29"/>
  <c r="AN91" i="29"/>
  <c r="AR159" i="29"/>
  <c r="AN159" i="29"/>
  <c r="AR295" i="29"/>
  <c r="AN295" i="29"/>
  <c r="AM375" i="29"/>
  <c r="AM61" i="29" s="1"/>
  <c r="AI375" i="29"/>
  <c r="AM277" i="29"/>
  <c r="AI277" i="29"/>
  <c r="AU304" i="29"/>
  <c r="AS304" i="29"/>
  <c r="AM359" i="29"/>
  <c r="AI359" i="29"/>
  <c r="AI128" i="29"/>
  <c r="AM128" i="29"/>
  <c r="AH66" i="29"/>
  <c r="AI66" i="29" s="1"/>
  <c r="AU94" i="29"/>
  <c r="AS94" i="29"/>
  <c r="AR77" i="29"/>
  <c r="AM15" i="29"/>
  <c r="AN15" i="29" s="1"/>
  <c r="AN77" i="29"/>
  <c r="AI350" i="29"/>
  <c r="AM350" i="29"/>
  <c r="AM348" i="29"/>
  <c r="AI348" i="29"/>
  <c r="AH34" i="29"/>
  <c r="AI34" i="29" s="1"/>
  <c r="AR109" i="29"/>
  <c r="AN109" i="29"/>
  <c r="AM47" i="29"/>
  <c r="AN47" i="29" s="1"/>
  <c r="AU379" i="29"/>
  <c r="AS379" i="29"/>
  <c r="AR167" i="29"/>
  <c r="AN167" i="29"/>
  <c r="AR310" i="29"/>
  <c r="AN310" i="29"/>
  <c r="AM156" i="29"/>
  <c r="AI156" i="29"/>
  <c r="AH33" i="29"/>
  <c r="AI33" i="29" s="1"/>
  <c r="AM42" i="29"/>
  <c r="AN42" i="29" s="1"/>
  <c r="AU296" i="29"/>
  <c r="AS296" i="29"/>
  <c r="AM230" i="29"/>
  <c r="AI230" i="29"/>
  <c r="AS279" i="29"/>
  <c r="AU279" i="29"/>
  <c r="AR155" i="29"/>
  <c r="AN155" i="29"/>
  <c r="AR376" i="29"/>
  <c r="AN376" i="29"/>
  <c r="AU142" i="29"/>
  <c r="AS142" i="29"/>
  <c r="AM240" i="29"/>
  <c r="AI240" i="29"/>
  <c r="AH56" i="29"/>
  <c r="AI56" i="29" s="1"/>
  <c r="AN332" i="29"/>
  <c r="AR332" i="29"/>
  <c r="AN341" i="29"/>
  <c r="AR341" i="29"/>
  <c r="AN210" i="29"/>
  <c r="AR210" i="29"/>
  <c r="AR125" i="29"/>
  <c r="AN125" i="29"/>
  <c r="AM63" i="29"/>
  <c r="AN63" i="29" s="1"/>
  <c r="AI334" i="29"/>
  <c r="AM334" i="29"/>
  <c r="AN349" i="29"/>
  <c r="AR349" i="29"/>
  <c r="AR107" i="29"/>
  <c r="AN107" i="29"/>
  <c r="AN381" i="29"/>
  <c r="AR381" i="29"/>
  <c r="AU216" i="29"/>
  <c r="AS216" i="29"/>
  <c r="AU220" i="29"/>
  <c r="AS220" i="29"/>
  <c r="AR363" i="29"/>
  <c r="AN363" i="29"/>
  <c r="AU300" i="29"/>
  <c r="AS300" i="29"/>
  <c r="AN219" i="29"/>
  <c r="AR219" i="29"/>
  <c r="AM35" i="29"/>
  <c r="AN35" i="29" s="1"/>
  <c r="AM222" i="29"/>
  <c r="AI222" i="29"/>
  <c r="AH38" i="29"/>
  <c r="AI38" i="29" s="1"/>
  <c r="AU175" i="29"/>
  <c r="AS175" i="29"/>
  <c r="AR85" i="29"/>
  <c r="AN85" i="29"/>
  <c r="AM23" i="29"/>
  <c r="AN23" i="29" s="1"/>
  <c r="AR278" i="29"/>
  <c r="AN278" i="29"/>
  <c r="AM285" i="29"/>
  <c r="AI285" i="29"/>
  <c r="AH32" i="29"/>
  <c r="AI32" i="29" s="1"/>
  <c r="AR249" i="29"/>
  <c r="AN249" i="29"/>
  <c r="AR361" i="29"/>
  <c r="AN361" i="29"/>
  <c r="AR243" i="29"/>
  <c r="AN243" i="29"/>
  <c r="AU171" i="29"/>
  <c r="AS171" i="29"/>
  <c r="AN364" i="29"/>
  <c r="AR364" i="29"/>
  <c r="AR275" i="29"/>
  <c r="AN275" i="29"/>
  <c r="AU293" i="29"/>
  <c r="AS293" i="29"/>
  <c r="AR270" i="29"/>
  <c r="AN270" i="29"/>
  <c r="AM169" i="29"/>
  <c r="AI169" i="29"/>
  <c r="AH46" i="29"/>
  <c r="AI46" i="29" s="1"/>
  <c r="AU118" i="29"/>
  <c r="AS118" i="29"/>
  <c r="AU309" i="29"/>
  <c r="AS309" i="29"/>
  <c r="AM333" i="29"/>
  <c r="AM19" i="29" s="1"/>
  <c r="AI333" i="29"/>
  <c r="AU267" i="29"/>
  <c r="AS267" i="29"/>
  <c r="AM340" i="29"/>
  <c r="AI340" i="29"/>
  <c r="AH19" i="29"/>
  <c r="AI19" i="29" s="1"/>
  <c r="AU273" i="29"/>
  <c r="AS273" i="29"/>
  <c r="AU124" i="29"/>
  <c r="AS124" i="29"/>
  <c r="AN153" i="29"/>
  <c r="AR153" i="29"/>
  <c r="AN380" i="29"/>
  <c r="AR380" i="29"/>
  <c r="AR115" i="29"/>
  <c r="AN115" i="29"/>
  <c r="AR170" i="29"/>
  <c r="AN170" i="29"/>
  <c r="AR121" i="29"/>
  <c r="AN121" i="29"/>
  <c r="AM59" i="29"/>
  <c r="AN59" i="29" s="1"/>
  <c r="AI338" i="29"/>
  <c r="AM338" i="29"/>
  <c r="AR233" i="29"/>
  <c r="AN233" i="29"/>
  <c r="AM335" i="29"/>
  <c r="AI335" i="29"/>
  <c r="AI244" i="29"/>
  <c r="AM244" i="29"/>
  <c r="AM140" i="29"/>
  <c r="AI140" i="29"/>
  <c r="AS242" i="29"/>
  <c r="AU242" i="29"/>
  <c r="AN276" i="29"/>
  <c r="AR276" i="29"/>
  <c r="AU104" i="29"/>
  <c r="AS104" i="29"/>
  <c r="AN126" i="29"/>
  <c r="AR126" i="29"/>
  <c r="AM319" i="29"/>
  <c r="AI319" i="29"/>
  <c r="AM137" i="29"/>
  <c r="AH191" i="29"/>
  <c r="AI191" i="29" s="1"/>
  <c r="AI137" i="29"/>
  <c r="AM177" i="29"/>
  <c r="AI177" i="29"/>
  <c r="AH54" i="29"/>
  <c r="AI54" i="29" s="1"/>
  <c r="AH252" i="29"/>
  <c r="AI252" i="29" s="1"/>
  <c r="AM198" i="29"/>
  <c r="AI198" i="29"/>
  <c r="AR229" i="29"/>
  <c r="AN229" i="29"/>
  <c r="AR147" i="29"/>
  <c r="AN147" i="29"/>
  <c r="AR318" i="29"/>
  <c r="AN318" i="29"/>
  <c r="AS377" i="29"/>
  <c r="AU377" i="29"/>
  <c r="AR201" i="29"/>
  <c r="AN201" i="29"/>
  <c r="AU108" i="29"/>
  <c r="AS108" i="29"/>
  <c r="AR289" i="29"/>
  <c r="AN289" i="29"/>
  <c r="AS287" i="29"/>
  <c r="AU287" i="29"/>
  <c r="AU190" i="29"/>
  <c r="AS190" i="29"/>
  <c r="AR205" i="29"/>
  <c r="AN205" i="29"/>
  <c r="AN218" i="29"/>
  <c r="AR218" i="29"/>
  <c r="AR231" i="29"/>
  <c r="AN231" i="29"/>
  <c r="AN356" i="29"/>
  <c r="AR356" i="29"/>
  <c r="AR343" i="29"/>
  <c r="AN343" i="29"/>
  <c r="AM98" i="29"/>
  <c r="AI98" i="29"/>
  <c r="AH36" i="29"/>
  <c r="AI36" i="29" s="1"/>
  <c r="AU297" i="29"/>
  <c r="AS297" i="29"/>
  <c r="AR225" i="29"/>
  <c r="AN225" i="29"/>
  <c r="AM148" i="29"/>
  <c r="AI148" i="29"/>
  <c r="AR143" i="29"/>
  <c r="AN143" i="29"/>
  <c r="AM269" i="29"/>
  <c r="AI269" i="29"/>
  <c r="AH16" i="29"/>
  <c r="AI16" i="29" s="1"/>
  <c r="AH321" i="29"/>
  <c r="AI321" i="29" s="1"/>
  <c r="AR213" i="29"/>
  <c r="AN213" i="29"/>
  <c r="AN203" i="29"/>
  <c r="AR203" i="29"/>
  <c r="AI346" i="29"/>
  <c r="AM346" i="29"/>
  <c r="AR163" i="29"/>
  <c r="AN163" i="29"/>
  <c r="AR187" i="29"/>
  <c r="AN187" i="29"/>
  <c r="AR83" i="29"/>
  <c r="AN83" i="29"/>
  <c r="AM21" i="29"/>
  <c r="AN21" i="29" s="1"/>
  <c r="AN174" i="29"/>
  <c r="AR174" i="29"/>
  <c r="AS336" i="29"/>
  <c r="AU336" i="29"/>
  <c r="AR101" i="29"/>
  <c r="AN101" i="29"/>
  <c r="AM39" i="29"/>
  <c r="AN39" i="29" s="1"/>
  <c r="AU226" i="29"/>
  <c r="AS226" i="29"/>
  <c r="AM235" i="29"/>
  <c r="AM51" i="29" s="1"/>
  <c r="AN51" i="29" s="1"/>
  <c r="AI235" i="29"/>
  <c r="AM114" i="29"/>
  <c r="AI114" i="29"/>
  <c r="AH52" i="29"/>
  <c r="AI52" i="29" s="1"/>
  <c r="AS251" i="29"/>
  <c r="AU251" i="29"/>
  <c r="AR105" i="29"/>
  <c r="AN105" i="29"/>
  <c r="AM43" i="29"/>
  <c r="AN43" i="29" s="1"/>
  <c r="AU112" i="29"/>
  <c r="AS112" i="29"/>
  <c r="AR354" i="29"/>
  <c r="AN354" i="29"/>
  <c r="AM206" i="29"/>
  <c r="AI206" i="29"/>
  <c r="AR313" i="29"/>
  <c r="AN313" i="29"/>
  <c r="AR141" i="29"/>
  <c r="AN141" i="29"/>
  <c r="AR305" i="29"/>
  <c r="AN305" i="29"/>
  <c r="AR81" i="29"/>
  <c r="AN81" i="29"/>
  <c r="AR99" i="29"/>
  <c r="AN99" i="29"/>
  <c r="AM37" i="29"/>
  <c r="AN37" i="29" s="1"/>
  <c r="AN189" i="29"/>
  <c r="AR189" i="29"/>
  <c r="AU202" i="29"/>
  <c r="AS202" i="29"/>
  <c r="AM106" i="29"/>
  <c r="AH44" i="29"/>
  <c r="AI44" i="29" s="1"/>
  <c r="AI106" i="29"/>
  <c r="AR353" i="29"/>
  <c r="AN353" i="29"/>
  <c r="AH25" i="29"/>
  <c r="AI25" i="29" s="1"/>
  <c r="AM248" i="29"/>
  <c r="AI248" i="29"/>
  <c r="AU290" i="29"/>
  <c r="AS290" i="29"/>
  <c r="AU288" i="29"/>
  <c r="AS288" i="29"/>
  <c r="AR370" i="29"/>
  <c r="AN370" i="29"/>
  <c r="AU281" i="29"/>
  <c r="AS281" i="29"/>
  <c r="AU160" i="29"/>
  <c r="AS160" i="29"/>
  <c r="AR172" i="29"/>
  <c r="AN172" i="29"/>
  <c r="AM49" i="29"/>
  <c r="AN49" i="29" s="1"/>
  <c r="AU116" i="29"/>
  <c r="AS116" i="29"/>
  <c r="AN372" i="29"/>
  <c r="AR372" i="29"/>
  <c r="AR80" i="29"/>
  <c r="AN80" i="29"/>
  <c r="AM18" i="29"/>
  <c r="AN18" i="29" s="1"/>
  <c r="AR178" i="29"/>
  <c r="AN178" i="29"/>
  <c r="AU173" i="29"/>
  <c r="AS173" i="29"/>
  <c r="AR368" i="29"/>
  <c r="AN368" i="29"/>
  <c r="AR306" i="29"/>
  <c r="AN306" i="29"/>
  <c r="AU88" i="29"/>
  <c r="AS88" i="29"/>
  <c r="AR117" i="29"/>
  <c r="AN117" i="29"/>
  <c r="AM55" i="29"/>
  <c r="AN55" i="29" s="1"/>
  <c r="AU78" i="29"/>
  <c r="AS78" i="29"/>
  <c r="AR221" i="29"/>
  <c r="AN221" i="29"/>
  <c r="AN292" i="29"/>
  <c r="AR292" i="29"/>
  <c r="AI236" i="29"/>
  <c r="AM236" i="29"/>
  <c r="AN339" i="29"/>
  <c r="AR339" i="29"/>
  <c r="AR113" i="29"/>
  <c r="AN113" i="29"/>
  <c r="AU200" i="29"/>
  <c r="AS200" i="29"/>
  <c r="AC68" i="29"/>
  <c r="AD68" i="29" s="1"/>
  <c r="AD14" i="29"/>
  <c r="AU96" i="29"/>
  <c r="AS96" i="29"/>
  <c r="AM214" i="29"/>
  <c r="AI214" i="29"/>
  <c r="AU150" i="29"/>
  <c r="AS150" i="29"/>
  <c r="AH22" i="29"/>
  <c r="AI22" i="29" s="1"/>
  <c r="AR129" i="29"/>
  <c r="AN129" i="29"/>
  <c r="AM67" i="29"/>
  <c r="AN67" i="29" s="1"/>
  <c r="AS369" i="29"/>
  <c r="AU369" i="29"/>
  <c r="AN145" i="29"/>
  <c r="AR145" i="29"/>
  <c r="AU224" i="29"/>
  <c r="AS224" i="29"/>
  <c r="AR294" i="29"/>
  <c r="AN294" i="29"/>
  <c r="AR146" i="29"/>
  <c r="AN146" i="29"/>
  <c r="AU185" i="29"/>
  <c r="AS185" i="29"/>
  <c r="AM367" i="29"/>
  <c r="AI367" i="29"/>
  <c r="AU232" i="29"/>
  <c r="AS232" i="29"/>
  <c r="AR217" i="29"/>
  <c r="AN217" i="29"/>
  <c r="AN188" i="29"/>
  <c r="AR188" i="29"/>
  <c r="AM65" i="29"/>
  <c r="AN65" i="29" s="1"/>
  <c r="AR362" i="29"/>
  <c r="AN362" i="29"/>
  <c r="AU92" i="29"/>
  <c r="AS92" i="29"/>
  <c r="AH61" i="29"/>
  <c r="AI61" i="29" s="1"/>
  <c r="AR215" i="29"/>
  <c r="AN215" i="29"/>
  <c r="AN358" i="29"/>
  <c r="AR358" i="29"/>
  <c r="AR302" i="29"/>
  <c r="AN302" i="29"/>
  <c r="AU181" i="29"/>
  <c r="AS181" i="29"/>
  <c r="AH24" i="29"/>
  <c r="AI24" i="29" s="1"/>
  <c r="AR151" i="29"/>
  <c r="AN151" i="29"/>
  <c r="AU204" i="29"/>
  <c r="AS204" i="29"/>
  <c r="AR345" i="29"/>
  <c r="AN345" i="29"/>
  <c r="AR223" i="29"/>
  <c r="AN223" i="29"/>
  <c r="AR209" i="29"/>
  <c r="AN209" i="29"/>
  <c r="AN87" i="29"/>
  <c r="AR87" i="29"/>
  <c r="AM25" i="29"/>
  <c r="AN211" i="29"/>
  <c r="AR211" i="29"/>
  <c r="AR280" i="29"/>
  <c r="AN280" i="29"/>
  <c r="E3" i="12"/>
  <c r="B7" i="12" s="1"/>
  <c r="D12" i="12"/>
  <c r="D72" i="12"/>
  <c r="D199" i="12"/>
  <c r="D259" i="12"/>
  <c r="D132" i="12"/>
  <c r="AU347" i="29" l="1"/>
  <c r="AS347" i="29"/>
  <c r="AR328" i="29"/>
  <c r="AN328" i="29"/>
  <c r="AR352" i="29"/>
  <c r="AN352" i="29"/>
  <c r="AM64" i="29"/>
  <c r="AN64" i="29" s="1"/>
  <c r="AM24" i="29"/>
  <c r="AN24" i="29" s="1"/>
  <c r="AU331" i="29"/>
  <c r="AS331" i="29"/>
  <c r="AU301" i="29"/>
  <c r="AS301" i="29"/>
  <c r="AR316" i="29"/>
  <c r="AR63" i="29" s="1"/>
  <c r="AN316" i="29"/>
  <c r="AN298" i="29"/>
  <c r="AR298" i="29"/>
  <c r="AS284" i="29"/>
  <c r="AU284" i="29"/>
  <c r="AR62" i="29"/>
  <c r="AS62" i="29" s="1"/>
  <c r="AU299" i="29"/>
  <c r="AS299" i="29"/>
  <c r="AS315" i="29"/>
  <c r="AU315" i="29"/>
  <c r="AU291" i="29"/>
  <c r="AS291" i="29"/>
  <c r="AN29" i="29"/>
  <c r="AN237" i="29"/>
  <c r="AR237" i="29"/>
  <c r="AN250" i="29"/>
  <c r="AR250" i="29"/>
  <c r="AR234" i="29"/>
  <c r="AN234" i="29"/>
  <c r="AR228" i="29"/>
  <c r="AN228" i="29"/>
  <c r="AU245" i="29"/>
  <c r="AS245" i="29"/>
  <c r="AR138" i="29"/>
  <c r="AR15" i="29" s="1"/>
  <c r="AN138" i="29"/>
  <c r="AN154" i="29"/>
  <c r="AR154" i="29"/>
  <c r="AR31" i="29" s="1"/>
  <c r="AR152" i="29"/>
  <c r="AR29" i="29" s="1"/>
  <c r="AN152" i="29"/>
  <c r="AN25" i="29"/>
  <c r="AR120" i="29"/>
  <c r="AN120" i="29"/>
  <c r="AM58" i="29"/>
  <c r="AN58" i="29" s="1"/>
  <c r="AN119" i="29"/>
  <c r="AR119" i="29"/>
  <c r="AR84" i="29"/>
  <c r="AN84" i="29"/>
  <c r="AN19" i="29"/>
  <c r="AS97" i="29"/>
  <c r="AU97" i="29"/>
  <c r="AN61" i="29"/>
  <c r="AR198" i="29"/>
  <c r="AN198" i="29"/>
  <c r="AM252" i="29"/>
  <c r="AN252" i="29" s="1"/>
  <c r="AS121" i="29"/>
  <c r="AU121" i="29"/>
  <c r="AR59" i="29"/>
  <c r="AR169" i="29"/>
  <c r="AN169" i="29"/>
  <c r="AM46" i="29"/>
  <c r="AN46" i="29" s="1"/>
  <c r="AU278" i="29"/>
  <c r="AS278" i="29"/>
  <c r="AU349" i="29"/>
  <c r="AS349" i="29"/>
  <c r="AU109" i="29"/>
  <c r="AS109" i="29"/>
  <c r="AR47" i="29"/>
  <c r="AU77" i="29"/>
  <c r="AS77" i="29"/>
  <c r="AR359" i="29"/>
  <c r="AR45" i="29" s="1"/>
  <c r="AN359" i="29"/>
  <c r="AS295" i="29"/>
  <c r="AU295" i="29"/>
  <c r="AS89" i="29"/>
  <c r="AU89" i="29"/>
  <c r="AR27" i="29"/>
  <c r="AU86" i="29"/>
  <c r="AS86" i="29"/>
  <c r="AU239" i="29"/>
  <c r="AS239" i="29"/>
  <c r="AU186" i="29"/>
  <c r="AS186" i="29"/>
  <c r="AS358" i="29"/>
  <c r="AU358" i="29"/>
  <c r="AU146" i="29"/>
  <c r="AS146" i="29"/>
  <c r="AR214" i="29"/>
  <c r="AR30" i="29" s="1"/>
  <c r="AN214" i="29"/>
  <c r="AM30" i="29"/>
  <c r="AN30" i="29" s="1"/>
  <c r="AR106" i="29"/>
  <c r="AN106" i="29"/>
  <c r="AM44" i="29"/>
  <c r="AN44" i="29" s="1"/>
  <c r="AU313" i="29"/>
  <c r="AS313" i="29"/>
  <c r="AU101" i="29"/>
  <c r="AS101" i="29"/>
  <c r="AR39" i="29"/>
  <c r="AR98" i="29"/>
  <c r="AN98" i="29"/>
  <c r="AM36" i="29"/>
  <c r="AN36" i="29" s="1"/>
  <c r="AU289" i="29"/>
  <c r="AS289" i="29"/>
  <c r="AR319" i="29"/>
  <c r="AN319" i="29"/>
  <c r="AR335" i="29"/>
  <c r="AR21" i="29" s="1"/>
  <c r="AN335" i="29"/>
  <c r="AN340" i="29"/>
  <c r="AR340" i="29"/>
  <c r="AM26" i="29"/>
  <c r="AN26" i="29" s="1"/>
  <c r="AU341" i="29"/>
  <c r="AS341" i="29"/>
  <c r="AR230" i="29"/>
  <c r="AN230" i="29"/>
  <c r="AS310" i="29"/>
  <c r="AU310" i="29"/>
  <c r="AU180" i="29"/>
  <c r="AS180" i="29"/>
  <c r="AR330" i="29"/>
  <c r="AN330" i="29"/>
  <c r="AM382" i="29"/>
  <c r="AN382" i="29" s="1"/>
  <c r="AU143" i="29"/>
  <c r="AS143" i="29"/>
  <c r="AN333" i="29"/>
  <c r="AR333" i="29"/>
  <c r="AR19" i="29" s="1"/>
  <c r="AR222" i="29"/>
  <c r="AN222" i="29"/>
  <c r="AS280" i="29"/>
  <c r="AU280" i="29"/>
  <c r="AU187" i="29"/>
  <c r="AS187" i="29"/>
  <c r="AR148" i="29"/>
  <c r="AR25" i="29" s="1"/>
  <c r="AN148" i="29"/>
  <c r="AS318" i="29"/>
  <c r="AU318" i="29"/>
  <c r="AU170" i="29"/>
  <c r="AS170" i="29"/>
  <c r="AU270" i="29"/>
  <c r="AS270" i="29"/>
  <c r="AU219" i="29"/>
  <c r="AS219" i="29"/>
  <c r="AR35" i="29"/>
  <c r="AN334" i="29"/>
  <c r="AR334" i="29"/>
  <c r="AU159" i="29"/>
  <c r="AS159" i="29"/>
  <c r="AU208" i="29"/>
  <c r="AS208" i="29"/>
  <c r="AU199" i="29"/>
  <c r="AS199" i="29"/>
  <c r="AU365" i="29"/>
  <c r="AS365" i="29"/>
  <c r="AU110" i="29"/>
  <c r="AS110" i="29"/>
  <c r="AR48" i="29"/>
  <c r="AU207" i="29"/>
  <c r="AS207" i="29"/>
  <c r="AU362" i="29"/>
  <c r="AS362" i="29"/>
  <c r="AR114" i="29"/>
  <c r="AN114" i="29"/>
  <c r="AM52" i="29"/>
  <c r="AN52" i="29" s="1"/>
  <c r="AU211" i="29"/>
  <c r="AS211" i="29"/>
  <c r="AR367" i="29"/>
  <c r="AN367" i="29"/>
  <c r="AU292" i="29"/>
  <c r="AS292" i="29"/>
  <c r="AU178" i="29"/>
  <c r="AS178" i="29"/>
  <c r="AN248" i="29"/>
  <c r="AR248" i="29"/>
  <c r="AS81" i="29"/>
  <c r="AU81" i="29"/>
  <c r="AR206" i="29"/>
  <c r="AN206" i="29"/>
  <c r="AS105" i="29"/>
  <c r="AU105" i="29"/>
  <c r="AR43" i="29"/>
  <c r="AS343" i="29"/>
  <c r="AU343" i="29"/>
  <c r="AS205" i="29"/>
  <c r="AU205" i="29"/>
  <c r="AU126" i="29"/>
  <c r="AS126" i="29"/>
  <c r="AU233" i="29"/>
  <c r="AS233" i="29"/>
  <c r="AM53" i="29"/>
  <c r="AN53" i="29" s="1"/>
  <c r="AN285" i="29"/>
  <c r="AR285" i="29"/>
  <c r="AM32" i="29"/>
  <c r="AN32" i="29" s="1"/>
  <c r="AU85" i="29"/>
  <c r="AS85" i="29"/>
  <c r="AR23" i="29"/>
  <c r="AU381" i="29"/>
  <c r="AS381" i="29"/>
  <c r="AS332" i="29"/>
  <c r="AU332" i="29"/>
  <c r="AS376" i="29"/>
  <c r="AU376" i="29"/>
  <c r="AU167" i="29"/>
  <c r="AS167" i="29"/>
  <c r="AN348" i="29"/>
  <c r="AR348" i="29"/>
  <c r="AR34" i="29" s="1"/>
  <c r="AM34" i="29"/>
  <c r="AN34" i="29" s="1"/>
  <c r="AU246" i="29"/>
  <c r="AS246" i="29"/>
  <c r="AR90" i="29"/>
  <c r="AN90" i="29"/>
  <c r="AM28" i="29"/>
  <c r="AN28" i="29" s="1"/>
  <c r="AU307" i="29"/>
  <c r="AS307" i="29"/>
  <c r="AR82" i="29"/>
  <c r="AN82" i="29"/>
  <c r="AM20" i="29"/>
  <c r="AN20" i="29" s="1"/>
  <c r="AS302" i="29"/>
  <c r="AU302" i="29"/>
  <c r="AU372" i="29"/>
  <c r="AS372" i="29"/>
  <c r="AU99" i="29"/>
  <c r="AS99" i="29"/>
  <c r="AR37" i="29"/>
  <c r="AU276" i="29"/>
  <c r="AS276" i="29"/>
  <c r="AS213" i="29"/>
  <c r="AU213" i="29"/>
  <c r="AU209" i="29"/>
  <c r="AS209" i="29"/>
  <c r="AU151" i="29"/>
  <c r="AS151" i="29"/>
  <c r="AS294" i="29"/>
  <c r="AU294" i="29"/>
  <c r="AS113" i="29"/>
  <c r="AU113" i="29"/>
  <c r="AU215" i="29"/>
  <c r="AS215" i="29"/>
  <c r="AU188" i="29"/>
  <c r="AS188" i="29"/>
  <c r="AR65" i="29"/>
  <c r="AU129" i="29"/>
  <c r="AS129" i="29"/>
  <c r="AR67" i="29"/>
  <c r="AU339" i="29"/>
  <c r="AS339" i="29"/>
  <c r="AU189" i="29"/>
  <c r="AS189" i="29"/>
  <c r="AR235" i="29"/>
  <c r="AR51" i="29" s="1"/>
  <c r="AN235" i="29"/>
  <c r="AU174" i="29"/>
  <c r="AS174" i="29"/>
  <c r="AS163" i="29"/>
  <c r="AU163" i="29"/>
  <c r="AU225" i="29"/>
  <c r="AS225" i="29"/>
  <c r="AU356" i="29"/>
  <c r="AS356" i="29"/>
  <c r="AS147" i="29"/>
  <c r="AU147" i="29"/>
  <c r="AR177" i="29"/>
  <c r="AN177" i="29"/>
  <c r="AM54" i="29"/>
  <c r="AN54" i="29" s="1"/>
  <c r="AR338" i="29"/>
  <c r="AN338" i="29"/>
  <c r="AS243" i="29"/>
  <c r="AU243" i="29"/>
  <c r="AN350" i="29"/>
  <c r="AR350" i="29"/>
  <c r="AN277" i="29"/>
  <c r="AR277" i="29"/>
  <c r="AU182" i="29"/>
  <c r="AS182" i="29"/>
  <c r="AR164" i="29"/>
  <c r="AR41" i="29" s="1"/>
  <c r="AN164" i="29"/>
  <c r="AN79" i="29"/>
  <c r="AR79" i="29"/>
  <c r="AM17" i="29"/>
  <c r="AN17" i="29" s="1"/>
  <c r="AU93" i="29"/>
  <c r="AS93" i="29"/>
  <c r="AU357" i="29"/>
  <c r="AS357" i="29"/>
  <c r="AR122" i="29"/>
  <c r="AN122" i="29"/>
  <c r="AM60" i="29"/>
  <c r="AN60" i="29" s="1"/>
  <c r="AU241" i="29"/>
  <c r="AS241" i="29"/>
  <c r="AU218" i="29"/>
  <c r="AS218" i="29"/>
  <c r="AU249" i="29"/>
  <c r="AS249" i="29"/>
  <c r="AU223" i="29"/>
  <c r="AS223" i="29"/>
  <c r="AU306" i="29"/>
  <c r="AS306" i="29"/>
  <c r="AU370" i="29"/>
  <c r="AS370" i="29"/>
  <c r="AU305" i="29"/>
  <c r="AS305" i="29"/>
  <c r="AU354" i="29"/>
  <c r="AS354" i="29"/>
  <c r="AR346" i="29"/>
  <c r="AN346" i="29"/>
  <c r="AR42" i="29"/>
  <c r="AR140" i="29"/>
  <c r="AN140" i="29"/>
  <c r="AU115" i="29"/>
  <c r="AS115" i="29"/>
  <c r="AM45" i="29"/>
  <c r="AN45" i="29" s="1"/>
  <c r="AS155" i="29"/>
  <c r="AU155" i="29"/>
  <c r="AR128" i="29"/>
  <c r="AN128" i="29"/>
  <c r="AM66" i="29"/>
  <c r="AN66" i="29" s="1"/>
  <c r="AU91" i="29"/>
  <c r="AS91" i="29"/>
  <c r="AU312" i="29"/>
  <c r="AS312" i="29"/>
  <c r="AR303" i="29"/>
  <c r="AN303" i="29"/>
  <c r="AM50" i="29"/>
  <c r="AN50" i="29" s="1"/>
  <c r="AH68" i="29"/>
  <c r="AI68" i="29" s="1"/>
  <c r="AI14" i="29"/>
  <c r="AU238" i="29"/>
  <c r="AS238" i="29"/>
  <c r="AU87" i="29"/>
  <c r="AS87" i="29"/>
  <c r="AU83" i="29"/>
  <c r="AS83" i="29"/>
  <c r="AU153" i="29"/>
  <c r="AS153" i="29"/>
  <c r="AS311" i="29"/>
  <c r="AU311" i="29"/>
  <c r="AU145" i="29"/>
  <c r="AS145" i="29"/>
  <c r="AR236" i="29"/>
  <c r="AN236" i="29"/>
  <c r="AS221" i="29"/>
  <c r="AU221" i="29"/>
  <c r="AU117" i="29"/>
  <c r="AS117" i="29"/>
  <c r="AR55" i="29"/>
  <c r="AU80" i="29"/>
  <c r="AS80" i="29"/>
  <c r="AR18" i="29"/>
  <c r="AS353" i="29"/>
  <c r="AU353" i="29"/>
  <c r="AN269" i="29"/>
  <c r="AR269" i="29"/>
  <c r="AM16" i="29"/>
  <c r="AN16" i="29" s="1"/>
  <c r="AM321" i="29"/>
  <c r="AN321" i="29" s="1"/>
  <c r="AU201" i="29"/>
  <c r="AS201" i="29"/>
  <c r="AS229" i="29"/>
  <c r="AU229" i="29"/>
  <c r="AR244" i="29"/>
  <c r="AN244" i="29"/>
  <c r="AU380" i="29"/>
  <c r="AS380" i="29"/>
  <c r="AU275" i="29"/>
  <c r="AS275" i="29"/>
  <c r="AS361" i="29"/>
  <c r="AU361" i="29"/>
  <c r="AU363" i="29"/>
  <c r="AS363" i="29"/>
  <c r="AU125" i="29"/>
  <c r="AS125" i="29"/>
  <c r="AR375" i="29"/>
  <c r="AN375" i="29"/>
  <c r="AU123" i="29"/>
  <c r="AS123" i="29"/>
  <c r="AU103" i="29"/>
  <c r="AS103" i="29"/>
  <c r="AR40" i="29"/>
  <c r="AS351" i="29"/>
  <c r="AU351" i="29"/>
  <c r="AU165" i="29"/>
  <c r="AS165" i="29"/>
  <c r="AU374" i="29"/>
  <c r="AS374" i="29"/>
  <c r="AM130" i="29"/>
  <c r="AN130" i="29" s="1"/>
  <c r="AR76" i="29"/>
  <c r="AN76" i="29"/>
  <c r="AM14" i="29"/>
  <c r="AU366" i="29"/>
  <c r="AS366" i="29"/>
  <c r="AS345" i="29"/>
  <c r="AU345" i="29"/>
  <c r="AU217" i="29"/>
  <c r="AS217" i="29"/>
  <c r="AS368" i="29"/>
  <c r="AU368" i="29"/>
  <c r="AM38" i="29"/>
  <c r="AN38" i="29" s="1"/>
  <c r="AU172" i="29"/>
  <c r="AS172" i="29"/>
  <c r="AR49" i="29"/>
  <c r="AU141" i="29"/>
  <c r="AS141" i="29"/>
  <c r="AU203" i="29"/>
  <c r="AS203" i="29"/>
  <c r="AU231" i="29"/>
  <c r="AS231" i="29"/>
  <c r="AM191" i="29"/>
  <c r="AN191" i="29" s="1"/>
  <c r="AN137" i="29"/>
  <c r="AR137" i="29"/>
  <c r="AU364" i="29"/>
  <c r="AS364" i="29"/>
  <c r="AU107" i="29"/>
  <c r="AS107" i="29"/>
  <c r="AU210" i="29"/>
  <c r="AS210" i="29"/>
  <c r="AN240" i="29"/>
  <c r="AR240" i="29"/>
  <c r="AM56" i="29"/>
  <c r="AN56" i="29" s="1"/>
  <c r="AR156" i="29"/>
  <c r="AN156" i="29"/>
  <c r="AM33" i="29"/>
  <c r="AN33" i="29" s="1"/>
  <c r="AU283" i="29"/>
  <c r="AS283" i="29"/>
  <c r="AU247" i="29"/>
  <c r="AS247" i="29"/>
  <c r="AR378" i="29"/>
  <c r="AN378" i="29"/>
  <c r="AU157" i="29"/>
  <c r="AS157" i="29"/>
  <c r="AU149" i="29"/>
  <c r="AS149" i="29"/>
  <c r="AU161" i="29"/>
  <c r="AS161" i="29"/>
  <c r="AM22" i="29"/>
  <c r="AN22" i="29" s="1"/>
  <c r="F192" i="12"/>
  <c r="G200" i="18"/>
  <c r="G219" i="18"/>
  <c r="G221" i="18"/>
  <c r="G222" i="18"/>
  <c r="G223" i="18"/>
  <c r="G225" i="18"/>
  <c r="G228" i="18"/>
  <c r="G231" i="18"/>
  <c r="G234" i="18"/>
  <c r="G237" i="18"/>
  <c r="G240" i="18"/>
  <c r="G241" i="18"/>
  <c r="G245"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192" i="18"/>
  <c r="E193" i="18"/>
  <c r="E194" i="18"/>
  <c r="E195" i="18"/>
  <c r="E196" i="18"/>
  <c r="E197" i="18"/>
  <c r="E198" i="18"/>
  <c r="E199" i="18"/>
  <c r="E200" i="18"/>
  <c r="E201" i="18"/>
  <c r="E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192"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192" i="18"/>
  <c r="C199" i="18"/>
  <c r="C200" i="18"/>
  <c r="C201" i="18"/>
  <c r="C202" i="18"/>
  <c r="C203" i="18"/>
  <c r="C204" i="18"/>
  <c r="C205" i="18"/>
  <c r="C206" i="18"/>
  <c r="C207" i="18"/>
  <c r="C208" i="18"/>
  <c r="C209" i="18"/>
  <c r="C210" i="18"/>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192" i="18"/>
  <c r="E316" i="27"/>
  <c r="G161" i="30" s="1"/>
  <c r="F316" i="27"/>
  <c r="H161" i="30" s="1"/>
  <c r="G316" i="27"/>
  <c r="I161" i="30" s="1"/>
  <c r="H316" i="27"/>
  <c r="J161" i="30" s="1"/>
  <c r="I316" i="27"/>
  <c r="D316" i="27"/>
  <c r="F161" i="30" s="1"/>
  <c r="K161" i="30" l="1"/>
  <c r="AS352" i="29"/>
  <c r="AU352" i="29"/>
  <c r="AS328" i="29"/>
  <c r="AU328" i="29"/>
  <c r="AU62" i="29"/>
  <c r="AR53" i="29"/>
  <c r="AU53" i="29" s="1"/>
  <c r="AU298" i="29"/>
  <c r="AS298" i="29"/>
  <c r="AS316" i="29"/>
  <c r="AU316" i="29"/>
  <c r="AU234" i="29"/>
  <c r="AS234" i="29"/>
  <c r="AU228" i="29"/>
  <c r="AS228" i="29"/>
  <c r="AS250" i="29"/>
  <c r="AU250" i="29"/>
  <c r="AU237" i="29"/>
  <c r="AS237" i="29"/>
  <c r="AU152" i="29"/>
  <c r="AS152" i="29"/>
  <c r="AU154" i="29"/>
  <c r="AS154" i="29"/>
  <c r="AS138" i="29"/>
  <c r="AU138" i="29"/>
  <c r="AS84" i="29"/>
  <c r="AU84" i="29"/>
  <c r="AU119" i="29"/>
  <c r="AS119" i="29"/>
  <c r="AR57" i="29"/>
  <c r="AU57" i="29" s="1"/>
  <c r="AU120" i="29"/>
  <c r="AS120" i="29"/>
  <c r="AR58" i="29"/>
  <c r="H231" i="18"/>
  <c r="AU41" i="29"/>
  <c r="AS41" i="29"/>
  <c r="AU34" i="29"/>
  <c r="AS34" i="29"/>
  <c r="AS19" i="29"/>
  <c r="AU19" i="29"/>
  <c r="AU25" i="29"/>
  <c r="AS25" i="29"/>
  <c r="AS51" i="29"/>
  <c r="AU51" i="29"/>
  <c r="AU338" i="29"/>
  <c r="AS338" i="29"/>
  <c r="AS27" i="29"/>
  <c r="AU27" i="29"/>
  <c r="AS156" i="29"/>
  <c r="AU156" i="29"/>
  <c r="AR33" i="29"/>
  <c r="AM68" i="29"/>
  <c r="AN68" i="29" s="1"/>
  <c r="AN14" i="29"/>
  <c r="AS90" i="29"/>
  <c r="AU90" i="29"/>
  <c r="AR28" i="29"/>
  <c r="AU15" i="29"/>
  <c r="AS15" i="29"/>
  <c r="AS240" i="29"/>
  <c r="AU240" i="29"/>
  <c r="AR56" i="29"/>
  <c r="AR130" i="29"/>
  <c r="AU76" i="29"/>
  <c r="AS76" i="29"/>
  <c r="AR14" i="29"/>
  <c r="AU40" i="29"/>
  <c r="AS40" i="29"/>
  <c r="AS375" i="29"/>
  <c r="AU375" i="29"/>
  <c r="AU18" i="29"/>
  <c r="AS18" i="29"/>
  <c r="AU29" i="29"/>
  <c r="AS29" i="29"/>
  <c r="AU346" i="29"/>
  <c r="AS346" i="29"/>
  <c r="AS277" i="29"/>
  <c r="AU277" i="29"/>
  <c r="AS37" i="29"/>
  <c r="AU37" i="29"/>
  <c r="AS285" i="29"/>
  <c r="AU285" i="29"/>
  <c r="AS206" i="29"/>
  <c r="AU206" i="29"/>
  <c r="AR22" i="29"/>
  <c r="AS114" i="29"/>
  <c r="AU114" i="29"/>
  <c r="AR52" i="29"/>
  <c r="AS334" i="29"/>
  <c r="AU334" i="29"/>
  <c r="AS98" i="29"/>
  <c r="AU98" i="29"/>
  <c r="AR36" i="29"/>
  <c r="AS106" i="29"/>
  <c r="AR44" i="29"/>
  <c r="AU106" i="29"/>
  <c r="AR252" i="29"/>
  <c r="AS198" i="29"/>
  <c r="AU198" i="29"/>
  <c r="AR191" i="29"/>
  <c r="AU137" i="29"/>
  <c r="AS137" i="29"/>
  <c r="AU63" i="29"/>
  <c r="AS63" i="29"/>
  <c r="AU236" i="29"/>
  <c r="AS236" i="29"/>
  <c r="AU21" i="29"/>
  <c r="AS21" i="29"/>
  <c r="AS82" i="29"/>
  <c r="AU82" i="29"/>
  <c r="AR20" i="29"/>
  <c r="AS335" i="29"/>
  <c r="AU335" i="29"/>
  <c r="AU39" i="29"/>
  <c r="AS39" i="29"/>
  <c r="AU47" i="29"/>
  <c r="AS47" i="29"/>
  <c r="AU49" i="29"/>
  <c r="AS49" i="29"/>
  <c r="AS79" i="29"/>
  <c r="AU79" i="29"/>
  <c r="AR17" i="29"/>
  <c r="AS350" i="29"/>
  <c r="AU350" i="29"/>
  <c r="AS177" i="29"/>
  <c r="AU177" i="29"/>
  <c r="AR54" i="29"/>
  <c r="AU348" i="29"/>
  <c r="AS348" i="29"/>
  <c r="AS35" i="29"/>
  <c r="AU35" i="29"/>
  <c r="AS230" i="29"/>
  <c r="AU230" i="29"/>
  <c r="AS169" i="29"/>
  <c r="AU169" i="29"/>
  <c r="AR46" i="29"/>
  <c r="AU378" i="29"/>
  <c r="AS378" i="29"/>
  <c r="AU42" i="29"/>
  <c r="AS42" i="29"/>
  <c r="AU65" i="29"/>
  <c r="AS65" i="29"/>
  <c r="AU55" i="29"/>
  <c r="AS55" i="29"/>
  <c r="AS122" i="29"/>
  <c r="AU122" i="29"/>
  <c r="AR60" i="29"/>
  <c r="AS67" i="29"/>
  <c r="AU67" i="29"/>
  <c r="AS367" i="29"/>
  <c r="AU367" i="29"/>
  <c r="AU330" i="29"/>
  <c r="AS330" i="29"/>
  <c r="AR382" i="29"/>
  <c r="AS319" i="29"/>
  <c r="AU319" i="29"/>
  <c r="AS214" i="29"/>
  <c r="AU214" i="29"/>
  <c r="AS59" i="29"/>
  <c r="AU59" i="29"/>
  <c r="AU31" i="29"/>
  <c r="AS31" i="29"/>
  <c r="AU45" i="29"/>
  <c r="AS45" i="29"/>
  <c r="AR61" i="29"/>
  <c r="AS269" i="29"/>
  <c r="AU269" i="29"/>
  <c r="AR16" i="29"/>
  <c r="AR321" i="29"/>
  <c r="AU30" i="29"/>
  <c r="AS30" i="29"/>
  <c r="AU23" i="29"/>
  <c r="AS23" i="29"/>
  <c r="AS43" i="29"/>
  <c r="AU43" i="29"/>
  <c r="AS248" i="29"/>
  <c r="AU248" i="29"/>
  <c r="AS222" i="29"/>
  <c r="AU222" i="29"/>
  <c r="AR24" i="29"/>
  <c r="AR32" i="29"/>
  <c r="AS235" i="29"/>
  <c r="AU235" i="29"/>
  <c r="AS148" i="29"/>
  <c r="AU148" i="29"/>
  <c r="AU340" i="29"/>
  <c r="AS340" i="29"/>
  <c r="AR26" i="29"/>
  <c r="AU244" i="29"/>
  <c r="AS244" i="29"/>
  <c r="AS303" i="29"/>
  <c r="AU303" i="29"/>
  <c r="AR50" i="29"/>
  <c r="AS128" i="29"/>
  <c r="AU128" i="29"/>
  <c r="AR66" i="29"/>
  <c r="AS140" i="29"/>
  <c r="AU140" i="29"/>
  <c r="AS164" i="29"/>
  <c r="AU164" i="29"/>
  <c r="AR64" i="29"/>
  <c r="AU48" i="29"/>
  <c r="AS48" i="29"/>
  <c r="AU333" i="29"/>
  <c r="AS333" i="29"/>
  <c r="AS359" i="29"/>
  <c r="AU359" i="29"/>
  <c r="AR38" i="29"/>
  <c r="H240" i="18"/>
  <c r="H234" i="18"/>
  <c r="H221" i="18"/>
  <c r="H200" i="18"/>
  <c r="H237" i="18"/>
  <c r="H228" i="18"/>
  <c r="H245" i="18"/>
  <c r="H223" i="18"/>
  <c r="H219" i="18"/>
  <c r="H241" i="18"/>
  <c r="H225" i="18"/>
  <c r="H222" i="18"/>
  <c r="H255" i="27"/>
  <c r="H256" i="27"/>
  <c r="H257" i="27"/>
  <c r="H258" i="27"/>
  <c r="H259" i="27"/>
  <c r="H260" i="27"/>
  <c r="H261" i="27"/>
  <c r="H262" i="27"/>
  <c r="H263" i="27"/>
  <c r="H264" i="27"/>
  <c r="H265" i="27"/>
  <c r="H266" i="27"/>
  <c r="H267" i="27"/>
  <c r="H268" i="27"/>
  <c r="H269" i="27"/>
  <c r="H270" i="27"/>
  <c r="H271" i="27"/>
  <c r="H272" i="27"/>
  <c r="H273" i="27"/>
  <c r="H274" i="27"/>
  <c r="H275" i="27"/>
  <c r="H276" i="27"/>
  <c r="H277" i="27"/>
  <c r="H278" i="27"/>
  <c r="H279" i="27"/>
  <c r="H280" i="27"/>
  <c r="H281" i="27"/>
  <c r="H282" i="27"/>
  <c r="H283" i="27"/>
  <c r="H284" i="27"/>
  <c r="H285" i="27"/>
  <c r="H286" i="27"/>
  <c r="H287" i="27"/>
  <c r="H288" i="27"/>
  <c r="H289" i="27"/>
  <c r="H290" i="27"/>
  <c r="H291" i="27"/>
  <c r="H292" i="27"/>
  <c r="H293" i="27"/>
  <c r="H294" i="27"/>
  <c r="H295" i="27"/>
  <c r="H296" i="27"/>
  <c r="H297" i="27"/>
  <c r="H298" i="27"/>
  <c r="H299" i="27"/>
  <c r="H300" i="27"/>
  <c r="H301" i="27"/>
  <c r="H302" i="27"/>
  <c r="H303" i="27"/>
  <c r="H254" i="27"/>
  <c r="G255" i="27"/>
  <c r="G256" i="27"/>
  <c r="G257" i="27"/>
  <c r="G258" i="27"/>
  <c r="G259" i="27"/>
  <c r="G260" i="27"/>
  <c r="G261" i="27"/>
  <c r="G262" i="27"/>
  <c r="G263" i="27"/>
  <c r="G264" i="27"/>
  <c r="G265" i="27"/>
  <c r="G266" i="27"/>
  <c r="G267" i="27"/>
  <c r="G268" i="27"/>
  <c r="G269" i="27"/>
  <c r="G270" i="27"/>
  <c r="G271" i="27"/>
  <c r="G272" i="27"/>
  <c r="G273" i="27"/>
  <c r="G274" i="27"/>
  <c r="G275" i="27"/>
  <c r="G276" i="27"/>
  <c r="G277" i="27"/>
  <c r="G278" i="27"/>
  <c r="G279" i="27"/>
  <c r="G280" i="27"/>
  <c r="G281" i="27"/>
  <c r="G282" i="27"/>
  <c r="G283" i="27"/>
  <c r="G284" i="27"/>
  <c r="G285" i="27"/>
  <c r="G286" i="27"/>
  <c r="G287" i="27"/>
  <c r="G288" i="27"/>
  <c r="G289" i="27"/>
  <c r="G290" i="27"/>
  <c r="G291" i="27"/>
  <c r="G292" i="27"/>
  <c r="G293" i="27"/>
  <c r="G294" i="27"/>
  <c r="G295" i="27"/>
  <c r="G296" i="27"/>
  <c r="G297" i="27"/>
  <c r="G298" i="27"/>
  <c r="G299" i="27"/>
  <c r="G300" i="27"/>
  <c r="G301" i="27"/>
  <c r="G302" i="27"/>
  <c r="G303" i="27"/>
  <c r="G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254" i="27"/>
  <c r="D255" i="27"/>
  <c r="D256" i="27"/>
  <c r="D257" i="27"/>
  <c r="D258" i="27"/>
  <c r="D259" i="27"/>
  <c r="D260" i="27"/>
  <c r="D261" i="27"/>
  <c r="D262" i="27"/>
  <c r="D263" i="27"/>
  <c r="D264" i="27"/>
  <c r="D265" i="27"/>
  <c r="D266" i="27"/>
  <c r="D267" i="27"/>
  <c r="D268" i="27"/>
  <c r="D269" i="27"/>
  <c r="D270" i="27"/>
  <c r="D271" i="27"/>
  <c r="D272" i="27"/>
  <c r="D273" i="27"/>
  <c r="D274" i="27"/>
  <c r="D275" i="27"/>
  <c r="D276" i="27"/>
  <c r="D277" i="27"/>
  <c r="D278" i="27"/>
  <c r="D279" i="27"/>
  <c r="D280" i="27"/>
  <c r="D281" i="27"/>
  <c r="D282" i="27"/>
  <c r="D283" i="27"/>
  <c r="D284" i="27"/>
  <c r="D285" i="27"/>
  <c r="D286" i="27"/>
  <c r="D287" i="27"/>
  <c r="D288" i="27"/>
  <c r="D289" i="27"/>
  <c r="D290" i="27"/>
  <c r="D291" i="27"/>
  <c r="D292" i="27"/>
  <c r="D293" i="27"/>
  <c r="D294" i="27"/>
  <c r="D295" i="27"/>
  <c r="D296" i="27"/>
  <c r="D297" i="27"/>
  <c r="D298" i="27"/>
  <c r="D299" i="27"/>
  <c r="D300" i="27"/>
  <c r="D301" i="27"/>
  <c r="D302" i="27"/>
  <c r="D303" i="27"/>
  <c r="D254" i="27"/>
  <c r="H195" i="27"/>
  <c r="H196" i="27"/>
  <c r="H197" i="27"/>
  <c r="H198" i="27"/>
  <c r="H199" i="27"/>
  <c r="H200" i="27"/>
  <c r="H201" i="27"/>
  <c r="H202" i="27"/>
  <c r="H203" i="27"/>
  <c r="H204" i="27"/>
  <c r="H205" i="27"/>
  <c r="H206" i="27"/>
  <c r="H207" i="27"/>
  <c r="H208" i="27"/>
  <c r="H209" i="27"/>
  <c r="H210" i="27"/>
  <c r="H211" i="27"/>
  <c r="H212" i="27"/>
  <c r="H213" i="27"/>
  <c r="H214" i="27"/>
  <c r="H215" i="27"/>
  <c r="H216" i="27"/>
  <c r="H217" i="27"/>
  <c r="H218" i="27"/>
  <c r="H219" i="27"/>
  <c r="H220" i="27"/>
  <c r="H221" i="27"/>
  <c r="H222" i="27"/>
  <c r="H223" i="27"/>
  <c r="H224" i="27"/>
  <c r="H225" i="27"/>
  <c r="H226" i="27"/>
  <c r="H227" i="27"/>
  <c r="H228" i="27"/>
  <c r="H229" i="27"/>
  <c r="H230" i="27"/>
  <c r="H231" i="27"/>
  <c r="H232" i="27"/>
  <c r="H233" i="27"/>
  <c r="H234" i="27"/>
  <c r="H235" i="27"/>
  <c r="H236" i="27"/>
  <c r="H237" i="27"/>
  <c r="H238" i="27"/>
  <c r="H239" i="27"/>
  <c r="H240" i="27"/>
  <c r="H241" i="27"/>
  <c r="H243" i="27"/>
  <c r="H194" i="27"/>
  <c r="G195" i="27"/>
  <c r="G196" i="27"/>
  <c r="G197" i="27"/>
  <c r="G198" i="27"/>
  <c r="G199" i="27"/>
  <c r="G200" i="27"/>
  <c r="G201" i="27"/>
  <c r="G202" i="27"/>
  <c r="G203" i="27"/>
  <c r="G204" i="27"/>
  <c r="G205" i="27"/>
  <c r="G206" i="27"/>
  <c r="G207" i="27"/>
  <c r="G208" i="27"/>
  <c r="G209" i="27"/>
  <c r="G210" i="27"/>
  <c r="G211" i="27"/>
  <c r="G212" i="27"/>
  <c r="G213" i="27"/>
  <c r="G214" i="27"/>
  <c r="G215" i="27"/>
  <c r="G216" i="27"/>
  <c r="G217" i="27"/>
  <c r="G218" i="27"/>
  <c r="G219" i="27"/>
  <c r="G220" i="27"/>
  <c r="G221" i="27"/>
  <c r="G222" i="27"/>
  <c r="G223" i="27"/>
  <c r="G224" i="27"/>
  <c r="G225" i="27"/>
  <c r="G226" i="27"/>
  <c r="G227" i="27"/>
  <c r="G228" i="27"/>
  <c r="G229" i="27"/>
  <c r="G230" i="27"/>
  <c r="G231" i="27"/>
  <c r="G232" i="27"/>
  <c r="G233" i="27"/>
  <c r="G234" i="27"/>
  <c r="G235" i="27"/>
  <c r="G236" i="27"/>
  <c r="G237" i="27"/>
  <c r="G238" i="27"/>
  <c r="G239" i="27"/>
  <c r="G240" i="27"/>
  <c r="G241" i="27"/>
  <c r="G243" i="27"/>
  <c r="G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3" i="27"/>
  <c r="F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3" i="27"/>
  <c r="E194" i="27"/>
  <c r="D195" i="27"/>
  <c r="D196" i="27"/>
  <c r="D197" i="27"/>
  <c r="D198" i="27"/>
  <c r="D199" i="27"/>
  <c r="D200" i="27"/>
  <c r="D201" i="27"/>
  <c r="D202" i="27"/>
  <c r="D203" i="27"/>
  <c r="D204" i="27"/>
  <c r="D205" i="27"/>
  <c r="D206" i="27"/>
  <c r="D207" i="27"/>
  <c r="D208" i="27"/>
  <c r="D209" i="27"/>
  <c r="D210" i="27"/>
  <c r="D211" i="27"/>
  <c r="D212" i="27"/>
  <c r="D213" i="27"/>
  <c r="D214" i="27"/>
  <c r="D215" i="27"/>
  <c r="D216" i="27"/>
  <c r="D217" i="27"/>
  <c r="D218" i="27"/>
  <c r="D219" i="27"/>
  <c r="D220" i="27"/>
  <c r="D221" i="27"/>
  <c r="D222" i="27"/>
  <c r="D223" i="27"/>
  <c r="D224" i="27"/>
  <c r="D225" i="27"/>
  <c r="D226" i="27"/>
  <c r="D227" i="27"/>
  <c r="D228" i="27"/>
  <c r="D229" i="27"/>
  <c r="D230" i="27"/>
  <c r="D231" i="27"/>
  <c r="D232" i="27"/>
  <c r="D233" i="27"/>
  <c r="D234" i="27"/>
  <c r="D235" i="27"/>
  <c r="D236" i="27"/>
  <c r="D237" i="27"/>
  <c r="D238" i="27"/>
  <c r="D239" i="27"/>
  <c r="D240" i="27"/>
  <c r="D241" i="27"/>
  <c r="D243" i="27"/>
  <c r="D194" i="27"/>
  <c r="AS53" i="29" l="1"/>
  <c r="AS57" i="29"/>
  <c r="AU58" i="29"/>
  <c r="AS58" i="29"/>
  <c r="AS16" i="29"/>
  <c r="AU16" i="29"/>
  <c r="AS46" i="29"/>
  <c r="AU46" i="29"/>
  <c r="AS14" i="29"/>
  <c r="AU14" i="29"/>
  <c r="AR68" i="29"/>
  <c r="AS321" i="29"/>
  <c r="AU321" i="29"/>
  <c r="AS32" i="29"/>
  <c r="AU32" i="29"/>
  <c r="AS54" i="29"/>
  <c r="AU54" i="29"/>
  <c r="AU20" i="29"/>
  <c r="AS20" i="29"/>
  <c r="AS252" i="29"/>
  <c r="AU252" i="29"/>
  <c r="AU28" i="29"/>
  <c r="AS28" i="29"/>
  <c r="AU66" i="29"/>
  <c r="AS66" i="29"/>
  <c r="AU26" i="29"/>
  <c r="AS26" i="29"/>
  <c r="AS24" i="29"/>
  <c r="AU24" i="29"/>
  <c r="AU52" i="29"/>
  <c r="AS52" i="29"/>
  <c r="AU61" i="29"/>
  <c r="AS61" i="29"/>
  <c r="AU44" i="29"/>
  <c r="AS44" i="29"/>
  <c r="AS130" i="29"/>
  <c r="AU130" i="29"/>
  <c r="AU56" i="29"/>
  <c r="AS56" i="29"/>
  <c r="AU64" i="29"/>
  <c r="AS64" i="29"/>
  <c r="AU50" i="29"/>
  <c r="AS50" i="29"/>
  <c r="AU60" i="29"/>
  <c r="AS60" i="29"/>
  <c r="AU36" i="29"/>
  <c r="AS36" i="29"/>
  <c r="AS22" i="29"/>
  <c r="AU22" i="29"/>
  <c r="AS38" i="29"/>
  <c r="AU38" i="29"/>
  <c r="AU382" i="29"/>
  <c r="AS382" i="29"/>
  <c r="AU17" i="29"/>
  <c r="AS17" i="29"/>
  <c r="AU191" i="29"/>
  <c r="AS191" i="29"/>
  <c r="AU33" i="29"/>
  <c r="AS33" i="29"/>
  <c r="H309" i="27"/>
  <c r="J167" i="30" s="1"/>
  <c r="G249" i="27"/>
  <c r="I166" i="30" s="1"/>
  <c r="G309" i="27"/>
  <c r="I167" i="30" s="1"/>
  <c r="F309" i="27"/>
  <c r="H167" i="30" s="1"/>
  <c r="E309" i="27"/>
  <c r="G167" i="30" s="1"/>
  <c r="D309" i="27"/>
  <c r="F167" i="30" s="1"/>
  <c r="F249" i="27"/>
  <c r="H166" i="30" s="1"/>
  <c r="E249" i="27"/>
  <c r="G166" i="30" s="1"/>
  <c r="D249" i="27"/>
  <c r="F166" i="30" s="1"/>
  <c r="H249" i="27"/>
  <c r="J166" i="30" s="1"/>
  <c r="H141" i="27"/>
  <c r="H160" i="27"/>
  <c r="H162" i="27"/>
  <c r="H163" i="27"/>
  <c r="H164" i="27"/>
  <c r="H166" i="27"/>
  <c r="H169" i="27"/>
  <c r="H172" i="27"/>
  <c r="H175" i="27"/>
  <c r="H178" i="27"/>
  <c r="H181" i="27"/>
  <c r="H182"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33" i="27"/>
  <c r="D134" i="27"/>
  <c r="D135" i="27"/>
  <c r="D136" i="27"/>
  <c r="D137" i="27"/>
  <c r="D138" i="27"/>
  <c r="D139" i="27"/>
  <c r="D140" i="27"/>
  <c r="D141" i="27"/>
  <c r="D142" i="27"/>
  <c r="D143" i="27"/>
  <c r="D144" i="27"/>
  <c r="D145" i="27"/>
  <c r="D146" i="27"/>
  <c r="D147" i="27"/>
  <c r="D148" i="27"/>
  <c r="D149" i="27"/>
  <c r="D150" i="27"/>
  <c r="D151" i="27"/>
  <c r="D152" i="27"/>
  <c r="D153" i="27"/>
  <c r="D154" i="27"/>
  <c r="D155" i="27"/>
  <c r="D156" i="27"/>
  <c r="D157" i="27"/>
  <c r="D158" i="27"/>
  <c r="D159" i="27"/>
  <c r="D160" i="27"/>
  <c r="D161" i="27"/>
  <c r="D162" i="27"/>
  <c r="D163" i="27"/>
  <c r="D164" i="27"/>
  <c r="D165" i="27"/>
  <c r="D166" i="27"/>
  <c r="D167" i="27"/>
  <c r="D168" i="27"/>
  <c r="D169" i="27"/>
  <c r="D170" i="27"/>
  <c r="D171" i="27"/>
  <c r="D172" i="27"/>
  <c r="D173" i="27"/>
  <c r="D174" i="27"/>
  <c r="D175" i="27"/>
  <c r="D176" i="27"/>
  <c r="D177" i="27"/>
  <c r="D178" i="27"/>
  <c r="D179" i="27"/>
  <c r="D180" i="27"/>
  <c r="D181" i="27"/>
  <c r="D182" i="27"/>
  <c r="D133" i="27"/>
  <c r="J165" i="30" l="1"/>
  <c r="I165" i="30"/>
  <c r="G165" i="30"/>
  <c r="H165" i="30"/>
  <c r="K167" i="30"/>
  <c r="F165" i="30"/>
  <c r="K166" i="30"/>
  <c r="AU68" i="29"/>
  <c r="AS68" i="29"/>
  <c r="G189" i="27"/>
  <c r="I160" i="30" s="1"/>
  <c r="I158" i="30" s="1"/>
  <c r="I157" i="30" s="1"/>
  <c r="F189" i="27"/>
  <c r="H160" i="30" s="1"/>
  <c r="H158" i="30" s="1"/>
  <c r="E189" i="27"/>
  <c r="G160" i="30" s="1"/>
  <c r="G158" i="30" s="1"/>
  <c r="G157" i="30" s="1"/>
  <c r="D189" i="27"/>
  <c r="F160" i="30" s="1"/>
  <c r="AJ198" i="6"/>
  <c r="R198" i="6"/>
  <c r="H157" i="30" l="1"/>
  <c r="K165" i="30"/>
  <c r="F158" i="30"/>
  <c r="F157" i="30" s="1"/>
  <c r="AJ141" i="4"/>
  <c r="AJ142" i="4"/>
  <c r="AJ143" i="4"/>
  <c r="AJ144" i="4"/>
  <c r="AJ145" i="4"/>
  <c r="AJ146" i="4"/>
  <c r="AJ147" i="4"/>
  <c r="AJ148" i="4"/>
  <c r="AJ149" i="4"/>
  <c r="AJ15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1" i="4"/>
  <c r="AJ192" i="4"/>
  <c r="AJ190" i="4"/>
  <c r="AJ193" i="4"/>
  <c r="J16" i="30"/>
  <c r="H16" i="30"/>
  <c r="AP15" i="5"/>
  <c r="AQ15" i="5"/>
  <c r="AP16" i="5"/>
  <c r="AQ16" i="5"/>
  <c r="AP17" i="5"/>
  <c r="AQ17" i="5"/>
  <c r="AP18" i="5"/>
  <c r="AQ18" i="5"/>
  <c r="AP19" i="5"/>
  <c r="AQ19" i="5"/>
  <c r="AP20" i="5"/>
  <c r="AQ20" i="5"/>
  <c r="AP21" i="5"/>
  <c r="AQ21" i="5"/>
  <c r="AP22" i="5"/>
  <c r="AQ22" i="5"/>
  <c r="AP23" i="5"/>
  <c r="AQ23" i="5"/>
  <c r="AP24" i="5"/>
  <c r="AQ24" i="5"/>
  <c r="AP25" i="5"/>
  <c r="AQ25" i="5"/>
  <c r="AP26" i="5"/>
  <c r="AQ26" i="5"/>
  <c r="AP27" i="5"/>
  <c r="AQ27" i="5"/>
  <c r="AP28" i="5"/>
  <c r="AQ28" i="5"/>
  <c r="AP29" i="5"/>
  <c r="AQ29" i="5"/>
  <c r="AP30" i="5"/>
  <c r="AQ30" i="5"/>
  <c r="AP31" i="5"/>
  <c r="AQ31" i="5"/>
  <c r="AP32" i="5"/>
  <c r="AQ32" i="5"/>
  <c r="AP33" i="5"/>
  <c r="AQ33" i="5"/>
  <c r="AP34" i="5"/>
  <c r="AQ34" i="5"/>
  <c r="AP35" i="5"/>
  <c r="AQ35" i="5"/>
  <c r="AP36" i="5"/>
  <c r="AQ36" i="5"/>
  <c r="AP37" i="5"/>
  <c r="AQ37" i="5"/>
  <c r="AP38" i="5"/>
  <c r="AQ38" i="5"/>
  <c r="AP39" i="5"/>
  <c r="AQ39" i="5"/>
  <c r="AP40" i="5"/>
  <c r="AQ40" i="5"/>
  <c r="AP41" i="5"/>
  <c r="AQ41" i="5"/>
  <c r="AP42" i="5"/>
  <c r="AQ42" i="5"/>
  <c r="AP43" i="5"/>
  <c r="AQ43" i="5"/>
  <c r="AP44" i="5"/>
  <c r="AQ44" i="5"/>
  <c r="AP45" i="5"/>
  <c r="AQ45" i="5"/>
  <c r="AP46" i="5"/>
  <c r="AQ46" i="5"/>
  <c r="AP47" i="5"/>
  <c r="AQ47" i="5"/>
  <c r="AP48" i="5"/>
  <c r="AQ48" i="5"/>
  <c r="AP49" i="5"/>
  <c r="AQ49" i="5"/>
  <c r="AP50" i="5"/>
  <c r="AQ50" i="5"/>
  <c r="AP51" i="5"/>
  <c r="AQ51" i="5"/>
  <c r="AP52" i="5"/>
  <c r="AQ52" i="5"/>
  <c r="AP53" i="5"/>
  <c r="AQ53" i="5"/>
  <c r="AP54" i="5"/>
  <c r="AQ54" i="5"/>
  <c r="AP55" i="5"/>
  <c r="AQ55" i="5"/>
  <c r="AP56" i="5"/>
  <c r="AQ56" i="5"/>
  <c r="AP57" i="5"/>
  <c r="AQ57" i="5"/>
  <c r="AP58" i="5"/>
  <c r="AQ58" i="5"/>
  <c r="AP59" i="5"/>
  <c r="AQ59" i="5"/>
  <c r="AP60" i="5"/>
  <c r="AQ60" i="5"/>
  <c r="AP61" i="5"/>
  <c r="AQ61" i="5"/>
  <c r="AP62" i="5"/>
  <c r="AQ62" i="5"/>
  <c r="AP63" i="5"/>
  <c r="AQ63" i="5"/>
  <c r="AP65" i="5"/>
  <c r="AQ65" i="5"/>
  <c r="AP66" i="5"/>
  <c r="AQ66" i="5"/>
  <c r="AP64" i="5"/>
  <c r="AQ64" i="5"/>
  <c r="AP67" i="5"/>
  <c r="AQ67" i="5"/>
  <c r="AP14" i="5"/>
  <c r="AQ14" i="5"/>
  <c r="AK67" i="5"/>
  <c r="AL67" i="5"/>
  <c r="AK15" i="5"/>
  <c r="AL15" i="5"/>
  <c r="AK16" i="5"/>
  <c r="AL16" i="5"/>
  <c r="AK17" i="5"/>
  <c r="AL17" i="5"/>
  <c r="AK18" i="5"/>
  <c r="AL18" i="5"/>
  <c r="AK19" i="5"/>
  <c r="AL19" i="5"/>
  <c r="AK20" i="5"/>
  <c r="AL20" i="5"/>
  <c r="AK21" i="5"/>
  <c r="AL21" i="5"/>
  <c r="AK22" i="5"/>
  <c r="AL22" i="5"/>
  <c r="AK23" i="5"/>
  <c r="AL23" i="5"/>
  <c r="AK24" i="5"/>
  <c r="AL24" i="5"/>
  <c r="AK25" i="5"/>
  <c r="AL25" i="5"/>
  <c r="AK26" i="5"/>
  <c r="AL26" i="5"/>
  <c r="AK27" i="5"/>
  <c r="AL27" i="5"/>
  <c r="AK28" i="5"/>
  <c r="AL28" i="5"/>
  <c r="AK29" i="5"/>
  <c r="AL29" i="5"/>
  <c r="AK30" i="5"/>
  <c r="AL30" i="5"/>
  <c r="AK31" i="5"/>
  <c r="AL31" i="5"/>
  <c r="AK32" i="5"/>
  <c r="AL32" i="5"/>
  <c r="AK33" i="5"/>
  <c r="AL33" i="5"/>
  <c r="AK34" i="5"/>
  <c r="AL34" i="5"/>
  <c r="AK35" i="5"/>
  <c r="AL35" i="5"/>
  <c r="AK36" i="5"/>
  <c r="AL36" i="5"/>
  <c r="AK37" i="5"/>
  <c r="AL37" i="5"/>
  <c r="AK38" i="5"/>
  <c r="AL38" i="5"/>
  <c r="AK39" i="5"/>
  <c r="AL39" i="5"/>
  <c r="AK40" i="5"/>
  <c r="AL40" i="5"/>
  <c r="AK41" i="5"/>
  <c r="AL41" i="5"/>
  <c r="AK42" i="5"/>
  <c r="AL42" i="5"/>
  <c r="AK43" i="5"/>
  <c r="AL43" i="5"/>
  <c r="AK44" i="5"/>
  <c r="AL44" i="5"/>
  <c r="AK45" i="5"/>
  <c r="AL45" i="5"/>
  <c r="AK46" i="5"/>
  <c r="AL46" i="5"/>
  <c r="AK47" i="5"/>
  <c r="AL47" i="5"/>
  <c r="AK48" i="5"/>
  <c r="AL48" i="5"/>
  <c r="AK49" i="5"/>
  <c r="AL49" i="5"/>
  <c r="AK50" i="5"/>
  <c r="AL50" i="5"/>
  <c r="AK51" i="5"/>
  <c r="AL51" i="5"/>
  <c r="AK52" i="5"/>
  <c r="AL52" i="5"/>
  <c r="AK53" i="5"/>
  <c r="AL53" i="5"/>
  <c r="AK54" i="5"/>
  <c r="AL54" i="5"/>
  <c r="AK55" i="5"/>
  <c r="AL55" i="5"/>
  <c r="AK56" i="5"/>
  <c r="AL56" i="5"/>
  <c r="AK57" i="5"/>
  <c r="AL57" i="5"/>
  <c r="AK58" i="5"/>
  <c r="AL58" i="5"/>
  <c r="AK59" i="5"/>
  <c r="AL59" i="5"/>
  <c r="AK60" i="5"/>
  <c r="AL60" i="5"/>
  <c r="AK61" i="5"/>
  <c r="AL61" i="5"/>
  <c r="AK62" i="5"/>
  <c r="AL62" i="5"/>
  <c r="AK63" i="5"/>
  <c r="AL63" i="5"/>
  <c r="AK65" i="5"/>
  <c r="AL65" i="5"/>
  <c r="AK66" i="5"/>
  <c r="AL66" i="5"/>
  <c r="AK64" i="5"/>
  <c r="AL64" i="5"/>
  <c r="AK14" i="5"/>
  <c r="AL14" i="5"/>
  <c r="AF15" i="5"/>
  <c r="AG15" i="5"/>
  <c r="AF16" i="5"/>
  <c r="AG16" i="5"/>
  <c r="AF17" i="5"/>
  <c r="AG17" i="5"/>
  <c r="AF18" i="5"/>
  <c r="AG18" i="5"/>
  <c r="AF19" i="5"/>
  <c r="AG19" i="5"/>
  <c r="AF20" i="5"/>
  <c r="AG20" i="5"/>
  <c r="AF21" i="5"/>
  <c r="AG21" i="5"/>
  <c r="AF22" i="5"/>
  <c r="AG22" i="5"/>
  <c r="AF23" i="5"/>
  <c r="AG23" i="5"/>
  <c r="AF24" i="5"/>
  <c r="AG24" i="5"/>
  <c r="AF25" i="5"/>
  <c r="AG25" i="5"/>
  <c r="AF26" i="5"/>
  <c r="AG26" i="5"/>
  <c r="AF27" i="5"/>
  <c r="AG27" i="5"/>
  <c r="AF28" i="5"/>
  <c r="AG28" i="5"/>
  <c r="AF29" i="5"/>
  <c r="AG29" i="5"/>
  <c r="AF30" i="5"/>
  <c r="AG30" i="5"/>
  <c r="AF31" i="5"/>
  <c r="AG31" i="5"/>
  <c r="AF32" i="5"/>
  <c r="AG32" i="5"/>
  <c r="AF33" i="5"/>
  <c r="AG33" i="5"/>
  <c r="AF34" i="5"/>
  <c r="AG34" i="5"/>
  <c r="AF35" i="5"/>
  <c r="AG35" i="5"/>
  <c r="AF36" i="5"/>
  <c r="AG36" i="5"/>
  <c r="AF37" i="5"/>
  <c r="AG37" i="5"/>
  <c r="AF38" i="5"/>
  <c r="AG38" i="5"/>
  <c r="AF39" i="5"/>
  <c r="AG39" i="5"/>
  <c r="AF40" i="5"/>
  <c r="AG40" i="5"/>
  <c r="AF41" i="5"/>
  <c r="AG41" i="5"/>
  <c r="AF42" i="5"/>
  <c r="AG42" i="5"/>
  <c r="AF43" i="5"/>
  <c r="AG43" i="5"/>
  <c r="AF44" i="5"/>
  <c r="AG44" i="5"/>
  <c r="AF45" i="5"/>
  <c r="AG45" i="5"/>
  <c r="AF46" i="5"/>
  <c r="AG46" i="5"/>
  <c r="AF47" i="5"/>
  <c r="AG47" i="5"/>
  <c r="AF48" i="5"/>
  <c r="AG48" i="5"/>
  <c r="AF49" i="5"/>
  <c r="AG49"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3" i="5"/>
  <c r="AG63" i="5"/>
  <c r="AF65" i="5"/>
  <c r="AG65" i="5"/>
  <c r="AF66" i="5"/>
  <c r="AG66" i="5"/>
  <c r="AF64" i="5"/>
  <c r="AG64" i="5"/>
  <c r="AF67" i="5"/>
  <c r="AG67" i="5"/>
  <c r="AF14" i="5"/>
  <c r="AG14" i="5"/>
  <c r="AA15" i="5"/>
  <c r="AB15" i="5"/>
  <c r="AA16" i="5"/>
  <c r="AB16" i="5"/>
  <c r="AA17" i="5"/>
  <c r="AB17" i="5"/>
  <c r="AA18" i="5"/>
  <c r="AB18" i="5"/>
  <c r="AA19" i="5"/>
  <c r="AB19" i="5"/>
  <c r="AA20" i="5"/>
  <c r="AB20" i="5"/>
  <c r="AA21" i="5"/>
  <c r="AB21" i="5"/>
  <c r="AA22" i="5"/>
  <c r="AB22" i="5"/>
  <c r="AA23" i="5"/>
  <c r="AB23" i="5"/>
  <c r="AA24" i="5"/>
  <c r="AB24" i="5"/>
  <c r="AA25" i="5"/>
  <c r="AB25" i="5"/>
  <c r="AA26" i="5"/>
  <c r="AB26" i="5"/>
  <c r="AA27" i="5"/>
  <c r="AB27" i="5"/>
  <c r="AA28" i="5"/>
  <c r="AB28" i="5"/>
  <c r="AA29" i="5"/>
  <c r="AB29" i="5"/>
  <c r="AA30" i="5"/>
  <c r="AB30" i="5"/>
  <c r="AA31" i="5"/>
  <c r="AB31" i="5"/>
  <c r="AA32" i="5"/>
  <c r="AB32" i="5"/>
  <c r="AA33" i="5"/>
  <c r="AB33" i="5"/>
  <c r="AA34" i="5"/>
  <c r="AB34" i="5"/>
  <c r="AA35" i="5"/>
  <c r="AB35" i="5"/>
  <c r="AA36" i="5"/>
  <c r="AB36" i="5"/>
  <c r="AA37" i="5"/>
  <c r="AB37" i="5"/>
  <c r="AA38" i="5"/>
  <c r="AB38" i="5"/>
  <c r="AA39" i="5"/>
  <c r="AB39" i="5"/>
  <c r="AA40" i="5"/>
  <c r="AB40" i="5"/>
  <c r="AA41" i="5"/>
  <c r="AB41" i="5"/>
  <c r="AA42" i="5"/>
  <c r="AB42" i="5"/>
  <c r="AA43" i="5"/>
  <c r="AB43" i="5"/>
  <c r="AA44" i="5"/>
  <c r="AB44" i="5"/>
  <c r="AA45" i="5"/>
  <c r="AB45" i="5"/>
  <c r="AA46" i="5"/>
  <c r="AB46" i="5"/>
  <c r="AA47" i="5"/>
  <c r="AB47" i="5"/>
  <c r="AA48" i="5"/>
  <c r="AB48" i="5"/>
  <c r="AA49" i="5"/>
  <c r="AB49" i="5"/>
  <c r="AA50" i="5"/>
  <c r="AB50" i="5"/>
  <c r="AA51" i="5"/>
  <c r="AB51" i="5"/>
  <c r="AA52" i="5"/>
  <c r="AB52" i="5"/>
  <c r="AA53" i="5"/>
  <c r="AB53" i="5"/>
  <c r="AA54" i="5"/>
  <c r="AB54" i="5"/>
  <c r="AA55" i="5"/>
  <c r="AB55" i="5"/>
  <c r="AA56" i="5"/>
  <c r="AB56" i="5"/>
  <c r="AA57" i="5"/>
  <c r="AB57" i="5"/>
  <c r="AA58" i="5"/>
  <c r="AB58" i="5"/>
  <c r="AA59" i="5"/>
  <c r="AB59" i="5"/>
  <c r="AA60" i="5"/>
  <c r="AB60" i="5"/>
  <c r="AA61" i="5"/>
  <c r="AB61" i="5"/>
  <c r="AA62" i="5"/>
  <c r="AB62" i="5"/>
  <c r="AA63" i="5"/>
  <c r="AB63" i="5"/>
  <c r="AA65" i="5"/>
  <c r="AB65" i="5"/>
  <c r="AA66" i="5"/>
  <c r="AB66" i="5"/>
  <c r="AA64" i="5"/>
  <c r="AB64" i="5"/>
  <c r="AA67" i="5"/>
  <c r="AB67" i="5"/>
  <c r="AA14" i="5"/>
  <c r="AB14" i="5"/>
  <c r="V67" i="5"/>
  <c r="W67" i="5"/>
  <c r="V15" i="5"/>
  <c r="W15" i="5"/>
  <c r="V16" i="5"/>
  <c r="W16" i="5"/>
  <c r="V17" i="5"/>
  <c r="W17" i="5"/>
  <c r="V18" i="5"/>
  <c r="W18" i="5"/>
  <c r="V19" i="5"/>
  <c r="W19" i="5"/>
  <c r="V20" i="5"/>
  <c r="W20" i="5"/>
  <c r="V21" i="5"/>
  <c r="W21" i="5"/>
  <c r="V22" i="5"/>
  <c r="W22" i="5"/>
  <c r="V23" i="5"/>
  <c r="W23" i="5"/>
  <c r="V24" i="5"/>
  <c r="W24" i="5"/>
  <c r="V25" i="5"/>
  <c r="W25" i="5"/>
  <c r="V26" i="5"/>
  <c r="W26" i="5"/>
  <c r="V27" i="5"/>
  <c r="W27" i="5"/>
  <c r="V28" i="5"/>
  <c r="W28" i="5"/>
  <c r="V29" i="5"/>
  <c r="W29" i="5"/>
  <c r="V30" i="5"/>
  <c r="W30" i="5"/>
  <c r="V31" i="5"/>
  <c r="W31" i="5"/>
  <c r="V32" i="5"/>
  <c r="W32" i="5"/>
  <c r="V33" i="5"/>
  <c r="W33" i="5"/>
  <c r="V34" i="5"/>
  <c r="W34" i="5"/>
  <c r="V35" i="5"/>
  <c r="W35" i="5"/>
  <c r="V36" i="5"/>
  <c r="W36" i="5"/>
  <c r="V37" i="5"/>
  <c r="W37" i="5"/>
  <c r="V38" i="5"/>
  <c r="W38" i="5"/>
  <c r="V39" i="5"/>
  <c r="W39" i="5"/>
  <c r="V40" i="5"/>
  <c r="W40" i="5"/>
  <c r="V41" i="5"/>
  <c r="W41" i="5"/>
  <c r="V42" i="5"/>
  <c r="W42" i="5"/>
  <c r="V43" i="5"/>
  <c r="W43" i="5"/>
  <c r="V44" i="5"/>
  <c r="W44" i="5"/>
  <c r="V45" i="5"/>
  <c r="W45" i="5"/>
  <c r="V46" i="5"/>
  <c r="W46" i="5"/>
  <c r="V47" i="5"/>
  <c r="W47" i="5"/>
  <c r="V48" i="5"/>
  <c r="W48" i="5"/>
  <c r="V49" i="5"/>
  <c r="W49" i="5"/>
  <c r="V50" i="5"/>
  <c r="W50" i="5"/>
  <c r="V51" i="5"/>
  <c r="W51" i="5"/>
  <c r="V52" i="5"/>
  <c r="W52" i="5"/>
  <c r="V53" i="5"/>
  <c r="W53" i="5"/>
  <c r="V54" i="5"/>
  <c r="W54" i="5"/>
  <c r="V55" i="5"/>
  <c r="W55" i="5"/>
  <c r="V56" i="5"/>
  <c r="W56" i="5"/>
  <c r="V57" i="5"/>
  <c r="W57" i="5"/>
  <c r="V58" i="5"/>
  <c r="W58" i="5"/>
  <c r="V59" i="5"/>
  <c r="W59" i="5"/>
  <c r="V60" i="5"/>
  <c r="W60" i="5"/>
  <c r="V61" i="5"/>
  <c r="W61" i="5"/>
  <c r="V62" i="5"/>
  <c r="W62" i="5"/>
  <c r="V63" i="5"/>
  <c r="W63" i="5"/>
  <c r="V65" i="5"/>
  <c r="W65" i="5"/>
  <c r="V66" i="5"/>
  <c r="W66" i="5"/>
  <c r="V64" i="5"/>
  <c r="W64" i="5"/>
  <c r="V14" i="5"/>
  <c r="W14" i="5"/>
  <c r="AO139" i="5"/>
  <c r="AO140" i="5"/>
  <c r="AO141" i="5"/>
  <c r="AO142" i="5"/>
  <c r="AO143" i="5"/>
  <c r="AO144" i="5"/>
  <c r="AO145" i="5"/>
  <c r="AO146" i="5"/>
  <c r="AO147" i="5"/>
  <c r="AO148" i="5"/>
  <c r="AO149" i="5"/>
  <c r="AO150" i="5"/>
  <c r="AO151" i="5"/>
  <c r="AO152" i="5"/>
  <c r="AO153" i="5"/>
  <c r="AO154" i="5"/>
  <c r="AO155" i="5"/>
  <c r="AO156" i="5"/>
  <c r="AO157" i="5"/>
  <c r="AO158" i="5"/>
  <c r="AO159" i="5"/>
  <c r="AO160" i="5"/>
  <c r="AO161" i="5"/>
  <c r="AO162" i="5"/>
  <c r="AO163" i="5"/>
  <c r="AO164" i="5"/>
  <c r="AO165" i="5"/>
  <c r="AO166" i="5"/>
  <c r="AO167" i="5"/>
  <c r="AO168" i="5"/>
  <c r="AO169" i="5"/>
  <c r="AO170" i="5"/>
  <c r="AO171" i="5"/>
  <c r="AO172" i="5"/>
  <c r="AO173" i="5"/>
  <c r="AO174" i="5"/>
  <c r="AO175" i="5"/>
  <c r="AO176" i="5"/>
  <c r="AO177" i="5"/>
  <c r="AO178" i="5"/>
  <c r="AO179" i="5"/>
  <c r="AO180" i="5"/>
  <c r="AO181" i="5"/>
  <c r="AO182" i="5"/>
  <c r="AO183" i="5"/>
  <c r="AO184" i="5"/>
  <c r="AO185" i="5"/>
  <c r="AO186" i="5"/>
  <c r="AO187" i="5"/>
  <c r="AO189" i="5"/>
  <c r="AO190" i="5"/>
  <c r="AO188" i="5"/>
  <c r="AO191"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9" i="5"/>
  <c r="AJ190" i="5"/>
  <c r="AJ188" i="5"/>
  <c r="AJ191" i="5"/>
  <c r="AJ192"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9" i="5"/>
  <c r="AE190" i="5"/>
  <c r="AE188" i="5"/>
  <c r="AE191" i="5"/>
  <c r="AE192" i="5"/>
  <c r="H39" i="30" s="1"/>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9" i="5"/>
  <c r="Z190" i="5"/>
  <c r="Z188" i="5"/>
  <c r="Z191" i="5"/>
  <c r="Z192"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9" i="5"/>
  <c r="U190" i="5"/>
  <c r="U188" i="5"/>
  <c r="U191" i="5"/>
  <c r="U192" i="5"/>
  <c r="AO77"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O108" i="5"/>
  <c r="AO109" i="5"/>
  <c r="AO110" i="5"/>
  <c r="AO111" i="5"/>
  <c r="AO112" i="5"/>
  <c r="AO113" i="5"/>
  <c r="AO114" i="5"/>
  <c r="AO115" i="5"/>
  <c r="AO116" i="5"/>
  <c r="AO117" i="5"/>
  <c r="AO118" i="5"/>
  <c r="AO119" i="5"/>
  <c r="AO120" i="5"/>
  <c r="AO121" i="5"/>
  <c r="AO122" i="5"/>
  <c r="AO123" i="5"/>
  <c r="AO124" i="5"/>
  <c r="AO125" i="5"/>
  <c r="AO127" i="5"/>
  <c r="AO128" i="5"/>
  <c r="AO126" i="5"/>
  <c r="AO129" i="5"/>
  <c r="AO130"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7" i="5"/>
  <c r="AJ128" i="5"/>
  <c r="AJ126" i="5"/>
  <c r="AJ129" i="5"/>
  <c r="AJ130" i="5"/>
  <c r="I35" i="30" s="1"/>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7" i="5"/>
  <c r="AE128" i="5"/>
  <c r="AE126" i="5"/>
  <c r="AE129" i="5"/>
  <c r="AE130" i="5"/>
  <c r="H35" i="30" s="1"/>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7" i="5"/>
  <c r="Z128" i="5"/>
  <c r="Z126" i="5"/>
  <c r="Z129" i="5"/>
  <c r="Z130" i="5"/>
  <c r="G35" i="30" s="1"/>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7" i="5"/>
  <c r="U128" i="5"/>
  <c r="U126" i="5"/>
  <c r="U129" i="5"/>
  <c r="U130" i="5"/>
  <c r="F35" i="30" s="1"/>
  <c r="M261" i="13"/>
  <c r="M269" i="13"/>
  <c r="M285" i="13"/>
  <c r="M293" i="13"/>
  <c r="M301" i="13"/>
  <c r="M263" i="13"/>
  <c r="M279" i="13"/>
  <c r="M287" i="13"/>
  <c r="M303" i="13"/>
  <c r="F143" i="30"/>
  <c r="G143" i="30"/>
  <c r="H143" i="30"/>
  <c r="I143" i="30"/>
  <c r="J143" i="30"/>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37" i="13"/>
  <c r="W106" i="13"/>
  <c r="S106" i="13"/>
  <c r="T106" i="13" s="1"/>
  <c r="U106" i="13"/>
  <c r="O106" i="13"/>
  <c r="R106" i="13" s="1"/>
  <c r="K106" i="13"/>
  <c r="I106" i="13"/>
  <c r="G106" i="13"/>
  <c r="E10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76" i="13"/>
  <c r="M306" i="13"/>
  <c r="M298" i="13"/>
  <c r="M290" i="13"/>
  <c r="M282" i="13"/>
  <c r="M274" i="13"/>
  <c r="M266" i="13"/>
  <c r="M307" i="13"/>
  <c r="M299" i="13"/>
  <c r="M291" i="13"/>
  <c r="M283" i="13"/>
  <c r="M275" i="13"/>
  <c r="M267" i="13"/>
  <c r="M305" i="13"/>
  <c r="M297" i="13"/>
  <c r="M289" i="13"/>
  <c r="M281" i="13"/>
  <c r="M273" i="13"/>
  <c r="M265" i="13"/>
  <c r="M304" i="13"/>
  <c r="M296" i="13"/>
  <c r="M288" i="13"/>
  <c r="M280" i="13"/>
  <c r="M272" i="13"/>
  <c r="M264" i="13"/>
  <c r="M295" i="13"/>
  <c r="M271" i="13"/>
  <c r="M302" i="13"/>
  <c r="M294" i="13"/>
  <c r="M286" i="13"/>
  <c r="M278" i="13"/>
  <c r="M270" i="13"/>
  <c r="M262" i="13"/>
  <c r="M277" i="13"/>
  <c r="M308" i="13"/>
  <c r="M300" i="13"/>
  <c r="M292" i="13"/>
  <c r="M284" i="13"/>
  <c r="M276" i="13"/>
  <c r="M268" i="13"/>
  <c r="M260" i="13"/>
  <c r="C336" i="18"/>
  <c r="C344" i="18"/>
  <c r="C335" i="18"/>
  <c r="F365" i="18"/>
  <c r="D369" i="13"/>
  <c r="D368" i="13"/>
  <c r="D367" i="13"/>
  <c r="C358" i="18"/>
  <c r="D366" i="13"/>
  <c r="D365" i="13"/>
  <c r="C356" i="18"/>
  <c r="D364" i="13"/>
  <c r="D363" i="13"/>
  <c r="D362" i="13"/>
  <c r="D361" i="13"/>
  <c r="D360" i="13"/>
  <c r="D358" i="13"/>
  <c r="D357" i="13"/>
  <c r="D356" i="13"/>
  <c r="D355" i="13"/>
  <c r="D353" i="13"/>
  <c r="D352" i="13"/>
  <c r="D351" i="13"/>
  <c r="K350" i="13"/>
  <c r="I350" i="13"/>
  <c r="G350" i="13"/>
  <c r="D350" i="13"/>
  <c r="C341" i="18"/>
  <c r="D349" i="13"/>
  <c r="D348" i="13"/>
  <c r="D347" i="13"/>
  <c r="C338" i="18"/>
  <c r="D346" i="13"/>
  <c r="C337" i="18"/>
  <c r="D345" i="13"/>
  <c r="D344" i="13"/>
  <c r="D343" i="13"/>
  <c r="D342" i="13"/>
  <c r="D341" i="13"/>
  <c r="D340" i="13"/>
  <c r="C331" i="18"/>
  <c r="D339" i="13"/>
  <c r="C330" i="18"/>
  <c r="D338" i="13"/>
  <c r="D337" i="13"/>
  <c r="D336" i="13"/>
  <c r="D335" i="13"/>
  <c r="D333" i="13"/>
  <c r="C324" i="18"/>
  <c r="D332" i="13"/>
  <c r="D331" i="13"/>
  <c r="D330" i="13"/>
  <c r="C321" i="18"/>
  <c r="D329" i="13"/>
  <c r="D328" i="13"/>
  <c r="D327" i="13"/>
  <c r="D326" i="13"/>
  <c r="D325" i="13"/>
  <c r="D324" i="13"/>
  <c r="C315" i="18"/>
  <c r="D323" i="13"/>
  <c r="D322" i="13"/>
  <c r="D321" i="13"/>
  <c r="F343" i="18"/>
  <c r="D359" i="18"/>
  <c r="C347" i="18"/>
  <c r="C325" i="18"/>
  <c r="F350" i="18"/>
  <c r="E350" i="18"/>
  <c r="C359" i="18"/>
  <c r="D365" i="18"/>
  <c r="C361" i="18"/>
  <c r="E325" i="18"/>
  <c r="E350" i="13"/>
  <c r="E359" i="18"/>
  <c r="E344" i="18"/>
  <c r="C364" i="18"/>
  <c r="AG382" i="6"/>
  <c r="J81" i="30" s="1"/>
  <c r="AD382" i="6"/>
  <c r="I81" i="30" s="1"/>
  <c r="AA382" i="6"/>
  <c r="X382" i="6"/>
  <c r="G81" i="30" s="1"/>
  <c r="U382" i="6"/>
  <c r="P382" i="6"/>
  <c r="O382" i="6"/>
  <c r="I80" i="1" s="1"/>
  <c r="M382" i="6"/>
  <c r="L382" i="6"/>
  <c r="H80" i="1" s="1"/>
  <c r="J382" i="6"/>
  <c r="I382" i="6"/>
  <c r="G382" i="6"/>
  <c r="F382" i="6"/>
  <c r="E382" i="6"/>
  <c r="S382" i="6" s="1"/>
  <c r="D382" i="6"/>
  <c r="AJ381" i="6"/>
  <c r="V381" i="6"/>
  <c r="W381" i="6" s="1"/>
  <c r="S381" i="6"/>
  <c r="R381" i="6"/>
  <c r="Q381" i="6"/>
  <c r="N381" i="6"/>
  <c r="K381" i="6"/>
  <c r="H381" i="6"/>
  <c r="AJ380" i="6"/>
  <c r="V380" i="6"/>
  <c r="Y380" i="6" s="1"/>
  <c r="S380" i="6"/>
  <c r="R380" i="6"/>
  <c r="Q380" i="6"/>
  <c r="N380" i="6"/>
  <c r="K380" i="6"/>
  <c r="H380" i="6"/>
  <c r="AJ379" i="6"/>
  <c r="V379" i="6"/>
  <c r="Y379" i="6" s="1"/>
  <c r="S379" i="6"/>
  <c r="R379" i="6"/>
  <c r="Q379" i="6"/>
  <c r="N379" i="6"/>
  <c r="K379" i="6"/>
  <c r="H379" i="6"/>
  <c r="AJ378" i="6"/>
  <c r="V378" i="6"/>
  <c r="W378" i="6" s="1"/>
  <c r="S378" i="6"/>
  <c r="R378" i="6"/>
  <c r="Q378" i="6"/>
  <c r="N378" i="6"/>
  <c r="K378" i="6"/>
  <c r="H378" i="6"/>
  <c r="AJ377" i="6"/>
  <c r="V377" i="6"/>
  <c r="W377" i="6" s="1"/>
  <c r="S377" i="6"/>
  <c r="R377" i="6"/>
  <c r="Q377" i="6"/>
  <c r="N377" i="6"/>
  <c r="K377" i="6"/>
  <c r="H377" i="6"/>
  <c r="AJ376" i="6"/>
  <c r="V376" i="6"/>
  <c r="Y376" i="6" s="1"/>
  <c r="S376" i="6"/>
  <c r="R376" i="6"/>
  <c r="Q376" i="6"/>
  <c r="N376" i="6"/>
  <c r="K376" i="6"/>
  <c r="H376" i="6"/>
  <c r="AJ375" i="6"/>
  <c r="V375" i="6"/>
  <c r="W375" i="6" s="1"/>
  <c r="S375" i="6"/>
  <c r="R375" i="6"/>
  <c r="Q375" i="6"/>
  <c r="N375" i="6"/>
  <c r="K375" i="6"/>
  <c r="H375" i="6"/>
  <c r="AJ374" i="6"/>
  <c r="V374" i="6"/>
  <c r="Y374" i="6" s="1"/>
  <c r="S374" i="6"/>
  <c r="R374" i="6"/>
  <c r="Q374" i="6"/>
  <c r="N374" i="6"/>
  <c r="K374" i="6"/>
  <c r="H374" i="6"/>
  <c r="AJ373" i="6"/>
  <c r="V373" i="6"/>
  <c r="Y373" i="6" s="1"/>
  <c r="S373" i="6"/>
  <c r="R373" i="6"/>
  <c r="Q373" i="6"/>
  <c r="N373" i="6"/>
  <c r="K373" i="6"/>
  <c r="H373" i="6"/>
  <c r="AJ372" i="6"/>
  <c r="V372" i="6"/>
  <c r="Y372" i="6" s="1"/>
  <c r="S372" i="6"/>
  <c r="R372" i="6"/>
  <c r="Q372" i="6"/>
  <c r="N372" i="6"/>
  <c r="K372" i="6"/>
  <c r="H372" i="6"/>
  <c r="AJ371" i="6"/>
  <c r="V371" i="6"/>
  <c r="W371" i="6" s="1"/>
  <c r="S371" i="6"/>
  <c r="R371" i="6"/>
  <c r="Q371" i="6"/>
  <c r="N371" i="6"/>
  <c r="K371" i="6"/>
  <c r="H371" i="6"/>
  <c r="AJ370" i="6"/>
  <c r="V370" i="6"/>
  <c r="Y370" i="6" s="1"/>
  <c r="AB370" i="6" s="1"/>
  <c r="S370" i="6"/>
  <c r="R370" i="6"/>
  <c r="Q370" i="6"/>
  <c r="N370" i="6"/>
  <c r="K370" i="6"/>
  <c r="H370" i="6"/>
  <c r="AJ369" i="6"/>
  <c r="V369" i="6"/>
  <c r="Y369" i="6" s="1"/>
  <c r="S369" i="6"/>
  <c r="R369" i="6"/>
  <c r="Q369" i="6"/>
  <c r="N369" i="6"/>
  <c r="K369" i="6"/>
  <c r="H369" i="6"/>
  <c r="AJ368" i="6"/>
  <c r="V368" i="6"/>
  <c r="Y368" i="6" s="1"/>
  <c r="S368" i="6"/>
  <c r="R368" i="6"/>
  <c r="Q368" i="6"/>
  <c r="N368" i="6"/>
  <c r="K368" i="6"/>
  <c r="H368" i="6"/>
  <c r="AJ367" i="6"/>
  <c r="V367" i="6"/>
  <c r="Y367" i="6" s="1"/>
  <c r="S367" i="6"/>
  <c r="R367" i="6"/>
  <c r="Q367" i="6"/>
  <c r="N367" i="6"/>
  <c r="K367" i="6"/>
  <c r="H367" i="6"/>
  <c r="AJ366" i="6"/>
  <c r="V366" i="6"/>
  <c r="Y366" i="6" s="1"/>
  <c r="S366" i="6"/>
  <c r="R366" i="6"/>
  <c r="Q366" i="6"/>
  <c r="N366" i="6"/>
  <c r="K366" i="6"/>
  <c r="H366" i="6"/>
  <c r="AJ365" i="6"/>
  <c r="V365" i="6"/>
  <c r="W365" i="6" s="1"/>
  <c r="S365" i="6"/>
  <c r="R365" i="6"/>
  <c r="Q365" i="6"/>
  <c r="N365" i="6"/>
  <c r="K365" i="6"/>
  <c r="H365" i="6"/>
  <c r="AJ364" i="6"/>
  <c r="V364" i="6"/>
  <c r="Y364" i="6" s="1"/>
  <c r="AB364" i="6" s="1"/>
  <c r="S364" i="6"/>
  <c r="R364" i="6"/>
  <c r="Q364" i="6"/>
  <c r="N364" i="6"/>
  <c r="K364" i="6"/>
  <c r="H364" i="6"/>
  <c r="AJ363" i="6"/>
  <c r="V363" i="6"/>
  <c r="Y363" i="6" s="1"/>
  <c r="AB363" i="6" s="1"/>
  <c r="S363" i="6"/>
  <c r="R363" i="6"/>
  <c r="Q363" i="6"/>
  <c r="N363" i="6"/>
  <c r="K363" i="6"/>
  <c r="H363" i="6"/>
  <c r="AJ362" i="6"/>
  <c r="V362" i="6"/>
  <c r="Y362" i="6" s="1"/>
  <c r="S362" i="6"/>
  <c r="R362" i="6"/>
  <c r="Q362" i="6"/>
  <c r="N362" i="6"/>
  <c r="K362" i="6"/>
  <c r="H362" i="6"/>
  <c r="AJ361" i="6"/>
  <c r="V361" i="6"/>
  <c r="W361" i="6" s="1"/>
  <c r="S361" i="6"/>
  <c r="R361" i="6"/>
  <c r="Q361" i="6"/>
  <c r="N361" i="6"/>
  <c r="K361" i="6"/>
  <c r="H361" i="6"/>
  <c r="AJ360" i="6"/>
  <c r="V360" i="6"/>
  <c r="Y360" i="6" s="1"/>
  <c r="S360" i="6"/>
  <c r="R360" i="6"/>
  <c r="Q360" i="6"/>
  <c r="N360" i="6"/>
  <c r="K360" i="6"/>
  <c r="H360" i="6"/>
  <c r="AJ359" i="6"/>
  <c r="V359" i="6"/>
  <c r="Y359" i="6" s="1"/>
  <c r="AB359" i="6" s="1"/>
  <c r="S359" i="6"/>
  <c r="R359" i="6"/>
  <c r="Q359" i="6"/>
  <c r="N359" i="6"/>
  <c r="K359" i="6"/>
  <c r="H359" i="6"/>
  <c r="AJ358" i="6"/>
  <c r="V358" i="6"/>
  <c r="Y358" i="6" s="1"/>
  <c r="S358" i="6"/>
  <c r="R358" i="6"/>
  <c r="Q358" i="6"/>
  <c r="N358" i="6"/>
  <c r="K358" i="6"/>
  <c r="H358" i="6"/>
  <c r="AJ357" i="6"/>
  <c r="V357" i="6"/>
  <c r="W357" i="6" s="1"/>
  <c r="S357" i="6"/>
  <c r="R357" i="6"/>
  <c r="Q357" i="6"/>
  <c r="N357" i="6"/>
  <c r="K357" i="6"/>
  <c r="H357" i="6"/>
  <c r="AJ356" i="6"/>
  <c r="V356" i="6"/>
  <c r="Y356" i="6" s="1"/>
  <c r="S356" i="6"/>
  <c r="R356" i="6"/>
  <c r="Q356" i="6"/>
  <c r="N356" i="6"/>
  <c r="K356" i="6"/>
  <c r="H356" i="6"/>
  <c r="AJ355" i="6"/>
  <c r="V355" i="6"/>
  <c r="Y355" i="6" s="1"/>
  <c r="AB355" i="6" s="1"/>
  <c r="S355" i="6"/>
  <c r="R355" i="6"/>
  <c r="Q355" i="6"/>
  <c r="N355" i="6"/>
  <c r="K355" i="6"/>
  <c r="H355" i="6"/>
  <c r="AJ354" i="6"/>
  <c r="V354" i="6"/>
  <c r="Y354" i="6" s="1"/>
  <c r="AB354" i="6" s="1"/>
  <c r="S354" i="6"/>
  <c r="R354" i="6"/>
  <c r="Q354" i="6"/>
  <c r="N354" i="6"/>
  <c r="K354" i="6"/>
  <c r="H354" i="6"/>
  <c r="AJ353" i="6"/>
  <c r="V353" i="6"/>
  <c r="W353" i="6" s="1"/>
  <c r="S353" i="6"/>
  <c r="R353" i="6"/>
  <c r="Q353" i="6"/>
  <c r="N353" i="6"/>
  <c r="K353" i="6"/>
  <c r="H353" i="6"/>
  <c r="AJ352" i="6"/>
  <c r="V352" i="6"/>
  <c r="Y352" i="6" s="1"/>
  <c r="AB352" i="6" s="1"/>
  <c r="S352" i="6"/>
  <c r="R352" i="6"/>
  <c r="Q352" i="6"/>
  <c r="N352" i="6"/>
  <c r="K352" i="6"/>
  <c r="H352" i="6"/>
  <c r="AJ351" i="6"/>
  <c r="V351" i="6"/>
  <c r="Y351" i="6" s="1"/>
  <c r="AB351" i="6" s="1"/>
  <c r="S351" i="6"/>
  <c r="R351" i="6"/>
  <c r="Q351" i="6"/>
  <c r="N351" i="6"/>
  <c r="K351" i="6"/>
  <c r="H351" i="6"/>
  <c r="AJ350" i="6"/>
  <c r="V350" i="6"/>
  <c r="Y350" i="6" s="1"/>
  <c r="S350" i="6"/>
  <c r="R350" i="6"/>
  <c r="Q350" i="6"/>
  <c r="N350" i="6"/>
  <c r="K350" i="6"/>
  <c r="H350" i="6"/>
  <c r="AJ349" i="6"/>
  <c r="V349" i="6"/>
  <c r="Y349" i="6" s="1"/>
  <c r="AB349" i="6" s="1"/>
  <c r="S349" i="6"/>
  <c r="R349" i="6"/>
  <c r="Q349" i="6"/>
  <c r="N349" i="6"/>
  <c r="K349" i="6"/>
  <c r="H349" i="6"/>
  <c r="AJ348" i="6"/>
  <c r="V348" i="6"/>
  <c r="Y348" i="6" s="1"/>
  <c r="S348" i="6"/>
  <c r="R348" i="6"/>
  <c r="Q348" i="6"/>
  <c r="N348" i="6"/>
  <c r="K348" i="6"/>
  <c r="H348" i="6"/>
  <c r="AJ347" i="6"/>
  <c r="V347" i="6"/>
  <c r="Y347" i="6" s="1"/>
  <c r="S347" i="6"/>
  <c r="R347" i="6"/>
  <c r="Q347" i="6"/>
  <c r="N347" i="6"/>
  <c r="K347" i="6"/>
  <c r="H347" i="6"/>
  <c r="AJ346" i="6"/>
  <c r="V346" i="6"/>
  <c r="Y346" i="6" s="1"/>
  <c r="S346" i="6"/>
  <c r="R346" i="6"/>
  <c r="Q346" i="6"/>
  <c r="N346" i="6"/>
  <c r="K346" i="6"/>
  <c r="H346" i="6"/>
  <c r="AJ345" i="6"/>
  <c r="V345" i="6"/>
  <c r="W345" i="6" s="1"/>
  <c r="S345" i="6"/>
  <c r="R345" i="6"/>
  <c r="Q345" i="6"/>
  <c r="N345" i="6"/>
  <c r="K345" i="6"/>
  <c r="H345" i="6"/>
  <c r="AJ344" i="6"/>
  <c r="V344" i="6"/>
  <c r="W344" i="6" s="1"/>
  <c r="S344" i="6"/>
  <c r="R344" i="6"/>
  <c r="Q344" i="6"/>
  <c r="N344" i="6"/>
  <c r="K344" i="6"/>
  <c r="H344" i="6"/>
  <c r="AJ343" i="6"/>
  <c r="V343" i="6"/>
  <c r="Y343" i="6" s="1"/>
  <c r="S343" i="6"/>
  <c r="R343" i="6"/>
  <c r="Q343" i="6"/>
  <c r="N343" i="6"/>
  <c r="K343" i="6"/>
  <c r="H343" i="6"/>
  <c r="AJ342" i="6"/>
  <c r="V342" i="6"/>
  <c r="Y342" i="6" s="1"/>
  <c r="S342" i="6"/>
  <c r="R342" i="6"/>
  <c r="Q342" i="6"/>
  <c r="N342" i="6"/>
  <c r="K342" i="6"/>
  <c r="H342" i="6"/>
  <c r="AJ341" i="6"/>
  <c r="V341" i="6"/>
  <c r="Y341" i="6" s="1"/>
  <c r="S341" i="6"/>
  <c r="R341" i="6"/>
  <c r="Q341" i="6"/>
  <c r="N341" i="6"/>
  <c r="K341" i="6"/>
  <c r="H341" i="6"/>
  <c r="AJ340" i="6"/>
  <c r="V340" i="6"/>
  <c r="Y340" i="6" s="1"/>
  <c r="S340" i="6"/>
  <c r="R340" i="6"/>
  <c r="Q340" i="6"/>
  <c r="N340" i="6"/>
  <c r="K340" i="6"/>
  <c r="H340" i="6"/>
  <c r="AJ339" i="6"/>
  <c r="V339" i="6"/>
  <c r="Y339" i="6" s="1"/>
  <c r="S339" i="6"/>
  <c r="R339" i="6"/>
  <c r="Q339" i="6"/>
  <c r="N339" i="6"/>
  <c r="K339" i="6"/>
  <c r="H339" i="6"/>
  <c r="AJ338" i="6"/>
  <c r="V338" i="6"/>
  <c r="W338" i="6" s="1"/>
  <c r="S338" i="6"/>
  <c r="R338" i="6"/>
  <c r="Q338" i="6"/>
  <c r="N338" i="6"/>
  <c r="K338" i="6"/>
  <c r="H338" i="6"/>
  <c r="AJ337" i="6"/>
  <c r="V337" i="6"/>
  <c r="W337" i="6" s="1"/>
  <c r="S337" i="6"/>
  <c r="R337" i="6"/>
  <c r="Q337" i="6"/>
  <c r="N337" i="6"/>
  <c r="K337" i="6"/>
  <c r="H337" i="6"/>
  <c r="AJ336" i="6"/>
  <c r="V336" i="6"/>
  <c r="W336" i="6" s="1"/>
  <c r="S336" i="6"/>
  <c r="R336" i="6"/>
  <c r="Q336" i="6"/>
  <c r="N336" i="6"/>
  <c r="K336" i="6"/>
  <c r="H336" i="6"/>
  <c r="AJ335" i="6"/>
  <c r="V335" i="6"/>
  <c r="Y335" i="6" s="1"/>
  <c r="AB335" i="6" s="1"/>
  <c r="S335" i="6"/>
  <c r="R335" i="6"/>
  <c r="Q335" i="6"/>
  <c r="N335" i="6"/>
  <c r="K335" i="6"/>
  <c r="H335" i="6"/>
  <c r="AJ334" i="6"/>
  <c r="V334" i="6"/>
  <c r="W334" i="6" s="1"/>
  <c r="S334" i="6"/>
  <c r="R334" i="6"/>
  <c r="Q334" i="6"/>
  <c r="N334" i="6"/>
  <c r="K334" i="6"/>
  <c r="H334" i="6"/>
  <c r="AJ333" i="6"/>
  <c r="V333" i="6"/>
  <c r="Y333" i="6" s="1"/>
  <c r="AB333" i="6" s="1"/>
  <c r="S333" i="6"/>
  <c r="R333" i="6"/>
  <c r="Q333" i="6"/>
  <c r="N333" i="6"/>
  <c r="K333" i="6"/>
  <c r="H333" i="6"/>
  <c r="AJ332" i="6"/>
  <c r="V332" i="6"/>
  <c r="Y332" i="6" s="1"/>
  <c r="S332" i="6"/>
  <c r="R332" i="6"/>
  <c r="Q332" i="6"/>
  <c r="N332" i="6"/>
  <c r="K332" i="6"/>
  <c r="H332" i="6"/>
  <c r="AJ331" i="6"/>
  <c r="V331" i="6"/>
  <c r="W331" i="6" s="1"/>
  <c r="S331" i="6"/>
  <c r="R331" i="6"/>
  <c r="Q331" i="6"/>
  <c r="N331" i="6"/>
  <c r="K331" i="6"/>
  <c r="H331" i="6"/>
  <c r="AJ330" i="6"/>
  <c r="V330" i="6"/>
  <c r="W330" i="6" s="1"/>
  <c r="S330" i="6"/>
  <c r="R330" i="6"/>
  <c r="Q330" i="6"/>
  <c r="N330" i="6"/>
  <c r="K330" i="6"/>
  <c r="H330" i="6"/>
  <c r="AJ329" i="6"/>
  <c r="V329" i="6"/>
  <c r="Y329" i="6" s="1"/>
  <c r="S329" i="6"/>
  <c r="R329" i="6"/>
  <c r="Q329" i="6"/>
  <c r="N329" i="6"/>
  <c r="K329" i="6"/>
  <c r="H329" i="6"/>
  <c r="V328" i="6"/>
  <c r="S328" i="6"/>
  <c r="R328" i="6"/>
  <c r="Q328" i="6"/>
  <c r="N328" i="6"/>
  <c r="K328" i="6"/>
  <c r="H328" i="6"/>
  <c r="P321" i="6"/>
  <c r="O321" i="6"/>
  <c r="M321" i="6"/>
  <c r="L321" i="6"/>
  <c r="J321" i="6"/>
  <c r="I321" i="6"/>
  <c r="G321" i="6"/>
  <c r="F321" i="6"/>
  <c r="R321" i="6" s="1"/>
  <c r="E321" i="6"/>
  <c r="S321" i="6" s="1"/>
  <c r="D321" i="6"/>
  <c r="AJ320" i="6"/>
  <c r="V320" i="6"/>
  <c r="Y320" i="6" s="1"/>
  <c r="S320" i="6"/>
  <c r="R320" i="6"/>
  <c r="Q320" i="6"/>
  <c r="N320" i="6"/>
  <c r="K320" i="6"/>
  <c r="H320" i="6"/>
  <c r="AJ319" i="6"/>
  <c r="V319" i="6"/>
  <c r="W319" i="6" s="1"/>
  <c r="S319" i="6"/>
  <c r="R319" i="6"/>
  <c r="Q319" i="6"/>
  <c r="N319" i="6"/>
  <c r="K319" i="6"/>
  <c r="H319" i="6"/>
  <c r="AJ318" i="6"/>
  <c r="V318" i="6"/>
  <c r="W318" i="6" s="1"/>
  <c r="S318" i="6"/>
  <c r="R318" i="6"/>
  <c r="Q318" i="6"/>
  <c r="N318" i="6"/>
  <c r="K318" i="6"/>
  <c r="H318" i="6"/>
  <c r="AJ317" i="6"/>
  <c r="V317" i="6"/>
  <c r="W317" i="6" s="1"/>
  <c r="S317" i="6"/>
  <c r="R317" i="6"/>
  <c r="Q317" i="6"/>
  <c r="N317" i="6"/>
  <c r="K317" i="6"/>
  <c r="H317" i="6"/>
  <c r="AJ316" i="6"/>
  <c r="V316" i="6"/>
  <c r="Y316" i="6" s="1"/>
  <c r="S316" i="6"/>
  <c r="R316" i="6"/>
  <c r="Q316" i="6"/>
  <c r="N316" i="6"/>
  <c r="K316" i="6"/>
  <c r="H316" i="6"/>
  <c r="AJ315" i="6"/>
  <c r="V315" i="6"/>
  <c r="W315" i="6" s="1"/>
  <c r="S315" i="6"/>
  <c r="R315" i="6"/>
  <c r="Q315" i="6"/>
  <c r="N315" i="6"/>
  <c r="K315" i="6"/>
  <c r="H315" i="6"/>
  <c r="AJ314" i="6"/>
  <c r="V314" i="6"/>
  <c r="W314" i="6" s="1"/>
  <c r="S314" i="6"/>
  <c r="R314" i="6"/>
  <c r="Q314" i="6"/>
  <c r="N314" i="6"/>
  <c r="K314" i="6"/>
  <c r="H314" i="6"/>
  <c r="AJ313" i="6"/>
  <c r="V313" i="6"/>
  <c r="W313" i="6" s="1"/>
  <c r="S313" i="6"/>
  <c r="R313" i="6"/>
  <c r="Q313" i="6"/>
  <c r="N313" i="6"/>
  <c r="K313" i="6"/>
  <c r="H313" i="6"/>
  <c r="AJ312" i="6"/>
  <c r="V312" i="6"/>
  <c r="W312" i="6" s="1"/>
  <c r="S312" i="6"/>
  <c r="R312" i="6"/>
  <c r="Q312" i="6"/>
  <c r="N312" i="6"/>
  <c r="K312" i="6"/>
  <c r="H312" i="6"/>
  <c r="AJ311" i="6"/>
  <c r="V311" i="6"/>
  <c r="W311" i="6" s="1"/>
  <c r="S311" i="6"/>
  <c r="R311" i="6"/>
  <c r="Q311" i="6"/>
  <c r="N311" i="6"/>
  <c r="K311" i="6"/>
  <c r="H311" i="6"/>
  <c r="AJ310" i="6"/>
  <c r="V310" i="6"/>
  <c r="Y310" i="6" s="1"/>
  <c r="S310" i="6"/>
  <c r="R310" i="6"/>
  <c r="Q310" i="6"/>
  <c r="N310" i="6"/>
  <c r="K310" i="6"/>
  <c r="H310" i="6"/>
  <c r="AJ309" i="6"/>
  <c r="V309" i="6"/>
  <c r="S309" i="6"/>
  <c r="R309" i="6"/>
  <c r="Q309" i="6"/>
  <c r="N309" i="6"/>
  <c r="K309" i="6"/>
  <c r="H309" i="6"/>
  <c r="AJ308" i="6"/>
  <c r="V308" i="6"/>
  <c r="W308" i="6" s="1"/>
  <c r="S308" i="6"/>
  <c r="R308" i="6"/>
  <c r="Q308" i="6"/>
  <c r="N308" i="6"/>
  <c r="K308" i="6"/>
  <c r="H308" i="6"/>
  <c r="AJ307" i="6"/>
  <c r="V307" i="6"/>
  <c r="W307" i="6" s="1"/>
  <c r="S307" i="6"/>
  <c r="R307" i="6"/>
  <c r="Q307" i="6"/>
  <c r="N307" i="6"/>
  <c r="K307" i="6"/>
  <c r="H307" i="6"/>
  <c r="AJ306" i="6"/>
  <c r="V306" i="6"/>
  <c r="S306" i="6"/>
  <c r="R306" i="6"/>
  <c r="Q306" i="6"/>
  <c r="N306" i="6"/>
  <c r="K306" i="6"/>
  <c r="H306" i="6"/>
  <c r="AJ305" i="6"/>
  <c r="V305" i="6"/>
  <c r="Y305" i="6" s="1"/>
  <c r="S305" i="6"/>
  <c r="R305" i="6"/>
  <c r="Q305" i="6"/>
  <c r="N305" i="6"/>
  <c r="K305" i="6"/>
  <c r="H305" i="6"/>
  <c r="AJ304" i="6"/>
  <c r="V304" i="6"/>
  <c r="W304" i="6" s="1"/>
  <c r="S304" i="6"/>
  <c r="R304" i="6"/>
  <c r="Q304" i="6"/>
  <c r="N304" i="6"/>
  <c r="K304" i="6"/>
  <c r="H304" i="6"/>
  <c r="AJ303" i="6"/>
  <c r="V303" i="6"/>
  <c r="Y303" i="6" s="1"/>
  <c r="Z303" i="6" s="1"/>
  <c r="S303" i="6"/>
  <c r="R303" i="6"/>
  <c r="Q303" i="6"/>
  <c r="N303" i="6"/>
  <c r="K303" i="6"/>
  <c r="H303" i="6"/>
  <c r="AJ302" i="6"/>
  <c r="V302" i="6"/>
  <c r="Y302" i="6" s="1"/>
  <c r="S302" i="6"/>
  <c r="R302" i="6"/>
  <c r="Q302" i="6"/>
  <c r="N302" i="6"/>
  <c r="K302" i="6"/>
  <c r="H302" i="6"/>
  <c r="AJ301" i="6"/>
  <c r="V301" i="6"/>
  <c r="W301" i="6" s="1"/>
  <c r="S301" i="6"/>
  <c r="R301" i="6"/>
  <c r="Q301" i="6"/>
  <c r="N301" i="6"/>
  <c r="K301" i="6"/>
  <c r="H301" i="6"/>
  <c r="AJ300" i="6"/>
  <c r="V300" i="6"/>
  <c r="Y300" i="6" s="1"/>
  <c r="S300" i="6"/>
  <c r="R300" i="6"/>
  <c r="Q300" i="6"/>
  <c r="N300" i="6"/>
  <c r="K300" i="6"/>
  <c r="H300" i="6"/>
  <c r="AJ299" i="6"/>
  <c r="V299" i="6"/>
  <c r="Y299" i="6" s="1"/>
  <c r="S299" i="6"/>
  <c r="R299" i="6"/>
  <c r="Q299" i="6"/>
  <c r="N299" i="6"/>
  <c r="K299" i="6"/>
  <c r="H299" i="6"/>
  <c r="AJ298" i="6"/>
  <c r="V298" i="6"/>
  <c r="Y298" i="6" s="1"/>
  <c r="S298" i="6"/>
  <c r="R298" i="6"/>
  <c r="Q298" i="6"/>
  <c r="N298" i="6"/>
  <c r="K298" i="6"/>
  <c r="H298" i="6"/>
  <c r="AJ297" i="6"/>
  <c r="V297" i="6"/>
  <c r="W297" i="6" s="1"/>
  <c r="S297" i="6"/>
  <c r="R297" i="6"/>
  <c r="Q297" i="6"/>
  <c r="N297" i="6"/>
  <c r="K297" i="6"/>
  <c r="H297" i="6"/>
  <c r="AJ296" i="6"/>
  <c r="V296" i="6"/>
  <c r="W296" i="6" s="1"/>
  <c r="S296" i="6"/>
  <c r="R296" i="6"/>
  <c r="Q296" i="6"/>
  <c r="N296" i="6"/>
  <c r="K296" i="6"/>
  <c r="H296" i="6"/>
  <c r="AJ295" i="6"/>
  <c r="V295" i="6"/>
  <c r="W295" i="6" s="1"/>
  <c r="S295" i="6"/>
  <c r="R295" i="6"/>
  <c r="Q295" i="6"/>
  <c r="N295" i="6"/>
  <c r="K295" i="6"/>
  <c r="H295" i="6"/>
  <c r="AJ294" i="6"/>
  <c r="V294" i="6"/>
  <c r="Y294" i="6" s="1"/>
  <c r="S294" i="6"/>
  <c r="R294" i="6"/>
  <c r="Q294" i="6"/>
  <c r="N294" i="6"/>
  <c r="K294" i="6"/>
  <c r="H294" i="6"/>
  <c r="AJ293" i="6"/>
  <c r="V293" i="6"/>
  <c r="W293" i="6" s="1"/>
  <c r="S293" i="6"/>
  <c r="R293" i="6"/>
  <c r="Q293" i="6"/>
  <c r="N293" i="6"/>
  <c r="K293" i="6"/>
  <c r="H293" i="6"/>
  <c r="AJ292" i="6"/>
  <c r="V292" i="6"/>
  <c r="Y292" i="6" s="1"/>
  <c r="S292" i="6"/>
  <c r="R292" i="6"/>
  <c r="Q292" i="6"/>
  <c r="N292" i="6"/>
  <c r="K292" i="6"/>
  <c r="H292" i="6"/>
  <c r="AJ291" i="6"/>
  <c r="V291" i="6"/>
  <c r="Y291" i="6" s="1"/>
  <c r="S291" i="6"/>
  <c r="R291" i="6"/>
  <c r="Q291" i="6"/>
  <c r="N291" i="6"/>
  <c r="K291" i="6"/>
  <c r="H291" i="6"/>
  <c r="AJ290" i="6"/>
  <c r="V290" i="6"/>
  <c r="Y290" i="6" s="1"/>
  <c r="S290" i="6"/>
  <c r="R290" i="6"/>
  <c r="Q290" i="6"/>
  <c r="N290" i="6"/>
  <c r="K290" i="6"/>
  <c r="H290" i="6"/>
  <c r="AJ289" i="6"/>
  <c r="V289" i="6"/>
  <c r="Y289" i="6" s="1"/>
  <c r="AB289" i="6" s="1"/>
  <c r="S289" i="6"/>
  <c r="R289" i="6"/>
  <c r="Q289" i="6"/>
  <c r="N289" i="6"/>
  <c r="K289" i="6"/>
  <c r="H289" i="6"/>
  <c r="AJ288" i="6"/>
  <c r="V288" i="6"/>
  <c r="W288" i="6" s="1"/>
  <c r="S288" i="6"/>
  <c r="R288" i="6"/>
  <c r="Q288" i="6"/>
  <c r="N288" i="6"/>
  <c r="K288" i="6"/>
  <c r="H288" i="6"/>
  <c r="AJ287" i="6"/>
  <c r="V287" i="6"/>
  <c r="Y287" i="6" s="1"/>
  <c r="S287" i="6"/>
  <c r="R287" i="6"/>
  <c r="Q287" i="6"/>
  <c r="N287" i="6"/>
  <c r="K287" i="6"/>
  <c r="H287" i="6"/>
  <c r="AJ286" i="6"/>
  <c r="V286" i="6"/>
  <c r="W286" i="6" s="1"/>
  <c r="S286" i="6"/>
  <c r="R286" i="6"/>
  <c r="Q286" i="6"/>
  <c r="N286" i="6"/>
  <c r="K286" i="6"/>
  <c r="H286" i="6"/>
  <c r="AJ285" i="6"/>
  <c r="V285" i="6"/>
  <c r="W285" i="6" s="1"/>
  <c r="S285" i="6"/>
  <c r="R285" i="6"/>
  <c r="Q285" i="6"/>
  <c r="N285" i="6"/>
  <c r="K285" i="6"/>
  <c r="H285" i="6"/>
  <c r="AJ284" i="6"/>
  <c r="V284" i="6"/>
  <c r="W284" i="6" s="1"/>
  <c r="S284" i="6"/>
  <c r="R284" i="6"/>
  <c r="Q284" i="6"/>
  <c r="N284" i="6"/>
  <c r="K284" i="6"/>
  <c r="H284" i="6"/>
  <c r="AJ283" i="6"/>
  <c r="V283" i="6"/>
  <c r="Y283" i="6" s="1"/>
  <c r="S283" i="6"/>
  <c r="R283" i="6"/>
  <c r="Q283" i="6"/>
  <c r="N283" i="6"/>
  <c r="K283" i="6"/>
  <c r="H283" i="6"/>
  <c r="AJ282" i="6"/>
  <c r="V282" i="6"/>
  <c r="Y282" i="6" s="1"/>
  <c r="S282" i="6"/>
  <c r="R282" i="6"/>
  <c r="Q282" i="6"/>
  <c r="N282" i="6"/>
  <c r="K282" i="6"/>
  <c r="H282" i="6"/>
  <c r="AJ281" i="6"/>
  <c r="V281" i="6"/>
  <c r="W281" i="6" s="1"/>
  <c r="S281" i="6"/>
  <c r="R281" i="6"/>
  <c r="Q281" i="6"/>
  <c r="N281" i="6"/>
  <c r="K281" i="6"/>
  <c r="H281" i="6"/>
  <c r="AJ280" i="6"/>
  <c r="V280" i="6"/>
  <c r="Y280" i="6" s="1"/>
  <c r="S280" i="6"/>
  <c r="R280" i="6"/>
  <c r="Q280" i="6"/>
  <c r="N280" i="6"/>
  <c r="K280" i="6"/>
  <c r="H280" i="6"/>
  <c r="AJ279" i="6"/>
  <c r="V279" i="6"/>
  <c r="Y279" i="6" s="1"/>
  <c r="S279" i="6"/>
  <c r="R279" i="6"/>
  <c r="Q279" i="6"/>
  <c r="N279" i="6"/>
  <c r="K279" i="6"/>
  <c r="H279" i="6"/>
  <c r="AJ278" i="6"/>
  <c r="V278" i="6"/>
  <c r="W278" i="6" s="1"/>
  <c r="S278" i="6"/>
  <c r="R278" i="6"/>
  <c r="Q278" i="6"/>
  <c r="N278" i="6"/>
  <c r="K278" i="6"/>
  <c r="H278" i="6"/>
  <c r="AJ277" i="6"/>
  <c r="V277" i="6"/>
  <c r="W277" i="6" s="1"/>
  <c r="S277" i="6"/>
  <c r="R277" i="6"/>
  <c r="Q277" i="6"/>
  <c r="N277" i="6"/>
  <c r="K277" i="6"/>
  <c r="H277" i="6"/>
  <c r="AJ276" i="6"/>
  <c r="V276" i="6"/>
  <c r="W276" i="6" s="1"/>
  <c r="S276" i="6"/>
  <c r="R276" i="6"/>
  <c r="Q276" i="6"/>
  <c r="N276" i="6"/>
  <c r="K276" i="6"/>
  <c r="H276" i="6"/>
  <c r="AJ275" i="6"/>
  <c r="V275" i="6"/>
  <c r="Y275" i="6" s="1"/>
  <c r="S275" i="6"/>
  <c r="R275" i="6"/>
  <c r="Q275" i="6"/>
  <c r="N275" i="6"/>
  <c r="K275" i="6"/>
  <c r="H275" i="6"/>
  <c r="AJ274" i="6"/>
  <c r="V274" i="6"/>
  <c r="W274" i="6" s="1"/>
  <c r="S274" i="6"/>
  <c r="R274" i="6"/>
  <c r="Q274" i="6"/>
  <c r="N274" i="6"/>
  <c r="K274" i="6"/>
  <c r="H274" i="6"/>
  <c r="AJ273" i="6"/>
  <c r="V273" i="6"/>
  <c r="Y273" i="6" s="1"/>
  <c r="S273" i="6"/>
  <c r="R273" i="6"/>
  <c r="Q273" i="6"/>
  <c r="N273" i="6"/>
  <c r="K273" i="6"/>
  <c r="H273" i="6"/>
  <c r="AJ272" i="6"/>
  <c r="V272" i="6"/>
  <c r="W272" i="6" s="1"/>
  <c r="S272" i="6"/>
  <c r="R272" i="6"/>
  <c r="Q272" i="6"/>
  <c r="N272" i="6"/>
  <c r="K272" i="6"/>
  <c r="H272" i="6"/>
  <c r="AJ271" i="6"/>
  <c r="V271" i="6"/>
  <c r="W271" i="6" s="1"/>
  <c r="S271" i="6"/>
  <c r="R271" i="6"/>
  <c r="Q271" i="6"/>
  <c r="N271" i="6"/>
  <c r="K271" i="6"/>
  <c r="H271" i="6"/>
  <c r="AJ270" i="6"/>
  <c r="V270" i="6"/>
  <c r="Y270" i="6" s="1"/>
  <c r="S270" i="6"/>
  <c r="R270" i="6"/>
  <c r="Q270" i="6"/>
  <c r="N270" i="6"/>
  <c r="K270" i="6"/>
  <c r="H270" i="6"/>
  <c r="AJ269" i="6"/>
  <c r="V269" i="6"/>
  <c r="W269" i="6" s="1"/>
  <c r="S269" i="6"/>
  <c r="R269" i="6"/>
  <c r="Q269" i="6"/>
  <c r="N269" i="6"/>
  <c r="K269" i="6"/>
  <c r="H269" i="6"/>
  <c r="AJ268" i="6"/>
  <c r="V268" i="6"/>
  <c r="Y268" i="6" s="1"/>
  <c r="S268" i="6"/>
  <c r="R268" i="6"/>
  <c r="Q268" i="6"/>
  <c r="N268" i="6"/>
  <c r="K268" i="6"/>
  <c r="H268" i="6"/>
  <c r="AJ267" i="6"/>
  <c r="V267" i="6"/>
  <c r="S267" i="6"/>
  <c r="R267" i="6"/>
  <c r="Q267" i="6"/>
  <c r="N267" i="6"/>
  <c r="K267" i="6"/>
  <c r="H267" i="6"/>
  <c r="AK260" i="6"/>
  <c r="AJ260" i="6"/>
  <c r="AH260" i="6"/>
  <c r="AI260" i="6"/>
  <c r="AG260" i="6"/>
  <c r="AF260" i="6"/>
  <c r="AE260" i="6"/>
  <c r="AD260" i="6"/>
  <c r="AB260" i="6"/>
  <c r="AC260" i="6"/>
  <c r="AA260" i="6"/>
  <c r="Z260" i="6"/>
  <c r="Y260" i="6"/>
  <c r="X260" i="6"/>
  <c r="W260" i="6"/>
  <c r="V260" i="6"/>
  <c r="U260" i="6"/>
  <c r="S260" i="6"/>
  <c r="R260" i="6"/>
  <c r="Q260" i="6"/>
  <c r="P260" i="6"/>
  <c r="O260" i="6"/>
  <c r="M260" i="6"/>
  <c r="L260" i="6"/>
  <c r="J260" i="6"/>
  <c r="N260" i="6"/>
  <c r="I260" i="6"/>
  <c r="G260" i="6"/>
  <c r="H260" i="6"/>
  <c r="F260" i="6"/>
  <c r="E260" i="6"/>
  <c r="D260" i="6"/>
  <c r="AG252" i="6"/>
  <c r="AD252" i="6"/>
  <c r="AA252" i="6"/>
  <c r="X252" i="6"/>
  <c r="U252" i="6"/>
  <c r="P252" i="6"/>
  <c r="O252" i="6"/>
  <c r="M252" i="6"/>
  <c r="Q252" i="6" s="1"/>
  <c r="L252" i="6"/>
  <c r="J252" i="6"/>
  <c r="K252" i="6" s="1"/>
  <c r="I252" i="6"/>
  <c r="D252" i="6"/>
  <c r="AJ251" i="6"/>
  <c r="V251" i="6"/>
  <c r="W251" i="6" s="1"/>
  <c r="S251" i="6"/>
  <c r="R251" i="6"/>
  <c r="Q251" i="6"/>
  <c r="N251" i="6"/>
  <c r="K251" i="6"/>
  <c r="H251" i="6"/>
  <c r="AJ250" i="6"/>
  <c r="V250" i="6"/>
  <c r="Y250" i="6" s="1"/>
  <c r="S250" i="6"/>
  <c r="R250" i="6"/>
  <c r="Q250" i="6"/>
  <c r="N250" i="6"/>
  <c r="K250" i="6"/>
  <c r="H250" i="6"/>
  <c r="AJ249" i="6"/>
  <c r="V249" i="6"/>
  <c r="W249" i="6" s="1"/>
  <c r="S249" i="6"/>
  <c r="R249" i="6"/>
  <c r="Q249" i="6"/>
  <c r="N249" i="6"/>
  <c r="K249" i="6"/>
  <c r="H249" i="6"/>
  <c r="AJ248" i="6"/>
  <c r="V248" i="6"/>
  <c r="Y248" i="6" s="1"/>
  <c r="S248" i="6"/>
  <c r="R248" i="6"/>
  <c r="Q248" i="6"/>
  <c r="N248" i="6"/>
  <c r="K248" i="6"/>
  <c r="H248" i="6"/>
  <c r="AJ247" i="6"/>
  <c r="V247" i="6"/>
  <c r="Y247" i="6" s="1"/>
  <c r="S247" i="6"/>
  <c r="R247" i="6"/>
  <c r="Q247" i="6"/>
  <c r="N247" i="6"/>
  <c r="K247" i="6"/>
  <c r="H247" i="6"/>
  <c r="AJ246" i="6"/>
  <c r="V246" i="6"/>
  <c r="Y246" i="6" s="1"/>
  <c r="S246" i="6"/>
  <c r="R246" i="6"/>
  <c r="Q246" i="6"/>
  <c r="N246" i="6"/>
  <c r="K246" i="6"/>
  <c r="H246" i="6"/>
  <c r="AJ245" i="6"/>
  <c r="V245" i="6"/>
  <c r="S245" i="6"/>
  <c r="R245" i="6"/>
  <c r="Q245" i="6"/>
  <c r="N245" i="6"/>
  <c r="K245" i="6"/>
  <c r="H245" i="6"/>
  <c r="AJ244" i="6"/>
  <c r="V244" i="6"/>
  <c r="Y244" i="6" s="1"/>
  <c r="S244" i="6"/>
  <c r="R244" i="6"/>
  <c r="Q244" i="6"/>
  <c r="N244" i="6"/>
  <c r="K244" i="6"/>
  <c r="H244" i="6"/>
  <c r="AJ243" i="6"/>
  <c r="V243" i="6"/>
  <c r="Y243" i="6" s="1"/>
  <c r="S243" i="6"/>
  <c r="R243" i="6"/>
  <c r="Q243" i="6"/>
  <c r="N243" i="6"/>
  <c r="K243" i="6"/>
  <c r="H243" i="6"/>
  <c r="AJ242" i="6"/>
  <c r="V242" i="6"/>
  <c r="W242" i="6" s="1"/>
  <c r="S242" i="6"/>
  <c r="R242" i="6"/>
  <c r="Q242" i="6"/>
  <c r="N242" i="6"/>
  <c r="K242" i="6"/>
  <c r="H242" i="6"/>
  <c r="AJ241" i="6"/>
  <c r="V241" i="6"/>
  <c r="W241" i="6" s="1"/>
  <c r="S241" i="6"/>
  <c r="R241" i="6"/>
  <c r="Q241" i="6"/>
  <c r="N241" i="6"/>
  <c r="K241" i="6"/>
  <c r="H241" i="6"/>
  <c r="AJ240" i="6"/>
  <c r="V240" i="6"/>
  <c r="Y240" i="6" s="1"/>
  <c r="S240" i="6"/>
  <c r="R240" i="6"/>
  <c r="Q240" i="6"/>
  <c r="N240" i="6"/>
  <c r="K240" i="6"/>
  <c r="H240" i="6"/>
  <c r="AJ239" i="6"/>
  <c r="V239" i="6"/>
  <c r="W239" i="6" s="1"/>
  <c r="S239" i="6"/>
  <c r="R239" i="6"/>
  <c r="Q239" i="6"/>
  <c r="N239" i="6"/>
  <c r="K239" i="6"/>
  <c r="H239" i="6"/>
  <c r="AJ238" i="6"/>
  <c r="V238" i="6"/>
  <c r="W238" i="6" s="1"/>
  <c r="S238" i="6"/>
  <c r="R238" i="6"/>
  <c r="Q238" i="6"/>
  <c r="N238" i="6"/>
  <c r="K238" i="6"/>
  <c r="H238" i="6"/>
  <c r="AJ237" i="6"/>
  <c r="V237" i="6"/>
  <c r="S237" i="6"/>
  <c r="R237" i="6"/>
  <c r="Q237" i="6"/>
  <c r="N237" i="6"/>
  <c r="K237" i="6"/>
  <c r="H237" i="6"/>
  <c r="AJ236" i="6"/>
  <c r="V236" i="6"/>
  <c r="Y236" i="6" s="1"/>
  <c r="S236" i="6"/>
  <c r="R236" i="6"/>
  <c r="Q236" i="6"/>
  <c r="N236" i="6"/>
  <c r="K236" i="6"/>
  <c r="H236" i="6"/>
  <c r="AJ235" i="6"/>
  <c r="V235" i="6"/>
  <c r="W235" i="6" s="1"/>
  <c r="S235" i="6"/>
  <c r="R235" i="6"/>
  <c r="Q235" i="6"/>
  <c r="N235" i="6"/>
  <c r="K235" i="6"/>
  <c r="H235" i="6"/>
  <c r="AJ234" i="6"/>
  <c r="V234" i="6"/>
  <c r="S234" i="6"/>
  <c r="R234" i="6"/>
  <c r="Q234" i="6"/>
  <c r="N234" i="6"/>
  <c r="K234" i="6"/>
  <c r="H234" i="6"/>
  <c r="AJ233" i="6"/>
  <c r="V233" i="6"/>
  <c r="W233" i="6" s="1"/>
  <c r="S233" i="6"/>
  <c r="R233" i="6"/>
  <c r="Q233" i="6"/>
  <c r="N233" i="6"/>
  <c r="K233" i="6"/>
  <c r="H233" i="6"/>
  <c r="AJ232" i="6"/>
  <c r="V232" i="6"/>
  <c r="W232" i="6" s="1"/>
  <c r="S232" i="6"/>
  <c r="R232" i="6"/>
  <c r="Q232" i="6"/>
  <c r="N232" i="6"/>
  <c r="K232" i="6"/>
  <c r="H232" i="6"/>
  <c r="AJ231" i="6"/>
  <c r="V231" i="6"/>
  <c r="Y231" i="6" s="1"/>
  <c r="S231" i="6"/>
  <c r="R231" i="6"/>
  <c r="Q231" i="6"/>
  <c r="N231" i="6"/>
  <c r="K231" i="6"/>
  <c r="H231" i="6"/>
  <c r="AJ230" i="6"/>
  <c r="V230" i="6"/>
  <c r="W230" i="6" s="1"/>
  <c r="S230" i="6"/>
  <c r="R230" i="6"/>
  <c r="Q230" i="6"/>
  <c r="N230" i="6"/>
  <c r="K230" i="6"/>
  <c r="H230" i="6"/>
  <c r="AJ229" i="6"/>
  <c r="V229" i="6"/>
  <c r="W229" i="6" s="1"/>
  <c r="S229" i="6"/>
  <c r="R229" i="6"/>
  <c r="Q229" i="6"/>
  <c r="N229" i="6"/>
  <c r="K229" i="6"/>
  <c r="H229" i="6"/>
  <c r="AJ228" i="6"/>
  <c r="V228" i="6"/>
  <c r="S228" i="6"/>
  <c r="R228" i="6"/>
  <c r="Q228" i="6"/>
  <c r="N228" i="6"/>
  <c r="K228" i="6"/>
  <c r="H228" i="6"/>
  <c r="AJ227" i="6"/>
  <c r="V227" i="6"/>
  <c r="Y227" i="6" s="1"/>
  <c r="AB227" i="6" s="1"/>
  <c r="S227" i="6"/>
  <c r="R227" i="6"/>
  <c r="Q227" i="6"/>
  <c r="N227" i="6"/>
  <c r="K227" i="6"/>
  <c r="H227" i="6"/>
  <c r="AJ226" i="6"/>
  <c r="V226" i="6"/>
  <c r="S226" i="6"/>
  <c r="R226" i="6"/>
  <c r="Q226" i="6"/>
  <c r="N226" i="6"/>
  <c r="K226" i="6"/>
  <c r="H226" i="6"/>
  <c r="AJ225" i="6"/>
  <c r="V225" i="6"/>
  <c r="Y225" i="6" s="1"/>
  <c r="Z225" i="6" s="1"/>
  <c r="S225" i="6"/>
  <c r="R225" i="6"/>
  <c r="Q225" i="6"/>
  <c r="N225" i="6"/>
  <c r="K225" i="6"/>
  <c r="H225" i="6"/>
  <c r="AJ224" i="6"/>
  <c r="V224" i="6"/>
  <c r="S224" i="6"/>
  <c r="R224" i="6"/>
  <c r="Q224" i="6"/>
  <c r="N224" i="6"/>
  <c r="K224" i="6"/>
  <c r="H224" i="6"/>
  <c r="AJ223" i="6"/>
  <c r="V223" i="6"/>
  <c r="Y223" i="6" s="1"/>
  <c r="S223" i="6"/>
  <c r="R223" i="6"/>
  <c r="Q223" i="6"/>
  <c r="N223" i="6"/>
  <c r="K223" i="6"/>
  <c r="H223" i="6"/>
  <c r="AJ222" i="6"/>
  <c r="V222" i="6"/>
  <c r="Y222" i="6" s="1"/>
  <c r="S222" i="6"/>
  <c r="R222" i="6"/>
  <c r="Q222" i="6"/>
  <c r="N222" i="6"/>
  <c r="K222" i="6"/>
  <c r="H222" i="6"/>
  <c r="AJ221" i="6"/>
  <c r="V221" i="6"/>
  <c r="W221" i="6" s="1"/>
  <c r="S221" i="6"/>
  <c r="R221" i="6"/>
  <c r="Q221" i="6"/>
  <c r="N221" i="6"/>
  <c r="K221" i="6"/>
  <c r="H221" i="6"/>
  <c r="AJ220" i="6"/>
  <c r="V220" i="6"/>
  <c r="Y220" i="6" s="1"/>
  <c r="S220" i="6"/>
  <c r="R220" i="6"/>
  <c r="Q220" i="6"/>
  <c r="N220" i="6"/>
  <c r="K220" i="6"/>
  <c r="H220" i="6"/>
  <c r="AJ219" i="6"/>
  <c r="V219" i="6"/>
  <c r="Y219" i="6" s="1"/>
  <c r="S219" i="6"/>
  <c r="R219" i="6"/>
  <c r="Q219" i="6"/>
  <c r="N219" i="6"/>
  <c r="K219" i="6"/>
  <c r="H219" i="6"/>
  <c r="AJ218" i="6"/>
  <c r="V218" i="6"/>
  <c r="W218" i="6" s="1"/>
  <c r="S218" i="6"/>
  <c r="R218" i="6"/>
  <c r="Q218" i="6"/>
  <c r="N218" i="6"/>
  <c r="K218" i="6"/>
  <c r="H218" i="6"/>
  <c r="AJ217" i="6"/>
  <c r="V217" i="6"/>
  <c r="W217" i="6" s="1"/>
  <c r="S217" i="6"/>
  <c r="R217" i="6"/>
  <c r="Q217" i="6"/>
  <c r="N217" i="6"/>
  <c r="K217" i="6"/>
  <c r="H217" i="6"/>
  <c r="AJ216" i="6"/>
  <c r="V216" i="6"/>
  <c r="W216" i="6" s="1"/>
  <c r="S216" i="6"/>
  <c r="R216" i="6"/>
  <c r="Q216" i="6"/>
  <c r="N216" i="6"/>
  <c r="K216" i="6"/>
  <c r="H216" i="6"/>
  <c r="AJ215" i="6"/>
  <c r="V215" i="6"/>
  <c r="W215" i="6" s="1"/>
  <c r="S215" i="6"/>
  <c r="R215" i="6"/>
  <c r="Q215" i="6"/>
  <c r="N215" i="6"/>
  <c r="K215" i="6"/>
  <c r="H215" i="6"/>
  <c r="AJ214" i="6"/>
  <c r="V214" i="6"/>
  <c r="Y214" i="6" s="1"/>
  <c r="AB214" i="6" s="1"/>
  <c r="S214" i="6"/>
  <c r="R214" i="6"/>
  <c r="Q214" i="6"/>
  <c r="N214" i="6"/>
  <c r="K214" i="6"/>
  <c r="H214" i="6"/>
  <c r="AJ213" i="6"/>
  <c r="V213" i="6"/>
  <c r="Y213" i="6" s="1"/>
  <c r="S213" i="6"/>
  <c r="R213" i="6"/>
  <c r="Q213" i="6"/>
  <c r="N213" i="6"/>
  <c r="K213" i="6"/>
  <c r="H213" i="6"/>
  <c r="AJ212" i="6"/>
  <c r="V212" i="6"/>
  <c r="W212" i="6" s="1"/>
  <c r="S212" i="6"/>
  <c r="R212" i="6"/>
  <c r="Q212" i="6"/>
  <c r="N212" i="6"/>
  <c r="K212" i="6"/>
  <c r="H212" i="6"/>
  <c r="AJ211" i="6"/>
  <c r="V211" i="6"/>
  <c r="Y211" i="6" s="1"/>
  <c r="Z211" i="6" s="1"/>
  <c r="S211" i="6"/>
  <c r="R211" i="6"/>
  <c r="Q211" i="6"/>
  <c r="N211" i="6"/>
  <c r="K211" i="6"/>
  <c r="H211" i="6"/>
  <c r="AJ210" i="6"/>
  <c r="V210" i="6"/>
  <c r="Y210" i="6" s="1"/>
  <c r="S210" i="6"/>
  <c r="R210" i="6"/>
  <c r="Q210" i="6"/>
  <c r="N210" i="6"/>
  <c r="K210" i="6"/>
  <c r="H210" i="6"/>
  <c r="AJ209" i="6"/>
  <c r="V209" i="6"/>
  <c r="Y209" i="6" s="1"/>
  <c r="S209" i="6"/>
  <c r="R209" i="6"/>
  <c r="Q209" i="6"/>
  <c r="N209" i="6"/>
  <c r="K209" i="6"/>
  <c r="H209" i="6"/>
  <c r="AJ208" i="6"/>
  <c r="V208" i="6"/>
  <c r="W208" i="6" s="1"/>
  <c r="S208" i="6"/>
  <c r="R208" i="6"/>
  <c r="Q208" i="6"/>
  <c r="N208" i="6"/>
  <c r="K208" i="6"/>
  <c r="H208" i="6"/>
  <c r="AJ207" i="6"/>
  <c r="V207" i="6"/>
  <c r="W207" i="6" s="1"/>
  <c r="S207" i="6"/>
  <c r="R207" i="6"/>
  <c r="Q207" i="6"/>
  <c r="N207" i="6"/>
  <c r="K207" i="6"/>
  <c r="H207" i="6"/>
  <c r="AJ206" i="6"/>
  <c r="V206" i="6"/>
  <c r="W206" i="6" s="1"/>
  <c r="S206" i="6"/>
  <c r="R206" i="6"/>
  <c r="Q206" i="6"/>
  <c r="N206" i="6"/>
  <c r="K206" i="6"/>
  <c r="H206" i="6"/>
  <c r="AJ205" i="6"/>
  <c r="V205" i="6"/>
  <c r="Y205" i="6" s="1"/>
  <c r="S205" i="6"/>
  <c r="R205" i="6"/>
  <c r="Q205" i="6"/>
  <c r="N205" i="6"/>
  <c r="K205" i="6"/>
  <c r="H205" i="6"/>
  <c r="AJ204" i="6"/>
  <c r="V204" i="6"/>
  <c r="W204" i="6" s="1"/>
  <c r="S204" i="6"/>
  <c r="R204" i="6"/>
  <c r="Q204" i="6"/>
  <c r="N204" i="6"/>
  <c r="K204" i="6"/>
  <c r="H204" i="6"/>
  <c r="AJ203" i="6"/>
  <c r="V203" i="6"/>
  <c r="Y203" i="6" s="1"/>
  <c r="S203" i="6"/>
  <c r="R203" i="6"/>
  <c r="Q203" i="6"/>
  <c r="N203" i="6"/>
  <c r="K203" i="6"/>
  <c r="H203" i="6"/>
  <c r="AJ202" i="6"/>
  <c r="V202" i="6"/>
  <c r="Y202" i="6" s="1"/>
  <c r="AB202" i="6" s="1"/>
  <c r="AE202" i="6" s="1"/>
  <c r="S202" i="6"/>
  <c r="R202" i="6"/>
  <c r="Q202" i="6"/>
  <c r="N202" i="6"/>
  <c r="K202" i="6"/>
  <c r="H202" i="6"/>
  <c r="AJ201" i="6"/>
  <c r="V201" i="6"/>
  <c r="Y201" i="6" s="1"/>
  <c r="S201" i="6"/>
  <c r="R201" i="6"/>
  <c r="Q201" i="6"/>
  <c r="N201" i="6"/>
  <c r="K201" i="6"/>
  <c r="H201" i="6"/>
  <c r="AJ200" i="6"/>
  <c r="V200" i="6"/>
  <c r="Y200" i="6" s="1"/>
  <c r="S200" i="6"/>
  <c r="R200" i="6"/>
  <c r="Q200" i="6"/>
  <c r="N200" i="6"/>
  <c r="K200" i="6"/>
  <c r="H200" i="6"/>
  <c r="AJ199" i="6"/>
  <c r="V199" i="6"/>
  <c r="S199" i="6"/>
  <c r="R199" i="6"/>
  <c r="Q199" i="6"/>
  <c r="N199" i="6"/>
  <c r="K199" i="6"/>
  <c r="H199" i="6"/>
  <c r="V198" i="6"/>
  <c r="Y198" i="6" s="1"/>
  <c r="S198" i="6"/>
  <c r="Q198" i="6"/>
  <c r="N198" i="6"/>
  <c r="K198" i="6"/>
  <c r="H198" i="6"/>
  <c r="AG191" i="6"/>
  <c r="J73" i="30" s="1"/>
  <c r="AD191" i="6"/>
  <c r="AA191" i="6"/>
  <c r="X191" i="6"/>
  <c r="U191" i="6"/>
  <c r="R191" i="6"/>
  <c r="S191" i="6"/>
  <c r="N191" i="6"/>
  <c r="H191" i="6"/>
  <c r="AJ190" i="6"/>
  <c r="V190" i="6"/>
  <c r="S190" i="6"/>
  <c r="R190" i="6"/>
  <c r="Q190" i="6"/>
  <c r="N190" i="6"/>
  <c r="K190" i="6"/>
  <c r="H190" i="6"/>
  <c r="AJ189" i="6"/>
  <c r="V189" i="6"/>
  <c r="Y189" i="6" s="1"/>
  <c r="AB189" i="6" s="1"/>
  <c r="S189" i="6"/>
  <c r="R189" i="6"/>
  <c r="Q189" i="6"/>
  <c r="N189" i="6"/>
  <c r="K189" i="6"/>
  <c r="H189" i="6"/>
  <c r="AJ188" i="6"/>
  <c r="V188" i="6"/>
  <c r="W188" i="6" s="1"/>
  <c r="S188" i="6"/>
  <c r="R188" i="6"/>
  <c r="Q188" i="6"/>
  <c r="N188" i="6"/>
  <c r="K188" i="6"/>
  <c r="H188" i="6"/>
  <c r="AJ187" i="6"/>
  <c r="V187" i="6"/>
  <c r="W187" i="6" s="1"/>
  <c r="S187" i="6"/>
  <c r="R187" i="6"/>
  <c r="Q187" i="6"/>
  <c r="N187" i="6"/>
  <c r="K187" i="6"/>
  <c r="H187" i="6"/>
  <c r="AJ186" i="6"/>
  <c r="V186" i="6"/>
  <c r="S186" i="6"/>
  <c r="R186" i="6"/>
  <c r="Q186" i="6"/>
  <c r="N186" i="6"/>
  <c r="K186" i="6"/>
  <c r="H186" i="6"/>
  <c r="AJ185" i="6"/>
  <c r="V185" i="6"/>
  <c r="Y185" i="6" s="1"/>
  <c r="S185" i="6"/>
  <c r="R185" i="6"/>
  <c r="Q185" i="6"/>
  <c r="N185" i="6"/>
  <c r="K185" i="6"/>
  <c r="H185" i="6"/>
  <c r="AJ184" i="6"/>
  <c r="V184" i="6"/>
  <c r="Y184" i="6" s="1"/>
  <c r="S184" i="6"/>
  <c r="R184" i="6"/>
  <c r="Q184" i="6"/>
  <c r="N184" i="6"/>
  <c r="K184" i="6"/>
  <c r="H184" i="6"/>
  <c r="AJ183" i="6"/>
  <c r="V183" i="6"/>
  <c r="W183" i="6" s="1"/>
  <c r="S183" i="6"/>
  <c r="R183" i="6"/>
  <c r="Q183" i="6"/>
  <c r="N183" i="6"/>
  <c r="K183" i="6"/>
  <c r="H183" i="6"/>
  <c r="AJ182" i="6"/>
  <c r="V182" i="6"/>
  <c r="Y182" i="6" s="1"/>
  <c r="Z182" i="6" s="1"/>
  <c r="S182" i="6"/>
  <c r="R182" i="6"/>
  <c r="Q182" i="6"/>
  <c r="N182" i="6"/>
  <c r="K182" i="6"/>
  <c r="H182" i="6"/>
  <c r="AJ181" i="6"/>
  <c r="V181" i="6"/>
  <c r="Y181" i="6" s="1"/>
  <c r="S181" i="6"/>
  <c r="R181" i="6"/>
  <c r="Q181" i="6"/>
  <c r="N181" i="6"/>
  <c r="K181" i="6"/>
  <c r="H181" i="6"/>
  <c r="AJ180" i="6"/>
  <c r="V180" i="6"/>
  <c r="W180" i="6" s="1"/>
  <c r="S180" i="6"/>
  <c r="R180" i="6"/>
  <c r="Q180" i="6"/>
  <c r="N180" i="6"/>
  <c r="K180" i="6"/>
  <c r="H180" i="6"/>
  <c r="AJ179" i="6"/>
  <c r="V179" i="6"/>
  <c r="W179" i="6" s="1"/>
  <c r="S179" i="6"/>
  <c r="R179" i="6"/>
  <c r="Q179" i="6"/>
  <c r="N179" i="6"/>
  <c r="K179" i="6"/>
  <c r="H179" i="6"/>
  <c r="AJ178" i="6"/>
  <c r="V178" i="6"/>
  <c r="W178" i="6" s="1"/>
  <c r="S178" i="6"/>
  <c r="R178" i="6"/>
  <c r="Q178" i="6"/>
  <c r="N178" i="6"/>
  <c r="K178" i="6"/>
  <c r="H178" i="6"/>
  <c r="AJ177" i="6"/>
  <c r="V177" i="6"/>
  <c r="S177" i="6"/>
  <c r="R177" i="6"/>
  <c r="Q177" i="6"/>
  <c r="N177" i="6"/>
  <c r="K177" i="6"/>
  <c r="H177" i="6"/>
  <c r="AJ176" i="6"/>
  <c r="V176" i="6"/>
  <c r="W176" i="6" s="1"/>
  <c r="S176" i="6"/>
  <c r="R176" i="6"/>
  <c r="Q176" i="6"/>
  <c r="N176" i="6"/>
  <c r="K176" i="6"/>
  <c r="H176" i="6"/>
  <c r="AJ175" i="6"/>
  <c r="V175" i="6"/>
  <c r="S175" i="6"/>
  <c r="R175" i="6"/>
  <c r="Q175" i="6"/>
  <c r="N175" i="6"/>
  <c r="K175" i="6"/>
  <c r="H175" i="6"/>
  <c r="AJ174" i="6"/>
  <c r="V174" i="6"/>
  <c r="W174" i="6" s="1"/>
  <c r="S174" i="6"/>
  <c r="R174" i="6"/>
  <c r="Q174" i="6"/>
  <c r="N174" i="6"/>
  <c r="K174" i="6"/>
  <c r="H174" i="6"/>
  <c r="AJ173" i="6"/>
  <c r="V173" i="6"/>
  <c r="Y173" i="6" s="1"/>
  <c r="S173" i="6"/>
  <c r="R173" i="6"/>
  <c r="Q173" i="6"/>
  <c r="N173" i="6"/>
  <c r="K173" i="6"/>
  <c r="H173" i="6"/>
  <c r="AJ172" i="6"/>
  <c r="V172" i="6"/>
  <c r="Y172" i="6" s="1"/>
  <c r="S172" i="6"/>
  <c r="R172" i="6"/>
  <c r="Q172" i="6"/>
  <c r="N172" i="6"/>
  <c r="K172" i="6"/>
  <c r="H172" i="6"/>
  <c r="AJ171" i="6"/>
  <c r="V171" i="6"/>
  <c r="W171" i="6" s="1"/>
  <c r="S171" i="6"/>
  <c r="R171" i="6"/>
  <c r="Q171" i="6"/>
  <c r="N171" i="6"/>
  <c r="K171" i="6"/>
  <c r="H171" i="6"/>
  <c r="AJ170" i="6"/>
  <c r="V170" i="6"/>
  <c r="W170" i="6" s="1"/>
  <c r="S170" i="6"/>
  <c r="R170" i="6"/>
  <c r="Q170" i="6"/>
  <c r="N170" i="6"/>
  <c r="K170" i="6"/>
  <c r="H170" i="6"/>
  <c r="AJ169" i="6"/>
  <c r="V169" i="6"/>
  <c r="Y169" i="6" s="1"/>
  <c r="S169" i="6"/>
  <c r="R169" i="6"/>
  <c r="Q169" i="6"/>
  <c r="N169" i="6"/>
  <c r="K169" i="6"/>
  <c r="H169" i="6"/>
  <c r="AJ168" i="6"/>
  <c r="V168" i="6"/>
  <c r="Y168" i="6" s="1"/>
  <c r="S168" i="6"/>
  <c r="R168" i="6"/>
  <c r="Q168" i="6"/>
  <c r="N168" i="6"/>
  <c r="K168" i="6"/>
  <c r="H168" i="6"/>
  <c r="AJ167" i="6"/>
  <c r="V167" i="6"/>
  <c r="W167" i="6" s="1"/>
  <c r="S167" i="6"/>
  <c r="R167" i="6"/>
  <c r="Q167" i="6"/>
  <c r="N167" i="6"/>
  <c r="K167" i="6"/>
  <c r="H167" i="6"/>
  <c r="AJ166" i="6"/>
  <c r="V166" i="6"/>
  <c r="W166" i="6" s="1"/>
  <c r="S166" i="6"/>
  <c r="R166" i="6"/>
  <c r="Q166" i="6"/>
  <c r="N166" i="6"/>
  <c r="K166" i="6"/>
  <c r="H166" i="6"/>
  <c r="AJ165" i="6"/>
  <c r="V165" i="6"/>
  <c r="Y165" i="6" s="1"/>
  <c r="S165" i="6"/>
  <c r="R165" i="6"/>
  <c r="Q165" i="6"/>
  <c r="N165" i="6"/>
  <c r="K165" i="6"/>
  <c r="H165" i="6"/>
  <c r="AJ164" i="6"/>
  <c r="V164" i="6"/>
  <c r="Y164" i="6" s="1"/>
  <c r="S164" i="6"/>
  <c r="R164" i="6"/>
  <c r="Q164" i="6"/>
  <c r="N164" i="6"/>
  <c r="K164" i="6"/>
  <c r="H164" i="6"/>
  <c r="AJ163" i="6"/>
  <c r="V163" i="6"/>
  <c r="W163" i="6" s="1"/>
  <c r="S163" i="6"/>
  <c r="R163" i="6"/>
  <c r="Q163" i="6"/>
  <c r="N163" i="6"/>
  <c r="K163" i="6"/>
  <c r="H163" i="6"/>
  <c r="AJ162" i="6"/>
  <c r="V162" i="6"/>
  <c r="Y162" i="6" s="1"/>
  <c r="S162" i="6"/>
  <c r="R162" i="6"/>
  <c r="Q162" i="6"/>
  <c r="N162" i="6"/>
  <c r="K162" i="6"/>
  <c r="H162" i="6"/>
  <c r="AJ161" i="6"/>
  <c r="V161" i="6"/>
  <c r="Y161" i="6" s="1"/>
  <c r="S161" i="6"/>
  <c r="R161" i="6"/>
  <c r="Q161" i="6"/>
  <c r="N161" i="6"/>
  <c r="K161" i="6"/>
  <c r="H161" i="6"/>
  <c r="AJ160" i="6"/>
  <c r="V160" i="6"/>
  <c r="Y160" i="6" s="1"/>
  <c r="S160" i="6"/>
  <c r="R160" i="6"/>
  <c r="Q160" i="6"/>
  <c r="N160" i="6"/>
  <c r="K160" i="6"/>
  <c r="H160" i="6"/>
  <c r="AJ159" i="6"/>
  <c r="V159" i="6"/>
  <c r="Y159" i="6" s="1"/>
  <c r="S159" i="6"/>
  <c r="R159" i="6"/>
  <c r="Q159" i="6"/>
  <c r="N159" i="6"/>
  <c r="K159" i="6"/>
  <c r="H159" i="6"/>
  <c r="AJ158" i="6"/>
  <c r="V158" i="6"/>
  <c r="W158" i="6" s="1"/>
  <c r="S158" i="6"/>
  <c r="R158" i="6"/>
  <c r="Q158" i="6"/>
  <c r="N158" i="6"/>
  <c r="K158" i="6"/>
  <c r="H158" i="6"/>
  <c r="AJ157" i="6"/>
  <c r="V157" i="6"/>
  <c r="W157" i="6" s="1"/>
  <c r="S157" i="6"/>
  <c r="R157" i="6"/>
  <c r="Q157" i="6"/>
  <c r="N157" i="6"/>
  <c r="K157" i="6"/>
  <c r="H157" i="6"/>
  <c r="AJ156" i="6"/>
  <c r="V156" i="6"/>
  <c r="Y156" i="6" s="1"/>
  <c r="S156" i="6"/>
  <c r="R156" i="6"/>
  <c r="Q156" i="6"/>
  <c r="N156" i="6"/>
  <c r="K156" i="6"/>
  <c r="H156" i="6"/>
  <c r="AJ155" i="6"/>
  <c r="V155" i="6"/>
  <c r="W155" i="6" s="1"/>
  <c r="S155" i="6"/>
  <c r="R155" i="6"/>
  <c r="Q155" i="6"/>
  <c r="N155" i="6"/>
  <c r="K155" i="6"/>
  <c r="H155" i="6"/>
  <c r="AJ154" i="6"/>
  <c r="V154" i="6"/>
  <c r="W154" i="6" s="1"/>
  <c r="S154" i="6"/>
  <c r="R154" i="6"/>
  <c r="Q154" i="6"/>
  <c r="N154" i="6"/>
  <c r="K154" i="6"/>
  <c r="H154" i="6"/>
  <c r="AJ153" i="6"/>
  <c r="V153" i="6"/>
  <c r="Y153" i="6" s="1"/>
  <c r="S153" i="6"/>
  <c r="R153" i="6"/>
  <c r="Q153" i="6"/>
  <c r="N153" i="6"/>
  <c r="K153" i="6"/>
  <c r="H153" i="6"/>
  <c r="AJ152" i="6"/>
  <c r="V152" i="6"/>
  <c r="Y152" i="6" s="1"/>
  <c r="S152" i="6"/>
  <c r="R152" i="6"/>
  <c r="Q152" i="6"/>
  <c r="N152" i="6"/>
  <c r="K152" i="6"/>
  <c r="H152" i="6"/>
  <c r="AJ151" i="6"/>
  <c r="V151" i="6"/>
  <c r="W151" i="6" s="1"/>
  <c r="S151" i="6"/>
  <c r="R151" i="6"/>
  <c r="Q151" i="6"/>
  <c r="N151" i="6"/>
  <c r="K151" i="6"/>
  <c r="H151" i="6"/>
  <c r="AJ150" i="6"/>
  <c r="V150" i="6"/>
  <c r="Y150" i="6" s="1"/>
  <c r="S150" i="6"/>
  <c r="R150" i="6"/>
  <c r="Q150" i="6"/>
  <c r="N150" i="6"/>
  <c r="K150" i="6"/>
  <c r="H150" i="6"/>
  <c r="AJ149" i="6"/>
  <c r="V149" i="6"/>
  <c r="W149" i="6" s="1"/>
  <c r="S149" i="6"/>
  <c r="R149" i="6"/>
  <c r="Q149" i="6"/>
  <c r="N149" i="6"/>
  <c r="K149" i="6"/>
  <c r="H149" i="6"/>
  <c r="AJ148" i="6"/>
  <c r="V148" i="6"/>
  <c r="Y148" i="6" s="1"/>
  <c r="S148" i="6"/>
  <c r="R148" i="6"/>
  <c r="Q148" i="6"/>
  <c r="N148" i="6"/>
  <c r="K148" i="6"/>
  <c r="H148" i="6"/>
  <c r="AJ147" i="6"/>
  <c r="V147" i="6"/>
  <c r="Y147" i="6" s="1"/>
  <c r="S147" i="6"/>
  <c r="R147" i="6"/>
  <c r="Q147" i="6"/>
  <c r="N147" i="6"/>
  <c r="K147" i="6"/>
  <c r="H147" i="6"/>
  <c r="AJ146" i="6"/>
  <c r="V146" i="6"/>
  <c r="W146" i="6" s="1"/>
  <c r="S146" i="6"/>
  <c r="R146" i="6"/>
  <c r="Q146" i="6"/>
  <c r="N146" i="6"/>
  <c r="K146" i="6"/>
  <c r="H146" i="6"/>
  <c r="AJ145" i="6"/>
  <c r="V145" i="6"/>
  <c r="Y145" i="6" s="1"/>
  <c r="S145" i="6"/>
  <c r="R145" i="6"/>
  <c r="Q145" i="6"/>
  <c r="N145" i="6"/>
  <c r="K145" i="6"/>
  <c r="H145" i="6"/>
  <c r="AJ144" i="6"/>
  <c r="V144" i="6"/>
  <c r="Y144" i="6" s="1"/>
  <c r="S144" i="6"/>
  <c r="R144" i="6"/>
  <c r="Q144" i="6"/>
  <c r="N144" i="6"/>
  <c r="K144" i="6"/>
  <c r="H144" i="6"/>
  <c r="AJ143" i="6"/>
  <c r="V143" i="6"/>
  <c r="Y143" i="6" s="1"/>
  <c r="S143" i="6"/>
  <c r="R143" i="6"/>
  <c r="Q143" i="6"/>
  <c r="N143" i="6"/>
  <c r="K143" i="6"/>
  <c r="H143" i="6"/>
  <c r="AJ142" i="6"/>
  <c r="V142" i="6"/>
  <c r="W142" i="6" s="1"/>
  <c r="S142" i="6"/>
  <c r="R142" i="6"/>
  <c r="Q142" i="6"/>
  <c r="N142" i="6"/>
  <c r="K142" i="6"/>
  <c r="H142" i="6"/>
  <c r="AJ141" i="6"/>
  <c r="V141" i="6"/>
  <c r="Y141" i="6" s="1"/>
  <c r="S141" i="6"/>
  <c r="R141" i="6"/>
  <c r="Q141" i="6"/>
  <c r="N141" i="6"/>
  <c r="K141" i="6"/>
  <c r="H141" i="6"/>
  <c r="AJ140" i="6"/>
  <c r="V140" i="6"/>
  <c r="S140" i="6"/>
  <c r="R140" i="6"/>
  <c r="Q140" i="6"/>
  <c r="N140" i="6"/>
  <c r="K140" i="6"/>
  <c r="H140" i="6"/>
  <c r="AJ139" i="6"/>
  <c r="V139" i="6"/>
  <c r="Y139" i="6" s="1"/>
  <c r="AB139" i="6" s="1"/>
  <c r="S139" i="6"/>
  <c r="R139" i="6"/>
  <c r="Q139" i="6"/>
  <c r="N139" i="6"/>
  <c r="K139" i="6"/>
  <c r="H139" i="6"/>
  <c r="AJ138" i="6"/>
  <c r="V138" i="6"/>
  <c r="W138" i="6" s="1"/>
  <c r="S138" i="6"/>
  <c r="R138" i="6"/>
  <c r="Q138" i="6"/>
  <c r="N138" i="6"/>
  <c r="K138" i="6"/>
  <c r="H138" i="6"/>
  <c r="AJ137" i="6"/>
  <c r="V137" i="6"/>
  <c r="Y137" i="6" s="1"/>
  <c r="S137" i="6"/>
  <c r="R137" i="6"/>
  <c r="Q137" i="6"/>
  <c r="N137" i="6"/>
  <c r="K137" i="6"/>
  <c r="H137" i="6"/>
  <c r="AG130" i="6"/>
  <c r="J71" i="30" s="1"/>
  <c r="AD130" i="6"/>
  <c r="I71" i="30" s="1"/>
  <c r="AA130" i="6"/>
  <c r="X130" i="6"/>
  <c r="U130" i="6"/>
  <c r="F71" i="30" s="1"/>
  <c r="P130" i="6"/>
  <c r="O130" i="6"/>
  <c r="M130" i="6"/>
  <c r="L130" i="6"/>
  <c r="J130" i="6"/>
  <c r="I130" i="6"/>
  <c r="G130" i="6"/>
  <c r="F130" i="6"/>
  <c r="E130" i="6"/>
  <c r="H130" i="6" s="1"/>
  <c r="D130" i="6"/>
  <c r="AJ129" i="6"/>
  <c r="V129" i="6"/>
  <c r="S129" i="6"/>
  <c r="R129" i="6"/>
  <c r="Q129" i="6"/>
  <c r="N129" i="6"/>
  <c r="K129" i="6"/>
  <c r="H129" i="6"/>
  <c r="AJ128" i="6"/>
  <c r="V128" i="6"/>
  <c r="Y128" i="6" s="1"/>
  <c r="S128" i="6"/>
  <c r="R128" i="6"/>
  <c r="Q128" i="6"/>
  <c r="N128" i="6"/>
  <c r="K128" i="6"/>
  <c r="H128" i="6"/>
  <c r="AJ127" i="6"/>
  <c r="V127" i="6"/>
  <c r="W127" i="6" s="1"/>
  <c r="S127" i="6"/>
  <c r="R127" i="6"/>
  <c r="Q127" i="6"/>
  <c r="N127" i="6"/>
  <c r="K127" i="6"/>
  <c r="H127" i="6"/>
  <c r="AJ126" i="6"/>
  <c r="V126" i="6"/>
  <c r="W126" i="6" s="1"/>
  <c r="S126" i="6"/>
  <c r="R126" i="6"/>
  <c r="Q126" i="6"/>
  <c r="N126" i="6"/>
  <c r="K126" i="6"/>
  <c r="H126" i="6"/>
  <c r="AJ125" i="6"/>
  <c r="V125" i="6"/>
  <c r="Y125" i="6" s="1"/>
  <c r="AB125" i="6" s="1"/>
  <c r="AE125" i="6" s="1"/>
  <c r="AH125" i="6" s="1"/>
  <c r="AI125" i="6" s="1"/>
  <c r="S125" i="6"/>
  <c r="R125" i="6"/>
  <c r="Q125" i="6"/>
  <c r="N125" i="6"/>
  <c r="K125" i="6"/>
  <c r="H125" i="6"/>
  <c r="AJ124" i="6"/>
  <c r="V124" i="6"/>
  <c r="S124" i="6"/>
  <c r="R124" i="6"/>
  <c r="Q124" i="6"/>
  <c r="N124" i="6"/>
  <c r="K124" i="6"/>
  <c r="H124" i="6"/>
  <c r="AJ123" i="6"/>
  <c r="V123" i="6"/>
  <c r="W123" i="6" s="1"/>
  <c r="S123" i="6"/>
  <c r="R123" i="6"/>
  <c r="Q123" i="6"/>
  <c r="N123" i="6"/>
  <c r="K123" i="6"/>
  <c r="H123" i="6"/>
  <c r="AJ122" i="6"/>
  <c r="V122" i="6"/>
  <c r="W122" i="6" s="1"/>
  <c r="S122" i="6"/>
  <c r="R122" i="6"/>
  <c r="Q122" i="6"/>
  <c r="N122" i="6"/>
  <c r="K122" i="6"/>
  <c r="H122" i="6"/>
  <c r="AJ121" i="6"/>
  <c r="V121" i="6"/>
  <c r="S121" i="6"/>
  <c r="R121" i="6"/>
  <c r="Q121" i="6"/>
  <c r="N121" i="6"/>
  <c r="K121" i="6"/>
  <c r="H121" i="6"/>
  <c r="AJ120" i="6"/>
  <c r="V120" i="6"/>
  <c r="S120" i="6"/>
  <c r="R120" i="6"/>
  <c r="Q120" i="6"/>
  <c r="N120" i="6"/>
  <c r="K120" i="6"/>
  <c r="H120" i="6"/>
  <c r="AJ119" i="6"/>
  <c r="V119" i="6"/>
  <c r="S119" i="6"/>
  <c r="R119" i="6"/>
  <c r="Q119" i="6"/>
  <c r="N119" i="6"/>
  <c r="K119" i="6"/>
  <c r="H119" i="6"/>
  <c r="AJ118" i="6"/>
  <c r="V118" i="6"/>
  <c r="Y118" i="6" s="1"/>
  <c r="Z118" i="6" s="1"/>
  <c r="S118" i="6"/>
  <c r="R118" i="6"/>
  <c r="Q118" i="6"/>
  <c r="N118" i="6"/>
  <c r="K118" i="6"/>
  <c r="H118" i="6"/>
  <c r="AJ117" i="6"/>
  <c r="V117" i="6"/>
  <c r="Y117" i="6" s="1"/>
  <c r="S117" i="6"/>
  <c r="R117" i="6"/>
  <c r="Q117" i="6"/>
  <c r="N117" i="6"/>
  <c r="K117" i="6"/>
  <c r="H117" i="6"/>
  <c r="AJ116" i="6"/>
  <c r="V116" i="6"/>
  <c r="S116" i="6"/>
  <c r="R116" i="6"/>
  <c r="Q116" i="6"/>
  <c r="N116" i="6"/>
  <c r="K116" i="6"/>
  <c r="H116" i="6"/>
  <c r="AJ115" i="6"/>
  <c r="V115" i="6"/>
  <c r="S115" i="6"/>
  <c r="R115" i="6"/>
  <c r="Q115" i="6"/>
  <c r="N115" i="6"/>
  <c r="K115" i="6"/>
  <c r="H115" i="6"/>
  <c r="AJ114" i="6"/>
  <c r="V114" i="6"/>
  <c r="S114" i="6"/>
  <c r="R114" i="6"/>
  <c r="Q114" i="6"/>
  <c r="N114" i="6"/>
  <c r="K114" i="6"/>
  <c r="H114" i="6"/>
  <c r="AJ113" i="6"/>
  <c r="V113" i="6"/>
  <c r="S113" i="6"/>
  <c r="R113" i="6"/>
  <c r="Q113" i="6"/>
  <c r="N113" i="6"/>
  <c r="K113" i="6"/>
  <c r="H113" i="6"/>
  <c r="AJ112" i="6"/>
  <c r="V112" i="6"/>
  <c r="S112" i="6"/>
  <c r="R112" i="6"/>
  <c r="Q112" i="6"/>
  <c r="N112" i="6"/>
  <c r="K112" i="6"/>
  <c r="H112" i="6"/>
  <c r="AJ111" i="6"/>
  <c r="V111" i="6"/>
  <c r="S111" i="6"/>
  <c r="R111" i="6"/>
  <c r="Q111" i="6"/>
  <c r="N111" i="6"/>
  <c r="K111" i="6"/>
  <c r="H111" i="6"/>
  <c r="AJ110" i="6"/>
  <c r="V110" i="6"/>
  <c r="S110" i="6"/>
  <c r="R110" i="6"/>
  <c r="Q110" i="6"/>
  <c r="N110" i="6"/>
  <c r="K110" i="6"/>
  <c r="H110" i="6"/>
  <c r="AJ109" i="6"/>
  <c r="V109" i="6"/>
  <c r="Y109" i="6" s="1"/>
  <c r="AB109" i="6" s="1"/>
  <c r="S109" i="6"/>
  <c r="R109" i="6"/>
  <c r="Q109" i="6"/>
  <c r="N109" i="6"/>
  <c r="K109" i="6"/>
  <c r="H109" i="6"/>
  <c r="AJ108" i="6"/>
  <c r="V108" i="6"/>
  <c r="Y108" i="6" s="1"/>
  <c r="AB108" i="6" s="1"/>
  <c r="S108" i="6"/>
  <c r="R108" i="6"/>
  <c r="Q108" i="6"/>
  <c r="N108" i="6"/>
  <c r="K108" i="6"/>
  <c r="H108" i="6"/>
  <c r="AJ107" i="6"/>
  <c r="V107" i="6"/>
  <c r="S107" i="6"/>
  <c r="R107" i="6"/>
  <c r="Q107" i="6"/>
  <c r="N107" i="6"/>
  <c r="K107" i="6"/>
  <c r="H107" i="6"/>
  <c r="AJ106" i="6"/>
  <c r="V106" i="6"/>
  <c r="S106" i="6"/>
  <c r="R106" i="6"/>
  <c r="Q106" i="6"/>
  <c r="N106" i="6"/>
  <c r="K106" i="6"/>
  <c r="H106" i="6"/>
  <c r="AJ105" i="6"/>
  <c r="V105" i="6"/>
  <c r="S105" i="6"/>
  <c r="R105" i="6"/>
  <c r="Q105" i="6"/>
  <c r="N105" i="6"/>
  <c r="K105" i="6"/>
  <c r="H105" i="6"/>
  <c r="AJ104" i="6"/>
  <c r="V104" i="6"/>
  <c r="S104" i="6"/>
  <c r="R104" i="6"/>
  <c r="Q104" i="6"/>
  <c r="N104" i="6"/>
  <c r="K104" i="6"/>
  <c r="H104" i="6"/>
  <c r="AJ103" i="6"/>
  <c r="V103" i="6"/>
  <c r="S103" i="6"/>
  <c r="R103" i="6"/>
  <c r="Q103" i="6"/>
  <c r="N103" i="6"/>
  <c r="K103" i="6"/>
  <c r="H103" i="6"/>
  <c r="AJ102" i="6"/>
  <c r="V102" i="6"/>
  <c r="W102" i="6" s="1"/>
  <c r="S102" i="6"/>
  <c r="R102" i="6"/>
  <c r="Q102" i="6"/>
  <c r="N102" i="6"/>
  <c r="K102" i="6"/>
  <c r="H102" i="6"/>
  <c r="AJ101" i="6"/>
  <c r="V101" i="6"/>
  <c r="S101" i="6"/>
  <c r="R101" i="6"/>
  <c r="Q101" i="6"/>
  <c r="N101" i="6"/>
  <c r="K101" i="6"/>
  <c r="H101" i="6"/>
  <c r="AJ100" i="6"/>
  <c r="V100" i="6"/>
  <c r="S100" i="6"/>
  <c r="R100" i="6"/>
  <c r="Q100" i="6"/>
  <c r="N100" i="6"/>
  <c r="K100" i="6"/>
  <c r="H100" i="6"/>
  <c r="AJ99" i="6"/>
  <c r="V99" i="6"/>
  <c r="S99" i="6"/>
  <c r="R99" i="6"/>
  <c r="Q99" i="6"/>
  <c r="N99" i="6"/>
  <c r="K99" i="6"/>
  <c r="H99" i="6"/>
  <c r="AJ98" i="6"/>
  <c r="V98" i="6"/>
  <c r="S98" i="6"/>
  <c r="R98" i="6"/>
  <c r="Q98" i="6"/>
  <c r="N98" i="6"/>
  <c r="K98" i="6"/>
  <c r="H98" i="6"/>
  <c r="AJ97" i="6"/>
  <c r="V97" i="6"/>
  <c r="W97" i="6" s="1"/>
  <c r="S97" i="6"/>
  <c r="R97" i="6"/>
  <c r="Q97" i="6"/>
  <c r="N97" i="6"/>
  <c r="K97" i="6"/>
  <c r="H97" i="6"/>
  <c r="AJ96" i="6"/>
  <c r="V96" i="6"/>
  <c r="S96" i="6"/>
  <c r="R96" i="6"/>
  <c r="Q96" i="6"/>
  <c r="N96" i="6"/>
  <c r="K96" i="6"/>
  <c r="H96" i="6"/>
  <c r="AJ95" i="6"/>
  <c r="V95" i="6"/>
  <c r="S95" i="6"/>
  <c r="R95" i="6"/>
  <c r="Q95" i="6"/>
  <c r="N95" i="6"/>
  <c r="K95" i="6"/>
  <c r="H95" i="6"/>
  <c r="AJ94" i="6"/>
  <c r="V94" i="6"/>
  <c r="W94" i="6" s="1"/>
  <c r="S94" i="6"/>
  <c r="R94" i="6"/>
  <c r="Q94" i="6"/>
  <c r="N94" i="6"/>
  <c r="K94" i="6"/>
  <c r="H94" i="6"/>
  <c r="AJ93" i="6"/>
  <c r="V93" i="6"/>
  <c r="S93" i="6"/>
  <c r="R93" i="6"/>
  <c r="Q93" i="6"/>
  <c r="N93" i="6"/>
  <c r="K93" i="6"/>
  <c r="H93" i="6"/>
  <c r="AJ92" i="6"/>
  <c r="V92" i="6"/>
  <c r="S92" i="6"/>
  <c r="R92" i="6"/>
  <c r="Q92" i="6"/>
  <c r="N92" i="6"/>
  <c r="K92" i="6"/>
  <c r="H92" i="6"/>
  <c r="AJ91" i="6"/>
  <c r="V91" i="6"/>
  <c r="W91" i="6" s="1"/>
  <c r="S91" i="6"/>
  <c r="R91" i="6"/>
  <c r="Q91" i="6"/>
  <c r="N91" i="6"/>
  <c r="K91" i="6"/>
  <c r="H91" i="6"/>
  <c r="AJ90" i="6"/>
  <c r="V90" i="6"/>
  <c r="S90" i="6"/>
  <c r="R90" i="6"/>
  <c r="Q90" i="6"/>
  <c r="N90" i="6"/>
  <c r="K90" i="6"/>
  <c r="H90" i="6"/>
  <c r="AJ89" i="6"/>
  <c r="V89" i="6"/>
  <c r="S89" i="6"/>
  <c r="R89" i="6"/>
  <c r="Q89" i="6"/>
  <c r="N89" i="6"/>
  <c r="K89" i="6"/>
  <c r="H89" i="6"/>
  <c r="AJ88" i="6"/>
  <c r="V88" i="6"/>
  <c r="Y88" i="6" s="1"/>
  <c r="AB88" i="6" s="1"/>
  <c r="S88" i="6"/>
  <c r="R88" i="6"/>
  <c r="Q88" i="6"/>
  <c r="N88" i="6"/>
  <c r="K88" i="6"/>
  <c r="H88" i="6"/>
  <c r="AJ87" i="6"/>
  <c r="V87" i="6"/>
  <c r="S87" i="6"/>
  <c r="R87" i="6"/>
  <c r="Q87" i="6"/>
  <c r="N87" i="6"/>
  <c r="K87" i="6"/>
  <c r="H87" i="6"/>
  <c r="AJ86" i="6"/>
  <c r="V86" i="6"/>
  <c r="W86" i="6" s="1"/>
  <c r="S86" i="6"/>
  <c r="R86" i="6"/>
  <c r="Q86" i="6"/>
  <c r="N86" i="6"/>
  <c r="K86" i="6"/>
  <c r="H86" i="6"/>
  <c r="AJ85" i="6"/>
  <c r="V85" i="6"/>
  <c r="S85" i="6"/>
  <c r="R85" i="6"/>
  <c r="Q85" i="6"/>
  <c r="N85" i="6"/>
  <c r="K85" i="6"/>
  <c r="H85" i="6"/>
  <c r="AJ84" i="6"/>
  <c r="V84" i="6"/>
  <c r="S84" i="6"/>
  <c r="R84" i="6"/>
  <c r="Q84" i="6"/>
  <c r="N84" i="6"/>
  <c r="K84" i="6"/>
  <c r="H84" i="6"/>
  <c r="AJ83" i="6"/>
  <c r="V83" i="6"/>
  <c r="Y83" i="6" s="1"/>
  <c r="S83" i="6"/>
  <c r="R83" i="6"/>
  <c r="Q83" i="6"/>
  <c r="N83" i="6"/>
  <c r="K83" i="6"/>
  <c r="H83" i="6"/>
  <c r="AJ82" i="6"/>
  <c r="V82" i="6"/>
  <c r="S82" i="6"/>
  <c r="R82" i="6"/>
  <c r="Q82" i="6"/>
  <c r="N82" i="6"/>
  <c r="K82" i="6"/>
  <c r="H82" i="6"/>
  <c r="AJ81" i="6"/>
  <c r="V81" i="6"/>
  <c r="S81" i="6"/>
  <c r="R81" i="6"/>
  <c r="Q81" i="6"/>
  <c r="N81" i="6"/>
  <c r="K81" i="6"/>
  <c r="H81" i="6"/>
  <c r="AJ80" i="6"/>
  <c r="V80" i="6"/>
  <c r="Y80" i="6" s="1"/>
  <c r="S80" i="6"/>
  <c r="R80" i="6"/>
  <c r="Q80" i="6"/>
  <c r="N80" i="6"/>
  <c r="K80" i="6"/>
  <c r="H80" i="6"/>
  <c r="AJ79" i="6"/>
  <c r="V79" i="6"/>
  <c r="S79" i="6"/>
  <c r="R79" i="6"/>
  <c r="Q79" i="6"/>
  <c r="N79" i="6"/>
  <c r="K79" i="6"/>
  <c r="H79" i="6"/>
  <c r="AJ78" i="6"/>
  <c r="V78" i="6"/>
  <c r="S78" i="6"/>
  <c r="R78" i="6"/>
  <c r="Q78" i="6"/>
  <c r="N78" i="6"/>
  <c r="K78" i="6"/>
  <c r="H78" i="6"/>
  <c r="AJ77" i="6"/>
  <c r="V77" i="6"/>
  <c r="Y77" i="6" s="1"/>
  <c r="S77" i="6"/>
  <c r="R77" i="6"/>
  <c r="Q77" i="6"/>
  <c r="N77" i="6"/>
  <c r="K77" i="6"/>
  <c r="H77" i="6"/>
  <c r="AJ76" i="6"/>
  <c r="V76" i="6"/>
  <c r="Y76" i="6" s="1"/>
  <c r="Z76" i="6" s="1"/>
  <c r="S76" i="6"/>
  <c r="R76" i="6"/>
  <c r="Q76" i="6"/>
  <c r="N76" i="6"/>
  <c r="K76" i="6"/>
  <c r="H76" i="6"/>
  <c r="S67" i="6"/>
  <c r="N67" i="6"/>
  <c r="K67" i="6"/>
  <c r="H67" i="6"/>
  <c r="Q66" i="6"/>
  <c r="N66" i="6"/>
  <c r="K66" i="6"/>
  <c r="S66" i="6"/>
  <c r="Q65" i="6"/>
  <c r="S65" i="6"/>
  <c r="N65" i="6"/>
  <c r="K65" i="6"/>
  <c r="H65" i="6"/>
  <c r="S63" i="6"/>
  <c r="Q63" i="6"/>
  <c r="N63" i="6"/>
  <c r="K63" i="6"/>
  <c r="H63" i="6"/>
  <c r="S62" i="6"/>
  <c r="Q62" i="6"/>
  <c r="N62" i="6"/>
  <c r="K62" i="6"/>
  <c r="H62" i="6"/>
  <c r="S61" i="6"/>
  <c r="N61" i="6"/>
  <c r="K61" i="6"/>
  <c r="H61" i="6"/>
  <c r="S60" i="6"/>
  <c r="N60" i="6"/>
  <c r="K60" i="6"/>
  <c r="H60" i="6"/>
  <c r="Q59" i="6"/>
  <c r="S59" i="6"/>
  <c r="N59" i="6"/>
  <c r="K59" i="6"/>
  <c r="H59" i="6"/>
  <c r="S58" i="6"/>
  <c r="N58" i="6"/>
  <c r="K58" i="6"/>
  <c r="H58" i="6"/>
  <c r="Q57" i="6"/>
  <c r="N57" i="6"/>
  <c r="K57" i="6"/>
  <c r="H57" i="6"/>
  <c r="Q56" i="6"/>
  <c r="S56" i="6"/>
  <c r="N56" i="6"/>
  <c r="K56" i="6"/>
  <c r="H56" i="6"/>
  <c r="S55" i="6"/>
  <c r="Q55" i="6"/>
  <c r="N55" i="6"/>
  <c r="K55" i="6"/>
  <c r="H55" i="6"/>
  <c r="S54" i="6"/>
  <c r="Q54" i="6"/>
  <c r="N54" i="6"/>
  <c r="K54" i="6"/>
  <c r="H54" i="6"/>
  <c r="S53" i="6"/>
  <c r="N53" i="6"/>
  <c r="K53" i="6"/>
  <c r="H53" i="6"/>
  <c r="S52" i="6"/>
  <c r="Q52" i="6"/>
  <c r="N52" i="6"/>
  <c r="K52" i="6"/>
  <c r="H52" i="6"/>
  <c r="Q51" i="6"/>
  <c r="S51" i="6"/>
  <c r="N51" i="6"/>
  <c r="H51" i="6"/>
  <c r="N50" i="6"/>
  <c r="K50" i="6"/>
  <c r="H50" i="6"/>
  <c r="Q49" i="6"/>
  <c r="S49" i="6"/>
  <c r="N49" i="6"/>
  <c r="K49" i="6"/>
  <c r="H49" i="6"/>
  <c r="Q48" i="6"/>
  <c r="S48" i="6"/>
  <c r="K48" i="6"/>
  <c r="H48" i="6"/>
  <c r="S47" i="6"/>
  <c r="Q47" i="6"/>
  <c r="N47" i="6"/>
  <c r="K47" i="6"/>
  <c r="H47" i="6"/>
  <c r="S46" i="6"/>
  <c r="Q46" i="6"/>
  <c r="N46" i="6"/>
  <c r="K46" i="6"/>
  <c r="H46" i="6"/>
  <c r="N44" i="6"/>
  <c r="K44" i="6"/>
  <c r="H44" i="6"/>
  <c r="Q43" i="6"/>
  <c r="S43" i="6"/>
  <c r="N43" i="6"/>
  <c r="K43" i="6"/>
  <c r="H43" i="6"/>
  <c r="Q42" i="6"/>
  <c r="S42" i="6"/>
  <c r="N42" i="6"/>
  <c r="K42" i="6"/>
  <c r="H42" i="6"/>
  <c r="S41" i="6"/>
  <c r="Q41" i="6"/>
  <c r="K41" i="6"/>
  <c r="H41" i="6"/>
  <c r="S40" i="6"/>
  <c r="Q40" i="6"/>
  <c r="N40" i="6"/>
  <c r="K40" i="6"/>
  <c r="H40" i="6"/>
  <c r="K39" i="6"/>
  <c r="H39" i="6"/>
  <c r="N38" i="6"/>
  <c r="K38" i="6"/>
  <c r="S38" i="6"/>
  <c r="Q37" i="6"/>
  <c r="S37" i="6"/>
  <c r="N37" i="6"/>
  <c r="K37" i="6"/>
  <c r="H37" i="6"/>
  <c r="K36" i="6"/>
  <c r="H36" i="6"/>
  <c r="S35" i="6"/>
  <c r="Q35" i="6"/>
  <c r="N35" i="6"/>
  <c r="K35" i="6"/>
  <c r="H35" i="6"/>
  <c r="Q34" i="6"/>
  <c r="N34" i="6"/>
  <c r="H34" i="6"/>
  <c r="S34" i="6"/>
  <c r="Q33" i="6"/>
  <c r="N33" i="6"/>
  <c r="K33" i="6"/>
  <c r="H33" i="6"/>
  <c r="S32" i="6"/>
  <c r="Q32" i="6"/>
  <c r="N32" i="6"/>
  <c r="K32" i="6"/>
  <c r="H32" i="6"/>
  <c r="K31" i="6"/>
  <c r="H31" i="6"/>
  <c r="S30" i="6"/>
  <c r="N30" i="6"/>
  <c r="K30" i="6"/>
  <c r="H30" i="6"/>
  <c r="Q29" i="6"/>
  <c r="S29" i="6"/>
  <c r="N29" i="6"/>
  <c r="K29" i="6"/>
  <c r="H29" i="6"/>
  <c r="Q28" i="6"/>
  <c r="N28" i="6"/>
  <c r="H28" i="6"/>
  <c r="S27" i="6"/>
  <c r="K27" i="6"/>
  <c r="N27" i="6"/>
  <c r="H27" i="6"/>
  <c r="S26" i="6"/>
  <c r="Q26" i="6"/>
  <c r="N26" i="6"/>
  <c r="K26" i="6"/>
  <c r="H26" i="6"/>
  <c r="Q25" i="6"/>
  <c r="K25" i="6"/>
  <c r="S25" i="6"/>
  <c r="S24" i="6"/>
  <c r="N24" i="6"/>
  <c r="Q24" i="6"/>
  <c r="K24" i="6"/>
  <c r="H24" i="6"/>
  <c r="Q23" i="6"/>
  <c r="N23" i="6"/>
  <c r="K23" i="6"/>
  <c r="S23" i="6"/>
  <c r="S22" i="6"/>
  <c r="N22" i="6"/>
  <c r="K22" i="6"/>
  <c r="H22" i="6"/>
  <c r="Q21" i="6"/>
  <c r="S21" i="6"/>
  <c r="N21" i="6"/>
  <c r="K21" i="6"/>
  <c r="H21" i="6"/>
  <c r="Q20" i="6"/>
  <c r="N20" i="6"/>
  <c r="H20" i="6"/>
  <c r="S19" i="6"/>
  <c r="K19" i="6"/>
  <c r="N19" i="6"/>
  <c r="H19" i="6"/>
  <c r="S18" i="6"/>
  <c r="Q18" i="6"/>
  <c r="N18" i="6"/>
  <c r="K18" i="6"/>
  <c r="H18" i="6"/>
  <c r="Q17" i="6"/>
  <c r="K17" i="6"/>
  <c r="S17" i="6"/>
  <c r="S16" i="6"/>
  <c r="N16" i="6"/>
  <c r="Q16" i="6"/>
  <c r="K16" i="6"/>
  <c r="H16" i="6"/>
  <c r="Q15" i="6"/>
  <c r="N15" i="6"/>
  <c r="K15" i="6"/>
  <c r="H15" i="6"/>
  <c r="S15" i="6"/>
  <c r="AG68" i="6"/>
  <c r="AD68" i="6"/>
  <c r="AJ14" i="6"/>
  <c r="P68" i="6"/>
  <c r="M68" i="6"/>
  <c r="K14" i="6"/>
  <c r="R14" i="6"/>
  <c r="R68" i="6" s="1"/>
  <c r="L12" i="6"/>
  <c r="I63" i="30"/>
  <c r="J63" i="30"/>
  <c r="G61" i="30"/>
  <c r="H61" i="30"/>
  <c r="J61" i="30"/>
  <c r="E57" i="1"/>
  <c r="J57" i="30"/>
  <c r="H57" i="30"/>
  <c r="F55" i="30"/>
  <c r="J55" i="30"/>
  <c r="I53" i="30"/>
  <c r="J312" i="26"/>
  <c r="J311" i="26"/>
  <c r="J310" i="26"/>
  <c r="J309" i="26"/>
  <c r="I302" i="26"/>
  <c r="I300" i="26"/>
  <c r="I299" i="26"/>
  <c r="I298" i="26"/>
  <c r="I297" i="26"/>
  <c r="I293" i="26"/>
  <c r="I291" i="26"/>
  <c r="I290" i="26"/>
  <c r="I289" i="26"/>
  <c r="I288" i="26"/>
  <c r="I284" i="26"/>
  <c r="I283" i="26"/>
  <c r="I279" i="26"/>
  <c r="I277" i="26"/>
  <c r="I276" i="26"/>
  <c r="I275" i="26"/>
  <c r="I274" i="26"/>
  <c r="I270" i="26"/>
  <c r="I268" i="26"/>
  <c r="I267" i="26"/>
  <c r="I266" i="26"/>
  <c r="I265" i="26"/>
  <c r="I261" i="26"/>
  <c r="I259" i="26"/>
  <c r="I258" i="26"/>
  <c r="I257" i="26"/>
  <c r="I256" i="26"/>
  <c r="D250" i="26"/>
  <c r="I196" i="26"/>
  <c r="D192" i="26"/>
  <c r="I134" i="26"/>
  <c r="I133" i="26"/>
  <c r="I71" i="26"/>
  <c r="H287" i="26"/>
  <c r="C2" i="26"/>
  <c r="I68" i="6"/>
  <c r="Q14" i="6"/>
  <c r="N17" i="6"/>
  <c r="K20" i="6"/>
  <c r="S20" i="6"/>
  <c r="Q22" i="6"/>
  <c r="H23" i="6"/>
  <c r="N25" i="6"/>
  <c r="K28" i="6"/>
  <c r="S28" i="6"/>
  <c r="Q30" i="6"/>
  <c r="N36" i="6"/>
  <c r="S39" i="6"/>
  <c r="J68" i="6"/>
  <c r="AA68" i="6"/>
  <c r="N31" i="6"/>
  <c r="S33" i="6"/>
  <c r="K34" i="6"/>
  <c r="N41" i="6"/>
  <c r="S44" i="6"/>
  <c r="Q44" i="6"/>
  <c r="K51" i="6"/>
  <c r="S14" i="6"/>
  <c r="H17" i="6"/>
  <c r="H25" i="6"/>
  <c r="S36" i="6"/>
  <c r="Q36" i="6"/>
  <c r="H38" i="6"/>
  <c r="Q38" i="6"/>
  <c r="D68" i="6"/>
  <c r="L68" i="6"/>
  <c r="U68" i="6"/>
  <c r="S31" i="6"/>
  <c r="Q31" i="6"/>
  <c r="I326" i="6"/>
  <c r="AG326" i="6"/>
  <c r="U326" i="6"/>
  <c r="U265" i="6"/>
  <c r="L265" i="6"/>
  <c r="AA257" i="6"/>
  <c r="AD265" i="6"/>
  <c r="X196" i="6"/>
  <c r="L135" i="6"/>
  <c r="AD196" i="6"/>
  <c r="D135" i="6"/>
  <c r="R134" i="6" s="1"/>
  <c r="I196" i="6"/>
  <c r="O74" i="6"/>
  <c r="O135" i="6"/>
  <c r="D74" i="6"/>
  <c r="AA74" i="6"/>
  <c r="S50" i="6"/>
  <c r="Q50" i="6"/>
  <c r="N14" i="6"/>
  <c r="Q19" i="6"/>
  <c r="Q27" i="6"/>
  <c r="X12" i="6"/>
  <c r="O68" i="6"/>
  <c r="X68" i="6"/>
  <c r="N39" i="6"/>
  <c r="N48" i="6"/>
  <c r="H14" i="6"/>
  <c r="Q58" i="6"/>
  <c r="N130" i="6"/>
  <c r="S57" i="6"/>
  <c r="H66" i="6"/>
  <c r="Q60" i="6"/>
  <c r="Y207" i="6"/>
  <c r="Z207" i="6" s="1"/>
  <c r="Q39" i="6"/>
  <c r="Q53" i="6"/>
  <c r="Q61" i="6"/>
  <c r="Q67" i="6"/>
  <c r="W104" i="6"/>
  <c r="W108" i="6"/>
  <c r="W116" i="6"/>
  <c r="Z139" i="6"/>
  <c r="W175" i="6"/>
  <c r="Y175" i="6"/>
  <c r="Z175" i="6" s="1"/>
  <c r="W139" i="6"/>
  <c r="W159" i="6"/>
  <c r="W185" i="6"/>
  <c r="W189" i="6"/>
  <c r="Q191" i="6"/>
  <c r="Y174" i="6"/>
  <c r="Z174" i="6" s="1"/>
  <c r="Y229" i="6"/>
  <c r="AB229" i="6" s="1"/>
  <c r="AE229" i="6" s="1"/>
  <c r="W222" i="6"/>
  <c r="W182" i="6"/>
  <c r="Y186" i="6"/>
  <c r="Z186" i="6" s="1"/>
  <c r="W186" i="6"/>
  <c r="Y190" i="6"/>
  <c r="Z190" i="6" s="1"/>
  <c r="W190" i="6"/>
  <c r="R252" i="6"/>
  <c r="W231" i="6"/>
  <c r="K260" i="6"/>
  <c r="W243" i="6"/>
  <c r="W372" i="6"/>
  <c r="W354" i="6"/>
  <c r="J53" i="30"/>
  <c r="H55" i="30"/>
  <c r="I57" i="30"/>
  <c r="E70" i="26"/>
  <c r="G287" i="26"/>
  <c r="Z227" i="6"/>
  <c r="G128" i="30"/>
  <c r="G132" i="30" s="1"/>
  <c r="J123" i="30"/>
  <c r="J127" i="30" s="1"/>
  <c r="I108" i="30"/>
  <c r="F108" i="30"/>
  <c r="F75" i="30"/>
  <c r="F73" i="30"/>
  <c r="H81" i="30"/>
  <c r="F81" i="30"/>
  <c r="J79" i="30"/>
  <c r="I79" i="30"/>
  <c r="H79" i="30"/>
  <c r="G79" i="30"/>
  <c r="F79" i="30"/>
  <c r="J75" i="30"/>
  <c r="I75" i="30"/>
  <c r="H75" i="30"/>
  <c r="G75" i="30"/>
  <c r="I73" i="30"/>
  <c r="H73" i="30"/>
  <c r="G73" i="30"/>
  <c r="H71" i="30"/>
  <c r="G71" i="30"/>
  <c r="F110" i="1"/>
  <c r="G110" i="1"/>
  <c r="H110" i="1"/>
  <c r="I110" i="1"/>
  <c r="E151" i="30" s="1"/>
  <c r="E110" i="1"/>
  <c r="G109" i="1"/>
  <c r="H109" i="1"/>
  <c r="I109" i="1"/>
  <c r="E150" i="30" s="1"/>
  <c r="F109" i="1"/>
  <c r="E14" i="2" s="1"/>
  <c r="E109" i="1"/>
  <c r="F102" i="1"/>
  <c r="G102" i="1"/>
  <c r="H102" i="1"/>
  <c r="I102" i="1"/>
  <c r="E102" i="1"/>
  <c r="H308" i="13"/>
  <c r="F307" i="13"/>
  <c r="H306" i="13"/>
  <c r="H304" i="13"/>
  <c r="H303" i="13"/>
  <c r="F302" i="13"/>
  <c r="F301" i="13"/>
  <c r="F300" i="13"/>
  <c r="H299" i="13"/>
  <c r="H298" i="13"/>
  <c r="F296" i="13"/>
  <c r="H295" i="13"/>
  <c r="F294" i="13"/>
  <c r="F293" i="13"/>
  <c r="H292" i="13"/>
  <c r="F291" i="13"/>
  <c r="F290" i="13"/>
  <c r="F288" i="13"/>
  <c r="H287" i="13"/>
  <c r="H286" i="13"/>
  <c r="F285" i="13"/>
  <c r="F284" i="13"/>
  <c r="F283" i="13"/>
  <c r="H282" i="13"/>
  <c r="F280" i="13"/>
  <c r="F279" i="13"/>
  <c r="H278" i="13"/>
  <c r="H277" i="13"/>
  <c r="F276" i="13"/>
  <c r="F275" i="13"/>
  <c r="H274" i="13"/>
  <c r="H272" i="13"/>
  <c r="H271" i="13"/>
  <c r="H270" i="13"/>
  <c r="F269" i="13"/>
  <c r="F268" i="13"/>
  <c r="H267" i="13"/>
  <c r="H266" i="13"/>
  <c r="H264" i="13"/>
  <c r="H263" i="13"/>
  <c r="H262" i="13"/>
  <c r="H261" i="13"/>
  <c r="H260" i="13"/>
  <c r="H259" i="13"/>
  <c r="W12" i="13"/>
  <c r="C2" i="13"/>
  <c r="J140" i="30"/>
  <c r="I140" i="30"/>
  <c r="H140" i="30"/>
  <c r="G140" i="30"/>
  <c r="F140" i="30"/>
  <c r="I99" i="1"/>
  <c r="H99" i="1"/>
  <c r="G99" i="1"/>
  <c r="F99" i="1"/>
  <c r="E99" i="1"/>
  <c r="K67" i="13"/>
  <c r="I67" i="13"/>
  <c r="E67" i="13"/>
  <c r="D67" i="13"/>
  <c r="K66" i="13"/>
  <c r="I66" i="13"/>
  <c r="G66" i="13"/>
  <c r="E66" i="13"/>
  <c r="D66" i="13"/>
  <c r="K65" i="13"/>
  <c r="I65" i="13"/>
  <c r="G65" i="13"/>
  <c r="E65" i="13"/>
  <c r="D65" i="13"/>
  <c r="K64" i="13"/>
  <c r="I64" i="13"/>
  <c r="G64" i="13"/>
  <c r="E64" i="13"/>
  <c r="D64" i="13"/>
  <c r="K63" i="13"/>
  <c r="I63" i="13"/>
  <c r="G63" i="13"/>
  <c r="E63" i="13"/>
  <c r="D63" i="13"/>
  <c r="K62" i="13"/>
  <c r="I62" i="13"/>
  <c r="G62" i="13"/>
  <c r="E62" i="13"/>
  <c r="D62" i="13"/>
  <c r="K61" i="13"/>
  <c r="I61" i="13"/>
  <c r="G61" i="13"/>
  <c r="E61" i="13"/>
  <c r="D61" i="13"/>
  <c r="K60" i="13"/>
  <c r="I60" i="13"/>
  <c r="G60" i="13"/>
  <c r="E60" i="13"/>
  <c r="D60" i="13"/>
  <c r="K59" i="13"/>
  <c r="I59" i="13"/>
  <c r="G59" i="13"/>
  <c r="E59" i="13"/>
  <c r="D59" i="13"/>
  <c r="K58" i="13"/>
  <c r="I58" i="13"/>
  <c r="G58" i="13"/>
  <c r="E58" i="13"/>
  <c r="D58" i="13"/>
  <c r="K57" i="13"/>
  <c r="I57" i="13"/>
  <c r="G57" i="13"/>
  <c r="E57" i="13"/>
  <c r="D57" i="13"/>
  <c r="K56" i="13"/>
  <c r="I56" i="13"/>
  <c r="G56" i="13"/>
  <c r="E56" i="13"/>
  <c r="D56" i="13"/>
  <c r="K55" i="13"/>
  <c r="I55" i="13"/>
  <c r="G55" i="13"/>
  <c r="E55" i="13"/>
  <c r="D55" i="13"/>
  <c r="K54" i="13"/>
  <c r="I54" i="13"/>
  <c r="G54" i="13"/>
  <c r="E54" i="13"/>
  <c r="D54" i="13"/>
  <c r="K53" i="13"/>
  <c r="I53" i="13"/>
  <c r="G53" i="13"/>
  <c r="E53" i="13"/>
  <c r="D53" i="13"/>
  <c r="K52" i="13"/>
  <c r="I52" i="13"/>
  <c r="G52" i="13"/>
  <c r="E52" i="13"/>
  <c r="D52" i="13"/>
  <c r="K51" i="13"/>
  <c r="I51" i="13"/>
  <c r="G51" i="13"/>
  <c r="E51" i="13"/>
  <c r="D51" i="13"/>
  <c r="K50" i="13"/>
  <c r="I50" i="13"/>
  <c r="G50" i="13"/>
  <c r="E50" i="13"/>
  <c r="D50" i="13"/>
  <c r="K49" i="13"/>
  <c r="I49" i="13"/>
  <c r="G49" i="13"/>
  <c r="E49" i="13"/>
  <c r="D49" i="13"/>
  <c r="K48" i="13"/>
  <c r="I48" i="13"/>
  <c r="G48" i="13"/>
  <c r="E48" i="13"/>
  <c r="D48" i="13"/>
  <c r="K47" i="13"/>
  <c r="I47" i="13"/>
  <c r="G47" i="13"/>
  <c r="E47" i="13"/>
  <c r="D47" i="13"/>
  <c r="K46" i="13"/>
  <c r="I46" i="13"/>
  <c r="G46" i="13"/>
  <c r="E46" i="13"/>
  <c r="D46" i="13"/>
  <c r="K45" i="13"/>
  <c r="I45" i="13"/>
  <c r="G45" i="13"/>
  <c r="E45" i="13"/>
  <c r="D45" i="13"/>
  <c r="K44" i="13"/>
  <c r="I44" i="13"/>
  <c r="G44" i="13"/>
  <c r="E44" i="13"/>
  <c r="D44" i="13"/>
  <c r="K43" i="13"/>
  <c r="I43" i="13"/>
  <c r="G43" i="13"/>
  <c r="E43" i="13"/>
  <c r="D43" i="13"/>
  <c r="K42" i="13"/>
  <c r="I42" i="13"/>
  <c r="G42" i="13"/>
  <c r="E42" i="13"/>
  <c r="D42" i="13"/>
  <c r="K41" i="13"/>
  <c r="I41" i="13"/>
  <c r="G41" i="13"/>
  <c r="E41" i="13"/>
  <c r="D41" i="13"/>
  <c r="K40" i="13"/>
  <c r="I40" i="13"/>
  <c r="G40" i="13"/>
  <c r="E40" i="13"/>
  <c r="D40" i="13"/>
  <c r="K39" i="13"/>
  <c r="I39" i="13"/>
  <c r="G39" i="13"/>
  <c r="E39" i="13"/>
  <c r="D39" i="13"/>
  <c r="K38" i="13"/>
  <c r="I38" i="13"/>
  <c r="G38" i="13"/>
  <c r="E38" i="13"/>
  <c r="D38" i="13"/>
  <c r="K37" i="13"/>
  <c r="I37" i="13"/>
  <c r="G37" i="13"/>
  <c r="E37" i="13"/>
  <c r="D37" i="13"/>
  <c r="K36" i="13"/>
  <c r="I36" i="13"/>
  <c r="G36" i="13"/>
  <c r="E36" i="13"/>
  <c r="D36" i="13"/>
  <c r="K35" i="13"/>
  <c r="I35" i="13"/>
  <c r="G35" i="13"/>
  <c r="E35" i="13"/>
  <c r="D35" i="13"/>
  <c r="K34" i="13"/>
  <c r="I34" i="13"/>
  <c r="G34" i="13"/>
  <c r="E34" i="13"/>
  <c r="D34" i="13"/>
  <c r="K33" i="13"/>
  <c r="I33" i="13"/>
  <c r="G33" i="13"/>
  <c r="E33" i="13"/>
  <c r="D33" i="13"/>
  <c r="K32" i="13"/>
  <c r="I32" i="13"/>
  <c r="G32" i="13"/>
  <c r="E32" i="13"/>
  <c r="D32" i="13"/>
  <c r="K31" i="13"/>
  <c r="I31" i="13"/>
  <c r="G31" i="13"/>
  <c r="E31" i="13"/>
  <c r="D31" i="13"/>
  <c r="K30" i="13"/>
  <c r="I30" i="13"/>
  <c r="G30" i="13"/>
  <c r="E30" i="13"/>
  <c r="D30" i="13"/>
  <c r="K29" i="13"/>
  <c r="I29" i="13"/>
  <c r="G29" i="13"/>
  <c r="E29" i="13"/>
  <c r="D29" i="13"/>
  <c r="K28" i="13"/>
  <c r="I28" i="13"/>
  <c r="G28" i="13"/>
  <c r="E28" i="13"/>
  <c r="D28" i="13"/>
  <c r="K27" i="13"/>
  <c r="I27" i="13"/>
  <c r="G27" i="13"/>
  <c r="E27" i="13"/>
  <c r="D27" i="13"/>
  <c r="K26" i="13"/>
  <c r="I26" i="13"/>
  <c r="G26" i="13"/>
  <c r="E26" i="13"/>
  <c r="D26" i="13"/>
  <c r="K25" i="13"/>
  <c r="I25" i="13"/>
  <c r="G25" i="13"/>
  <c r="E25" i="13"/>
  <c r="D25" i="13"/>
  <c r="K24" i="13"/>
  <c r="I24" i="13"/>
  <c r="G24" i="13"/>
  <c r="E24" i="13"/>
  <c r="D24" i="13"/>
  <c r="K23" i="13"/>
  <c r="I23" i="13"/>
  <c r="G23" i="13"/>
  <c r="E23" i="13"/>
  <c r="D23" i="13"/>
  <c r="K22" i="13"/>
  <c r="I22" i="13"/>
  <c r="G22" i="13"/>
  <c r="E22" i="13"/>
  <c r="D22" i="13"/>
  <c r="K21" i="13"/>
  <c r="I21" i="13"/>
  <c r="G21" i="13"/>
  <c r="E21" i="13"/>
  <c r="D21" i="13"/>
  <c r="K20" i="13"/>
  <c r="I20" i="13"/>
  <c r="G20" i="13"/>
  <c r="E20" i="13"/>
  <c r="D20" i="13"/>
  <c r="K19" i="13"/>
  <c r="I19" i="13"/>
  <c r="G19" i="13"/>
  <c r="E19" i="13"/>
  <c r="D19" i="13"/>
  <c r="K18" i="13"/>
  <c r="I18" i="13"/>
  <c r="G18" i="13"/>
  <c r="E18" i="13"/>
  <c r="D18" i="13"/>
  <c r="K17" i="13"/>
  <c r="I17" i="13"/>
  <c r="G17" i="13"/>
  <c r="E17" i="13"/>
  <c r="D17" i="13"/>
  <c r="K16" i="13"/>
  <c r="I16" i="13"/>
  <c r="G16" i="13"/>
  <c r="E16" i="13"/>
  <c r="D16" i="13"/>
  <c r="K15" i="13"/>
  <c r="I15" i="13"/>
  <c r="G15" i="13"/>
  <c r="E15" i="13"/>
  <c r="D15" i="13"/>
  <c r="K14" i="13"/>
  <c r="I14" i="13"/>
  <c r="G14" i="13"/>
  <c r="E14" i="13"/>
  <c r="D14" i="13"/>
  <c r="E81" i="1"/>
  <c r="G80" i="1"/>
  <c r="F80" i="1"/>
  <c r="E80" i="1"/>
  <c r="E79" i="1"/>
  <c r="I78" i="1"/>
  <c r="H78" i="1"/>
  <c r="G78" i="1"/>
  <c r="E78" i="1"/>
  <c r="E75" i="1"/>
  <c r="I74" i="1"/>
  <c r="E75" i="30" s="1"/>
  <c r="H74" i="1"/>
  <c r="G74" i="1"/>
  <c r="F74" i="1"/>
  <c r="E74" i="1"/>
  <c r="E73" i="1"/>
  <c r="I72" i="1"/>
  <c r="E73" i="30" s="1"/>
  <c r="H72" i="1"/>
  <c r="G72" i="1"/>
  <c r="F72" i="1"/>
  <c r="F73" i="1" s="1"/>
  <c r="G73" i="1" s="1"/>
  <c r="E72" i="1"/>
  <c r="E71" i="1"/>
  <c r="F71" i="1" s="1"/>
  <c r="I70" i="1"/>
  <c r="H70" i="1"/>
  <c r="G70" i="1"/>
  <c r="F70" i="1"/>
  <c r="E70" i="1"/>
  <c r="I62" i="1"/>
  <c r="E63" i="30" s="1"/>
  <c r="H62" i="1"/>
  <c r="G62" i="1"/>
  <c r="F62" i="1"/>
  <c r="E63" i="1"/>
  <c r="F63" i="1" s="1"/>
  <c r="E62" i="1"/>
  <c r="I60" i="1"/>
  <c r="H60" i="1"/>
  <c r="G60" i="1"/>
  <c r="F60" i="1"/>
  <c r="E61" i="1"/>
  <c r="E60" i="1"/>
  <c r="I56" i="1"/>
  <c r="H56" i="1"/>
  <c r="G56" i="1"/>
  <c r="F56" i="1"/>
  <c r="E56" i="1"/>
  <c r="E55" i="1"/>
  <c r="I54" i="1"/>
  <c r="H54" i="1"/>
  <c r="G54" i="1"/>
  <c r="F54" i="1"/>
  <c r="F55" i="1" s="1"/>
  <c r="E54" i="1"/>
  <c r="I52" i="1"/>
  <c r="E53" i="30" s="1"/>
  <c r="H52" i="1"/>
  <c r="G52" i="1"/>
  <c r="F52" i="1"/>
  <c r="E53" i="1"/>
  <c r="E52" i="1"/>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G255" i="4"/>
  <c r="AD255" i="4"/>
  <c r="I18" i="30" s="1"/>
  <c r="AA255" i="4"/>
  <c r="H18" i="30" s="1"/>
  <c r="X255" i="4"/>
  <c r="U255"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O255" i="4"/>
  <c r="I18" i="1" s="1"/>
  <c r="E18" i="30" s="1"/>
  <c r="L255" i="4"/>
  <c r="F255" i="4"/>
  <c r="F18" i="1" s="1"/>
  <c r="G202" i="4"/>
  <c r="J202" i="4" s="1"/>
  <c r="G203" i="4"/>
  <c r="J203" i="4" s="1"/>
  <c r="G204" i="4"/>
  <c r="G205" i="4"/>
  <c r="H205" i="4" s="1"/>
  <c r="G206" i="4"/>
  <c r="J206" i="4" s="1"/>
  <c r="M206" i="4" s="1"/>
  <c r="G207" i="4"/>
  <c r="J207" i="4" s="1"/>
  <c r="K207" i="4" s="1"/>
  <c r="G208" i="4"/>
  <c r="G209" i="4"/>
  <c r="J209" i="4" s="1"/>
  <c r="G210" i="4"/>
  <c r="J210" i="4" s="1"/>
  <c r="G211" i="4"/>
  <c r="J211" i="4" s="1"/>
  <c r="M211" i="4" s="1"/>
  <c r="G212" i="4"/>
  <c r="G213" i="4"/>
  <c r="J213" i="4" s="1"/>
  <c r="M213" i="4" s="1"/>
  <c r="G214" i="4"/>
  <c r="J214" i="4" s="1"/>
  <c r="K214" i="4" s="1"/>
  <c r="G215" i="4"/>
  <c r="H215" i="4" s="1"/>
  <c r="G216" i="4"/>
  <c r="J216" i="4" s="1"/>
  <c r="K216" i="4" s="1"/>
  <c r="G217" i="4"/>
  <c r="H217" i="4" s="1"/>
  <c r="G218" i="4"/>
  <c r="H218" i="4" s="1"/>
  <c r="G219" i="4"/>
  <c r="G220" i="4"/>
  <c r="J220" i="4" s="1"/>
  <c r="K220" i="4" s="1"/>
  <c r="G221" i="4"/>
  <c r="H221" i="4" s="1"/>
  <c r="G222" i="4"/>
  <c r="H222" i="4" s="1"/>
  <c r="G223" i="4"/>
  <c r="H223" i="4" s="1"/>
  <c r="G224" i="4"/>
  <c r="J224" i="4" s="1"/>
  <c r="K224" i="4" s="1"/>
  <c r="G225" i="4"/>
  <c r="H225" i="4" s="1"/>
  <c r="G226" i="4"/>
  <c r="J226" i="4" s="1"/>
  <c r="G227" i="4"/>
  <c r="J227" i="4" s="1"/>
  <c r="K227" i="4" s="1"/>
  <c r="G228" i="4"/>
  <c r="J228" i="4" s="1"/>
  <c r="K228" i="4" s="1"/>
  <c r="G229" i="4"/>
  <c r="H229" i="4" s="1"/>
  <c r="G230" i="4"/>
  <c r="J230" i="4" s="1"/>
  <c r="G231" i="4"/>
  <c r="H231" i="4" s="1"/>
  <c r="G232" i="4"/>
  <c r="J232" i="4" s="1"/>
  <c r="M232" i="4" s="1"/>
  <c r="G233" i="4"/>
  <c r="G234" i="4"/>
  <c r="J234" i="4" s="1"/>
  <c r="K234" i="4" s="1"/>
  <c r="G235" i="4"/>
  <c r="J235" i="4" s="1"/>
  <c r="K235" i="4" s="1"/>
  <c r="G236" i="4"/>
  <c r="J236" i="4" s="1"/>
  <c r="K236" i="4" s="1"/>
  <c r="G237" i="4"/>
  <c r="H237" i="4" s="1"/>
  <c r="G238" i="4"/>
  <c r="J238" i="4" s="1"/>
  <c r="G239" i="4"/>
  <c r="G240" i="4"/>
  <c r="J240" i="4" s="1"/>
  <c r="G241" i="4"/>
  <c r="J241" i="4" s="1"/>
  <c r="K241" i="4" s="1"/>
  <c r="G242" i="4"/>
  <c r="J242" i="4" s="1"/>
  <c r="M242" i="4" s="1"/>
  <c r="N242" i="4" s="1"/>
  <c r="G243" i="4"/>
  <c r="J243" i="4" s="1"/>
  <c r="M243" i="4" s="1"/>
  <c r="N243" i="4" s="1"/>
  <c r="G244" i="4"/>
  <c r="H244" i="4" s="1"/>
  <c r="G245" i="4"/>
  <c r="J245" i="4" s="1"/>
  <c r="G246" i="4"/>
  <c r="J246" i="4" s="1"/>
  <c r="M246" i="4" s="1"/>
  <c r="G247" i="4"/>
  <c r="G248" i="4"/>
  <c r="J248" i="4" s="1"/>
  <c r="K248" i="4" s="1"/>
  <c r="G249" i="4"/>
  <c r="H249" i="4" s="1"/>
  <c r="G250" i="4"/>
  <c r="H250" i="4" s="1"/>
  <c r="G251" i="4"/>
  <c r="J251" i="4" s="1"/>
  <c r="K251" i="4" s="1"/>
  <c r="G252" i="4"/>
  <c r="G253" i="4"/>
  <c r="H253" i="4" s="1"/>
  <c r="G254" i="4"/>
  <c r="J254" i="4" s="1"/>
  <c r="E255" i="4"/>
  <c r="D255" i="4"/>
  <c r="E18" i="1" s="1"/>
  <c r="T306" i="13"/>
  <c r="V263" i="13"/>
  <c r="R288" i="13"/>
  <c r="Y267" i="13"/>
  <c r="R289" i="13"/>
  <c r="X272" i="13"/>
  <c r="J275" i="13"/>
  <c r="P278" i="13"/>
  <c r="J279" i="13"/>
  <c r="T285" i="13"/>
  <c r="P298" i="13"/>
  <c r="L303" i="13"/>
  <c r="R267" i="13"/>
  <c r="L272" i="13"/>
  <c r="V306" i="13"/>
  <c r="R270" i="13"/>
  <c r="L271" i="13"/>
  <c r="F273" i="13"/>
  <c r="R291" i="13"/>
  <c r="Y270" i="13"/>
  <c r="J289" i="13"/>
  <c r="T295" i="13"/>
  <c r="P296" i="13"/>
  <c r="Y302" i="13"/>
  <c r="V288" i="13"/>
  <c r="J272" i="13"/>
  <c r="V266" i="13"/>
  <c r="P279" i="13"/>
  <c r="Y292" i="13"/>
  <c r="Y294" i="13"/>
  <c r="Y300" i="13"/>
  <c r="Y273" i="13"/>
  <c r="T294" i="13"/>
  <c r="T302" i="13"/>
  <c r="J307" i="13"/>
  <c r="R264" i="13"/>
  <c r="P272" i="13"/>
  <c r="L277" i="13"/>
  <c r="Y278" i="13"/>
  <c r="P284" i="13"/>
  <c r="X286" i="13"/>
  <c r="V298" i="13"/>
  <c r="L300" i="13"/>
  <c r="P303" i="13"/>
  <c r="V268" i="13"/>
  <c r="J274" i="13"/>
  <c r="R292" i="13"/>
  <c r="R300" i="13"/>
  <c r="H302" i="13"/>
  <c r="X264" i="13"/>
  <c r="T303" i="13"/>
  <c r="T300" i="13"/>
  <c r="P301" i="13"/>
  <c r="V296" i="13"/>
  <c r="J291" i="13"/>
  <c r="P261" i="13"/>
  <c r="T278" i="13"/>
  <c r="T282" i="13"/>
  <c r="T286" i="13"/>
  <c r="V260" i="13"/>
  <c r="R261" i="13"/>
  <c r="L262" i="13"/>
  <c r="T268" i="13"/>
  <c r="R272" i="13"/>
  <c r="V274" i="13"/>
  <c r="T275" i="13"/>
  <c r="R279" i="13"/>
  <c r="L280" i="13"/>
  <c r="R297" i="13"/>
  <c r="P308" i="13"/>
  <c r="J299" i="13"/>
  <c r="R308" i="13"/>
  <c r="L259" i="13"/>
  <c r="R262" i="13"/>
  <c r="V275" i="13"/>
  <c r="R276" i="13"/>
  <c r="T287" i="13"/>
  <c r="P288" i="13"/>
  <c r="V290" i="13"/>
  <c r="L292" i="13"/>
  <c r="V301" i="13"/>
  <c r="R305" i="13"/>
  <c r="Y279" i="13"/>
  <c r="R299" i="13"/>
  <c r="J303" i="13"/>
  <c r="Y272" i="13"/>
  <c r="V276" i="13"/>
  <c r="V284" i="13"/>
  <c r="Y276" i="13"/>
  <c r="R286" i="13"/>
  <c r="T292" i="13"/>
  <c r="J297" i="13"/>
  <c r="X305" i="13"/>
  <c r="P270" i="13"/>
  <c r="R294" i="13"/>
  <c r="P294" i="13"/>
  <c r="T276" i="13"/>
  <c r="X260" i="13"/>
  <c r="R296" i="13"/>
  <c r="P259" i="13"/>
  <c r="V264" i="13"/>
  <c r="T269" i="13"/>
  <c r="J273" i="13"/>
  <c r="R277" i="13"/>
  <c r="P280" i="13"/>
  <c r="V282" i="13"/>
  <c r="J292" i="13"/>
  <c r="V293" i="13"/>
  <c r="J300" i="13"/>
  <c r="Y265" i="13"/>
  <c r="T267" i="13"/>
  <c r="L287" i="13"/>
  <c r="L295" i="13"/>
  <c r="Y261" i="13"/>
  <c r="L263" i="13"/>
  <c r="L306" i="13"/>
  <c r="V259" i="13"/>
  <c r="T262" i="13"/>
  <c r="T270" i="13"/>
  <c r="V277" i="13"/>
  <c r="P287" i="13"/>
  <c r="J293" i="13"/>
  <c r="P295" i="13"/>
  <c r="J301" i="13"/>
  <c r="Y304" i="13"/>
  <c r="Y259" i="13"/>
  <c r="T260" i="13"/>
  <c r="L261" i="13"/>
  <c r="P263" i="13"/>
  <c r="V265" i="13"/>
  <c r="P271" i="13"/>
  <c r="P273" i="13"/>
  <c r="R278" i="13"/>
  <c r="V281" i="13"/>
  <c r="X283" i="13"/>
  <c r="T284" i="13"/>
  <c r="L285" i="13"/>
  <c r="Y299" i="13"/>
  <c r="T308" i="13"/>
  <c r="J259" i="13"/>
  <c r="J262" i="13"/>
  <c r="P264" i="13"/>
  <c r="J265" i="13"/>
  <c r="L270" i="13"/>
  <c r="X278" i="13"/>
  <c r="J283" i="13"/>
  <c r="Y308" i="13"/>
  <c r="V285" i="13"/>
  <c r="X285" i="13"/>
  <c r="Y293" i="13"/>
  <c r="X293" i="13"/>
  <c r="R260" i="13"/>
  <c r="P260" i="13"/>
  <c r="P275" i="13"/>
  <c r="Y275" i="13"/>
  <c r="Y301" i="13"/>
  <c r="X301" i="13"/>
  <c r="Y280" i="13"/>
  <c r="L282" i="13"/>
  <c r="Y262" i="13"/>
  <c r="X262" i="13"/>
  <c r="X289" i="13"/>
  <c r="Y289" i="13"/>
  <c r="X297" i="13"/>
  <c r="Y297" i="13"/>
  <c r="R269" i="13"/>
  <c r="P269" i="13"/>
  <c r="X287" i="13"/>
  <c r="V287" i="13"/>
  <c r="X295" i="13"/>
  <c r="V295" i="13"/>
  <c r="V270" i="13"/>
  <c r="L274" i="13"/>
  <c r="J276" i="13"/>
  <c r="F281" i="13"/>
  <c r="R290" i="13"/>
  <c r="T290" i="13"/>
  <c r="R298" i="13"/>
  <c r="T298" i="13"/>
  <c r="V302" i="13"/>
  <c r="X265" i="13"/>
  <c r="R266" i="13"/>
  <c r="J268" i="13"/>
  <c r="X273" i="13"/>
  <c r="P277" i="13"/>
  <c r="L278" i="13"/>
  <c r="L279" i="13"/>
  <c r="R280" i="13"/>
  <c r="H281" i="13"/>
  <c r="V283" i="13"/>
  <c r="R284" i="13"/>
  <c r="J287" i="13"/>
  <c r="L293" i="13"/>
  <c r="J295" i="13"/>
  <c r="L301" i="13"/>
  <c r="X302" i="13"/>
  <c r="F305" i="13"/>
  <c r="R263" i="13"/>
  <c r="V267" i="13"/>
  <c r="R271" i="13"/>
  <c r="P274" i="13"/>
  <c r="L276" i="13"/>
  <c r="T280" i="13"/>
  <c r="V280" i="13"/>
  <c r="V294" i="13"/>
  <c r="X294" i="13"/>
  <c r="T263" i="13"/>
  <c r="L264" i="13"/>
  <c r="J267" i="13"/>
  <c r="X267" i="13"/>
  <c r="L268" i="13"/>
  <c r="V269" i="13"/>
  <c r="L273" i="13"/>
  <c r="R274" i="13"/>
  <c r="X275" i="13"/>
  <c r="T277" i="13"/>
  <c r="J281" i="13"/>
  <c r="P293" i="13"/>
  <c r="L302" i="13"/>
  <c r="J302" i="13"/>
  <c r="L304" i="13"/>
  <c r="P304" i="13"/>
  <c r="R285" i="13"/>
  <c r="P285" i="13"/>
  <c r="Y288" i="13"/>
  <c r="X288" i="13"/>
  <c r="L294" i="13"/>
  <c r="J294" i="13"/>
  <c r="Y296" i="13"/>
  <c r="X296" i="13"/>
  <c r="J260" i="13"/>
  <c r="Y263" i="13"/>
  <c r="Y264" i="13"/>
  <c r="J269" i="13"/>
  <c r="Y271" i="13"/>
  <c r="X280" i="13"/>
  <c r="P281" i="13"/>
  <c r="Y281" i="13"/>
  <c r="L288" i="13"/>
  <c r="V289" i="13"/>
  <c r="T289" i="13"/>
  <c r="L296" i="13"/>
  <c r="V297" i="13"/>
  <c r="T297" i="13"/>
  <c r="R302" i="13"/>
  <c r="P302" i="13"/>
  <c r="X303" i="13"/>
  <c r="V303" i="13"/>
  <c r="L260" i="13"/>
  <c r="X263" i="13"/>
  <c r="J266" i="13"/>
  <c r="F270" i="13"/>
  <c r="X271" i="13"/>
  <c r="R273" i="13"/>
  <c r="T279" i="13"/>
  <c r="R281" i="13"/>
  <c r="J282" i="13"/>
  <c r="P283" i="13"/>
  <c r="R283" i="13"/>
  <c r="Y286" i="13"/>
  <c r="P286" i="13"/>
  <c r="F289" i="13"/>
  <c r="H289" i="13"/>
  <c r="F297" i="13"/>
  <c r="H297" i="13"/>
  <c r="J280" i="13"/>
  <c r="X281" i="13"/>
  <c r="T283" i="13"/>
  <c r="Y284" i="13"/>
  <c r="V286" i="13"/>
  <c r="V291" i="13"/>
  <c r="P292" i="13"/>
  <c r="T293" i="13"/>
  <c r="V299" i="13"/>
  <c r="P300" i="13"/>
  <c r="T301" i="13"/>
  <c r="H305" i="13"/>
  <c r="V305" i="13"/>
  <c r="J306" i="13"/>
  <c r="P307" i="13"/>
  <c r="P282" i="13"/>
  <c r="L286" i="13"/>
  <c r="Y287" i="13"/>
  <c r="Y291" i="13"/>
  <c r="Y295" i="13"/>
  <c r="Y303" i="13"/>
  <c r="T307" i="13"/>
  <c r="V308" i="13"/>
  <c r="J305" i="13"/>
  <c r="Y305" i="13"/>
  <c r="V307" i="13"/>
  <c r="Y285" i="13"/>
  <c r="F287" i="13"/>
  <c r="J288" i="13"/>
  <c r="T288" i="13"/>
  <c r="J290" i="13"/>
  <c r="P291" i="13"/>
  <c r="J296" i="13"/>
  <c r="T296" i="13"/>
  <c r="J298" i="13"/>
  <c r="P299" i="13"/>
  <c r="F303" i="13"/>
  <c r="J304" i="13"/>
  <c r="V304" i="13"/>
  <c r="R306" i="13"/>
  <c r="X307" i="13"/>
  <c r="R287" i="13"/>
  <c r="T291" i="13"/>
  <c r="V292" i="13"/>
  <c r="R293" i="13"/>
  <c r="R295" i="13"/>
  <c r="T299" i="13"/>
  <c r="V300" i="13"/>
  <c r="R301" i="13"/>
  <c r="R303" i="13"/>
  <c r="Y307" i="13"/>
  <c r="J225" i="4"/>
  <c r="K240" i="4"/>
  <c r="M240" i="4"/>
  <c r="N240" i="4" s="1"/>
  <c r="M235" i="4"/>
  <c r="N235" i="4" s="1"/>
  <c r="H235" i="4"/>
  <c r="H211" i="4"/>
  <c r="J217" i="4"/>
  <c r="H213" i="4"/>
  <c r="F265" i="13"/>
  <c r="H265" i="13"/>
  <c r="L266" i="13"/>
  <c r="J270" i="13"/>
  <c r="V273" i="13"/>
  <c r="T273" i="13"/>
  <c r="X279" i="13"/>
  <c r="V279" i="13"/>
  <c r="M34" i="13"/>
  <c r="M58" i="13"/>
  <c r="J264" i="13"/>
  <c r="T272" i="13"/>
  <c r="V272" i="13"/>
  <c r="T259" i="13"/>
  <c r="R259" i="13"/>
  <c r="P262" i="13"/>
  <c r="J278" i="13"/>
  <c r="L290" i="13"/>
  <c r="J261" i="13"/>
  <c r="X261" i="13"/>
  <c r="J263" i="13"/>
  <c r="L265" i="13"/>
  <c r="T271" i="13"/>
  <c r="V271" i="13"/>
  <c r="J284" i="13"/>
  <c r="L284" i="13"/>
  <c r="L267" i="13"/>
  <c r="P268" i="13"/>
  <c r="R268" i="13"/>
  <c r="R265" i="13"/>
  <c r="T265" i="13"/>
  <c r="X266" i="13"/>
  <c r="Y266" i="13"/>
  <c r="P267" i="13"/>
  <c r="J271" i="13"/>
  <c r="H273" i="13"/>
  <c r="T274" i="13"/>
  <c r="P276" i="13"/>
  <c r="V278" i="13"/>
  <c r="L281" i="13"/>
  <c r="R282" i="13"/>
  <c r="P290" i="13"/>
  <c r="P265" i="13"/>
  <c r="P266" i="13"/>
  <c r="L289" i="13"/>
  <c r="L297" i="13"/>
  <c r="M259" i="13"/>
  <c r="X259" i="13"/>
  <c r="T264" i="13"/>
  <c r="Y269" i="13"/>
  <c r="X270" i="13"/>
  <c r="Y274" i="13"/>
  <c r="X274" i="13"/>
  <c r="J277" i="13"/>
  <c r="Y277" i="13"/>
  <c r="Y283" i="13"/>
  <c r="J286" i="13"/>
  <c r="P289" i="13"/>
  <c r="P297" i="13"/>
  <c r="X306" i="13"/>
  <c r="Y306" i="13"/>
  <c r="T261" i="13"/>
  <c r="T266" i="13"/>
  <c r="L269" i="13"/>
  <c r="X269" i="13"/>
  <c r="X277" i="13"/>
  <c r="T281" i="13"/>
  <c r="Y260" i="13"/>
  <c r="V261" i="13"/>
  <c r="V262" i="13"/>
  <c r="Y268" i="13"/>
  <c r="X268" i="13"/>
  <c r="R275" i="13"/>
  <c r="H279" i="13"/>
  <c r="Y282" i="13"/>
  <c r="X282" i="13"/>
  <c r="J285" i="13"/>
  <c r="R304" i="13"/>
  <c r="T304" i="13"/>
  <c r="Y290" i="13"/>
  <c r="X290" i="13"/>
  <c r="Y298" i="13"/>
  <c r="X298" i="13"/>
  <c r="P305" i="13"/>
  <c r="P306" i="13"/>
  <c r="L307" i="13"/>
  <c r="L275" i="13"/>
  <c r="X276" i="13"/>
  <c r="L283" i="13"/>
  <c r="X284" i="13"/>
  <c r="L291" i="13"/>
  <c r="X292" i="13"/>
  <c r="L299" i="13"/>
  <c r="X300" i="13"/>
  <c r="T305" i="13"/>
  <c r="R307" i="13"/>
  <c r="J308" i="13"/>
  <c r="X291" i="13"/>
  <c r="L298" i="13"/>
  <c r="X299" i="13"/>
  <c r="X304" i="13"/>
  <c r="L308" i="13"/>
  <c r="L305" i="13"/>
  <c r="X308" i="13"/>
  <c r="D68" i="13"/>
  <c r="E68" i="13"/>
  <c r="O14" i="5"/>
  <c r="L14" i="5"/>
  <c r="I14" i="5"/>
  <c r="D14" i="5"/>
  <c r="AQ315" i="5"/>
  <c r="AP315" i="5"/>
  <c r="I45" i="1"/>
  <c r="E46" i="30" s="1"/>
  <c r="O315" i="5"/>
  <c r="I44" i="1" s="1"/>
  <c r="E45" i="30" s="1"/>
  <c r="L315" i="5"/>
  <c r="H44" i="1" s="1"/>
  <c r="G45" i="1"/>
  <c r="I315" i="5"/>
  <c r="G44" i="1" s="1"/>
  <c r="AO314" i="5"/>
  <c r="AJ314" i="5"/>
  <c r="AE314" i="5"/>
  <c r="Z314" i="5"/>
  <c r="U314" i="5"/>
  <c r="X314" i="5" s="1"/>
  <c r="S314" i="5"/>
  <c r="R314" i="5"/>
  <c r="Q314" i="5"/>
  <c r="N314" i="5"/>
  <c r="K314" i="5"/>
  <c r="H314" i="5"/>
  <c r="AO313" i="5"/>
  <c r="AJ313" i="5"/>
  <c r="AE313" i="5"/>
  <c r="Z313" i="5"/>
  <c r="U313" i="5"/>
  <c r="X313" i="5" s="1"/>
  <c r="S313" i="5"/>
  <c r="R313" i="5"/>
  <c r="Q313" i="5"/>
  <c r="N313" i="5"/>
  <c r="K313" i="5"/>
  <c r="H313" i="5"/>
  <c r="AO312" i="5"/>
  <c r="AJ312" i="5"/>
  <c r="AE312" i="5"/>
  <c r="Z312" i="5"/>
  <c r="U312" i="5"/>
  <c r="X312" i="5" s="1"/>
  <c r="Y312" i="5" s="1"/>
  <c r="S312" i="5"/>
  <c r="R312" i="5"/>
  <c r="Q312" i="5"/>
  <c r="N312" i="5"/>
  <c r="K312" i="5"/>
  <c r="H312" i="5"/>
  <c r="AO311" i="5"/>
  <c r="AJ311" i="5"/>
  <c r="AE311" i="5"/>
  <c r="Z311" i="5"/>
  <c r="U311" i="5"/>
  <c r="X311" i="5" s="1"/>
  <c r="Y311" i="5" s="1"/>
  <c r="S311" i="5"/>
  <c r="R311" i="5"/>
  <c r="Q311" i="5"/>
  <c r="N311" i="5"/>
  <c r="K311" i="5"/>
  <c r="H311" i="5"/>
  <c r="AO310" i="5"/>
  <c r="AJ310" i="5"/>
  <c r="AE310" i="5"/>
  <c r="Z310" i="5"/>
  <c r="U310" i="5"/>
  <c r="X310" i="5" s="1"/>
  <c r="S310" i="5"/>
  <c r="R310" i="5"/>
  <c r="Q310" i="5"/>
  <c r="N310" i="5"/>
  <c r="K310" i="5"/>
  <c r="H310" i="5"/>
  <c r="AO309" i="5"/>
  <c r="AJ309" i="5"/>
  <c r="AE309" i="5"/>
  <c r="Z309" i="5"/>
  <c r="U309" i="5"/>
  <c r="S309" i="5"/>
  <c r="R309" i="5"/>
  <c r="Q309" i="5"/>
  <c r="N309" i="5"/>
  <c r="K309" i="5"/>
  <c r="H309" i="5"/>
  <c r="AO308" i="5"/>
  <c r="AJ308" i="5"/>
  <c r="AE308" i="5"/>
  <c r="Z308" i="5"/>
  <c r="U308" i="5"/>
  <c r="X308" i="5" s="1"/>
  <c r="S308" i="5"/>
  <c r="R308" i="5"/>
  <c r="Q308" i="5"/>
  <c r="N308" i="5"/>
  <c r="K308" i="5"/>
  <c r="H308" i="5"/>
  <c r="AO307" i="5"/>
  <c r="AJ307" i="5"/>
  <c r="AE307" i="5"/>
  <c r="Z307" i="5"/>
  <c r="U307" i="5"/>
  <c r="X307" i="5" s="1"/>
  <c r="S307" i="5"/>
  <c r="R307" i="5"/>
  <c r="Q307" i="5"/>
  <c r="N307" i="5"/>
  <c r="K307" i="5"/>
  <c r="H307" i="5"/>
  <c r="AO306" i="5"/>
  <c r="AJ306" i="5"/>
  <c r="AE306" i="5"/>
  <c r="Z306" i="5"/>
  <c r="U306" i="5"/>
  <c r="X306" i="5" s="1"/>
  <c r="Y306" i="5" s="1"/>
  <c r="S306" i="5"/>
  <c r="R306" i="5"/>
  <c r="Q306" i="5"/>
  <c r="N306" i="5"/>
  <c r="K306" i="5"/>
  <c r="H306" i="5"/>
  <c r="AO305" i="5"/>
  <c r="AJ305" i="5"/>
  <c r="AE305" i="5"/>
  <c r="Z305" i="5"/>
  <c r="U305" i="5"/>
  <c r="S305" i="5"/>
  <c r="R305" i="5"/>
  <c r="Q305" i="5"/>
  <c r="N305" i="5"/>
  <c r="K305" i="5"/>
  <c r="H305" i="5"/>
  <c r="AO304" i="5"/>
  <c r="AJ304" i="5"/>
  <c r="AE304" i="5"/>
  <c r="Z304" i="5"/>
  <c r="U304" i="5"/>
  <c r="X304" i="5" s="1"/>
  <c r="Y304" i="5" s="1"/>
  <c r="S304" i="5"/>
  <c r="R304" i="5"/>
  <c r="Q304" i="5"/>
  <c r="N304" i="5"/>
  <c r="K304" i="5"/>
  <c r="H304" i="5"/>
  <c r="AO303" i="5"/>
  <c r="AJ303" i="5"/>
  <c r="AE303" i="5"/>
  <c r="Z303" i="5"/>
  <c r="U303" i="5"/>
  <c r="S303" i="5"/>
  <c r="R303" i="5"/>
  <c r="Q303" i="5"/>
  <c r="N303" i="5"/>
  <c r="K303" i="5"/>
  <c r="H303" i="5"/>
  <c r="AO302" i="5"/>
  <c r="AJ302" i="5"/>
  <c r="AE302" i="5"/>
  <c r="Z302" i="5"/>
  <c r="U302" i="5"/>
  <c r="X302" i="5" s="1"/>
  <c r="S302" i="5"/>
  <c r="R302" i="5"/>
  <c r="Q302" i="5"/>
  <c r="N302" i="5"/>
  <c r="K302" i="5"/>
  <c r="H302" i="5"/>
  <c r="AO301" i="5"/>
  <c r="AJ301" i="5"/>
  <c r="AE301" i="5"/>
  <c r="Z301" i="5"/>
  <c r="U301" i="5"/>
  <c r="X301" i="5" s="1"/>
  <c r="S301" i="5"/>
  <c r="R301" i="5"/>
  <c r="Q301" i="5"/>
  <c r="N301" i="5"/>
  <c r="K301" i="5"/>
  <c r="H301" i="5"/>
  <c r="AO300" i="5"/>
  <c r="AJ300" i="5"/>
  <c r="AE300" i="5"/>
  <c r="Z300" i="5"/>
  <c r="U300" i="5"/>
  <c r="X300" i="5" s="1"/>
  <c r="Y300" i="5" s="1"/>
  <c r="S300" i="5"/>
  <c r="R300" i="5"/>
  <c r="Q300" i="5"/>
  <c r="N300" i="5"/>
  <c r="K300" i="5"/>
  <c r="H300" i="5"/>
  <c r="AO299" i="5"/>
  <c r="AJ299" i="5"/>
  <c r="AE299" i="5"/>
  <c r="Z299" i="5"/>
  <c r="U299" i="5"/>
  <c r="X299" i="5" s="1"/>
  <c r="S299" i="5"/>
  <c r="R299" i="5"/>
  <c r="Q299" i="5"/>
  <c r="N299" i="5"/>
  <c r="K299" i="5"/>
  <c r="H299" i="5"/>
  <c r="AO298" i="5"/>
  <c r="AJ298" i="5"/>
  <c r="AE298" i="5"/>
  <c r="Z298" i="5"/>
  <c r="U298" i="5"/>
  <c r="S298" i="5"/>
  <c r="R298" i="5"/>
  <c r="Q298" i="5"/>
  <c r="N298" i="5"/>
  <c r="K298" i="5"/>
  <c r="H298" i="5"/>
  <c r="AO297" i="5"/>
  <c r="AJ297" i="5"/>
  <c r="AE297" i="5"/>
  <c r="Z297" i="5"/>
  <c r="U297" i="5"/>
  <c r="X297" i="5" s="1"/>
  <c r="S297" i="5"/>
  <c r="R297" i="5"/>
  <c r="Q297" i="5"/>
  <c r="N297" i="5"/>
  <c r="K297" i="5"/>
  <c r="H297" i="5"/>
  <c r="AO296" i="5"/>
  <c r="AJ296" i="5"/>
  <c r="AE296" i="5"/>
  <c r="Z296" i="5"/>
  <c r="U296" i="5"/>
  <c r="X296" i="5" s="1"/>
  <c r="S296" i="5"/>
  <c r="R296" i="5"/>
  <c r="Q296" i="5"/>
  <c r="N296" i="5"/>
  <c r="K296" i="5"/>
  <c r="H296" i="5"/>
  <c r="AO295" i="5"/>
  <c r="AJ295" i="5"/>
  <c r="AE295" i="5"/>
  <c r="Z295" i="5"/>
  <c r="U295" i="5"/>
  <c r="X295" i="5" s="1"/>
  <c r="S295" i="5"/>
  <c r="R295" i="5"/>
  <c r="Q295" i="5"/>
  <c r="N295" i="5"/>
  <c r="K295" i="5"/>
  <c r="H295" i="5"/>
  <c r="AO294" i="5"/>
  <c r="AJ294" i="5"/>
  <c r="AE294" i="5"/>
  <c r="Z294" i="5"/>
  <c r="U294" i="5"/>
  <c r="X294" i="5" s="1"/>
  <c r="S294" i="5"/>
  <c r="R294" i="5"/>
  <c r="Q294" i="5"/>
  <c r="N294" i="5"/>
  <c r="K294" i="5"/>
  <c r="H294" i="5"/>
  <c r="AO293" i="5"/>
  <c r="AJ293" i="5"/>
  <c r="AE293" i="5"/>
  <c r="Z293" i="5"/>
  <c r="U293" i="5"/>
  <c r="X293" i="5" s="1"/>
  <c r="Y293" i="5" s="1"/>
  <c r="S293" i="5"/>
  <c r="R293" i="5"/>
  <c r="Q293" i="5"/>
  <c r="N293" i="5"/>
  <c r="K293" i="5"/>
  <c r="H293" i="5"/>
  <c r="AO292" i="5"/>
  <c r="AJ292" i="5"/>
  <c r="AE292" i="5"/>
  <c r="Z292" i="5"/>
  <c r="U292" i="5"/>
  <c r="X292" i="5" s="1"/>
  <c r="S292" i="5"/>
  <c r="R292" i="5"/>
  <c r="Q292" i="5"/>
  <c r="N292" i="5"/>
  <c r="K292" i="5"/>
  <c r="H292" i="5"/>
  <c r="AO291" i="5"/>
  <c r="AJ291" i="5"/>
  <c r="AE291" i="5"/>
  <c r="Z291" i="5"/>
  <c r="U291" i="5"/>
  <c r="X291" i="5" s="1"/>
  <c r="Y291" i="5" s="1"/>
  <c r="S291" i="5"/>
  <c r="R291" i="5"/>
  <c r="Q291" i="5"/>
  <c r="N291" i="5"/>
  <c r="K291" i="5"/>
  <c r="H291" i="5"/>
  <c r="AO290" i="5"/>
  <c r="AJ290" i="5"/>
  <c r="AE290" i="5"/>
  <c r="Z290" i="5"/>
  <c r="U290" i="5"/>
  <c r="X290" i="5" s="1"/>
  <c r="S290" i="5"/>
  <c r="R290" i="5"/>
  <c r="Q290" i="5"/>
  <c r="N290" i="5"/>
  <c r="K290" i="5"/>
  <c r="H290" i="5"/>
  <c r="AO289" i="5"/>
  <c r="AJ289" i="5"/>
  <c r="AE289" i="5"/>
  <c r="Z289" i="5"/>
  <c r="U289" i="5"/>
  <c r="X289" i="5" s="1"/>
  <c r="S289" i="5"/>
  <c r="R289" i="5"/>
  <c r="Q289" i="5"/>
  <c r="N289" i="5"/>
  <c r="K289" i="5"/>
  <c r="H289" i="5"/>
  <c r="AO288" i="5"/>
  <c r="AJ288" i="5"/>
  <c r="AE288" i="5"/>
  <c r="Z288" i="5"/>
  <c r="U288" i="5"/>
  <c r="X288" i="5" s="1"/>
  <c r="S288" i="5"/>
  <c r="R288" i="5"/>
  <c r="Q288" i="5"/>
  <c r="N288" i="5"/>
  <c r="K288" i="5"/>
  <c r="H288" i="5"/>
  <c r="AO287" i="5"/>
  <c r="AJ287" i="5"/>
  <c r="AE287" i="5"/>
  <c r="Z287" i="5"/>
  <c r="U287" i="5"/>
  <c r="S287" i="5"/>
  <c r="R287" i="5"/>
  <c r="Q287" i="5"/>
  <c r="N287" i="5"/>
  <c r="K287" i="5"/>
  <c r="H287" i="5"/>
  <c r="AO286" i="5"/>
  <c r="AJ286" i="5"/>
  <c r="AE286" i="5"/>
  <c r="Z286" i="5"/>
  <c r="U286" i="5"/>
  <c r="X286" i="5" s="1"/>
  <c r="S286" i="5"/>
  <c r="R286" i="5"/>
  <c r="Q286" i="5"/>
  <c r="N286" i="5"/>
  <c r="K286" i="5"/>
  <c r="H286" i="5"/>
  <c r="AO285" i="5"/>
  <c r="AJ285" i="5"/>
  <c r="AE285" i="5"/>
  <c r="Z285" i="5"/>
  <c r="U285" i="5"/>
  <c r="S285" i="5"/>
  <c r="R285" i="5"/>
  <c r="Q285" i="5"/>
  <c r="N285" i="5"/>
  <c r="K285" i="5"/>
  <c r="H285" i="5"/>
  <c r="AO284" i="5"/>
  <c r="AJ284" i="5"/>
  <c r="AE284" i="5"/>
  <c r="Z284" i="5"/>
  <c r="U284" i="5"/>
  <c r="X284" i="5" s="1"/>
  <c r="Y284" i="5" s="1"/>
  <c r="S284" i="5"/>
  <c r="R284" i="5"/>
  <c r="Q284" i="5"/>
  <c r="N284" i="5"/>
  <c r="K284" i="5"/>
  <c r="H284" i="5"/>
  <c r="AO283" i="5"/>
  <c r="AJ283" i="5"/>
  <c r="AE283" i="5"/>
  <c r="Z283" i="5"/>
  <c r="U283" i="5"/>
  <c r="X283" i="5" s="1"/>
  <c r="Y283" i="5" s="1"/>
  <c r="S283" i="5"/>
  <c r="R283" i="5"/>
  <c r="Q283" i="5"/>
  <c r="N283" i="5"/>
  <c r="K283" i="5"/>
  <c r="H283" i="5"/>
  <c r="AO282" i="5"/>
  <c r="AJ282" i="5"/>
  <c r="AE282" i="5"/>
  <c r="Z282" i="5"/>
  <c r="U282" i="5"/>
  <c r="X282" i="5" s="1"/>
  <c r="S282" i="5"/>
  <c r="R282" i="5"/>
  <c r="Q282" i="5"/>
  <c r="N282" i="5"/>
  <c r="K282" i="5"/>
  <c r="H282" i="5"/>
  <c r="AO281" i="5"/>
  <c r="AJ281" i="5"/>
  <c r="AE281" i="5"/>
  <c r="Z281" i="5"/>
  <c r="U281" i="5"/>
  <c r="S281" i="5"/>
  <c r="R281" i="5"/>
  <c r="Q281" i="5"/>
  <c r="N281" i="5"/>
  <c r="K281" i="5"/>
  <c r="H281" i="5"/>
  <c r="AO280" i="5"/>
  <c r="AJ280" i="5"/>
  <c r="AE280" i="5"/>
  <c r="Z280" i="5"/>
  <c r="U280" i="5"/>
  <c r="X280" i="5" s="1"/>
  <c r="S280" i="5"/>
  <c r="R280" i="5"/>
  <c r="Q280" i="5"/>
  <c r="N280" i="5"/>
  <c r="K280" i="5"/>
  <c r="H280" i="5"/>
  <c r="AO279" i="5"/>
  <c r="AJ279" i="5"/>
  <c r="AE279" i="5"/>
  <c r="Z279" i="5"/>
  <c r="U279" i="5"/>
  <c r="X279" i="5" s="1"/>
  <c r="S279" i="5"/>
  <c r="R279" i="5"/>
  <c r="Q279" i="5"/>
  <c r="N279" i="5"/>
  <c r="K279" i="5"/>
  <c r="H279" i="5"/>
  <c r="AO278" i="5"/>
  <c r="AJ278" i="5"/>
  <c r="AE278" i="5"/>
  <c r="Z278" i="5"/>
  <c r="U278" i="5"/>
  <c r="X278" i="5" s="1"/>
  <c r="S278" i="5"/>
  <c r="R278" i="5"/>
  <c r="Q278" i="5"/>
  <c r="N278" i="5"/>
  <c r="K278" i="5"/>
  <c r="H278" i="5"/>
  <c r="AO277" i="5"/>
  <c r="AJ277" i="5"/>
  <c r="AE277" i="5"/>
  <c r="Z277" i="5"/>
  <c r="U277" i="5"/>
  <c r="X277" i="5" s="1"/>
  <c r="Y277" i="5" s="1"/>
  <c r="S277" i="5"/>
  <c r="R277" i="5"/>
  <c r="Q277" i="5"/>
  <c r="N277" i="5"/>
  <c r="K277" i="5"/>
  <c r="H277" i="5"/>
  <c r="AO276" i="5"/>
  <c r="AJ276" i="5"/>
  <c r="AE276" i="5"/>
  <c r="Z276" i="5"/>
  <c r="U276" i="5"/>
  <c r="X276" i="5" s="1"/>
  <c r="S276" i="5"/>
  <c r="R276" i="5"/>
  <c r="Q276" i="5"/>
  <c r="N276" i="5"/>
  <c r="K276" i="5"/>
  <c r="H276" i="5"/>
  <c r="AO275" i="5"/>
  <c r="AJ275" i="5"/>
  <c r="AE275" i="5"/>
  <c r="Z275" i="5"/>
  <c r="U275" i="5"/>
  <c r="X275" i="5" s="1"/>
  <c r="Y275" i="5" s="1"/>
  <c r="S275" i="5"/>
  <c r="R275" i="5"/>
  <c r="Q275" i="5"/>
  <c r="N275" i="5"/>
  <c r="K275" i="5"/>
  <c r="H275" i="5"/>
  <c r="AO274" i="5"/>
  <c r="AJ274" i="5"/>
  <c r="AE274" i="5"/>
  <c r="Z274" i="5"/>
  <c r="U274" i="5"/>
  <c r="X274" i="5" s="1"/>
  <c r="S274" i="5"/>
  <c r="R274" i="5"/>
  <c r="Q274" i="5"/>
  <c r="N274" i="5"/>
  <c r="K274" i="5"/>
  <c r="H274" i="5"/>
  <c r="AO273" i="5"/>
  <c r="AJ273" i="5"/>
  <c r="AE273" i="5"/>
  <c r="Z273" i="5"/>
  <c r="U273" i="5"/>
  <c r="X273" i="5" s="1"/>
  <c r="Y273" i="5" s="1"/>
  <c r="S273" i="5"/>
  <c r="R273" i="5"/>
  <c r="Q273" i="5"/>
  <c r="N273" i="5"/>
  <c r="K273" i="5"/>
  <c r="H273" i="5"/>
  <c r="AO272" i="5"/>
  <c r="AJ272" i="5"/>
  <c r="AE272" i="5"/>
  <c r="Z272" i="5"/>
  <c r="U272" i="5"/>
  <c r="X272" i="5" s="1"/>
  <c r="Y272" i="5" s="1"/>
  <c r="S272" i="5"/>
  <c r="R272" i="5"/>
  <c r="Q272" i="5"/>
  <c r="N272" i="5"/>
  <c r="K272" i="5"/>
  <c r="H272" i="5"/>
  <c r="AO271" i="5"/>
  <c r="AJ271" i="5"/>
  <c r="AE271" i="5"/>
  <c r="Z271" i="5"/>
  <c r="U271" i="5"/>
  <c r="X271" i="5" s="1"/>
  <c r="S271" i="5"/>
  <c r="R271" i="5"/>
  <c r="Q271" i="5"/>
  <c r="N271" i="5"/>
  <c r="K271" i="5"/>
  <c r="H271" i="5"/>
  <c r="AO270" i="5"/>
  <c r="AJ270" i="5"/>
  <c r="AE270" i="5"/>
  <c r="Z270" i="5"/>
  <c r="U270" i="5"/>
  <c r="X270" i="5" s="1"/>
  <c r="S270" i="5"/>
  <c r="R270" i="5"/>
  <c r="Q270" i="5"/>
  <c r="N270" i="5"/>
  <c r="K270" i="5"/>
  <c r="H270" i="5"/>
  <c r="AO269" i="5"/>
  <c r="AJ269" i="5"/>
  <c r="AE269" i="5"/>
  <c r="Z269" i="5"/>
  <c r="U269" i="5"/>
  <c r="X269" i="5" s="1"/>
  <c r="S269" i="5"/>
  <c r="R269" i="5"/>
  <c r="Q269" i="5"/>
  <c r="N269" i="5"/>
  <c r="K269" i="5"/>
  <c r="H269" i="5"/>
  <c r="AO268" i="5"/>
  <c r="AJ268" i="5"/>
  <c r="AE268" i="5"/>
  <c r="Z268" i="5"/>
  <c r="U268" i="5"/>
  <c r="S268" i="5"/>
  <c r="R268" i="5"/>
  <c r="Q268" i="5"/>
  <c r="N268" i="5"/>
  <c r="K268" i="5"/>
  <c r="H268" i="5"/>
  <c r="AO267" i="5"/>
  <c r="AJ267" i="5"/>
  <c r="AE267" i="5"/>
  <c r="Z267" i="5"/>
  <c r="U267" i="5"/>
  <c r="X267" i="5" s="1"/>
  <c r="S267" i="5"/>
  <c r="R267" i="5"/>
  <c r="Q267" i="5"/>
  <c r="N267" i="5"/>
  <c r="K267" i="5"/>
  <c r="H267" i="5"/>
  <c r="AO266" i="5"/>
  <c r="AJ266" i="5"/>
  <c r="AE266" i="5"/>
  <c r="Z266" i="5"/>
  <c r="U266" i="5"/>
  <c r="X266" i="5" s="1"/>
  <c r="S266" i="5"/>
  <c r="R266" i="5"/>
  <c r="Q266" i="5"/>
  <c r="N266" i="5"/>
  <c r="K266" i="5"/>
  <c r="H266" i="5"/>
  <c r="AO265" i="5"/>
  <c r="AJ265" i="5"/>
  <c r="AE265" i="5"/>
  <c r="Z265" i="5"/>
  <c r="U265" i="5"/>
  <c r="X265" i="5" s="1"/>
  <c r="S265" i="5"/>
  <c r="R265" i="5"/>
  <c r="Q265" i="5"/>
  <c r="N265" i="5"/>
  <c r="K265" i="5"/>
  <c r="H265" i="5"/>
  <c r="AO264" i="5"/>
  <c r="AJ264" i="5"/>
  <c r="AE264" i="5"/>
  <c r="Z264" i="5"/>
  <c r="U264" i="5"/>
  <c r="X264" i="5" s="1"/>
  <c r="S264" i="5"/>
  <c r="R264" i="5"/>
  <c r="Q264" i="5"/>
  <c r="N264" i="5"/>
  <c r="K264" i="5"/>
  <c r="H264" i="5"/>
  <c r="AO263" i="5"/>
  <c r="AJ263" i="5"/>
  <c r="AE263" i="5"/>
  <c r="Z263" i="5"/>
  <c r="U263" i="5"/>
  <c r="X263" i="5" s="1"/>
  <c r="Y263" i="5" s="1"/>
  <c r="S263" i="5"/>
  <c r="R263" i="5"/>
  <c r="Q263" i="5"/>
  <c r="N263" i="5"/>
  <c r="K263" i="5"/>
  <c r="H263" i="5"/>
  <c r="AO262" i="5"/>
  <c r="AJ262" i="5"/>
  <c r="AE262" i="5"/>
  <c r="Z262" i="5"/>
  <c r="U262" i="5"/>
  <c r="S262" i="5"/>
  <c r="R262" i="5"/>
  <c r="Q262" i="5"/>
  <c r="N262" i="5"/>
  <c r="K262" i="5"/>
  <c r="H262" i="5"/>
  <c r="AO261" i="5"/>
  <c r="AJ261" i="5"/>
  <c r="AE261" i="5"/>
  <c r="Z261" i="5"/>
  <c r="U261" i="5"/>
  <c r="X261" i="5" s="1"/>
  <c r="S261" i="5"/>
  <c r="R261" i="5"/>
  <c r="Q261" i="5"/>
  <c r="N261" i="5"/>
  <c r="K261" i="5"/>
  <c r="H261" i="5"/>
  <c r="AQ68" i="5"/>
  <c r="AP68" i="5"/>
  <c r="AO253" i="5"/>
  <c r="AO252" i="5"/>
  <c r="AO251" i="5"/>
  <c r="AO250" i="5"/>
  <c r="AO249" i="5"/>
  <c r="AO248" i="5"/>
  <c r="AO247" i="5"/>
  <c r="AO246" i="5"/>
  <c r="AO245" i="5"/>
  <c r="AO244" i="5"/>
  <c r="AO243" i="5"/>
  <c r="AO242" i="5"/>
  <c r="AO241" i="5"/>
  <c r="AO240" i="5"/>
  <c r="AO239" i="5"/>
  <c r="AO238" i="5"/>
  <c r="AO237" i="5"/>
  <c r="AO236" i="5"/>
  <c r="AO235" i="5"/>
  <c r="AO234" i="5"/>
  <c r="AO233" i="5"/>
  <c r="AO232" i="5"/>
  <c r="AO231" i="5"/>
  <c r="AO230" i="5"/>
  <c r="AO229" i="5"/>
  <c r="AO228" i="5"/>
  <c r="AO227" i="5"/>
  <c r="AO226" i="5"/>
  <c r="AO225" i="5"/>
  <c r="AO224" i="5"/>
  <c r="AO223" i="5"/>
  <c r="AO222" i="5"/>
  <c r="AO221" i="5"/>
  <c r="AO220" i="5"/>
  <c r="AO219" i="5"/>
  <c r="AO218" i="5"/>
  <c r="AO217" i="5"/>
  <c r="AO216" i="5"/>
  <c r="AO215" i="5"/>
  <c r="AO214" i="5"/>
  <c r="AO213" i="5"/>
  <c r="AO212" i="5"/>
  <c r="AO211" i="5"/>
  <c r="AO210" i="5"/>
  <c r="AO209" i="5"/>
  <c r="AO208" i="5"/>
  <c r="AO207" i="5"/>
  <c r="AO206" i="5"/>
  <c r="AO205" i="5"/>
  <c r="AO204" i="5"/>
  <c r="AO203" i="5"/>
  <c r="AO202" i="5"/>
  <c r="AO201" i="5"/>
  <c r="AO200" i="5"/>
  <c r="AL68" i="5"/>
  <c r="AK68" i="5"/>
  <c r="AJ253" i="5"/>
  <c r="AJ252" i="5"/>
  <c r="AJ251" i="5"/>
  <c r="AJ250" i="5"/>
  <c r="AJ249" i="5"/>
  <c r="AJ248" i="5"/>
  <c r="AJ247" i="5"/>
  <c r="AJ246" i="5"/>
  <c r="AJ245" i="5"/>
  <c r="AJ244" i="5"/>
  <c r="AJ243" i="5"/>
  <c r="AJ242" i="5"/>
  <c r="AJ241" i="5"/>
  <c r="AJ240" i="5"/>
  <c r="AJ239" i="5"/>
  <c r="AJ238" i="5"/>
  <c r="AJ237" i="5"/>
  <c r="AJ236" i="5"/>
  <c r="AJ235" i="5"/>
  <c r="AJ234" i="5"/>
  <c r="AJ233" i="5"/>
  <c r="AJ232" i="5"/>
  <c r="AJ231" i="5"/>
  <c r="AJ230" i="5"/>
  <c r="AJ229" i="5"/>
  <c r="AJ228" i="5"/>
  <c r="AJ227" i="5"/>
  <c r="AJ226" i="5"/>
  <c r="AJ225" i="5"/>
  <c r="AJ224" i="5"/>
  <c r="AJ223" i="5"/>
  <c r="AJ222" i="5"/>
  <c r="AJ221" i="5"/>
  <c r="AJ220" i="5"/>
  <c r="AJ219" i="5"/>
  <c r="AJ218" i="5"/>
  <c r="AJ217" i="5"/>
  <c r="AJ216" i="5"/>
  <c r="AJ215" i="5"/>
  <c r="AJ214" i="5"/>
  <c r="AJ213" i="5"/>
  <c r="AJ212" i="5"/>
  <c r="AJ211" i="5"/>
  <c r="AJ210" i="5"/>
  <c r="AJ209" i="5"/>
  <c r="AJ208" i="5"/>
  <c r="AJ207" i="5"/>
  <c r="AJ206" i="5"/>
  <c r="AJ205" i="5"/>
  <c r="AJ204" i="5"/>
  <c r="AJ203" i="5"/>
  <c r="AJ202" i="5"/>
  <c r="AJ201" i="5"/>
  <c r="AJ200" i="5"/>
  <c r="AG68" i="5"/>
  <c r="AF68" i="5"/>
  <c r="AE253" i="5"/>
  <c r="AE252" i="5"/>
  <c r="AE251" i="5"/>
  <c r="AE250" i="5"/>
  <c r="AE249" i="5"/>
  <c r="AE248" i="5"/>
  <c r="AE247" i="5"/>
  <c r="AE246" i="5"/>
  <c r="AE245" i="5"/>
  <c r="AE244" i="5"/>
  <c r="AE243" i="5"/>
  <c r="AE242" i="5"/>
  <c r="AE241" i="5"/>
  <c r="AE240" i="5"/>
  <c r="AE239" i="5"/>
  <c r="AE238" i="5"/>
  <c r="AE237" i="5"/>
  <c r="AE236" i="5"/>
  <c r="AE235" i="5"/>
  <c r="AE234" i="5"/>
  <c r="AE233" i="5"/>
  <c r="AE232" i="5"/>
  <c r="AE231" i="5"/>
  <c r="AE230" i="5"/>
  <c r="AE229" i="5"/>
  <c r="AE228" i="5"/>
  <c r="AE227" i="5"/>
  <c r="AE226" i="5"/>
  <c r="AE225" i="5"/>
  <c r="AE224" i="5"/>
  <c r="AE223" i="5"/>
  <c r="AE222" i="5"/>
  <c r="AE221" i="5"/>
  <c r="AE220" i="5"/>
  <c r="AE219" i="5"/>
  <c r="AE218" i="5"/>
  <c r="AE217" i="5"/>
  <c r="AE216" i="5"/>
  <c r="AE215" i="5"/>
  <c r="AE214" i="5"/>
  <c r="AE213" i="5"/>
  <c r="AE212" i="5"/>
  <c r="AE211" i="5"/>
  <c r="AE210" i="5"/>
  <c r="AE209" i="5"/>
  <c r="AE208" i="5"/>
  <c r="AE207" i="5"/>
  <c r="AE206" i="5"/>
  <c r="AE205" i="5"/>
  <c r="AE204" i="5"/>
  <c r="AE203" i="5"/>
  <c r="AE202" i="5"/>
  <c r="AE201" i="5"/>
  <c r="AE200" i="5"/>
  <c r="AB68" i="5"/>
  <c r="AA68" i="5"/>
  <c r="Z253" i="5"/>
  <c r="Z252" i="5"/>
  <c r="Z251" i="5"/>
  <c r="Z250" i="5"/>
  <c r="Z249" i="5"/>
  <c r="Z63" i="5" s="1"/>
  <c r="D301" i="18" s="1"/>
  <c r="Z248" i="5"/>
  <c r="Z247" i="5"/>
  <c r="Z246" i="5"/>
  <c r="Z245" i="5"/>
  <c r="Z244" i="5"/>
  <c r="Z243" i="5"/>
  <c r="Z242" i="5"/>
  <c r="Z241" i="5"/>
  <c r="Z240" i="5"/>
  <c r="Z239" i="5"/>
  <c r="Z238" i="5"/>
  <c r="Z237" i="5"/>
  <c r="Z236" i="5"/>
  <c r="Z235" i="5"/>
  <c r="Z234" i="5"/>
  <c r="Z233" i="5"/>
  <c r="Z232" i="5"/>
  <c r="Z231" i="5"/>
  <c r="Z230" i="5"/>
  <c r="Z229" i="5"/>
  <c r="Z228" i="5"/>
  <c r="Z227" i="5"/>
  <c r="Z226" i="5"/>
  <c r="Z225" i="5"/>
  <c r="Z224" i="5"/>
  <c r="Z223" i="5"/>
  <c r="Z222" i="5"/>
  <c r="Z221" i="5"/>
  <c r="Z220" i="5"/>
  <c r="Z219" i="5"/>
  <c r="Z218" i="5"/>
  <c r="Z217" i="5"/>
  <c r="Z216" i="5"/>
  <c r="Z215" i="5"/>
  <c r="Z214" i="5"/>
  <c r="Z213" i="5"/>
  <c r="Z212" i="5"/>
  <c r="Z211" i="5"/>
  <c r="Z210" i="5"/>
  <c r="Z209" i="5"/>
  <c r="Z208" i="5"/>
  <c r="Z207" i="5"/>
  <c r="Z206" i="5"/>
  <c r="Z205" i="5"/>
  <c r="Z204" i="5"/>
  <c r="Z203" i="5"/>
  <c r="Z202" i="5"/>
  <c r="Z201" i="5"/>
  <c r="Z200" i="5"/>
  <c r="W68" i="5"/>
  <c r="V68" i="5"/>
  <c r="U253" i="5"/>
  <c r="AT253" i="5" s="1"/>
  <c r="U252" i="5"/>
  <c r="AT252" i="5" s="1"/>
  <c r="U251" i="5"/>
  <c r="AT251" i="5" s="1"/>
  <c r="U250" i="5"/>
  <c r="U249" i="5"/>
  <c r="AT249" i="5" s="1"/>
  <c r="U248" i="5"/>
  <c r="AT248" i="5" s="1"/>
  <c r="U247" i="5"/>
  <c r="AT247" i="5" s="1"/>
  <c r="U246" i="5"/>
  <c r="AT246" i="5" s="1"/>
  <c r="U245" i="5"/>
  <c r="AT245" i="5" s="1"/>
  <c r="U244" i="5"/>
  <c r="AT244" i="5" s="1"/>
  <c r="U243" i="5"/>
  <c r="AT243" i="5" s="1"/>
  <c r="U242" i="5"/>
  <c r="AT242" i="5" s="1"/>
  <c r="U241" i="5"/>
  <c r="AT241" i="5" s="1"/>
  <c r="U240" i="5"/>
  <c r="AT240" i="5" s="1"/>
  <c r="U239" i="5"/>
  <c r="AT239" i="5" s="1"/>
  <c r="U238" i="5"/>
  <c r="AT238" i="5" s="1"/>
  <c r="U237" i="5"/>
  <c r="AT237" i="5" s="1"/>
  <c r="U236" i="5"/>
  <c r="AT236" i="5" s="1"/>
  <c r="U235" i="5"/>
  <c r="U234" i="5"/>
  <c r="U233" i="5"/>
  <c r="AT233" i="5" s="1"/>
  <c r="U232" i="5"/>
  <c r="AT232" i="5" s="1"/>
  <c r="U231" i="5"/>
  <c r="U230" i="5"/>
  <c r="U229" i="5"/>
  <c r="AT229" i="5" s="1"/>
  <c r="U228" i="5"/>
  <c r="AT228" i="5" s="1"/>
  <c r="U227" i="5"/>
  <c r="AT227" i="5" s="1"/>
  <c r="U226" i="5"/>
  <c r="U225" i="5"/>
  <c r="AT225" i="5" s="1"/>
  <c r="U224" i="5"/>
  <c r="U223" i="5"/>
  <c r="U222" i="5"/>
  <c r="AT222" i="5" s="1"/>
  <c r="U221" i="5"/>
  <c r="AT221" i="5" s="1"/>
  <c r="U220" i="5"/>
  <c r="AT220" i="5" s="1"/>
  <c r="U219" i="5"/>
  <c r="U218" i="5"/>
  <c r="AT218" i="5" s="1"/>
  <c r="U217" i="5"/>
  <c r="AT217" i="5" s="1"/>
  <c r="U216" i="5"/>
  <c r="U215" i="5"/>
  <c r="U214" i="5"/>
  <c r="AT214" i="5" s="1"/>
  <c r="U213" i="5"/>
  <c r="AT213" i="5" s="1"/>
  <c r="U212" i="5"/>
  <c r="AT212" i="5" s="1"/>
  <c r="U211" i="5"/>
  <c r="U210" i="5"/>
  <c r="U209" i="5"/>
  <c r="AT209" i="5" s="1"/>
  <c r="U208" i="5"/>
  <c r="U207" i="5"/>
  <c r="U206" i="5"/>
  <c r="AT206" i="5" s="1"/>
  <c r="U205" i="5"/>
  <c r="AT205" i="5" s="1"/>
  <c r="U204" i="5"/>
  <c r="AT204" i="5" s="1"/>
  <c r="U203" i="5"/>
  <c r="AT203" i="5" s="1"/>
  <c r="U202" i="5"/>
  <c r="U201" i="5"/>
  <c r="AT201" i="5" s="1"/>
  <c r="U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O254" i="5"/>
  <c r="I42" i="1" s="1"/>
  <c r="E43" i="30" s="1"/>
  <c r="L254" i="5"/>
  <c r="H42" i="1" s="1"/>
  <c r="I254" i="5"/>
  <c r="G42" i="1" s="1"/>
  <c r="X303" i="5"/>
  <c r="F254" i="5"/>
  <c r="F42" i="1" s="1"/>
  <c r="D254" i="5"/>
  <c r="E42" i="1" s="1"/>
  <c r="G202" i="5"/>
  <c r="G205" i="5"/>
  <c r="H205" i="5" s="1"/>
  <c r="D204" i="13"/>
  <c r="G208" i="5"/>
  <c r="D207" i="13"/>
  <c r="G210" i="5"/>
  <c r="G213" i="5"/>
  <c r="G214" i="5"/>
  <c r="G215" i="5"/>
  <c r="K215" i="5" s="1"/>
  <c r="G216" i="5"/>
  <c r="G218" i="5"/>
  <c r="H218" i="5" s="1"/>
  <c r="G220" i="5"/>
  <c r="H220" i="5" s="1"/>
  <c r="G221" i="5"/>
  <c r="H221" i="5" s="1"/>
  <c r="G222" i="5"/>
  <c r="G223" i="5"/>
  <c r="H223" i="5" s="1"/>
  <c r="G224" i="5"/>
  <c r="G226" i="5"/>
  <c r="H226" i="5" s="1"/>
  <c r="G228" i="5"/>
  <c r="G229" i="5"/>
  <c r="G230" i="5"/>
  <c r="G232" i="5"/>
  <c r="D232" i="13"/>
  <c r="G236" i="5"/>
  <c r="G237" i="5"/>
  <c r="D236" i="13"/>
  <c r="D237" i="13"/>
  <c r="G240" i="5"/>
  <c r="G241" i="5"/>
  <c r="G242" i="5"/>
  <c r="G243" i="5"/>
  <c r="D242" i="13"/>
  <c r="G245" i="5"/>
  <c r="H245" i="5" s="1"/>
  <c r="D244" i="13"/>
  <c r="G248" i="5"/>
  <c r="D247" i="13"/>
  <c r="G250" i="5"/>
  <c r="G251" i="5"/>
  <c r="G252" i="5"/>
  <c r="G253" i="5"/>
  <c r="E14" i="5"/>
  <c r="D198" i="13" s="1"/>
  <c r="G244" i="5"/>
  <c r="D234" i="13"/>
  <c r="G212" i="5"/>
  <c r="D210" i="13"/>
  <c r="G204" i="5"/>
  <c r="H204" i="5" s="1"/>
  <c r="D202" i="13"/>
  <c r="D241" i="13"/>
  <c r="G235" i="5"/>
  <c r="H235" i="5" s="1"/>
  <c r="D233" i="13"/>
  <c r="G227" i="5"/>
  <c r="D225" i="13"/>
  <c r="G219" i="5"/>
  <c r="D217" i="13"/>
  <c r="G211" i="5"/>
  <c r="D209" i="13"/>
  <c r="G203" i="5"/>
  <c r="H203" i="5" s="1"/>
  <c r="D201" i="13"/>
  <c r="D200" i="13"/>
  <c r="D214" i="13"/>
  <c r="G239" i="5"/>
  <c r="D213" i="13"/>
  <c r="R143" i="5"/>
  <c r="G144" i="5"/>
  <c r="H144" i="5" s="1"/>
  <c r="R146" i="5"/>
  <c r="G149" i="5"/>
  <c r="H149" i="5" s="1"/>
  <c r="G152" i="5"/>
  <c r="R156" i="5"/>
  <c r="R158" i="5"/>
  <c r="R159" i="5"/>
  <c r="R160" i="5"/>
  <c r="R163" i="5"/>
  <c r="G164" i="5"/>
  <c r="J164" i="5" s="1"/>
  <c r="M164" i="5" s="1"/>
  <c r="P164" i="5" s="1"/>
  <c r="G170" i="5"/>
  <c r="G171" i="5"/>
  <c r="R172" i="5"/>
  <c r="G174" i="5"/>
  <c r="H174" i="5" s="1"/>
  <c r="R175" i="5"/>
  <c r="R178" i="5"/>
  <c r="G184" i="5"/>
  <c r="G190" i="5"/>
  <c r="R138" i="5"/>
  <c r="R154" i="5"/>
  <c r="R167" i="5"/>
  <c r="R168" i="5"/>
  <c r="R169" i="5"/>
  <c r="R177" i="5"/>
  <c r="R179" i="5"/>
  <c r="R183" i="5"/>
  <c r="R186" i="5"/>
  <c r="R191" i="5"/>
  <c r="G154" i="5"/>
  <c r="J154" i="5" s="1"/>
  <c r="M154" i="5" s="1"/>
  <c r="P154" i="5" s="1"/>
  <c r="G167" i="5"/>
  <c r="H167" i="5" s="1"/>
  <c r="G168" i="5"/>
  <c r="G169" i="5"/>
  <c r="H169" i="5" s="1"/>
  <c r="G177" i="5"/>
  <c r="H177" i="5" s="1"/>
  <c r="G179" i="5"/>
  <c r="J179" i="5" s="1"/>
  <c r="M179" i="5" s="1"/>
  <c r="P179" i="5" s="1"/>
  <c r="G183" i="5"/>
  <c r="G186" i="5"/>
  <c r="G191" i="5"/>
  <c r="H191" i="5" s="1"/>
  <c r="O192" i="5"/>
  <c r="I38" i="1" s="1"/>
  <c r="E39" i="30" s="1"/>
  <c r="L192" i="5"/>
  <c r="H38" i="1" s="1"/>
  <c r="I192" i="5"/>
  <c r="G38" i="1" s="1"/>
  <c r="E192" i="5"/>
  <c r="E39" i="1" s="1"/>
  <c r="D192" i="5"/>
  <c r="E38" i="1" s="1"/>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8" i="5"/>
  <c r="R109" i="5"/>
  <c r="R110" i="5"/>
  <c r="R111" i="5"/>
  <c r="R112" i="5"/>
  <c r="R113" i="5"/>
  <c r="R114" i="5"/>
  <c r="R115" i="5"/>
  <c r="R116" i="5"/>
  <c r="R117" i="5"/>
  <c r="R118" i="5"/>
  <c r="R119" i="5"/>
  <c r="R120" i="5"/>
  <c r="R121" i="5"/>
  <c r="R122" i="5"/>
  <c r="R123" i="5"/>
  <c r="R125" i="5"/>
  <c r="R127" i="5"/>
  <c r="R128" i="5"/>
  <c r="R126" i="5"/>
  <c r="R129" i="5"/>
  <c r="O130" i="5"/>
  <c r="I34" i="1" s="1"/>
  <c r="E35" i="30" s="1"/>
  <c r="L130" i="5"/>
  <c r="H34" i="1" s="1"/>
  <c r="I130" i="5"/>
  <c r="G77" i="5"/>
  <c r="G78" i="5"/>
  <c r="G79" i="5"/>
  <c r="H79" i="5" s="1"/>
  <c r="G80" i="5"/>
  <c r="H80" i="5" s="1"/>
  <c r="G81" i="5"/>
  <c r="H81" i="5" s="1"/>
  <c r="G82" i="5"/>
  <c r="G83" i="5"/>
  <c r="J83" i="5" s="1"/>
  <c r="G84" i="5"/>
  <c r="G85" i="5"/>
  <c r="G86" i="5"/>
  <c r="H86" i="5" s="1"/>
  <c r="G87" i="5"/>
  <c r="H87" i="5" s="1"/>
  <c r="G88" i="5"/>
  <c r="H88" i="5" s="1"/>
  <c r="G89" i="5"/>
  <c r="H89" i="5" s="1"/>
  <c r="G90" i="5"/>
  <c r="G91" i="5"/>
  <c r="H91" i="5" s="1"/>
  <c r="G92" i="5"/>
  <c r="J92" i="5" s="1"/>
  <c r="M92" i="5" s="1"/>
  <c r="G93" i="5"/>
  <c r="G94" i="5"/>
  <c r="H94" i="5" s="1"/>
  <c r="G95" i="5"/>
  <c r="H95" i="5" s="1"/>
  <c r="G96" i="5"/>
  <c r="H96" i="5" s="1"/>
  <c r="G97" i="5"/>
  <c r="H97" i="5" s="1"/>
  <c r="G98" i="5"/>
  <c r="G99" i="5"/>
  <c r="J99" i="5" s="1"/>
  <c r="M99" i="5" s="1"/>
  <c r="G100" i="5"/>
  <c r="H100" i="5" s="1"/>
  <c r="G101" i="5"/>
  <c r="J101" i="5" s="1"/>
  <c r="M101" i="5" s="1"/>
  <c r="G102" i="5"/>
  <c r="H102" i="5" s="1"/>
  <c r="G103" i="5"/>
  <c r="J103" i="5" s="1"/>
  <c r="M103" i="5" s="1"/>
  <c r="G104" i="5"/>
  <c r="H104" i="5" s="1"/>
  <c r="G105" i="5"/>
  <c r="H105" i="5" s="1"/>
  <c r="G106" i="5"/>
  <c r="G107" i="5"/>
  <c r="H107" i="5" s="1"/>
  <c r="G108" i="5"/>
  <c r="H108" i="5" s="1"/>
  <c r="G109" i="5"/>
  <c r="J109" i="5" s="1"/>
  <c r="M109" i="5" s="1"/>
  <c r="G110" i="5"/>
  <c r="H110" i="5" s="1"/>
  <c r="G111" i="5"/>
  <c r="H111" i="5" s="1"/>
  <c r="G112" i="5"/>
  <c r="J112" i="5" s="1"/>
  <c r="G113" i="5"/>
  <c r="G114" i="5"/>
  <c r="H114" i="5" s="1"/>
  <c r="G115" i="5"/>
  <c r="J115" i="5" s="1"/>
  <c r="M115" i="5" s="1"/>
  <c r="G116" i="5"/>
  <c r="J116" i="5" s="1"/>
  <c r="M116" i="5" s="1"/>
  <c r="G117" i="5"/>
  <c r="J117" i="5" s="1"/>
  <c r="M117" i="5" s="1"/>
  <c r="G118" i="5"/>
  <c r="H118" i="5" s="1"/>
  <c r="G119" i="5"/>
  <c r="G120" i="5"/>
  <c r="H120" i="5" s="1"/>
  <c r="G121" i="5"/>
  <c r="H121" i="5" s="1"/>
  <c r="G122" i="5"/>
  <c r="J122" i="5" s="1"/>
  <c r="M122" i="5" s="1"/>
  <c r="G123" i="5"/>
  <c r="H123" i="5" s="1"/>
  <c r="G124" i="5"/>
  <c r="G125" i="5"/>
  <c r="J125" i="5" s="1"/>
  <c r="M125" i="5" s="1"/>
  <c r="G127" i="5"/>
  <c r="H127" i="5" s="1"/>
  <c r="G128" i="5"/>
  <c r="H128" i="5" s="1"/>
  <c r="G126" i="5"/>
  <c r="J126" i="5" s="1"/>
  <c r="M126" i="5" s="1"/>
  <c r="G129" i="5"/>
  <c r="H129" i="5" s="1"/>
  <c r="F130" i="5"/>
  <c r="E130" i="5"/>
  <c r="E35" i="1" s="1"/>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1" i="4"/>
  <c r="R192" i="4"/>
  <c r="R190" i="4"/>
  <c r="R193" i="4"/>
  <c r="I16" i="1"/>
  <c r="E16" i="30" s="1"/>
  <c r="L194" i="4"/>
  <c r="H16" i="1" s="1"/>
  <c r="D130" i="5"/>
  <c r="I194" i="4"/>
  <c r="G16" i="1" s="1"/>
  <c r="G141" i="4"/>
  <c r="H141" i="4" s="1"/>
  <c r="G142" i="4"/>
  <c r="H142" i="4" s="1"/>
  <c r="G143" i="4"/>
  <c r="H143" i="4" s="1"/>
  <c r="G144" i="4"/>
  <c r="H144" i="4" s="1"/>
  <c r="G145" i="4"/>
  <c r="G146" i="4"/>
  <c r="H146" i="4" s="1"/>
  <c r="G147" i="4"/>
  <c r="H147" i="4" s="1"/>
  <c r="G148" i="4"/>
  <c r="H148" i="4" s="1"/>
  <c r="G149" i="4"/>
  <c r="H149" i="4" s="1"/>
  <c r="G150" i="4"/>
  <c r="G151" i="4"/>
  <c r="H151" i="4" s="1"/>
  <c r="G152" i="4"/>
  <c r="H152" i="4" s="1"/>
  <c r="G153" i="4"/>
  <c r="H153" i="4" s="1"/>
  <c r="G154" i="4"/>
  <c r="H154" i="4" s="1"/>
  <c r="G155" i="4"/>
  <c r="H155" i="4" s="1"/>
  <c r="G156" i="4"/>
  <c r="H156" i="4" s="1"/>
  <c r="G157" i="4"/>
  <c r="H157" i="4" s="1"/>
  <c r="G158" i="4"/>
  <c r="H158" i="4" s="1"/>
  <c r="G159" i="4"/>
  <c r="H159" i="4" s="1"/>
  <c r="G160" i="4"/>
  <c r="H160" i="4" s="1"/>
  <c r="G161" i="4"/>
  <c r="G162" i="4"/>
  <c r="H162" i="4" s="1"/>
  <c r="G163" i="4"/>
  <c r="J163" i="4" s="1"/>
  <c r="G164" i="4"/>
  <c r="G165" i="4"/>
  <c r="H165" i="4" s="1"/>
  <c r="G166" i="4"/>
  <c r="G167" i="4"/>
  <c r="J167" i="4" s="1"/>
  <c r="G168" i="4"/>
  <c r="J168" i="4" s="1"/>
  <c r="K168" i="4" s="1"/>
  <c r="G169" i="4"/>
  <c r="H169" i="4" s="1"/>
  <c r="G170" i="4"/>
  <c r="H170" i="4" s="1"/>
  <c r="G171" i="4"/>
  <c r="G172" i="4"/>
  <c r="H172" i="4" s="1"/>
  <c r="G173" i="4"/>
  <c r="H173" i="4" s="1"/>
  <c r="G174" i="4"/>
  <c r="H174" i="4" s="1"/>
  <c r="G175" i="4"/>
  <c r="H175" i="4" s="1"/>
  <c r="G176" i="4"/>
  <c r="H176" i="4" s="1"/>
  <c r="G177" i="4"/>
  <c r="G178" i="4"/>
  <c r="H178" i="4" s="1"/>
  <c r="G179" i="4"/>
  <c r="H179" i="4" s="1"/>
  <c r="G180" i="4"/>
  <c r="J180" i="4" s="1"/>
  <c r="G181" i="4"/>
  <c r="H181" i="4" s="1"/>
  <c r="G182" i="4"/>
  <c r="H182" i="4" s="1"/>
  <c r="G183" i="4"/>
  <c r="H183" i="4" s="1"/>
  <c r="G184" i="4"/>
  <c r="H184" i="4" s="1"/>
  <c r="G185" i="4"/>
  <c r="H185" i="4" s="1"/>
  <c r="G186" i="4"/>
  <c r="H186" i="4" s="1"/>
  <c r="G187" i="4"/>
  <c r="H187" i="4" s="1"/>
  <c r="G188" i="4"/>
  <c r="G189" i="4"/>
  <c r="H189" i="4" s="1"/>
  <c r="G191" i="4"/>
  <c r="H191" i="4" s="1"/>
  <c r="G192" i="4"/>
  <c r="H192" i="4" s="1"/>
  <c r="G190" i="4"/>
  <c r="J190" i="4" s="1"/>
  <c r="G193" i="4"/>
  <c r="H193" i="4" s="1"/>
  <c r="F194" i="4"/>
  <c r="F16" i="1" s="1"/>
  <c r="E194" i="4"/>
  <c r="E17" i="1" s="1"/>
  <c r="D194" i="4"/>
  <c r="E16" i="1" s="1"/>
  <c r="AG263" i="4"/>
  <c r="J20" i="30" s="1"/>
  <c r="AD263" i="4"/>
  <c r="I20" i="30" s="1"/>
  <c r="AA263" i="4"/>
  <c r="H20" i="30" s="1"/>
  <c r="X263" i="4"/>
  <c r="G20" i="30" s="1"/>
  <c r="U263" i="4"/>
  <c r="O263" i="4"/>
  <c r="I20" i="1" s="1"/>
  <c r="E20" i="30" s="1"/>
  <c r="L263" i="4"/>
  <c r="H20" i="1" s="1"/>
  <c r="I263" i="4"/>
  <c r="G20" i="1" s="1"/>
  <c r="F263" i="4"/>
  <c r="F20" i="1" s="1"/>
  <c r="E263" i="4"/>
  <c r="E21" i="1" s="1"/>
  <c r="D263" i="4"/>
  <c r="E20" i="1" s="1"/>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6" i="4"/>
  <c r="AJ67" i="4"/>
  <c r="AJ65" i="4"/>
  <c r="AJ68" i="4"/>
  <c r="AG69" i="4"/>
  <c r="J12" i="30" s="1"/>
  <c r="AD69" i="4"/>
  <c r="I12" i="30" s="1"/>
  <c r="AA69" i="4"/>
  <c r="H12" i="30" s="1"/>
  <c r="X69" i="4"/>
  <c r="G12" i="30" s="1"/>
  <c r="U69" i="4"/>
  <c r="F12" i="30" s="1"/>
  <c r="O69" i="4"/>
  <c r="L69" i="4"/>
  <c r="H12" i="1" s="1"/>
  <c r="I69" i="4"/>
  <c r="G12" i="1" s="1"/>
  <c r="F69" i="4"/>
  <c r="F12" i="1" s="1"/>
  <c r="G16" i="4"/>
  <c r="J16" i="4" s="1"/>
  <c r="G17" i="4"/>
  <c r="J17" i="4" s="1"/>
  <c r="G18" i="4"/>
  <c r="H18" i="4" s="1"/>
  <c r="G19" i="4"/>
  <c r="J19" i="4" s="1"/>
  <c r="G20" i="4"/>
  <c r="J20" i="4" s="1"/>
  <c r="K20" i="4" s="1"/>
  <c r="G21" i="4"/>
  <c r="H21" i="4" s="1"/>
  <c r="G22" i="4"/>
  <c r="J22" i="4" s="1"/>
  <c r="G23" i="4"/>
  <c r="J23" i="4" s="1"/>
  <c r="K23" i="4" s="1"/>
  <c r="G24" i="4"/>
  <c r="H24" i="4" s="1"/>
  <c r="G25" i="4"/>
  <c r="J25" i="4" s="1"/>
  <c r="G26" i="4"/>
  <c r="G27" i="4"/>
  <c r="G28" i="4"/>
  <c r="J28" i="4" s="1"/>
  <c r="K28" i="4" s="1"/>
  <c r="G29" i="4"/>
  <c r="J29" i="4" s="1"/>
  <c r="K29" i="4" s="1"/>
  <c r="G30" i="4"/>
  <c r="H30" i="4" s="1"/>
  <c r="G31" i="4"/>
  <c r="H31" i="4" s="1"/>
  <c r="G32" i="4"/>
  <c r="G33" i="4"/>
  <c r="J33" i="4" s="1"/>
  <c r="K33" i="4" s="1"/>
  <c r="G34" i="4"/>
  <c r="H34" i="4" s="1"/>
  <c r="G35" i="4"/>
  <c r="J35" i="4" s="1"/>
  <c r="G36" i="4"/>
  <c r="H36" i="4" s="1"/>
  <c r="G37" i="4"/>
  <c r="H37" i="4" s="1"/>
  <c r="G38" i="4"/>
  <c r="J38" i="4" s="1"/>
  <c r="G39" i="4"/>
  <c r="H39" i="4" s="1"/>
  <c r="G40" i="4"/>
  <c r="J40" i="4" s="1"/>
  <c r="M40" i="4" s="1"/>
  <c r="G41" i="4"/>
  <c r="J41" i="4" s="1"/>
  <c r="M41" i="4" s="1"/>
  <c r="N41" i="4" s="1"/>
  <c r="G42" i="4"/>
  <c r="H42" i="4" s="1"/>
  <c r="G43" i="4"/>
  <c r="G44" i="4"/>
  <c r="H44" i="4" s="1"/>
  <c r="G45" i="4"/>
  <c r="E167" i="13" s="1"/>
  <c r="G46" i="4"/>
  <c r="H46" i="4" s="1"/>
  <c r="G47" i="4"/>
  <c r="G48" i="4"/>
  <c r="J48" i="4" s="1"/>
  <c r="G49" i="4"/>
  <c r="H49" i="4" s="1"/>
  <c r="G50" i="4"/>
  <c r="J50" i="4" s="1"/>
  <c r="M50" i="4" s="1"/>
  <c r="N50" i="4" s="1"/>
  <c r="G51" i="4"/>
  <c r="J51" i="4" s="1"/>
  <c r="G52" i="4"/>
  <c r="J52" i="4" s="1"/>
  <c r="K52" i="4" s="1"/>
  <c r="G53" i="4"/>
  <c r="H53" i="4" s="1"/>
  <c r="G54" i="4"/>
  <c r="H54" i="4" s="1"/>
  <c r="G55" i="4"/>
  <c r="G56" i="4"/>
  <c r="H56" i="4" s="1"/>
  <c r="G57" i="4"/>
  <c r="H57" i="4" s="1"/>
  <c r="G58" i="4"/>
  <c r="J58" i="4" s="1"/>
  <c r="K58" i="4" s="1"/>
  <c r="G59" i="4"/>
  <c r="J59" i="4" s="1"/>
  <c r="M59" i="4" s="1"/>
  <c r="G60" i="4"/>
  <c r="H60" i="4" s="1"/>
  <c r="G61" i="4"/>
  <c r="H61" i="4" s="1"/>
  <c r="G62" i="4"/>
  <c r="G63" i="4"/>
  <c r="J63" i="4" s="1"/>
  <c r="G64" i="4"/>
  <c r="J64" i="4" s="1"/>
  <c r="M64" i="4" s="1"/>
  <c r="G66" i="4"/>
  <c r="J66" i="4" s="1"/>
  <c r="G67" i="4"/>
  <c r="H67" i="4" s="1"/>
  <c r="G65" i="4"/>
  <c r="H65" i="4" s="1"/>
  <c r="G68" i="4"/>
  <c r="J68" i="4" s="1"/>
  <c r="K68" i="4" s="1"/>
  <c r="E12" i="1"/>
  <c r="F366" i="18"/>
  <c r="E366" i="18"/>
  <c r="D366" i="18"/>
  <c r="V131" i="4"/>
  <c r="W131" i="4" s="1"/>
  <c r="F14" i="30"/>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8" i="4"/>
  <c r="R109" i="4"/>
  <c r="R110" i="4"/>
  <c r="R111" i="4"/>
  <c r="R112" i="4"/>
  <c r="R113" i="4"/>
  <c r="R114" i="4"/>
  <c r="R115" i="4"/>
  <c r="R116" i="4"/>
  <c r="R117" i="4"/>
  <c r="R118" i="4"/>
  <c r="R119" i="4"/>
  <c r="R120" i="4"/>
  <c r="R121" i="4"/>
  <c r="R122" i="4"/>
  <c r="R123" i="4"/>
  <c r="R124" i="4"/>
  <c r="R125" i="4"/>
  <c r="R126" i="4"/>
  <c r="R128" i="4"/>
  <c r="R129" i="4"/>
  <c r="R127" i="4"/>
  <c r="R130" i="4"/>
  <c r="H14" i="1"/>
  <c r="G78" i="4"/>
  <c r="G79" i="4"/>
  <c r="J79" i="4" s="1"/>
  <c r="K79" i="4" s="1"/>
  <c r="G80" i="4"/>
  <c r="H80" i="4" s="1"/>
  <c r="G81" i="4"/>
  <c r="J81" i="4" s="1"/>
  <c r="M81" i="4" s="1"/>
  <c r="G82" i="4"/>
  <c r="G83" i="4"/>
  <c r="H83" i="4" s="1"/>
  <c r="G84" i="4"/>
  <c r="G85" i="4"/>
  <c r="H85" i="4" s="1"/>
  <c r="G86" i="4"/>
  <c r="H86" i="4" s="1"/>
  <c r="G87" i="4"/>
  <c r="G88" i="4"/>
  <c r="H88" i="4" s="1"/>
  <c r="G89" i="4"/>
  <c r="J89" i="4" s="1"/>
  <c r="M89" i="4" s="1"/>
  <c r="G90" i="4"/>
  <c r="J90" i="4" s="1"/>
  <c r="G91" i="4"/>
  <c r="H91" i="4" s="1"/>
  <c r="G92" i="4"/>
  <c r="H92" i="4" s="1"/>
  <c r="G93" i="4"/>
  <c r="H93" i="4" s="1"/>
  <c r="G94" i="4"/>
  <c r="G95" i="4"/>
  <c r="J95" i="4" s="1"/>
  <c r="G96" i="4"/>
  <c r="J96" i="4" s="1"/>
  <c r="K96" i="4" s="1"/>
  <c r="G97" i="4"/>
  <c r="G98" i="4"/>
  <c r="G99" i="4"/>
  <c r="H99" i="4" s="1"/>
  <c r="G100" i="4"/>
  <c r="H100" i="4" s="1"/>
  <c r="G101" i="4"/>
  <c r="G102" i="4"/>
  <c r="G103" i="4"/>
  <c r="H103" i="4" s="1"/>
  <c r="G104" i="4"/>
  <c r="J104" i="4" s="1"/>
  <c r="G105" i="4"/>
  <c r="H105" i="4" s="1"/>
  <c r="G106" i="4"/>
  <c r="H106" i="4" s="1"/>
  <c r="G108" i="4"/>
  <c r="H108" i="4" s="1"/>
  <c r="G109" i="4"/>
  <c r="J109" i="4" s="1"/>
  <c r="K109" i="4" s="1"/>
  <c r="G110" i="4"/>
  <c r="G111" i="4"/>
  <c r="G112" i="4"/>
  <c r="J112" i="4" s="1"/>
  <c r="G113" i="4"/>
  <c r="H113" i="4" s="1"/>
  <c r="G114" i="4"/>
  <c r="G115" i="4"/>
  <c r="G116" i="4"/>
  <c r="J116" i="4" s="1"/>
  <c r="G117" i="4"/>
  <c r="H117" i="4" s="1"/>
  <c r="G118" i="4"/>
  <c r="G119" i="4"/>
  <c r="G120" i="4"/>
  <c r="J120" i="4" s="1"/>
  <c r="G121" i="4"/>
  <c r="J121" i="4" s="1"/>
  <c r="G122" i="4"/>
  <c r="G123" i="4"/>
  <c r="J123" i="4" s="1"/>
  <c r="G124" i="4"/>
  <c r="J124" i="4" s="1"/>
  <c r="G125" i="4"/>
  <c r="H125" i="4" s="1"/>
  <c r="G126" i="4"/>
  <c r="G128" i="4"/>
  <c r="J128" i="4" s="1"/>
  <c r="G129" i="4"/>
  <c r="G127" i="4"/>
  <c r="J127" i="4" s="1"/>
  <c r="G130" i="4"/>
  <c r="J130" i="4" s="1"/>
  <c r="G77" i="4"/>
  <c r="G14" i="1"/>
  <c r="F14" i="1"/>
  <c r="E15" i="1"/>
  <c r="D132" i="4"/>
  <c r="E14" i="1" s="1"/>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6" i="4"/>
  <c r="R47" i="4"/>
  <c r="R48" i="4"/>
  <c r="R49" i="4"/>
  <c r="R50" i="4"/>
  <c r="R51" i="4"/>
  <c r="R52" i="4"/>
  <c r="R61" i="4"/>
  <c r="R66" i="4"/>
  <c r="R67" i="4"/>
  <c r="R65" i="4"/>
  <c r="R68" i="4"/>
  <c r="I23" i="22"/>
  <c r="G23" i="22"/>
  <c r="F23" i="22"/>
  <c r="E23" i="22"/>
  <c r="G41" i="22"/>
  <c r="F41" i="22"/>
  <c r="E41" i="22"/>
  <c r="U76" i="5"/>
  <c r="U138" i="5"/>
  <c r="H13" i="3"/>
  <c r="H16" i="3" s="1"/>
  <c r="H17" i="3" s="1"/>
  <c r="G13" i="3"/>
  <c r="G16" i="3" s="1"/>
  <c r="G17" i="3" s="1"/>
  <c r="F13" i="3"/>
  <c r="F16" i="3" s="1"/>
  <c r="F17" i="3" s="1"/>
  <c r="E13" i="3"/>
  <c r="E16" i="3" s="1"/>
  <c r="E17" i="3" s="1"/>
  <c r="E122" i="30"/>
  <c r="E91" i="30" s="1"/>
  <c r="R15" i="4"/>
  <c r="R77" i="4"/>
  <c r="R201" i="4"/>
  <c r="R262" i="4"/>
  <c r="C3" i="30"/>
  <c r="I32" i="30" s="1"/>
  <c r="C2" i="30"/>
  <c r="J141" i="30"/>
  <c r="I142" i="30"/>
  <c r="I141" i="30"/>
  <c r="H141" i="30"/>
  <c r="G141" i="30"/>
  <c r="F141" i="30"/>
  <c r="I100" i="1"/>
  <c r="E141" i="30" s="1"/>
  <c r="H100" i="1"/>
  <c r="F101" i="1"/>
  <c r="F100" i="1"/>
  <c r="G100" i="1"/>
  <c r="E100" i="1"/>
  <c r="E61" i="30"/>
  <c r="F61" i="1"/>
  <c r="G61" i="1" s="1"/>
  <c r="E59" i="30"/>
  <c r="E57" i="30"/>
  <c r="E55" i="30"/>
  <c r="G50" i="1"/>
  <c r="C3" i="28"/>
  <c r="E3" i="28" s="1"/>
  <c r="C2" i="28"/>
  <c r="F59" i="1"/>
  <c r="H59" i="1"/>
  <c r="I59" i="1"/>
  <c r="E60" i="30"/>
  <c r="F60" i="30" s="1"/>
  <c r="G60" i="30" s="1"/>
  <c r="H60" i="30" s="1"/>
  <c r="I60" i="30" s="1"/>
  <c r="J60" i="30" s="1"/>
  <c r="K77" i="30"/>
  <c r="B3" i="18"/>
  <c r="F11" i="18" s="1"/>
  <c r="B2" i="18"/>
  <c r="E143" i="30"/>
  <c r="J142" i="30"/>
  <c r="H142" i="30"/>
  <c r="G142" i="30"/>
  <c r="F142" i="30"/>
  <c r="I101" i="1"/>
  <c r="E142" i="30" s="1"/>
  <c r="H101" i="1"/>
  <c r="G101" i="1"/>
  <c r="E101" i="1"/>
  <c r="C3" i="27"/>
  <c r="E3" i="27" s="1"/>
  <c r="C2" i="27"/>
  <c r="C3" i="19"/>
  <c r="C2" i="19"/>
  <c r="C3" i="22"/>
  <c r="E3" i="22" s="1"/>
  <c r="C2" i="22"/>
  <c r="C3" i="24"/>
  <c r="E3" i="24" s="1"/>
  <c r="C2" i="24"/>
  <c r="AB28" i="22"/>
  <c r="AB29" i="22" s="1"/>
  <c r="AA28" i="22"/>
  <c r="AA29" i="22" s="1"/>
  <c r="Z28" i="22"/>
  <c r="Z29" i="22" s="1"/>
  <c r="Y28" i="22"/>
  <c r="Y29" i="22" s="1"/>
  <c r="X28" i="22"/>
  <c r="X29" i="22" s="1"/>
  <c r="W28" i="22"/>
  <c r="W29" i="22" s="1"/>
  <c r="V28" i="22"/>
  <c r="V29" i="22" s="1"/>
  <c r="U28" i="22"/>
  <c r="U29" i="22" s="1"/>
  <c r="T28" i="22"/>
  <c r="T29" i="22" s="1"/>
  <c r="S28" i="22"/>
  <c r="S29" i="22" s="1"/>
  <c r="R28" i="22"/>
  <c r="R29" i="22" s="1"/>
  <c r="Q28" i="22"/>
  <c r="Q29" i="22" s="1"/>
  <c r="P28" i="22"/>
  <c r="P29" i="22" s="1"/>
  <c r="O29" i="22"/>
  <c r="N28" i="22"/>
  <c r="N29" i="22" s="1"/>
  <c r="M28" i="22"/>
  <c r="M29" i="22" s="1"/>
  <c r="L28" i="22"/>
  <c r="L29" i="22" s="1"/>
  <c r="K28" i="22"/>
  <c r="K29" i="22" s="1"/>
  <c r="J28" i="22"/>
  <c r="J29" i="22" s="1"/>
  <c r="I28" i="22"/>
  <c r="I29" i="22" s="1"/>
  <c r="H28" i="22"/>
  <c r="H29" i="22" s="1"/>
  <c r="G28" i="22"/>
  <c r="G29" i="22" s="1"/>
  <c r="F28" i="22"/>
  <c r="F29" i="22" s="1"/>
  <c r="E28" i="22"/>
  <c r="E29" i="22" s="1"/>
  <c r="D28" i="22"/>
  <c r="D29" i="22" s="1"/>
  <c r="AB23" i="22"/>
  <c r="AA23" i="22"/>
  <c r="Z23" i="22"/>
  <c r="Y23" i="22"/>
  <c r="X23" i="22"/>
  <c r="W23" i="22"/>
  <c r="V23" i="22"/>
  <c r="U23" i="22"/>
  <c r="T23" i="22"/>
  <c r="S23" i="22"/>
  <c r="R23" i="22"/>
  <c r="Q23" i="22"/>
  <c r="P23" i="22"/>
  <c r="O23" i="22"/>
  <c r="N23" i="22"/>
  <c r="M23" i="22"/>
  <c r="L23" i="22"/>
  <c r="K23" i="22"/>
  <c r="J23" i="22"/>
  <c r="C3" i="3"/>
  <c r="C3" i="2"/>
  <c r="H9" i="2"/>
  <c r="C3" i="1"/>
  <c r="E108" i="1" s="1"/>
  <c r="I67" i="1"/>
  <c r="C2" i="3"/>
  <c r="C2" i="2"/>
  <c r="C2" i="1"/>
  <c r="F74" i="5"/>
  <c r="C2" i="5"/>
  <c r="O137" i="4"/>
  <c r="C2" i="4"/>
  <c r="E4" i="17"/>
  <c r="G49" i="1"/>
  <c r="AO76" i="5"/>
  <c r="AO138" i="5"/>
  <c r="AJ138" i="5"/>
  <c r="AE138" i="5"/>
  <c r="Z138" i="5"/>
  <c r="F39" i="30"/>
  <c r="AJ76" i="5"/>
  <c r="AE76" i="5"/>
  <c r="Z76" i="5"/>
  <c r="G123" i="30"/>
  <c r="F123" i="30"/>
  <c r="F127" i="30" s="1"/>
  <c r="F118" i="30"/>
  <c r="E79" i="30"/>
  <c r="F77" i="1"/>
  <c r="G77" i="1"/>
  <c r="H77" i="1"/>
  <c r="E71" i="30"/>
  <c r="R200" i="5"/>
  <c r="E41" i="30"/>
  <c r="E37" i="30"/>
  <c r="R76" i="5"/>
  <c r="G76" i="5"/>
  <c r="J76" i="5" s="1"/>
  <c r="K24" i="30"/>
  <c r="AJ262" i="4"/>
  <c r="G262" i="4"/>
  <c r="G263" i="4" s="1"/>
  <c r="J18" i="30"/>
  <c r="G18" i="30"/>
  <c r="F18" i="30"/>
  <c r="H18" i="1"/>
  <c r="G18" i="1"/>
  <c r="E19" i="1"/>
  <c r="AJ201" i="4"/>
  <c r="G201" i="4"/>
  <c r="I16" i="30"/>
  <c r="G16" i="30"/>
  <c r="F16" i="30"/>
  <c r="AJ140" i="4"/>
  <c r="G140" i="4"/>
  <c r="H140" i="4" s="1"/>
  <c r="AJ15" i="4"/>
  <c r="G15" i="4"/>
  <c r="H15" i="4" s="1"/>
  <c r="K59" i="30"/>
  <c r="E38" i="30"/>
  <c r="F38" i="30" s="1"/>
  <c r="H128" i="30"/>
  <c r="D13" i="3"/>
  <c r="D16" i="3" s="1"/>
  <c r="D17" i="3" s="1"/>
  <c r="E3" i="3"/>
  <c r="F27" i="3"/>
  <c r="E27" i="3"/>
  <c r="G27" i="3"/>
  <c r="D27" i="3"/>
  <c r="H27" i="3"/>
  <c r="F10" i="3"/>
  <c r="G10" i="3"/>
  <c r="D10" i="3"/>
  <c r="H10" i="3"/>
  <c r="E10" i="3"/>
  <c r="E30" i="3"/>
  <c r="E33" i="3" s="1"/>
  <c r="E34" i="3" s="1"/>
  <c r="D30" i="3"/>
  <c r="D33" i="3" s="1"/>
  <c r="D34" i="3" s="1"/>
  <c r="E9" i="2"/>
  <c r="H108" i="1"/>
  <c r="G108" i="1"/>
  <c r="F108" i="1"/>
  <c r="F30" i="3"/>
  <c r="F33" i="3" s="1"/>
  <c r="F34" i="3" s="1"/>
  <c r="D21" i="2"/>
  <c r="E21" i="2"/>
  <c r="F21" i="2"/>
  <c r="G21" i="2"/>
  <c r="H21" i="2"/>
  <c r="I21" i="2" s="1"/>
  <c r="G9" i="2"/>
  <c r="F9" i="2"/>
  <c r="D9" i="2"/>
  <c r="E3" i="2"/>
  <c r="H97" i="1"/>
  <c r="G97" i="1"/>
  <c r="F97" i="1"/>
  <c r="E97" i="1"/>
  <c r="G86" i="1"/>
  <c r="F86" i="1"/>
  <c r="E86" i="1"/>
  <c r="H67" i="1"/>
  <c r="G67" i="1"/>
  <c r="E67" i="1"/>
  <c r="H31" i="1"/>
  <c r="G31" i="1"/>
  <c r="F31" i="1"/>
  <c r="E31" i="1"/>
  <c r="H11" i="1"/>
  <c r="G11" i="1"/>
  <c r="F11" i="1"/>
  <c r="E11" i="1"/>
  <c r="E3" i="1"/>
  <c r="G30" i="3"/>
  <c r="G33" i="3" s="1"/>
  <c r="G34" i="3" s="1"/>
  <c r="H30" i="3"/>
  <c r="H33" i="3" s="1"/>
  <c r="H34" i="3" s="1"/>
  <c r="J153" i="4"/>
  <c r="H35" i="4"/>
  <c r="J44" i="4"/>
  <c r="H59" i="4"/>
  <c r="J107" i="5"/>
  <c r="M107" i="5" s="1"/>
  <c r="R151" i="5"/>
  <c r="R180" i="5"/>
  <c r="R142" i="5"/>
  <c r="F14" i="2"/>
  <c r="H14" i="2"/>
  <c r="G14" i="2"/>
  <c r="H49" i="1"/>
  <c r="I86" i="1"/>
  <c r="E49" i="1"/>
  <c r="I97" i="1"/>
  <c r="F81" i="1"/>
  <c r="G81" i="1" s="1"/>
  <c r="F49" i="1"/>
  <c r="I11" i="1"/>
  <c r="I31" i="1"/>
  <c r="I49" i="1"/>
  <c r="I77" i="1"/>
  <c r="J103" i="30"/>
  <c r="J107" i="30" s="1"/>
  <c r="J118" i="30"/>
  <c r="I118" i="30"/>
  <c r="G118" i="30"/>
  <c r="I103" i="30"/>
  <c r="F103" i="30"/>
  <c r="H118" i="30"/>
  <c r="H163" i="4"/>
  <c r="H58" i="4"/>
  <c r="J67" i="4"/>
  <c r="M67" i="4" s="1"/>
  <c r="J156" i="4"/>
  <c r="K156" i="4" s="1"/>
  <c r="J152" i="4"/>
  <c r="M152" i="4" s="1"/>
  <c r="N152" i="4" s="1"/>
  <c r="J176" i="4"/>
  <c r="K176" i="4" s="1"/>
  <c r="J144" i="4"/>
  <c r="M144" i="4" s="1"/>
  <c r="N144" i="4" s="1"/>
  <c r="J160" i="4"/>
  <c r="H19" i="4"/>
  <c r="H29" i="4"/>
  <c r="J184" i="4"/>
  <c r="H51" i="4"/>
  <c r="H167" i="4"/>
  <c r="H27" i="4"/>
  <c r="J170" i="4"/>
  <c r="J179" i="4"/>
  <c r="K179" i="4" s="1"/>
  <c r="J169" i="4"/>
  <c r="K169" i="4" s="1"/>
  <c r="H45" i="4"/>
  <c r="J45" i="4"/>
  <c r="K45" i="4" s="1"/>
  <c r="J65" i="4"/>
  <c r="K65" i="4" s="1"/>
  <c r="J187" i="4"/>
  <c r="M187" i="4" s="1"/>
  <c r="H164" i="4"/>
  <c r="J164" i="4"/>
  <c r="K164" i="4" s="1"/>
  <c r="K22" i="30"/>
  <c r="G142" i="5"/>
  <c r="H142" i="5" s="1"/>
  <c r="J105" i="5"/>
  <c r="M105" i="5" s="1"/>
  <c r="Z12" i="5"/>
  <c r="G156" i="5"/>
  <c r="J156" i="5" s="1"/>
  <c r="G180" i="5"/>
  <c r="J180" i="5" s="1"/>
  <c r="M180" i="5" s="1"/>
  <c r="P180" i="5" s="1"/>
  <c r="G188" i="5"/>
  <c r="J100" i="5"/>
  <c r="O259" i="5"/>
  <c r="H92" i="5"/>
  <c r="L74" i="5"/>
  <c r="L259" i="5"/>
  <c r="K92" i="5"/>
  <c r="L198" i="5"/>
  <c r="AJ136" i="5"/>
  <c r="H116" i="5"/>
  <c r="Z74" i="5"/>
  <c r="H109" i="5"/>
  <c r="H117" i="5"/>
  <c r="R144" i="5"/>
  <c r="H76" i="5"/>
  <c r="AJ198" i="5"/>
  <c r="U74" i="5"/>
  <c r="F136" i="5"/>
  <c r="D74" i="5"/>
  <c r="L136" i="5"/>
  <c r="I259" i="5"/>
  <c r="U12" i="5"/>
  <c r="F12" i="5"/>
  <c r="O12" i="5"/>
  <c r="I198" i="5"/>
  <c r="D136" i="5"/>
  <c r="Z136" i="5"/>
  <c r="U259" i="5"/>
  <c r="Z259" i="5"/>
  <c r="I12" i="5"/>
  <c r="E3" i="5"/>
  <c r="B7" i="5" s="1"/>
  <c r="F198" i="5"/>
  <c r="D198" i="5"/>
  <c r="F259" i="5"/>
  <c r="AO12" i="5"/>
  <c r="L12" i="5"/>
  <c r="AO136" i="5"/>
  <c r="AO74" i="5"/>
  <c r="U198" i="5"/>
  <c r="D259" i="5"/>
  <c r="Z198" i="5"/>
  <c r="D12" i="5"/>
  <c r="U136" i="5"/>
  <c r="AE74" i="5"/>
  <c r="AJ74" i="5"/>
  <c r="AE259" i="5"/>
  <c r="AO198" i="5"/>
  <c r="AJ12" i="5"/>
  <c r="O136" i="5"/>
  <c r="AE198" i="5"/>
  <c r="AE136" i="5"/>
  <c r="AO259" i="5"/>
  <c r="J97" i="5"/>
  <c r="M97" i="5" s="1"/>
  <c r="O198" i="5"/>
  <c r="O74" i="5"/>
  <c r="R73" i="5" s="1"/>
  <c r="AJ259" i="5"/>
  <c r="I136" i="5"/>
  <c r="I74" i="5"/>
  <c r="AE12" i="5"/>
  <c r="H125" i="5"/>
  <c r="K41" i="30"/>
  <c r="E42" i="30"/>
  <c r="F42" i="30" s="1"/>
  <c r="M228" i="4" l="1"/>
  <c r="N228" i="4" s="1"/>
  <c r="J193" i="4"/>
  <c r="H228" i="4"/>
  <c r="J148" i="4"/>
  <c r="K243" i="4"/>
  <c r="H50" i="4"/>
  <c r="H220" i="4"/>
  <c r="H245" i="4"/>
  <c r="M220" i="4"/>
  <c r="N220" i="4" s="1"/>
  <c r="M156" i="4"/>
  <c r="P156" i="4" s="1"/>
  <c r="Q156" i="4" s="1"/>
  <c r="H246" i="4"/>
  <c r="H206" i="4"/>
  <c r="J192" i="4"/>
  <c r="K192" i="4" s="1"/>
  <c r="H16" i="4"/>
  <c r="J221" i="4"/>
  <c r="K221" i="4" s="1"/>
  <c r="H243" i="4"/>
  <c r="H251" i="4"/>
  <c r="J143" i="4"/>
  <c r="H64" i="4"/>
  <c r="H33" i="4"/>
  <c r="J60" i="4"/>
  <c r="K60" i="4" s="1"/>
  <c r="H209" i="4"/>
  <c r="K213" i="4"/>
  <c r="J231" i="4"/>
  <c r="J151" i="4"/>
  <c r="M151" i="4" s="1"/>
  <c r="P151" i="4" s="1"/>
  <c r="Q151" i="4" s="1"/>
  <c r="J175" i="4"/>
  <c r="J237" i="4"/>
  <c r="J183" i="4"/>
  <c r="M183" i="4" s="1"/>
  <c r="M169" i="4"/>
  <c r="P169" i="4" s="1"/>
  <c r="V169" i="4" s="1"/>
  <c r="J159" i="4"/>
  <c r="H48" i="4"/>
  <c r="J186" i="4"/>
  <c r="K186" i="4" s="1"/>
  <c r="H203" i="4"/>
  <c r="F34" i="1"/>
  <c r="G34" i="1"/>
  <c r="I68" i="5"/>
  <c r="M100" i="5"/>
  <c r="P100" i="5" s="1"/>
  <c r="M156" i="5"/>
  <c r="K76" i="5"/>
  <c r="M76" i="5"/>
  <c r="M112" i="5"/>
  <c r="P112" i="5" s="1"/>
  <c r="M83" i="5"/>
  <c r="P83" i="5" s="1"/>
  <c r="J35" i="30"/>
  <c r="I39" i="30"/>
  <c r="AJ193" i="5"/>
  <c r="D14" i="2"/>
  <c r="D11" i="2"/>
  <c r="R132" i="4"/>
  <c r="G132" i="4"/>
  <c r="J139" i="30"/>
  <c r="K118" i="30"/>
  <c r="G139" i="30"/>
  <c r="H139" i="30"/>
  <c r="P152" i="4"/>
  <c r="V152" i="4" s="1"/>
  <c r="F139" i="30"/>
  <c r="M18" i="13"/>
  <c r="M26" i="13"/>
  <c r="M42" i="13"/>
  <c r="M50" i="13"/>
  <c r="F51" i="13"/>
  <c r="M66" i="13"/>
  <c r="L106" i="13"/>
  <c r="P97" i="5"/>
  <c r="S97" i="5" s="1"/>
  <c r="AT12" i="5"/>
  <c r="N105" i="5"/>
  <c r="P105" i="5"/>
  <c r="P101" i="5"/>
  <c r="S101" i="5" s="1"/>
  <c r="N92" i="5"/>
  <c r="P92" i="5"/>
  <c r="Q92" i="5" s="1"/>
  <c r="Y306" i="6"/>
  <c r="W306" i="6"/>
  <c r="Y309" i="6"/>
  <c r="W309" i="6"/>
  <c r="W234" i="6"/>
  <c r="Y234" i="6"/>
  <c r="Z234" i="6" s="1"/>
  <c r="W140" i="6"/>
  <c r="Y140" i="6"/>
  <c r="AB140" i="6" s="1"/>
  <c r="W177" i="6"/>
  <c r="Y177" i="6"/>
  <c r="Z177" i="6" s="1"/>
  <c r="G71" i="1"/>
  <c r="Q130" i="6"/>
  <c r="E50" i="1"/>
  <c r="AA31" i="22"/>
  <c r="AB31" i="22"/>
  <c r="AB40" i="22" s="1"/>
  <c r="Z31" i="22"/>
  <c r="G31" i="22"/>
  <c r="G32" i="22" s="1"/>
  <c r="L34" i="13"/>
  <c r="F11" i="30"/>
  <c r="E32" i="30"/>
  <c r="F50" i="30"/>
  <c r="I138" i="30"/>
  <c r="G87" i="30"/>
  <c r="J68" i="30"/>
  <c r="J149" i="30"/>
  <c r="G138" i="30"/>
  <c r="I108" i="1"/>
  <c r="I149" i="30"/>
  <c r="E3" i="30"/>
  <c r="H50" i="30"/>
  <c r="F97" i="30"/>
  <c r="F17" i="22"/>
  <c r="D17" i="22"/>
  <c r="J50" i="30"/>
  <c r="F149" i="30"/>
  <c r="G156" i="30"/>
  <c r="H11" i="30"/>
  <c r="H138" i="30"/>
  <c r="F138" i="30"/>
  <c r="E17" i="22"/>
  <c r="H17" i="22"/>
  <c r="I17" i="22" s="1"/>
  <c r="J17" i="22" s="1"/>
  <c r="K17" i="22" s="1"/>
  <c r="L17" i="22" s="1"/>
  <c r="M17" i="22" s="1"/>
  <c r="N17" i="22" s="1"/>
  <c r="O17" i="22" s="1"/>
  <c r="P17" i="22" s="1"/>
  <c r="Q17" i="22" s="1"/>
  <c r="R17" i="22" s="1"/>
  <c r="S17" i="22" s="1"/>
  <c r="T17" i="22" s="1"/>
  <c r="U17" i="22" s="1"/>
  <c r="V17" i="22" s="1"/>
  <c r="W17" i="22" s="1"/>
  <c r="X17" i="22" s="1"/>
  <c r="Y17" i="22" s="1"/>
  <c r="Z17" i="22" s="1"/>
  <c r="AA17" i="22" s="1"/>
  <c r="AB17" i="22" s="1"/>
  <c r="H149" i="30"/>
  <c r="J156" i="30"/>
  <c r="E149" i="30"/>
  <c r="G17" i="22"/>
  <c r="J138" i="30"/>
  <c r="G149" i="30"/>
  <c r="E68" i="30"/>
  <c r="W335" i="6"/>
  <c r="W349" i="6"/>
  <c r="Y334" i="6"/>
  <c r="AB334" i="6" s="1"/>
  <c r="AC334" i="6" s="1"/>
  <c r="W333" i="6"/>
  <c r="W350" i="6"/>
  <c r="W359" i="6"/>
  <c r="W380" i="6"/>
  <c r="W356" i="6"/>
  <c r="W352" i="6"/>
  <c r="L26" i="13"/>
  <c r="W358" i="6"/>
  <c r="Y331" i="6"/>
  <c r="H81" i="1"/>
  <c r="J20" i="13"/>
  <c r="N382" i="6"/>
  <c r="J32" i="13"/>
  <c r="Q382" i="6"/>
  <c r="W364" i="6"/>
  <c r="Y378" i="6"/>
  <c r="Z378" i="6" s="1"/>
  <c r="W360" i="6"/>
  <c r="W362" i="6"/>
  <c r="M24" i="13"/>
  <c r="Z334" i="6"/>
  <c r="W328" i="6"/>
  <c r="Y328" i="6"/>
  <c r="J60" i="13"/>
  <c r="J57" i="13"/>
  <c r="H63" i="13"/>
  <c r="M33" i="13"/>
  <c r="W302" i="6"/>
  <c r="W292" i="6"/>
  <c r="W282" i="6"/>
  <c r="Y285" i="6"/>
  <c r="AB285" i="6" s="1"/>
  <c r="G68" i="1"/>
  <c r="K321" i="6"/>
  <c r="J17" i="13"/>
  <c r="J41" i="13"/>
  <c r="J49" i="13"/>
  <c r="H59" i="13"/>
  <c r="J65" i="13"/>
  <c r="F78" i="1"/>
  <c r="F79" i="1" s="1"/>
  <c r="G79" i="1" s="1"/>
  <c r="H79" i="1" s="1"/>
  <c r="I79" i="1" s="1"/>
  <c r="E80" i="30" s="1"/>
  <c r="E92" i="30" s="1"/>
  <c r="E68" i="1"/>
  <c r="Z203" i="6"/>
  <c r="AB203" i="6"/>
  <c r="AC203" i="6" s="1"/>
  <c r="Z222" i="6"/>
  <c r="AB222" i="6"/>
  <c r="AE222" i="6" s="1"/>
  <c r="AF222" i="6" s="1"/>
  <c r="W244" i="6"/>
  <c r="M37" i="13"/>
  <c r="Z229" i="6"/>
  <c r="AB225" i="6"/>
  <c r="AE225" i="6" s="1"/>
  <c r="W209" i="6"/>
  <c r="W201" i="6"/>
  <c r="Y206" i="6"/>
  <c r="Z206" i="6" s="1"/>
  <c r="W227" i="6"/>
  <c r="W203" i="6"/>
  <c r="W211" i="6"/>
  <c r="V17" i="6"/>
  <c r="O17" i="13" s="1"/>
  <c r="P17" i="13" s="1"/>
  <c r="V39" i="6"/>
  <c r="O39" i="13" s="1"/>
  <c r="P39" i="13" s="1"/>
  <c r="V51" i="6"/>
  <c r="O51" i="13" s="1"/>
  <c r="P51" i="13" s="1"/>
  <c r="Y230" i="6"/>
  <c r="AB230" i="6" s="1"/>
  <c r="H16" i="13"/>
  <c r="H24" i="13"/>
  <c r="H32" i="13"/>
  <c r="H64" i="13"/>
  <c r="H31" i="13"/>
  <c r="H19" i="13"/>
  <c r="J25" i="13"/>
  <c r="J33" i="13"/>
  <c r="H35" i="13"/>
  <c r="H43" i="13"/>
  <c r="F16" i="13"/>
  <c r="F32" i="13"/>
  <c r="F64" i="13"/>
  <c r="F27" i="13"/>
  <c r="F67" i="13"/>
  <c r="Y149" i="6"/>
  <c r="Z149" i="6" s="1"/>
  <c r="AB190" i="6"/>
  <c r="AE190" i="6" s="1"/>
  <c r="AF190" i="6" s="1"/>
  <c r="M21" i="13"/>
  <c r="W162" i="6"/>
  <c r="Y179" i="6"/>
  <c r="AB179" i="6" s="1"/>
  <c r="AE179" i="6" s="1"/>
  <c r="AH179" i="6" s="1"/>
  <c r="AK179" i="6" s="1"/>
  <c r="W165" i="6"/>
  <c r="Y183" i="6"/>
  <c r="AB183" i="6" s="1"/>
  <c r="AE183" i="6" s="1"/>
  <c r="Y178" i="6"/>
  <c r="Z178" i="6" s="1"/>
  <c r="W137" i="6"/>
  <c r="Y187" i="6"/>
  <c r="AB187" i="6" s="1"/>
  <c r="AE187" i="6" s="1"/>
  <c r="W181" i="6"/>
  <c r="L52" i="13"/>
  <c r="AB177" i="6"/>
  <c r="AC177" i="6" s="1"/>
  <c r="Y155" i="6"/>
  <c r="Z155" i="6" s="1"/>
  <c r="L30" i="13"/>
  <c r="H73" i="1"/>
  <c r="I73" i="1" s="1"/>
  <c r="E74" i="30" s="1"/>
  <c r="E89" i="30" s="1"/>
  <c r="J14" i="13"/>
  <c r="J30" i="13"/>
  <c r="J38" i="13"/>
  <c r="J46" i="13"/>
  <c r="J54" i="13"/>
  <c r="L60" i="13"/>
  <c r="L38" i="13"/>
  <c r="L14" i="13"/>
  <c r="L22" i="13"/>
  <c r="L46" i="13"/>
  <c r="L54" i="13"/>
  <c r="L31" i="13"/>
  <c r="L39" i="13"/>
  <c r="L47" i="13"/>
  <c r="L55" i="13"/>
  <c r="L63" i="13"/>
  <c r="H46" i="13"/>
  <c r="J48" i="13"/>
  <c r="J56" i="13"/>
  <c r="J64" i="13"/>
  <c r="J15" i="13"/>
  <c r="J47" i="13"/>
  <c r="H51" i="13"/>
  <c r="H67" i="13"/>
  <c r="H27" i="13"/>
  <c r="F68" i="1"/>
  <c r="K191" i="6"/>
  <c r="F21" i="13"/>
  <c r="K71" i="30"/>
  <c r="Y126" i="6"/>
  <c r="AB126" i="6" s="1"/>
  <c r="Y113" i="6"/>
  <c r="AB113" i="6" s="1"/>
  <c r="M45" i="13"/>
  <c r="W128" i="6"/>
  <c r="S130" i="6"/>
  <c r="L18" i="13"/>
  <c r="L42" i="13"/>
  <c r="L50" i="13"/>
  <c r="L66" i="13"/>
  <c r="L28" i="13"/>
  <c r="L44" i="13"/>
  <c r="L41" i="13"/>
  <c r="L57" i="13"/>
  <c r="J58" i="13"/>
  <c r="J28" i="13"/>
  <c r="J36" i="13"/>
  <c r="J44" i="13"/>
  <c r="J52" i="13"/>
  <c r="L58" i="13"/>
  <c r="H22" i="13"/>
  <c r="H54" i="13"/>
  <c r="H62" i="13"/>
  <c r="K130" i="6"/>
  <c r="J24" i="13"/>
  <c r="J40" i="13"/>
  <c r="H23" i="13"/>
  <c r="H39" i="13"/>
  <c r="H47" i="13"/>
  <c r="J55" i="13"/>
  <c r="H40" i="13"/>
  <c r="H37" i="13"/>
  <c r="F30" i="13"/>
  <c r="F54" i="13"/>
  <c r="F62" i="13"/>
  <c r="E69" i="1"/>
  <c r="F29" i="13"/>
  <c r="F37" i="13"/>
  <c r="M62" i="13"/>
  <c r="M67" i="13"/>
  <c r="M19" i="13"/>
  <c r="F34" i="13"/>
  <c r="M35" i="13"/>
  <c r="M43" i="13"/>
  <c r="M51" i="13"/>
  <c r="M59" i="13"/>
  <c r="M16" i="13"/>
  <c r="M32" i="13"/>
  <c r="M40" i="13"/>
  <c r="M48" i="13"/>
  <c r="M56" i="13"/>
  <c r="R130" i="6"/>
  <c r="G63" i="1"/>
  <c r="H63" i="1" s="1"/>
  <c r="I63" i="1" s="1"/>
  <c r="E64" i="30" s="1"/>
  <c r="G55" i="1"/>
  <c r="H55" i="1" s="1"/>
  <c r="I55" i="1" s="1"/>
  <c r="E56" i="30" s="1"/>
  <c r="F56" i="30" s="1"/>
  <c r="R135" i="5"/>
  <c r="AE15" i="5"/>
  <c r="E253" i="18" s="1"/>
  <c r="AE23" i="5"/>
  <c r="E261" i="18" s="1"/>
  <c r="AE31" i="5"/>
  <c r="E269" i="18" s="1"/>
  <c r="AE39" i="5"/>
  <c r="E277" i="18" s="1"/>
  <c r="AE47" i="5"/>
  <c r="E285" i="18" s="1"/>
  <c r="AE55" i="5"/>
  <c r="E293" i="18" s="1"/>
  <c r="AE63" i="5"/>
  <c r="E301" i="18" s="1"/>
  <c r="AT230" i="5"/>
  <c r="AT215" i="5"/>
  <c r="AT223" i="5"/>
  <c r="AO192" i="5"/>
  <c r="J39" i="30" s="1"/>
  <c r="J167" i="5"/>
  <c r="M167" i="5" s="1"/>
  <c r="P167" i="5" s="1"/>
  <c r="D401" i="13"/>
  <c r="D397" i="13"/>
  <c r="D394" i="13"/>
  <c r="D398" i="13"/>
  <c r="D384" i="13"/>
  <c r="D417" i="13"/>
  <c r="D393" i="13"/>
  <c r="D425" i="13"/>
  <c r="H263" i="4"/>
  <c r="J262" i="4"/>
  <c r="H262" i="4"/>
  <c r="J215" i="4"/>
  <c r="H238" i="4"/>
  <c r="J223" i="4"/>
  <c r="K242" i="4"/>
  <c r="H226" i="4"/>
  <c r="J253" i="4"/>
  <c r="K253" i="4" s="1"/>
  <c r="K246" i="4"/>
  <c r="H207" i="4"/>
  <c r="H230" i="4"/>
  <c r="H234" i="4"/>
  <c r="J218" i="4"/>
  <c r="H241" i="4"/>
  <c r="M241" i="4"/>
  <c r="P220" i="4"/>
  <c r="V220" i="4" s="1"/>
  <c r="J249" i="4"/>
  <c r="K249" i="4" s="1"/>
  <c r="H210" i="4"/>
  <c r="P240" i="4"/>
  <c r="Q240" i="4" s="1"/>
  <c r="H248" i="4"/>
  <c r="H240" i="4"/>
  <c r="M248" i="4"/>
  <c r="J189" i="4"/>
  <c r="M189" i="4" s="1"/>
  <c r="P189" i="4" s="1"/>
  <c r="S189" i="4" s="1"/>
  <c r="J174" i="4"/>
  <c r="J165" i="4"/>
  <c r="M176" i="4"/>
  <c r="P176" i="4" s="1"/>
  <c r="J149" i="4"/>
  <c r="M149" i="4" s="1"/>
  <c r="P149" i="4" s="1"/>
  <c r="V149" i="4" s="1"/>
  <c r="Y149" i="4" s="1"/>
  <c r="Z149" i="4" s="1"/>
  <c r="J157" i="4"/>
  <c r="J141" i="4"/>
  <c r="H180" i="4"/>
  <c r="J181" i="4"/>
  <c r="K181" i="4" s="1"/>
  <c r="H123" i="4"/>
  <c r="M20" i="4"/>
  <c r="P20" i="4" s="1"/>
  <c r="V20" i="4" s="1"/>
  <c r="M28" i="4"/>
  <c r="P28" i="4" s="1"/>
  <c r="H28" i="4"/>
  <c r="H68" i="4"/>
  <c r="H20" i="4"/>
  <c r="J54" i="4"/>
  <c r="M54" i="4" s="1"/>
  <c r="P54" i="4" s="1"/>
  <c r="H66" i="4"/>
  <c r="H87" i="30"/>
  <c r="J32" i="30"/>
  <c r="H97" i="30"/>
  <c r="F67" i="1"/>
  <c r="H86" i="1"/>
  <c r="J106" i="4"/>
  <c r="K106" i="4" s="1"/>
  <c r="H90" i="4"/>
  <c r="Y131" i="4"/>
  <c r="J100" i="4"/>
  <c r="K100" i="4" s="1"/>
  <c r="M109" i="4"/>
  <c r="P109" i="4" s="1"/>
  <c r="V109" i="4" s="1"/>
  <c r="H109" i="4"/>
  <c r="J117" i="4"/>
  <c r="K117" i="4" s="1"/>
  <c r="J125" i="4"/>
  <c r="K125" i="4" s="1"/>
  <c r="AE334" i="6"/>
  <c r="AF334" i="6" s="1"/>
  <c r="Z341" i="6"/>
  <c r="AB341" i="6"/>
  <c r="AE341" i="6" s="1"/>
  <c r="AH341" i="6" s="1"/>
  <c r="W341" i="6"/>
  <c r="Y344" i="6"/>
  <c r="W363" i="6"/>
  <c r="W366" i="6"/>
  <c r="W369" i="6"/>
  <c r="W370" i="6"/>
  <c r="W348" i="6"/>
  <c r="W351" i="6"/>
  <c r="V54" i="6"/>
  <c r="O54" i="13" s="1"/>
  <c r="P54" i="13" s="1"/>
  <c r="W368" i="6"/>
  <c r="Y337" i="6"/>
  <c r="AB337" i="6" s="1"/>
  <c r="AE337" i="6" s="1"/>
  <c r="W355" i="6"/>
  <c r="W379" i="6"/>
  <c r="Y271" i="6"/>
  <c r="AB271" i="6" s="1"/>
  <c r="AE271" i="6" s="1"/>
  <c r="Y307" i="6"/>
  <c r="Z307" i="6" s="1"/>
  <c r="W289" i="6"/>
  <c r="Y284" i="6"/>
  <c r="Y293" i="6"/>
  <c r="AB293" i="6" s="1"/>
  <c r="Z268" i="6"/>
  <c r="AB268" i="6"/>
  <c r="V55" i="6"/>
  <c r="W55" i="6" s="1"/>
  <c r="Y278" i="6"/>
  <c r="AB278" i="6" s="1"/>
  <c r="AC278" i="6" s="1"/>
  <c r="Y314" i="6"/>
  <c r="V56" i="6"/>
  <c r="O56" i="13" s="1"/>
  <c r="P56" i="13" s="1"/>
  <c r="W298" i="6"/>
  <c r="W268" i="6"/>
  <c r="V58" i="6"/>
  <c r="O58" i="13" s="1"/>
  <c r="P58" i="13" s="1"/>
  <c r="W299" i="6"/>
  <c r="Q321" i="6"/>
  <c r="Y286" i="6"/>
  <c r="AB286" i="6" s="1"/>
  <c r="Y288" i="6"/>
  <c r="AB288" i="6" s="1"/>
  <c r="V19" i="6"/>
  <c r="O19" i="13" s="1"/>
  <c r="P19" i="13" s="1"/>
  <c r="Y267" i="6"/>
  <c r="V321" i="6"/>
  <c r="W321" i="6" s="1"/>
  <c r="AE203" i="6"/>
  <c r="AH203" i="6" s="1"/>
  <c r="AK203" i="6" s="1"/>
  <c r="AJ252" i="6"/>
  <c r="W198" i="6"/>
  <c r="W200" i="6"/>
  <c r="W214" i="6"/>
  <c r="K75" i="30"/>
  <c r="V67" i="6"/>
  <c r="W67" i="6" s="1"/>
  <c r="Y221" i="6"/>
  <c r="AB221" i="6" s="1"/>
  <c r="Y249" i="6"/>
  <c r="AB249" i="6" s="1"/>
  <c r="AH222" i="6"/>
  <c r="AI222" i="6" s="1"/>
  <c r="Y217" i="6"/>
  <c r="AB217" i="6" s="1"/>
  <c r="Y212" i="6"/>
  <c r="Z212" i="6" s="1"/>
  <c r="Y242" i="6"/>
  <c r="Z242" i="6" s="1"/>
  <c r="V64" i="6"/>
  <c r="W64" i="6" s="1"/>
  <c r="W247" i="6"/>
  <c r="Y215" i="6"/>
  <c r="I69" i="30"/>
  <c r="H69" i="30"/>
  <c r="AB175" i="6"/>
  <c r="AC175" i="6" s="1"/>
  <c r="AB155" i="6"/>
  <c r="W156" i="6"/>
  <c r="AB186" i="6"/>
  <c r="V65" i="6"/>
  <c r="O65" i="13" s="1"/>
  <c r="P65" i="13" s="1"/>
  <c r="Y188" i="6"/>
  <c r="Z188" i="6" s="1"/>
  <c r="AB174" i="6"/>
  <c r="AE174" i="6" s="1"/>
  <c r="AH174" i="6" s="1"/>
  <c r="AK174" i="6" s="1"/>
  <c r="AH190" i="6"/>
  <c r="W160" i="6"/>
  <c r="Y157" i="6"/>
  <c r="AB157" i="6" s="1"/>
  <c r="AE157" i="6" s="1"/>
  <c r="AB178" i="6"/>
  <c r="M15" i="13"/>
  <c r="M55" i="13"/>
  <c r="M63" i="13"/>
  <c r="V34" i="6"/>
  <c r="W34" i="6" s="1"/>
  <c r="V36" i="6"/>
  <c r="W36" i="6" s="1"/>
  <c r="V37" i="6"/>
  <c r="O37" i="13" s="1"/>
  <c r="P37" i="13" s="1"/>
  <c r="W141" i="6"/>
  <c r="AB182" i="6"/>
  <c r="L23" i="13"/>
  <c r="Y97" i="6"/>
  <c r="W80" i="6"/>
  <c r="W113" i="6"/>
  <c r="Y81" i="6"/>
  <c r="AB81" i="6" s="1"/>
  <c r="Y94" i="6"/>
  <c r="Z94" i="6" s="1"/>
  <c r="AE109" i="6"/>
  <c r="AH109" i="6" s="1"/>
  <c r="AI109" i="6" s="1"/>
  <c r="AC109" i="6"/>
  <c r="Y96" i="6"/>
  <c r="AB96" i="6" s="1"/>
  <c r="AE96" i="6" s="1"/>
  <c r="Z109" i="6"/>
  <c r="M28" i="13"/>
  <c r="M60" i="13"/>
  <c r="L62" i="13"/>
  <c r="W76" i="6"/>
  <c r="W99" i="6"/>
  <c r="M53" i="13"/>
  <c r="M61" i="13"/>
  <c r="L67" i="13"/>
  <c r="W96" i="6"/>
  <c r="H18" i="13"/>
  <c r="J21" i="13"/>
  <c r="L24" i="13"/>
  <c r="H26" i="13"/>
  <c r="J29" i="13"/>
  <c r="H34" i="13"/>
  <c r="J37" i="13"/>
  <c r="H42" i="13"/>
  <c r="J45" i="13"/>
  <c r="L48" i="13"/>
  <c r="H50" i="13"/>
  <c r="J53" i="13"/>
  <c r="L56" i="13"/>
  <c r="J61" i="13"/>
  <c r="L64" i="13"/>
  <c r="H66" i="13"/>
  <c r="J39" i="13"/>
  <c r="I139" i="30"/>
  <c r="J16" i="13"/>
  <c r="L35" i="13"/>
  <c r="L43" i="13"/>
  <c r="L51" i="13"/>
  <c r="J63" i="13"/>
  <c r="F61" i="13"/>
  <c r="H103" i="30"/>
  <c r="H107" i="30" s="1"/>
  <c r="H113" i="30"/>
  <c r="H117" i="30" s="1"/>
  <c r="G108" i="30"/>
  <c r="G112" i="30" s="1"/>
  <c r="F278" i="13"/>
  <c r="F286" i="13"/>
  <c r="H307" i="13"/>
  <c r="H294" i="13"/>
  <c r="F262" i="13"/>
  <c r="H291" i="13"/>
  <c r="H283" i="13"/>
  <c r="AA32" i="22"/>
  <c r="AA40" i="22"/>
  <c r="AB32" i="22"/>
  <c r="Z32" i="22"/>
  <c r="Z40" i="22"/>
  <c r="U31" i="22"/>
  <c r="J128" i="5"/>
  <c r="J87" i="5"/>
  <c r="M87" i="5" s="1"/>
  <c r="AT259" i="5"/>
  <c r="H154" i="5"/>
  <c r="J79" i="5"/>
  <c r="AE66" i="5"/>
  <c r="E303" i="18" s="1"/>
  <c r="AC293" i="5"/>
  <c r="AD293" i="5" s="1"/>
  <c r="E237" i="13"/>
  <c r="AC299" i="5"/>
  <c r="AH299" i="5" s="1"/>
  <c r="J102" i="5"/>
  <c r="AE49" i="5"/>
  <c r="E287" i="18" s="1"/>
  <c r="AE57" i="5"/>
  <c r="E295" i="18" s="1"/>
  <c r="J94" i="5"/>
  <c r="M94" i="5" s="1"/>
  <c r="K100" i="5"/>
  <c r="H112" i="5"/>
  <c r="K99" i="5"/>
  <c r="P76" i="5"/>
  <c r="X76" i="5" s="1"/>
  <c r="AT211" i="5"/>
  <c r="AE17" i="5"/>
  <c r="E255" i="18" s="1"/>
  <c r="AE41" i="5"/>
  <c r="E279" i="18" s="1"/>
  <c r="J114" i="5"/>
  <c r="M114" i="5" s="1"/>
  <c r="J123" i="5"/>
  <c r="M123" i="5" s="1"/>
  <c r="J120" i="5"/>
  <c r="M120" i="5" s="1"/>
  <c r="H215" i="5"/>
  <c r="E217" i="13"/>
  <c r="J177" i="5"/>
  <c r="AT235" i="5"/>
  <c r="AE25" i="5"/>
  <c r="E263" i="18" s="1"/>
  <c r="AE33" i="5"/>
  <c r="E271" i="18" s="1"/>
  <c r="J129" i="5"/>
  <c r="M129" i="5" s="1"/>
  <c r="H122" i="5"/>
  <c r="J104" i="5"/>
  <c r="M104" i="5" s="1"/>
  <c r="K204" i="5"/>
  <c r="H99" i="5"/>
  <c r="J86" i="5"/>
  <c r="AC301" i="5"/>
  <c r="J91" i="5"/>
  <c r="L37" i="13"/>
  <c r="H58" i="13"/>
  <c r="M29" i="13"/>
  <c r="M64" i="13"/>
  <c r="F106" i="13"/>
  <c r="V106" i="13"/>
  <c r="L61" i="13"/>
  <c r="L29" i="13"/>
  <c r="L59" i="13"/>
  <c r="E98" i="1"/>
  <c r="J106" i="13"/>
  <c r="F98" i="1"/>
  <c r="L53" i="13"/>
  <c r="L21" i="13"/>
  <c r="M17" i="13"/>
  <c r="M49" i="13"/>
  <c r="G98" i="1"/>
  <c r="J31" i="13"/>
  <c r="H98" i="1"/>
  <c r="L45" i="13"/>
  <c r="F263" i="13"/>
  <c r="I50" i="1"/>
  <c r="E51" i="30" s="1"/>
  <c r="F298" i="13"/>
  <c r="H290" i="13"/>
  <c r="F282" i="13"/>
  <c r="F272" i="13"/>
  <c r="K167" i="4"/>
  <c r="M167" i="4"/>
  <c r="P167" i="4" s="1"/>
  <c r="V167" i="4" s="1"/>
  <c r="W167" i="4" s="1"/>
  <c r="H227" i="4"/>
  <c r="M227" i="4"/>
  <c r="R194" i="4"/>
  <c r="J158" i="4"/>
  <c r="F20" i="30"/>
  <c r="K20" i="30" s="1"/>
  <c r="AJ263" i="4"/>
  <c r="H22" i="4"/>
  <c r="H242" i="4"/>
  <c r="N169" i="4"/>
  <c r="M181" i="4"/>
  <c r="J173" i="4"/>
  <c r="J205" i="4"/>
  <c r="K205" i="4" s="1"/>
  <c r="M234" i="4"/>
  <c r="J142" i="4"/>
  <c r="K142" i="4" s="1"/>
  <c r="K18" i="30"/>
  <c r="H120" i="4"/>
  <c r="H112" i="4"/>
  <c r="H95" i="4"/>
  <c r="M106" i="13"/>
  <c r="P106" i="13"/>
  <c r="H116" i="4"/>
  <c r="J91" i="4"/>
  <c r="G151" i="13" s="1"/>
  <c r="J93" i="4"/>
  <c r="M93" i="4" s="1"/>
  <c r="I336" i="13" s="1"/>
  <c r="H124" i="4"/>
  <c r="F304" i="13"/>
  <c r="H288" i="13"/>
  <c r="F264" i="13"/>
  <c r="H293" i="13"/>
  <c r="H280" i="13"/>
  <c r="H296" i="13"/>
  <c r="F277" i="13"/>
  <c r="J31" i="22"/>
  <c r="I31" i="22"/>
  <c r="I32" i="22" s="1"/>
  <c r="W31" i="22"/>
  <c r="W32" i="22" s="1"/>
  <c r="X31" i="22"/>
  <c r="X32" i="22" s="1"/>
  <c r="R31" i="22"/>
  <c r="M31" i="22"/>
  <c r="M32" i="22" s="1"/>
  <c r="S31" i="22"/>
  <c r="S32" i="22" s="1"/>
  <c r="T31" i="22"/>
  <c r="T32" i="22" s="1"/>
  <c r="N31" i="22"/>
  <c r="P31" i="22"/>
  <c r="P32" i="22" s="1"/>
  <c r="V31" i="22"/>
  <c r="V32" i="22" s="1"/>
  <c r="I98" i="1"/>
  <c r="E139" i="30" s="1"/>
  <c r="E140" i="30"/>
  <c r="K68" i="13"/>
  <c r="M68" i="13" s="1"/>
  <c r="L16" i="13"/>
  <c r="L20" i="13"/>
  <c r="L32" i="13"/>
  <c r="L36" i="13"/>
  <c r="L40" i="13"/>
  <c r="M14" i="13"/>
  <c r="M30" i="13"/>
  <c r="M38" i="13"/>
  <c r="M46" i="13"/>
  <c r="M54" i="13"/>
  <c r="L65" i="13"/>
  <c r="M23" i="13"/>
  <c r="M27" i="13"/>
  <c r="M31" i="13"/>
  <c r="M39" i="13"/>
  <c r="M47" i="13"/>
  <c r="L15" i="13"/>
  <c r="J23" i="13"/>
  <c r="J18" i="13"/>
  <c r="J22" i="13"/>
  <c r="J26" i="13"/>
  <c r="J34" i="13"/>
  <c r="J42" i="13"/>
  <c r="J50" i="13"/>
  <c r="J62" i="13"/>
  <c r="J66" i="13"/>
  <c r="I68" i="13"/>
  <c r="J19" i="13"/>
  <c r="J27" i="13"/>
  <c r="J59" i="13"/>
  <c r="H17" i="13"/>
  <c r="H21" i="13"/>
  <c r="H25" i="13"/>
  <c r="H33" i="13"/>
  <c r="H41" i="13"/>
  <c r="H45" i="13"/>
  <c r="H49" i="13"/>
  <c r="H53" i="13"/>
  <c r="H57" i="13"/>
  <c r="H65" i="13"/>
  <c r="H14" i="13"/>
  <c r="H30" i="13"/>
  <c r="H38" i="13"/>
  <c r="H55" i="13"/>
  <c r="G68" i="13"/>
  <c r="H68" i="13" s="1"/>
  <c r="H20" i="13"/>
  <c r="H28" i="13"/>
  <c r="H36" i="13"/>
  <c r="H44" i="13"/>
  <c r="H48" i="13"/>
  <c r="H52" i="13"/>
  <c r="H56" i="13"/>
  <c r="H60" i="13"/>
  <c r="F45" i="13"/>
  <c r="H61" i="13"/>
  <c r="F18" i="13"/>
  <c r="F22" i="13"/>
  <c r="F26" i="13"/>
  <c r="F42" i="13"/>
  <c r="F50" i="13"/>
  <c r="F58" i="13"/>
  <c r="F66" i="13"/>
  <c r="H29" i="13"/>
  <c r="F33" i="13"/>
  <c r="F17" i="13"/>
  <c r="F15" i="13"/>
  <c r="F19" i="13"/>
  <c r="F35" i="13"/>
  <c r="F43" i="13"/>
  <c r="F55" i="13"/>
  <c r="F59" i="13"/>
  <c r="F63" i="13"/>
  <c r="F53" i="13"/>
  <c r="F20" i="13"/>
  <c r="F24" i="13"/>
  <c r="F40" i="13"/>
  <c r="F48" i="13"/>
  <c r="F56" i="13"/>
  <c r="F25" i="13"/>
  <c r="F41" i="13"/>
  <c r="F57" i="13"/>
  <c r="F65" i="13"/>
  <c r="F39" i="13"/>
  <c r="M22" i="13"/>
  <c r="F49" i="13"/>
  <c r="M57" i="13"/>
  <c r="F23" i="13"/>
  <c r="F46" i="13"/>
  <c r="M41" i="13"/>
  <c r="F47" i="13"/>
  <c r="F14" i="13"/>
  <c r="F38" i="13"/>
  <c r="F31" i="13"/>
  <c r="G50" i="30"/>
  <c r="J97" i="30"/>
  <c r="I50" i="30"/>
  <c r="E97" i="30"/>
  <c r="E87" i="30"/>
  <c r="I156" i="30"/>
  <c r="G68" i="30"/>
  <c r="G11" i="30"/>
  <c r="E50" i="30"/>
  <c r="I87" i="30"/>
  <c r="F32" i="30"/>
  <c r="I68" i="30"/>
  <c r="J11" i="30"/>
  <c r="G97" i="30"/>
  <c r="E11" i="30"/>
  <c r="F87" i="30"/>
  <c r="I97" i="30"/>
  <c r="F156" i="30"/>
  <c r="G32" i="30"/>
  <c r="H68" i="30"/>
  <c r="F68" i="30"/>
  <c r="E138" i="30"/>
  <c r="H32" i="30"/>
  <c r="H156" i="30"/>
  <c r="I11" i="30"/>
  <c r="E156" i="30"/>
  <c r="J87" i="30"/>
  <c r="I128" i="30"/>
  <c r="F347" i="18"/>
  <c r="F340" i="18"/>
  <c r="F360" i="18"/>
  <c r="E362" i="18"/>
  <c r="E356" i="18"/>
  <c r="F128" i="30"/>
  <c r="F132" i="30" s="1"/>
  <c r="C323" i="18"/>
  <c r="C348" i="18"/>
  <c r="H348" i="18" s="1"/>
  <c r="F336" i="18"/>
  <c r="I123" i="30"/>
  <c r="I127" i="30" s="1"/>
  <c r="F353" i="18"/>
  <c r="E352" i="18"/>
  <c r="D358" i="18"/>
  <c r="D331" i="18"/>
  <c r="D312" i="18"/>
  <c r="G127" i="30"/>
  <c r="D318" i="18"/>
  <c r="D361" i="18"/>
  <c r="G100" i="30"/>
  <c r="C349" i="18"/>
  <c r="C363" i="18"/>
  <c r="J113" i="30"/>
  <c r="J117" i="30" s="1"/>
  <c r="F362" i="18"/>
  <c r="F324" i="18"/>
  <c r="F354" i="18"/>
  <c r="E339" i="18"/>
  <c r="E357" i="18"/>
  <c r="E351" i="18"/>
  <c r="E345" i="18"/>
  <c r="D349" i="18"/>
  <c r="G113" i="30"/>
  <c r="G117" i="30" s="1"/>
  <c r="D323" i="18"/>
  <c r="D352" i="18"/>
  <c r="C362" i="18"/>
  <c r="H315" i="18"/>
  <c r="F332" i="18"/>
  <c r="F356" i="18"/>
  <c r="F345" i="18"/>
  <c r="F363" i="18"/>
  <c r="F364" i="18"/>
  <c r="F317" i="18"/>
  <c r="H108" i="30"/>
  <c r="H112" i="30" s="1"/>
  <c r="E328" i="18"/>
  <c r="E318" i="18"/>
  <c r="E354" i="18"/>
  <c r="E364" i="18"/>
  <c r="D348" i="18"/>
  <c r="D345" i="18"/>
  <c r="D324" i="18"/>
  <c r="D332" i="18"/>
  <c r="D313" i="18"/>
  <c r="C318" i="18"/>
  <c r="C328" i="18"/>
  <c r="H328" i="18" s="1"/>
  <c r="C314" i="18"/>
  <c r="H314" i="18" s="1"/>
  <c r="C322" i="18"/>
  <c r="H322" i="18" s="1"/>
  <c r="F341" i="18"/>
  <c r="F315" i="18"/>
  <c r="F355" i="18"/>
  <c r="I122" i="30"/>
  <c r="I91" i="30" s="1"/>
  <c r="U350" i="13"/>
  <c r="F342" i="18"/>
  <c r="F334" i="18"/>
  <c r="F318" i="18"/>
  <c r="F335" i="18"/>
  <c r="E334" i="18"/>
  <c r="E314" i="18"/>
  <c r="E320" i="18"/>
  <c r="E319" i="18"/>
  <c r="E336" i="18"/>
  <c r="E329" i="18"/>
  <c r="E349" i="18"/>
  <c r="D342" i="18"/>
  <c r="D360" i="18"/>
  <c r="D333" i="18"/>
  <c r="O350" i="13"/>
  <c r="P350" i="13" s="1"/>
  <c r="C334" i="18"/>
  <c r="H334" i="18" s="1"/>
  <c r="D341" i="18"/>
  <c r="D317" i="18"/>
  <c r="G103" i="30"/>
  <c r="G107" i="30" s="1"/>
  <c r="D362" i="18"/>
  <c r="D336" i="18"/>
  <c r="D322" i="18"/>
  <c r="D354" i="18"/>
  <c r="C327" i="18"/>
  <c r="F107" i="30"/>
  <c r="F101" i="30"/>
  <c r="D20" i="3" s="1"/>
  <c r="F122" i="30"/>
  <c r="F91" i="30" s="1"/>
  <c r="K81" i="30"/>
  <c r="AJ382" i="6"/>
  <c r="Z379" i="6"/>
  <c r="AB379" i="6"/>
  <c r="AB340" i="6"/>
  <c r="Z340" i="6"/>
  <c r="Z356" i="6"/>
  <c r="AB356" i="6"/>
  <c r="Z360" i="6"/>
  <c r="AB360" i="6"/>
  <c r="AE360" i="6" s="1"/>
  <c r="AH360" i="6" s="1"/>
  <c r="AB372" i="6"/>
  <c r="Z372" i="6"/>
  <c r="Z343" i="6"/>
  <c r="AB343" i="6"/>
  <c r="AE343" i="6" s="1"/>
  <c r="AB348" i="6"/>
  <c r="AC348" i="6" s="1"/>
  <c r="Z348" i="6"/>
  <c r="AB366" i="6"/>
  <c r="AE366" i="6" s="1"/>
  <c r="AH366" i="6" s="1"/>
  <c r="Z366" i="6"/>
  <c r="AB368" i="6"/>
  <c r="Z368" i="6"/>
  <c r="AE354" i="6"/>
  <c r="AC354" i="6"/>
  <c r="Z350" i="6"/>
  <c r="AB350" i="6"/>
  <c r="AE350" i="6" s="1"/>
  <c r="AH350" i="6" s="1"/>
  <c r="W340" i="6"/>
  <c r="W343" i="6"/>
  <c r="Y371" i="6"/>
  <c r="Z354" i="6"/>
  <c r="Y336" i="6"/>
  <c r="Y377" i="6"/>
  <c r="Y338" i="6"/>
  <c r="AB338" i="6" s="1"/>
  <c r="AC338" i="6" s="1"/>
  <c r="V382" i="6"/>
  <c r="Y382" i="6" s="1"/>
  <c r="V26" i="6"/>
  <c r="O26" i="13" s="1"/>
  <c r="P26" i="13" s="1"/>
  <c r="Z342" i="6"/>
  <c r="AB342" i="6"/>
  <c r="AF341" i="6"/>
  <c r="AE333" i="6"/>
  <c r="AC333" i="6"/>
  <c r="AB339" i="6"/>
  <c r="Z339" i="6"/>
  <c r="AE349" i="6"/>
  <c r="AC349" i="6"/>
  <c r="AE363" i="6"/>
  <c r="AC363" i="6"/>
  <c r="AE364" i="6"/>
  <c r="AC364" i="6"/>
  <c r="AB380" i="6"/>
  <c r="Z380" i="6"/>
  <c r="AE335" i="6"/>
  <c r="AC335" i="6"/>
  <c r="Z329" i="6"/>
  <c r="AB329" i="6"/>
  <c r="AC370" i="6"/>
  <c r="AE370" i="6"/>
  <c r="AC355" i="6"/>
  <c r="AE355" i="6"/>
  <c r="Z332" i="6"/>
  <c r="AB332" i="6"/>
  <c r="AB358" i="6"/>
  <c r="Z358" i="6"/>
  <c r="AB373" i="6"/>
  <c r="Z373" i="6"/>
  <c r="AB374" i="6"/>
  <c r="Z374" i="6"/>
  <c r="AB376" i="6"/>
  <c r="Z376" i="6"/>
  <c r="I68" i="1"/>
  <c r="E69" i="30" s="1"/>
  <c r="E81" i="30"/>
  <c r="Z346" i="6"/>
  <c r="AB346" i="6"/>
  <c r="AB347" i="6"/>
  <c r="Z347" i="6"/>
  <c r="AE351" i="6"/>
  <c r="AC351" i="6"/>
  <c r="AE352" i="6"/>
  <c r="AC352" i="6"/>
  <c r="AE359" i="6"/>
  <c r="AC359" i="6"/>
  <c r="AB367" i="6"/>
  <c r="Z367" i="6"/>
  <c r="Z362" i="6"/>
  <c r="AB362" i="6"/>
  <c r="Z369" i="6"/>
  <c r="AB369" i="6"/>
  <c r="W376" i="6"/>
  <c r="Z351" i="6"/>
  <c r="V53" i="6"/>
  <c r="O53" i="13" s="1"/>
  <c r="P53" i="13" s="1"/>
  <c r="W347" i="6"/>
  <c r="Y353" i="6"/>
  <c r="Y357" i="6"/>
  <c r="Y361" i="6"/>
  <c r="Y365" i="6"/>
  <c r="W367" i="6"/>
  <c r="Z370" i="6"/>
  <c r="W373" i="6"/>
  <c r="W374" i="6"/>
  <c r="Y375" i="6"/>
  <c r="I81" i="1"/>
  <c r="E82" i="30" s="1"/>
  <c r="E93" i="30" s="1"/>
  <c r="Z333" i="6"/>
  <c r="Z363" i="6"/>
  <c r="Z352" i="6"/>
  <c r="V60" i="6"/>
  <c r="O60" i="13" s="1"/>
  <c r="P60" i="13" s="1"/>
  <c r="W332" i="6"/>
  <c r="W339" i="6"/>
  <c r="Z338" i="6"/>
  <c r="W346" i="6"/>
  <c r="Y330" i="6"/>
  <c r="V18" i="6"/>
  <c r="V32" i="6"/>
  <c r="Z335" i="6"/>
  <c r="W342" i="6"/>
  <c r="Z359" i="6"/>
  <c r="Z337" i="6"/>
  <c r="Z364" i="6"/>
  <c r="V33" i="6"/>
  <c r="O33" i="13" s="1"/>
  <c r="P33" i="13" s="1"/>
  <c r="W329" i="6"/>
  <c r="Y345" i="6"/>
  <c r="Y381" i="6"/>
  <c r="Z349" i="6"/>
  <c r="Z355" i="6"/>
  <c r="R382" i="6"/>
  <c r="K382" i="6"/>
  <c r="H382" i="6"/>
  <c r="K79" i="30"/>
  <c r="F69" i="30"/>
  <c r="D30" i="2" s="1"/>
  <c r="AJ321" i="6"/>
  <c r="G69" i="30"/>
  <c r="AB306" i="6"/>
  <c r="AE306" i="6" s="1"/>
  <c r="Z306" i="6"/>
  <c r="Z273" i="6"/>
  <c r="AB273" i="6"/>
  <c r="Z275" i="6"/>
  <c r="AB275" i="6"/>
  <c r="AE275" i="6" s="1"/>
  <c r="AB298" i="6"/>
  <c r="AC298" i="6" s="1"/>
  <c r="Z298" i="6"/>
  <c r="AC285" i="6"/>
  <c r="AE285" i="6"/>
  <c r="Z316" i="6"/>
  <c r="AB316" i="6"/>
  <c r="AE316" i="6" s="1"/>
  <c r="W273" i="6"/>
  <c r="W303" i="6"/>
  <c r="W310" i="6"/>
  <c r="W316" i="6"/>
  <c r="V31" i="6"/>
  <c r="O31" i="13" s="1"/>
  <c r="P31" i="13" s="1"/>
  <c r="V63" i="6"/>
  <c r="O63" i="13" s="1"/>
  <c r="P63" i="13" s="1"/>
  <c r="Y274" i="6"/>
  <c r="Y21" i="6" s="1"/>
  <c r="Q21" i="13" s="1"/>
  <c r="W275" i="6"/>
  <c r="Y311" i="6"/>
  <c r="AB311" i="6" s="1"/>
  <c r="AE311" i="6" s="1"/>
  <c r="Y313" i="6"/>
  <c r="Y317" i="6"/>
  <c r="AB317" i="6" s="1"/>
  <c r="AE317" i="6" s="1"/>
  <c r="Z285" i="6"/>
  <c r="W270" i="6"/>
  <c r="Y318" i="6"/>
  <c r="Y315" i="6"/>
  <c r="AB283" i="6"/>
  <c r="Z283" i="6"/>
  <c r="AB294" i="6"/>
  <c r="Z294" i="6"/>
  <c r="AB305" i="6"/>
  <c r="Z305" i="6"/>
  <c r="AE286" i="6"/>
  <c r="AC286" i="6"/>
  <c r="AB287" i="6"/>
  <c r="Z287" i="6"/>
  <c r="AE288" i="6"/>
  <c r="AC288" i="6"/>
  <c r="AC293" i="6"/>
  <c r="AE293" i="6"/>
  <c r="AB267" i="6"/>
  <c r="Z267" i="6"/>
  <c r="Z270" i="6"/>
  <c r="AB270" i="6"/>
  <c r="AC289" i="6"/>
  <c r="AE289" i="6"/>
  <c r="Z299" i="6"/>
  <c r="AB299" i="6"/>
  <c r="Z310" i="6"/>
  <c r="AB310" i="6"/>
  <c r="AC271" i="6"/>
  <c r="AE278" i="6"/>
  <c r="Z279" i="6"/>
  <c r="AB279" i="6"/>
  <c r="AB280" i="6"/>
  <c r="Z280" i="6"/>
  <c r="Z282" i="6"/>
  <c r="AB282" i="6"/>
  <c r="Z290" i="6"/>
  <c r="AB290" i="6"/>
  <c r="Z291" i="6"/>
  <c r="AB291" i="6"/>
  <c r="AB292" i="6"/>
  <c r="Z292" i="6"/>
  <c r="Z300" i="6"/>
  <c r="AB300" i="6"/>
  <c r="Z302" i="6"/>
  <c r="AB302" i="6"/>
  <c r="AB309" i="6"/>
  <c r="Z309" i="6"/>
  <c r="Z320" i="6"/>
  <c r="AB320" i="6"/>
  <c r="W51" i="6"/>
  <c r="Y269" i="6"/>
  <c r="Z271" i="6"/>
  <c r="Y272" i="6"/>
  <c r="Z278" i="6"/>
  <c r="W280" i="6"/>
  <c r="Y281" i="6"/>
  <c r="W283" i="6"/>
  <c r="Z286" i="6"/>
  <c r="Y295" i="6"/>
  <c r="Y296" i="6"/>
  <c r="AE298" i="6"/>
  <c r="W300" i="6"/>
  <c r="Y301" i="6"/>
  <c r="W305" i="6"/>
  <c r="AB307" i="6"/>
  <c r="Y312" i="6"/>
  <c r="Y319" i="6"/>
  <c r="Y66" i="6" s="1"/>
  <c r="Y276" i="6"/>
  <c r="W291" i="6"/>
  <c r="W294" i="6"/>
  <c r="Y297" i="6"/>
  <c r="AB303" i="6"/>
  <c r="Y308" i="6"/>
  <c r="Z288" i="6"/>
  <c r="Z289" i="6"/>
  <c r="V14" i="6"/>
  <c r="W14" i="6" s="1"/>
  <c r="W320" i="6"/>
  <c r="V27" i="6"/>
  <c r="O27" i="13" s="1"/>
  <c r="P27" i="13" s="1"/>
  <c r="V28" i="6"/>
  <c r="O28" i="13" s="1"/>
  <c r="P28" i="13" s="1"/>
  <c r="Y277" i="6"/>
  <c r="W279" i="6"/>
  <c r="W287" i="6"/>
  <c r="W290" i="6"/>
  <c r="Y304" i="6"/>
  <c r="Z293" i="6"/>
  <c r="W267" i="6"/>
  <c r="V47" i="6"/>
  <c r="O47" i="13" s="1"/>
  <c r="P47" i="13" s="1"/>
  <c r="N321" i="6"/>
  <c r="H321" i="6"/>
  <c r="J69" i="30"/>
  <c r="AC230" i="6"/>
  <c r="AE230" i="6"/>
  <c r="AF230" i="6" s="1"/>
  <c r="AF229" i="6"/>
  <c r="AH229" i="6"/>
  <c r="AI229" i="6" s="1"/>
  <c r="Z230" i="6"/>
  <c r="AC229" i="6"/>
  <c r="AB207" i="6"/>
  <c r="AE207" i="6" s="1"/>
  <c r="AF207" i="6" s="1"/>
  <c r="AC202" i="6"/>
  <c r="Z202" i="6"/>
  <c r="AB219" i="6"/>
  <c r="AC219" i="6" s="1"/>
  <c r="Z219" i="6"/>
  <c r="W219" i="6"/>
  <c r="Y233" i="6"/>
  <c r="AB233" i="6" s="1"/>
  <c r="AE233" i="6" s="1"/>
  <c r="AB211" i="6"/>
  <c r="Y204" i="6"/>
  <c r="W205" i="6"/>
  <c r="W223" i="6"/>
  <c r="AB234" i="6"/>
  <c r="AC234" i="6" s="1"/>
  <c r="W246" i="6"/>
  <c r="AB206" i="6"/>
  <c r="AE206" i="6" s="1"/>
  <c r="Y208" i="6"/>
  <c r="W210" i="6"/>
  <c r="W236" i="6"/>
  <c r="Y238" i="6"/>
  <c r="Z238" i="6" s="1"/>
  <c r="W250" i="6"/>
  <c r="W213" i="6"/>
  <c r="Y216" i="6"/>
  <c r="Z214" i="6"/>
  <c r="V29" i="6"/>
  <c r="O29" i="13" s="1"/>
  <c r="P29" i="13" s="1"/>
  <c r="Y232" i="6"/>
  <c r="Y241" i="6"/>
  <c r="AB241" i="6" s="1"/>
  <c r="AB242" i="6"/>
  <c r="AC242" i="6" s="1"/>
  <c r="Z223" i="6"/>
  <c r="AB223" i="6"/>
  <c r="Z243" i="6"/>
  <c r="AB243" i="6"/>
  <c r="Y224" i="6"/>
  <c r="W224" i="6"/>
  <c r="Y226" i="6"/>
  <c r="W226" i="6"/>
  <c r="AC227" i="6"/>
  <c r="AE227" i="6"/>
  <c r="Y228" i="6"/>
  <c r="W228" i="6"/>
  <c r="Z220" i="6"/>
  <c r="AB220" i="6"/>
  <c r="Z209" i="6"/>
  <c r="AB209" i="6"/>
  <c r="AB236" i="6"/>
  <c r="Z236" i="6"/>
  <c r="Z244" i="6"/>
  <c r="AB244" i="6"/>
  <c r="W245" i="6"/>
  <c r="Y245" i="6"/>
  <c r="Z205" i="6"/>
  <c r="AB205" i="6"/>
  <c r="AE217" i="6"/>
  <c r="AC217" i="6"/>
  <c r="AB201" i="6"/>
  <c r="Z201" i="6"/>
  <c r="Y199" i="6"/>
  <c r="W199" i="6"/>
  <c r="V252" i="6"/>
  <c r="W252" i="6" s="1"/>
  <c r="AB210" i="6"/>
  <c r="Z210" i="6"/>
  <c r="AB231" i="6"/>
  <c r="Z231" i="6"/>
  <c r="W237" i="6"/>
  <c r="Y237" i="6"/>
  <c r="AB246" i="6"/>
  <c r="Z246" i="6"/>
  <c r="AB247" i="6"/>
  <c r="Z247" i="6"/>
  <c r="AB248" i="6"/>
  <c r="Z248" i="6"/>
  <c r="AC222" i="6"/>
  <c r="Z200" i="6"/>
  <c r="AB200" i="6"/>
  <c r="AH202" i="6"/>
  <c r="AF202" i="6"/>
  <c r="Z249" i="6"/>
  <c r="AB212" i="6"/>
  <c r="AB213" i="6"/>
  <c r="Z213" i="6"/>
  <c r="AC214" i="6"/>
  <c r="AE214" i="6"/>
  <c r="AB240" i="6"/>
  <c r="Z240" i="6"/>
  <c r="AB250" i="6"/>
  <c r="Z250" i="6"/>
  <c r="AK229" i="6"/>
  <c r="V15" i="6"/>
  <c r="O15" i="13" s="1"/>
  <c r="P15" i="13" s="1"/>
  <c r="V40" i="6"/>
  <c r="O40" i="13" s="1"/>
  <c r="P40" i="13" s="1"/>
  <c r="Z198" i="6"/>
  <c r="V16" i="6"/>
  <c r="O16" i="13" s="1"/>
  <c r="P16" i="13" s="1"/>
  <c r="V42" i="6"/>
  <c r="O42" i="13" s="1"/>
  <c r="P42" i="13" s="1"/>
  <c r="V61" i="6"/>
  <c r="O61" i="13" s="1"/>
  <c r="P61" i="13" s="1"/>
  <c r="V62" i="6"/>
  <c r="O62" i="13" s="1"/>
  <c r="P62" i="13" s="1"/>
  <c r="Y239" i="6"/>
  <c r="W240" i="6"/>
  <c r="AB198" i="6"/>
  <c r="V66" i="6"/>
  <c r="O66" i="13" s="1"/>
  <c r="P66" i="13" s="1"/>
  <c r="Y235" i="6"/>
  <c r="Y251" i="6"/>
  <c r="W225" i="6"/>
  <c r="W248" i="6"/>
  <c r="Z217" i="6"/>
  <c r="W202" i="6"/>
  <c r="Y218" i="6"/>
  <c r="W220" i="6"/>
  <c r="N252" i="6"/>
  <c r="F75" i="1"/>
  <c r="G75" i="1" s="1"/>
  <c r="H75" i="1" s="1"/>
  <c r="I75" i="1" s="1"/>
  <c r="E76" i="30" s="1"/>
  <c r="E90" i="30" s="1"/>
  <c r="H252" i="6"/>
  <c r="S252" i="6"/>
  <c r="AE175" i="6"/>
  <c r="AF175" i="6" s="1"/>
  <c r="AJ191" i="6"/>
  <c r="Z181" i="6"/>
  <c r="AB181" i="6"/>
  <c r="Z184" i="6"/>
  <c r="AB184" i="6"/>
  <c r="K73" i="30"/>
  <c r="V46" i="6"/>
  <c r="O46" i="13" s="1"/>
  <c r="P46" i="13" s="1"/>
  <c r="W148" i="6"/>
  <c r="W169" i="6"/>
  <c r="W184" i="6"/>
  <c r="V191" i="6"/>
  <c r="W191" i="6" s="1"/>
  <c r="V23" i="6"/>
  <c r="V24" i="6"/>
  <c r="V25" i="6"/>
  <c r="W147" i="6"/>
  <c r="Y146" i="6"/>
  <c r="AB146" i="6" s="1"/>
  <c r="AE146" i="6" s="1"/>
  <c r="AB172" i="6"/>
  <c r="Z172" i="6"/>
  <c r="AB173" i="6"/>
  <c r="Z173" i="6"/>
  <c r="AB147" i="6"/>
  <c r="Z147" i="6"/>
  <c r="AB168" i="6"/>
  <c r="Z168" i="6"/>
  <c r="AB150" i="6"/>
  <c r="Z150" i="6"/>
  <c r="AB152" i="6"/>
  <c r="Z152" i="6"/>
  <c r="Z153" i="6"/>
  <c r="AB153" i="6"/>
  <c r="AB156" i="6"/>
  <c r="Z156" i="6"/>
  <c r="AB185" i="6"/>
  <c r="Z185" i="6"/>
  <c r="AB137" i="6"/>
  <c r="Z137" i="6"/>
  <c r="AE139" i="6"/>
  <c r="AC139" i="6"/>
  <c r="AB159" i="6"/>
  <c r="Z159" i="6"/>
  <c r="Z160" i="6"/>
  <c r="AB160" i="6"/>
  <c r="AB169" i="6"/>
  <c r="Z169" i="6"/>
  <c r="AC189" i="6"/>
  <c r="AE189" i="6"/>
  <c r="AE140" i="6"/>
  <c r="AC140" i="6"/>
  <c r="Z141" i="6"/>
  <c r="AB141" i="6"/>
  <c r="Z161" i="6"/>
  <c r="AB161" i="6"/>
  <c r="Z162" i="6"/>
  <c r="AB162" i="6"/>
  <c r="Z148" i="6"/>
  <c r="AB148" i="6"/>
  <c r="AB143" i="6"/>
  <c r="Z143" i="6"/>
  <c r="Z144" i="6"/>
  <c r="AB144" i="6"/>
  <c r="AB145" i="6"/>
  <c r="Z145" i="6"/>
  <c r="AB164" i="6"/>
  <c r="Z164" i="6"/>
  <c r="AB165" i="6"/>
  <c r="Z165" i="6"/>
  <c r="Y14" i="6"/>
  <c r="W143" i="6"/>
  <c r="V41" i="6"/>
  <c r="V44" i="6"/>
  <c r="V45" i="6"/>
  <c r="O45" i="13" s="1"/>
  <c r="P45" i="13" s="1"/>
  <c r="Y138" i="6"/>
  <c r="Z140" i="6"/>
  <c r="W144" i="6"/>
  <c r="W145" i="6"/>
  <c r="W150" i="6"/>
  <c r="Y151" i="6"/>
  <c r="W153" i="6"/>
  <c r="Y158" i="6"/>
  <c r="Y163" i="6"/>
  <c r="Y166" i="6"/>
  <c r="Y167" i="6"/>
  <c r="Y170" i="6"/>
  <c r="Y171" i="6"/>
  <c r="W173" i="6"/>
  <c r="Y176" i="6"/>
  <c r="Y180" i="6"/>
  <c r="Z189" i="6"/>
  <c r="Y18" i="6"/>
  <c r="Q18" i="13" s="1"/>
  <c r="W152" i="6"/>
  <c r="W161" i="6"/>
  <c r="W164" i="6"/>
  <c r="W168" i="6"/>
  <c r="W172" i="6"/>
  <c r="V20" i="6"/>
  <c r="V21" i="6"/>
  <c r="Y154" i="6"/>
  <c r="V48" i="6"/>
  <c r="O48" i="13" s="1"/>
  <c r="P48" i="13" s="1"/>
  <c r="V49" i="6"/>
  <c r="O49" i="13" s="1"/>
  <c r="P49" i="13" s="1"/>
  <c r="V50" i="6"/>
  <c r="O50" i="13" s="1"/>
  <c r="P50" i="13" s="1"/>
  <c r="Y142" i="6"/>
  <c r="AB149" i="6"/>
  <c r="V35" i="6"/>
  <c r="N68" i="6"/>
  <c r="H68" i="1"/>
  <c r="AB97" i="6"/>
  <c r="AE97" i="6" s="1"/>
  <c r="AJ130" i="6"/>
  <c r="AC125" i="6"/>
  <c r="Z125" i="6"/>
  <c r="W111" i="6"/>
  <c r="AB83" i="6"/>
  <c r="Y89" i="6"/>
  <c r="Z89" i="6" s="1"/>
  <c r="Z97" i="6"/>
  <c r="W107" i="6"/>
  <c r="Y93" i="6"/>
  <c r="AB94" i="6"/>
  <c r="AE94" i="6" s="1"/>
  <c r="AF94" i="6" s="1"/>
  <c r="Y107" i="6"/>
  <c r="AB107" i="6" s="1"/>
  <c r="W106" i="6"/>
  <c r="W112" i="6"/>
  <c r="AB80" i="6"/>
  <c r="AE80" i="6" s="1"/>
  <c r="Y85" i="6"/>
  <c r="Y101" i="6"/>
  <c r="Y102" i="6"/>
  <c r="W109" i="6"/>
  <c r="W129" i="6"/>
  <c r="AB76" i="6"/>
  <c r="W88" i="6"/>
  <c r="Y91" i="6"/>
  <c r="Y122" i="6"/>
  <c r="W78" i="6"/>
  <c r="Y104" i="6"/>
  <c r="W83" i="6"/>
  <c r="Y106" i="6"/>
  <c r="V38" i="6"/>
  <c r="W100" i="6"/>
  <c r="Y100" i="6"/>
  <c r="Y46" i="6"/>
  <c r="Z108" i="6"/>
  <c r="V52" i="6"/>
  <c r="Y114" i="6"/>
  <c r="W114" i="6"/>
  <c r="AB128" i="6"/>
  <c r="Z128" i="6"/>
  <c r="AB117" i="6"/>
  <c r="Z117" i="6"/>
  <c r="AE108" i="6"/>
  <c r="AC108" i="6"/>
  <c r="AB77" i="6"/>
  <c r="Z77" i="6"/>
  <c r="V57" i="6"/>
  <c r="Y119" i="6"/>
  <c r="W119" i="6"/>
  <c r="AK125" i="6"/>
  <c r="V59" i="6"/>
  <c r="Y121" i="6"/>
  <c r="W121" i="6"/>
  <c r="Z126" i="6"/>
  <c r="AE88" i="6"/>
  <c r="AC88" i="6"/>
  <c r="V30" i="6"/>
  <c r="W92" i="6"/>
  <c r="Y92" i="6"/>
  <c r="V43" i="6"/>
  <c r="W105" i="6"/>
  <c r="Y105" i="6"/>
  <c r="AF125" i="6"/>
  <c r="V22" i="6"/>
  <c r="W84" i="6"/>
  <c r="V130" i="6"/>
  <c r="Y84" i="6"/>
  <c r="Y78" i="6"/>
  <c r="W81" i="6"/>
  <c r="Z83" i="6"/>
  <c r="Y86" i="6"/>
  <c r="W89" i="6"/>
  <c r="Y124" i="6"/>
  <c r="Y99" i="6"/>
  <c r="Y111" i="6"/>
  <c r="Y112" i="6"/>
  <c r="W115" i="6"/>
  <c r="W118" i="6"/>
  <c r="W125" i="6"/>
  <c r="Y129" i="6"/>
  <c r="W79" i="6"/>
  <c r="W87" i="6"/>
  <c r="W95" i="6"/>
  <c r="W103" i="6"/>
  <c r="Y115" i="6"/>
  <c r="Y116" i="6"/>
  <c r="AB118" i="6"/>
  <c r="W120" i="6"/>
  <c r="Y127" i="6"/>
  <c r="W77" i="6"/>
  <c r="Z80" i="6"/>
  <c r="Y82" i="6"/>
  <c r="W85" i="6"/>
  <c r="Z88" i="6"/>
  <c r="Y90" i="6"/>
  <c r="W93" i="6"/>
  <c r="Y98" i="6"/>
  <c r="W101" i="6"/>
  <c r="Y110" i="6"/>
  <c r="W117" i="6"/>
  <c r="Y120" i="6"/>
  <c r="Y123" i="6"/>
  <c r="Y79" i="6"/>
  <c r="Y87" i="6"/>
  <c r="Y95" i="6"/>
  <c r="Y103" i="6"/>
  <c r="W82" i="6"/>
  <c r="W90" i="6"/>
  <c r="W98" i="6"/>
  <c r="W110" i="6"/>
  <c r="Z113" i="6"/>
  <c r="W124" i="6"/>
  <c r="Q68" i="6"/>
  <c r="H71" i="1"/>
  <c r="F69" i="1"/>
  <c r="E10" i="2" s="1"/>
  <c r="AC303" i="5"/>
  <c r="AH303" i="5" s="1"/>
  <c r="AI303" i="5" s="1"/>
  <c r="Z15" i="5"/>
  <c r="D253" i="18" s="1"/>
  <c r="Z23" i="5"/>
  <c r="D261" i="18" s="1"/>
  <c r="Z31" i="5"/>
  <c r="D269" i="18" s="1"/>
  <c r="Z39" i="5"/>
  <c r="D277" i="18" s="1"/>
  <c r="Z47" i="5"/>
  <c r="D285" i="18" s="1"/>
  <c r="Z55" i="5"/>
  <c r="D293" i="18" s="1"/>
  <c r="AC286" i="5"/>
  <c r="AH286" i="5" s="1"/>
  <c r="AC279" i="5"/>
  <c r="AH279" i="5" s="1"/>
  <c r="AI279" i="5" s="1"/>
  <c r="AT200" i="5"/>
  <c r="H63" i="30"/>
  <c r="F63" i="30"/>
  <c r="G63" i="30"/>
  <c r="H50" i="1"/>
  <c r="I61" i="30"/>
  <c r="F61" i="30"/>
  <c r="H61" i="1"/>
  <c r="I61" i="1" s="1"/>
  <c r="E62" i="30" s="1"/>
  <c r="G57" i="30"/>
  <c r="F57" i="30"/>
  <c r="F57" i="1"/>
  <c r="G57" i="1" s="1"/>
  <c r="H57" i="1" s="1"/>
  <c r="I57" i="1" s="1"/>
  <c r="E58" i="30" s="1"/>
  <c r="E51" i="1"/>
  <c r="J51" i="30"/>
  <c r="I55" i="30"/>
  <c r="G55" i="30"/>
  <c r="Q318" i="13"/>
  <c r="F259" i="13"/>
  <c r="H275" i="13"/>
  <c r="F267" i="13"/>
  <c r="E282" i="26"/>
  <c r="D282" i="26"/>
  <c r="F273" i="26"/>
  <c r="F299" i="13"/>
  <c r="H70" i="26"/>
  <c r="F50" i="1"/>
  <c r="H53" i="30"/>
  <c r="G53" i="30"/>
  <c r="F53" i="30"/>
  <c r="F53" i="1"/>
  <c r="AT307" i="5"/>
  <c r="AC283" i="5"/>
  <c r="AH283" i="5" s="1"/>
  <c r="AC261" i="5"/>
  <c r="AH261" i="5" s="1"/>
  <c r="F45" i="1"/>
  <c r="F46" i="30"/>
  <c r="G46" i="30" s="1"/>
  <c r="H46" i="30" s="1"/>
  <c r="I46" i="30" s="1"/>
  <c r="E44" i="1"/>
  <c r="AO65" i="5"/>
  <c r="G302" i="18" s="1"/>
  <c r="AO56" i="5"/>
  <c r="G294" i="18" s="1"/>
  <c r="AO48" i="5"/>
  <c r="G286" i="18" s="1"/>
  <c r="AO40" i="5"/>
  <c r="G278" i="18" s="1"/>
  <c r="AO32" i="5"/>
  <c r="G270" i="18" s="1"/>
  <c r="AO24" i="5"/>
  <c r="G262" i="18" s="1"/>
  <c r="AO16" i="5"/>
  <c r="AO63" i="5"/>
  <c r="G301" i="18" s="1"/>
  <c r="AO55" i="5"/>
  <c r="G293" i="18" s="1"/>
  <c r="AO47" i="5"/>
  <c r="G285" i="18" s="1"/>
  <c r="AO39" i="5"/>
  <c r="G277" i="18" s="1"/>
  <c r="AO31" i="5"/>
  <c r="G269" i="18" s="1"/>
  <c r="AO23" i="5"/>
  <c r="G261" i="18" s="1"/>
  <c r="AO15" i="5"/>
  <c r="G253" i="18" s="1"/>
  <c r="AO61" i="5"/>
  <c r="AO53" i="5"/>
  <c r="G291" i="18" s="1"/>
  <c r="AO45" i="5"/>
  <c r="G283" i="18" s="1"/>
  <c r="AO37" i="5"/>
  <c r="G275" i="18" s="1"/>
  <c r="AO29" i="5"/>
  <c r="G267" i="18" s="1"/>
  <c r="AO21" i="5"/>
  <c r="G259" i="18" s="1"/>
  <c r="AO62" i="5"/>
  <c r="G300" i="18" s="1"/>
  <c r="AO54" i="5"/>
  <c r="G292" i="18" s="1"/>
  <c r="AO46" i="5"/>
  <c r="G284" i="18" s="1"/>
  <c r="AO38" i="5"/>
  <c r="G276" i="18" s="1"/>
  <c r="AO30" i="5"/>
  <c r="G268" i="18" s="1"/>
  <c r="AO22" i="5"/>
  <c r="G260" i="18" s="1"/>
  <c r="AO60" i="5"/>
  <c r="G298" i="18" s="1"/>
  <c r="AO52" i="5"/>
  <c r="G290" i="18" s="1"/>
  <c r="AO44" i="5"/>
  <c r="G282" i="18" s="1"/>
  <c r="AO36" i="5"/>
  <c r="G274" i="18" s="1"/>
  <c r="AO28" i="5"/>
  <c r="G266" i="18" s="1"/>
  <c r="AO20" i="5"/>
  <c r="G258" i="18" s="1"/>
  <c r="AO67" i="5"/>
  <c r="G305" i="18" s="1"/>
  <c r="AO59" i="5"/>
  <c r="G297" i="18" s="1"/>
  <c r="AO51" i="5"/>
  <c r="G289" i="18" s="1"/>
  <c r="AO43" i="5"/>
  <c r="G281" i="18" s="1"/>
  <c r="AO35" i="5"/>
  <c r="G273" i="18" s="1"/>
  <c r="AO27" i="5"/>
  <c r="G265" i="18" s="1"/>
  <c r="AO19" i="5"/>
  <c r="G257" i="18" s="1"/>
  <c r="AO64" i="5"/>
  <c r="G304" i="18" s="1"/>
  <c r="AO58" i="5"/>
  <c r="G296" i="18" s="1"/>
  <c r="AO50" i="5"/>
  <c r="G288" i="18" s="1"/>
  <c r="AO42" i="5"/>
  <c r="G280" i="18" s="1"/>
  <c r="AO34" i="5"/>
  <c r="G272" i="18" s="1"/>
  <c r="AO26" i="5"/>
  <c r="G264" i="18" s="1"/>
  <c r="AO18" i="5"/>
  <c r="G256" i="18" s="1"/>
  <c r="AO66" i="5"/>
  <c r="G303" i="18" s="1"/>
  <c r="AO57" i="5"/>
  <c r="G295" i="18" s="1"/>
  <c r="AO49" i="5"/>
  <c r="G287" i="18" s="1"/>
  <c r="AO41" i="5"/>
  <c r="G279" i="18" s="1"/>
  <c r="AO33" i="5"/>
  <c r="G271" i="18" s="1"/>
  <c r="AO25" i="5"/>
  <c r="G263" i="18" s="1"/>
  <c r="AO17" i="5"/>
  <c r="G255" i="18" s="1"/>
  <c r="AJ63" i="5"/>
  <c r="F301" i="18" s="1"/>
  <c r="AJ55" i="5"/>
  <c r="F293" i="18" s="1"/>
  <c r="AJ47" i="5"/>
  <c r="F285" i="18" s="1"/>
  <c r="AJ39" i="5"/>
  <c r="F277" i="18" s="1"/>
  <c r="AJ31" i="5"/>
  <c r="F269" i="18" s="1"/>
  <c r="AJ23" i="5"/>
  <c r="F261" i="18" s="1"/>
  <c r="AJ15" i="5"/>
  <c r="F253" i="18" s="1"/>
  <c r="AJ62" i="5"/>
  <c r="F300" i="18" s="1"/>
  <c r="AJ54" i="5"/>
  <c r="F292" i="18" s="1"/>
  <c r="AJ46" i="5"/>
  <c r="F284" i="18" s="1"/>
  <c r="AJ38" i="5"/>
  <c r="F276" i="18" s="1"/>
  <c r="AJ30" i="5"/>
  <c r="F268" i="18" s="1"/>
  <c r="AJ22" i="5"/>
  <c r="F260" i="18" s="1"/>
  <c r="AJ61" i="5"/>
  <c r="F299" i="18" s="1"/>
  <c r="AJ53" i="5"/>
  <c r="F291" i="18" s="1"/>
  <c r="AJ45" i="5"/>
  <c r="F283" i="18" s="1"/>
  <c r="AJ37" i="5"/>
  <c r="F275" i="18" s="1"/>
  <c r="AJ29" i="5"/>
  <c r="F267" i="18" s="1"/>
  <c r="AJ21" i="5"/>
  <c r="F259" i="18" s="1"/>
  <c r="AJ60" i="5"/>
  <c r="F298" i="18" s="1"/>
  <c r="AJ52" i="5"/>
  <c r="F290" i="18" s="1"/>
  <c r="AJ44" i="5"/>
  <c r="F282" i="18" s="1"/>
  <c r="AJ36" i="5"/>
  <c r="F274" i="18" s="1"/>
  <c r="AJ28" i="5"/>
  <c r="F266" i="18" s="1"/>
  <c r="AJ20" i="5"/>
  <c r="F258" i="18" s="1"/>
  <c r="AJ67" i="5"/>
  <c r="F305" i="18" s="1"/>
  <c r="AJ59" i="5"/>
  <c r="F297" i="18" s="1"/>
  <c r="AJ51" i="5"/>
  <c r="F289" i="18" s="1"/>
  <c r="AJ43" i="5"/>
  <c r="F281" i="18" s="1"/>
  <c r="AJ35" i="5"/>
  <c r="F273" i="18" s="1"/>
  <c r="AJ27" i="5"/>
  <c r="F265" i="18" s="1"/>
  <c r="AJ19" i="5"/>
  <c r="F257" i="18" s="1"/>
  <c r="AJ64" i="5"/>
  <c r="F304" i="18" s="1"/>
  <c r="AJ58" i="5"/>
  <c r="F296" i="18" s="1"/>
  <c r="AJ50" i="5"/>
  <c r="F288" i="18" s="1"/>
  <c r="AJ42" i="5"/>
  <c r="F280" i="18" s="1"/>
  <c r="AJ34" i="5"/>
  <c r="F272" i="18" s="1"/>
  <c r="AJ26" i="5"/>
  <c r="F264" i="18" s="1"/>
  <c r="AJ18" i="5"/>
  <c r="F256" i="18" s="1"/>
  <c r="AJ66" i="5"/>
  <c r="F303" i="18" s="1"/>
  <c r="AJ57" i="5"/>
  <c r="F295" i="18" s="1"/>
  <c r="AJ49" i="5"/>
  <c r="F287" i="18" s="1"/>
  <c r="AJ41" i="5"/>
  <c r="F279" i="18" s="1"/>
  <c r="AJ33" i="5"/>
  <c r="F271" i="18" s="1"/>
  <c r="AJ25" i="5"/>
  <c r="F263" i="18" s="1"/>
  <c r="AJ17" i="5"/>
  <c r="F255" i="18" s="1"/>
  <c r="AE67" i="5"/>
  <c r="E305" i="18" s="1"/>
  <c r="AE59" i="5"/>
  <c r="E297" i="18" s="1"/>
  <c r="AE51" i="5"/>
  <c r="E289" i="18" s="1"/>
  <c r="AE43" i="5"/>
  <c r="E281" i="18" s="1"/>
  <c r="AE35" i="5"/>
  <c r="E273" i="18" s="1"/>
  <c r="AE27" i="5"/>
  <c r="E265" i="18" s="1"/>
  <c r="AE19" i="5"/>
  <c r="E257" i="18" s="1"/>
  <c r="AO14" i="5"/>
  <c r="AJ65" i="5"/>
  <c r="F302" i="18" s="1"/>
  <c r="AJ56" i="5"/>
  <c r="F294" i="18" s="1"/>
  <c r="AJ48" i="5"/>
  <c r="F286" i="18" s="1"/>
  <c r="AJ40" i="5"/>
  <c r="F278" i="18" s="1"/>
  <c r="AJ32" i="5"/>
  <c r="F270" i="18" s="1"/>
  <c r="AJ24" i="5"/>
  <c r="F262" i="18" s="1"/>
  <c r="AJ16" i="5"/>
  <c r="F254" i="18" s="1"/>
  <c r="AJ14" i="5"/>
  <c r="F252" i="18" s="1"/>
  <c r="AE14" i="5"/>
  <c r="Z14" i="5"/>
  <c r="D252" i="18" s="1"/>
  <c r="H179" i="5"/>
  <c r="AE21" i="5"/>
  <c r="E259" i="18" s="1"/>
  <c r="AE29" i="5"/>
  <c r="E267" i="18" s="1"/>
  <c r="AE37" i="5"/>
  <c r="E275" i="18" s="1"/>
  <c r="AE45" i="5"/>
  <c r="E283" i="18" s="1"/>
  <c r="AE53" i="5"/>
  <c r="E291" i="18" s="1"/>
  <c r="AE61" i="5"/>
  <c r="E299" i="18" s="1"/>
  <c r="Q112" i="5"/>
  <c r="N112" i="5"/>
  <c r="K112" i="5"/>
  <c r="K97" i="5"/>
  <c r="J80" i="5"/>
  <c r="M80" i="5" s="1"/>
  <c r="E242" i="13"/>
  <c r="J111" i="5"/>
  <c r="M111" i="5" s="1"/>
  <c r="H103" i="5"/>
  <c r="AT74" i="5"/>
  <c r="R258" i="5"/>
  <c r="F21" i="1"/>
  <c r="P213" i="4"/>
  <c r="N213" i="4"/>
  <c r="M236" i="4"/>
  <c r="N236" i="4" s="1"/>
  <c r="P228" i="4"/>
  <c r="Q228" i="4" s="1"/>
  <c r="H202" i="4"/>
  <c r="H216" i="4"/>
  <c r="P242" i="4"/>
  <c r="M216" i="4"/>
  <c r="P243" i="4"/>
  <c r="K232" i="4"/>
  <c r="M224" i="4"/>
  <c r="N224" i="4" s="1"/>
  <c r="H224" i="4"/>
  <c r="H232" i="4"/>
  <c r="M207" i="4"/>
  <c r="P207" i="4" s="1"/>
  <c r="S207" i="4" s="1"/>
  <c r="J222" i="4"/>
  <c r="J244" i="4"/>
  <c r="H214" i="4"/>
  <c r="H236" i="4"/>
  <c r="F19" i="1"/>
  <c r="G19" i="1" s="1"/>
  <c r="H19" i="1" s="1"/>
  <c r="I19" i="1" s="1"/>
  <c r="E19" i="30" s="1"/>
  <c r="F19" i="30" s="1"/>
  <c r="G19" i="30" s="1"/>
  <c r="H19" i="30" s="1"/>
  <c r="I19" i="30" s="1"/>
  <c r="J19" i="30" s="1"/>
  <c r="P235" i="4"/>
  <c r="Q235" i="4" s="1"/>
  <c r="M251" i="4"/>
  <c r="M214" i="4"/>
  <c r="J229" i="4"/>
  <c r="M221" i="4"/>
  <c r="P221" i="4" s="1"/>
  <c r="V221" i="4" s="1"/>
  <c r="S152" i="4"/>
  <c r="S169" i="4"/>
  <c r="N156" i="4"/>
  <c r="M164" i="4"/>
  <c r="J155" i="4"/>
  <c r="J191" i="4"/>
  <c r="N151" i="4"/>
  <c r="P144" i="4"/>
  <c r="J182" i="4"/>
  <c r="J162" i="4"/>
  <c r="K162" i="4" s="1"/>
  <c r="Q169" i="4"/>
  <c r="H168" i="4"/>
  <c r="J147" i="4"/>
  <c r="F17" i="1"/>
  <c r="G17" i="1" s="1"/>
  <c r="H17" i="1" s="1"/>
  <c r="I17" i="1" s="1"/>
  <c r="E17" i="30" s="1"/>
  <c r="F17" i="30" s="1"/>
  <c r="G17" i="30" s="1"/>
  <c r="H17" i="30" s="1"/>
  <c r="I17" i="30" s="1"/>
  <c r="J17" i="30" s="1"/>
  <c r="K183" i="4"/>
  <c r="M168" i="4"/>
  <c r="I14" i="30"/>
  <c r="F247" i="18"/>
  <c r="E247" i="18"/>
  <c r="C247" i="18"/>
  <c r="M130" i="4"/>
  <c r="N130" i="4" s="1"/>
  <c r="K130" i="4"/>
  <c r="H130" i="4"/>
  <c r="M96" i="4"/>
  <c r="N96" i="4" s="1"/>
  <c r="J88" i="4"/>
  <c r="M88" i="4" s="1"/>
  <c r="N88" i="4" s="1"/>
  <c r="J80" i="4"/>
  <c r="G323" i="13" s="1"/>
  <c r="J105" i="4"/>
  <c r="M105" i="4" s="1"/>
  <c r="I348" i="13" s="1"/>
  <c r="H89" i="4"/>
  <c r="H81" i="4"/>
  <c r="J113" i="4"/>
  <c r="G356" i="13" s="1"/>
  <c r="H104" i="4"/>
  <c r="H96" i="4"/>
  <c r="M65" i="4"/>
  <c r="J42" i="4"/>
  <c r="G164" i="13" s="1"/>
  <c r="H63" i="4"/>
  <c r="J34" i="4"/>
  <c r="H41" i="4"/>
  <c r="J57" i="4"/>
  <c r="K57" i="4" s="1"/>
  <c r="H25" i="4"/>
  <c r="K64" i="4"/>
  <c r="M60" i="4"/>
  <c r="N60" i="4" s="1"/>
  <c r="K41" i="4"/>
  <c r="N67" i="4"/>
  <c r="P67" i="4"/>
  <c r="N59" i="4"/>
  <c r="P59" i="4"/>
  <c r="Q59" i="4" s="1"/>
  <c r="K19" i="4"/>
  <c r="M19" i="4"/>
  <c r="P19" i="4" s="1"/>
  <c r="S19" i="4" s="1"/>
  <c r="H40" i="4"/>
  <c r="K67" i="4"/>
  <c r="J53" i="4"/>
  <c r="K59" i="4"/>
  <c r="J18" i="4"/>
  <c r="R149" i="5"/>
  <c r="H237" i="5"/>
  <c r="K237" i="5"/>
  <c r="H229" i="5"/>
  <c r="D227" i="13"/>
  <c r="F306" i="13"/>
  <c r="R171" i="5"/>
  <c r="G160" i="5"/>
  <c r="J160" i="5" s="1"/>
  <c r="D203" i="13"/>
  <c r="D235" i="13"/>
  <c r="D211" i="13"/>
  <c r="F266" i="13"/>
  <c r="G151" i="5"/>
  <c r="H151" i="5" s="1"/>
  <c r="H227" i="5"/>
  <c r="D219" i="13"/>
  <c r="F274" i="13"/>
  <c r="R73" i="6"/>
  <c r="H180" i="5"/>
  <c r="E209" i="13"/>
  <c r="S68" i="6"/>
  <c r="AJ68" i="6"/>
  <c r="M65" i="13"/>
  <c r="L25" i="13"/>
  <c r="L17" i="13"/>
  <c r="L33" i="13"/>
  <c r="M25" i="13"/>
  <c r="L49" i="13"/>
  <c r="J67" i="13"/>
  <c r="J51" i="13"/>
  <c r="J35" i="13"/>
  <c r="L27" i="13"/>
  <c r="L19" i="13"/>
  <c r="J43" i="13"/>
  <c r="K68" i="6"/>
  <c r="F52" i="13"/>
  <c r="F44" i="13"/>
  <c r="F36" i="13"/>
  <c r="F28" i="13"/>
  <c r="H15" i="13"/>
  <c r="H68" i="6"/>
  <c r="M20" i="13"/>
  <c r="M52" i="13"/>
  <c r="F60" i="13"/>
  <c r="M44" i="13"/>
  <c r="M36" i="13"/>
  <c r="R165" i="5"/>
  <c r="R140" i="5"/>
  <c r="J174" i="5"/>
  <c r="M174" i="5" s="1"/>
  <c r="P174" i="5" s="1"/>
  <c r="R174" i="5"/>
  <c r="R185" i="5"/>
  <c r="F137" i="26"/>
  <c r="G146" i="5"/>
  <c r="H146" i="5" s="1"/>
  <c r="G185" i="5"/>
  <c r="H185" i="5" s="1"/>
  <c r="G163" i="5"/>
  <c r="E234" i="13"/>
  <c r="D18" i="3"/>
  <c r="D35" i="3"/>
  <c r="O31" i="22"/>
  <c r="E31" i="22"/>
  <c r="Q31" i="22"/>
  <c r="Q32" i="22" s="1"/>
  <c r="Y31" i="22"/>
  <c r="Y32" i="22" s="1"/>
  <c r="F31" i="22"/>
  <c r="K31" i="22"/>
  <c r="L31" i="22"/>
  <c r="R187" i="5"/>
  <c r="R162" i="5"/>
  <c r="G187" i="5"/>
  <c r="J187" i="5" s="1"/>
  <c r="J171" i="5"/>
  <c r="H171" i="5"/>
  <c r="G162" i="5"/>
  <c r="H162" i="5" s="1"/>
  <c r="G153" i="5"/>
  <c r="G145" i="5"/>
  <c r="H145" i="5" s="1"/>
  <c r="R184" i="5"/>
  <c r="G173" i="5"/>
  <c r="H173" i="5" s="1"/>
  <c r="R145" i="5"/>
  <c r="R173" i="5"/>
  <c r="R153" i="5"/>
  <c r="E380" i="13"/>
  <c r="U12" i="13"/>
  <c r="H300" i="13"/>
  <c r="E3" i="13"/>
  <c r="Y134" i="13" s="1"/>
  <c r="M73" i="13"/>
  <c r="F271" i="13"/>
  <c r="F308" i="13"/>
  <c r="M11" i="13"/>
  <c r="O196" i="13"/>
  <c r="Q196" i="13"/>
  <c r="U257" i="13"/>
  <c r="F295" i="13"/>
  <c r="I257" i="13"/>
  <c r="M256" i="13"/>
  <c r="E318" i="13"/>
  <c r="D12" i="13"/>
  <c r="I12" i="13"/>
  <c r="I135" i="13"/>
  <c r="E196" i="13"/>
  <c r="S257" i="13"/>
  <c r="U318" i="13"/>
  <c r="W318" i="13"/>
  <c r="G380" i="13"/>
  <c r="G196" i="13"/>
  <c r="E12" i="13"/>
  <c r="O74" i="13"/>
  <c r="H301" i="13"/>
  <c r="H276" i="13"/>
  <c r="K74" i="13"/>
  <c r="Q257" i="13"/>
  <c r="W380" i="13"/>
  <c r="G74" i="13"/>
  <c r="O12" i="13"/>
  <c r="D135" i="13"/>
  <c r="U196" i="13"/>
  <c r="W196" i="13"/>
  <c r="W257" i="13"/>
  <c r="O257" i="13"/>
  <c r="M379" i="13"/>
  <c r="I380" i="13"/>
  <c r="G12" i="13"/>
  <c r="O135" i="13"/>
  <c r="S12" i="13"/>
  <c r="Q74" i="13"/>
  <c r="F260" i="13"/>
  <c r="F261" i="13"/>
  <c r="Y256" i="13"/>
  <c r="S196" i="13"/>
  <c r="U135" i="13"/>
  <c r="M134" i="13"/>
  <c r="D257" i="13"/>
  <c r="E257" i="13"/>
  <c r="G318" i="13"/>
  <c r="Q380" i="13"/>
  <c r="K380" i="13"/>
  <c r="S135" i="13"/>
  <c r="K135" i="13"/>
  <c r="H285" i="13"/>
  <c r="G135" i="13"/>
  <c r="Q12" i="13"/>
  <c r="S318" i="13"/>
  <c r="K12" i="13"/>
  <c r="Y379" i="13"/>
  <c r="K196" i="13"/>
  <c r="Q135" i="13"/>
  <c r="G257" i="13"/>
  <c r="D318" i="13"/>
  <c r="O380" i="13"/>
  <c r="S380" i="13"/>
  <c r="U74" i="13"/>
  <c r="S74" i="13"/>
  <c r="I74" i="13"/>
  <c r="F292" i="13"/>
  <c r="H268" i="13"/>
  <c r="E135" i="13"/>
  <c r="D196" i="13"/>
  <c r="I196" i="13"/>
  <c r="I318" i="13"/>
  <c r="K318" i="13"/>
  <c r="D380" i="13"/>
  <c r="W74" i="13"/>
  <c r="D74" i="13"/>
  <c r="H269" i="13"/>
  <c r="W135" i="13"/>
  <c r="M195" i="13"/>
  <c r="K257" i="13"/>
  <c r="O318" i="13"/>
  <c r="M317" i="13"/>
  <c r="U380" i="13"/>
  <c r="E74" i="13"/>
  <c r="H284" i="13"/>
  <c r="E137" i="26"/>
  <c r="D137" i="26"/>
  <c r="G296" i="26"/>
  <c r="H74" i="26"/>
  <c r="H195" i="26"/>
  <c r="E3" i="6"/>
  <c r="B7" i="6" s="1"/>
  <c r="I74" i="6"/>
  <c r="X135" i="6"/>
  <c r="F135" i="6"/>
  <c r="U196" i="6"/>
  <c r="U257" i="6"/>
  <c r="F257" i="6"/>
  <c r="D326" i="6"/>
  <c r="AG12" i="6"/>
  <c r="H282" i="26"/>
  <c r="I282" i="26" s="1"/>
  <c r="F287" i="26"/>
  <c r="G195" i="26"/>
  <c r="F132" i="26"/>
  <c r="E132" i="26"/>
  <c r="E273" i="26"/>
  <c r="G70" i="26"/>
  <c r="G137" i="26"/>
  <c r="AA12" i="6"/>
  <c r="O12" i="6"/>
  <c r="I135" i="6"/>
  <c r="F196" i="6"/>
  <c r="AG135" i="6"/>
  <c r="X257" i="6"/>
  <c r="F265" i="6"/>
  <c r="AG257" i="6"/>
  <c r="AD326" i="6"/>
  <c r="F12" i="6"/>
  <c r="AD12" i="6"/>
  <c r="H137" i="26"/>
  <c r="E12" i="26"/>
  <c r="G12" i="26"/>
  <c r="D74" i="26"/>
  <c r="D132" i="26"/>
  <c r="F12" i="26"/>
  <c r="G132" i="26"/>
  <c r="X74" i="6"/>
  <c r="L74" i="6"/>
  <c r="AA135" i="6"/>
  <c r="AA196" i="6"/>
  <c r="I265" i="6"/>
  <c r="O326" i="6"/>
  <c r="X265" i="6"/>
  <c r="F326" i="6"/>
  <c r="D12" i="6"/>
  <c r="E74" i="26"/>
  <c r="E296" i="26"/>
  <c r="D287" i="26"/>
  <c r="I287" i="26" s="1"/>
  <c r="H296" i="26"/>
  <c r="H264" i="26"/>
  <c r="D296" i="26"/>
  <c r="F74" i="26"/>
  <c r="AJ326" i="6"/>
  <c r="F282" i="26"/>
  <c r="E3" i="26"/>
  <c r="E287" i="26"/>
  <c r="H132" i="26"/>
  <c r="H273" i="26"/>
  <c r="I273" i="26" s="1"/>
  <c r="G273" i="26"/>
  <c r="D255" i="26"/>
  <c r="F296" i="26"/>
  <c r="G282" i="26"/>
  <c r="D12" i="26"/>
  <c r="AD74" i="6"/>
  <c r="U74" i="6"/>
  <c r="AD135" i="6"/>
  <c r="AG196" i="6"/>
  <c r="AG265" i="6"/>
  <c r="AJ265" i="6" s="1"/>
  <c r="D257" i="6"/>
  <c r="X326" i="6"/>
  <c r="L326" i="6"/>
  <c r="F70" i="26"/>
  <c r="F264" i="26"/>
  <c r="F255" i="26"/>
  <c r="E255" i="26"/>
  <c r="D195" i="26"/>
  <c r="D273" i="26"/>
  <c r="E264" i="26"/>
  <c r="U12" i="6"/>
  <c r="F74" i="6"/>
  <c r="U135" i="6"/>
  <c r="L196" i="6"/>
  <c r="O196" i="6"/>
  <c r="O257" i="6"/>
  <c r="AD257" i="6"/>
  <c r="AA265" i="6"/>
  <c r="G255" i="26"/>
  <c r="D264" i="26"/>
  <c r="F195" i="26"/>
  <c r="E195" i="26"/>
  <c r="H12" i="26"/>
  <c r="G264" i="26"/>
  <c r="H255" i="26"/>
  <c r="AG74" i="6"/>
  <c r="D196" i="6"/>
  <c r="I257" i="6"/>
  <c r="L257" i="6"/>
  <c r="D265" i="6"/>
  <c r="O265" i="6"/>
  <c r="AA326" i="6"/>
  <c r="I12" i="6"/>
  <c r="G74" i="26"/>
  <c r="D70" i="26"/>
  <c r="Q164" i="5"/>
  <c r="N164" i="5"/>
  <c r="G175" i="5"/>
  <c r="H175" i="5" s="1"/>
  <c r="R164" i="5"/>
  <c r="K164" i="5"/>
  <c r="H164" i="5"/>
  <c r="H156" i="5"/>
  <c r="I87" i="1"/>
  <c r="H87" i="1"/>
  <c r="G192" i="18"/>
  <c r="H192" i="18" s="1"/>
  <c r="H133" i="27"/>
  <c r="H12" i="27" s="1"/>
  <c r="G235" i="18"/>
  <c r="H235" i="18" s="1"/>
  <c r="H176" i="27"/>
  <c r="H55" i="27" s="1"/>
  <c r="G115" i="18" s="1"/>
  <c r="G220" i="18"/>
  <c r="H220" i="18" s="1"/>
  <c r="H161" i="27"/>
  <c r="I161" i="27" s="1"/>
  <c r="G211" i="18"/>
  <c r="H211" i="18" s="1"/>
  <c r="H152" i="27"/>
  <c r="I152" i="27" s="1"/>
  <c r="G203" i="18"/>
  <c r="H203" i="18" s="1"/>
  <c r="H144" i="27"/>
  <c r="G254" i="18"/>
  <c r="G194" i="18"/>
  <c r="H194" i="18" s="1"/>
  <c r="H135" i="27"/>
  <c r="I135" i="27" s="1"/>
  <c r="G233" i="18"/>
  <c r="H233" i="18" s="1"/>
  <c r="H174" i="27"/>
  <c r="I174" i="27" s="1"/>
  <c r="G218" i="18"/>
  <c r="H218" i="18" s="1"/>
  <c r="H159" i="27"/>
  <c r="I159" i="27" s="1"/>
  <c r="G210" i="18"/>
  <c r="H210" i="18" s="1"/>
  <c r="H151" i="27"/>
  <c r="H30" i="27" s="1"/>
  <c r="G90" i="18" s="1"/>
  <c r="G202" i="18"/>
  <c r="H202" i="18" s="1"/>
  <c r="H143" i="27"/>
  <c r="H22" i="27" s="1"/>
  <c r="G82" i="18" s="1"/>
  <c r="G193" i="18"/>
  <c r="H193" i="18" s="1"/>
  <c r="H134" i="27"/>
  <c r="H13" i="27" s="1"/>
  <c r="G73" i="18" s="1"/>
  <c r="G244" i="18"/>
  <c r="H244" i="18" s="1"/>
  <c r="H364" i="18"/>
  <c r="G232" i="18"/>
  <c r="H232" i="18" s="1"/>
  <c r="H173" i="27"/>
  <c r="H52" i="27" s="1"/>
  <c r="G112" i="18" s="1"/>
  <c r="G217" i="18"/>
  <c r="H217" i="18" s="1"/>
  <c r="H158" i="27"/>
  <c r="I158" i="27" s="1"/>
  <c r="G209" i="18"/>
  <c r="H209" i="18" s="1"/>
  <c r="H150" i="27"/>
  <c r="I150" i="27" s="1"/>
  <c r="G201" i="18"/>
  <c r="H201" i="18" s="1"/>
  <c r="H142" i="27"/>
  <c r="H21" i="27" s="1"/>
  <c r="G81" i="18" s="1"/>
  <c r="G243" i="18"/>
  <c r="H243" i="18" s="1"/>
  <c r="G230" i="18"/>
  <c r="H230" i="18" s="1"/>
  <c r="H171" i="27"/>
  <c r="I171" i="27" s="1"/>
  <c r="G216" i="18"/>
  <c r="H216" i="18" s="1"/>
  <c r="H157" i="27"/>
  <c r="H36" i="27" s="1"/>
  <c r="G96" i="18" s="1"/>
  <c r="G208" i="18"/>
  <c r="H208" i="18" s="1"/>
  <c r="H149" i="27"/>
  <c r="H28" i="27" s="1"/>
  <c r="G88" i="18" s="1"/>
  <c r="G199" i="18"/>
  <c r="H199" i="18" s="1"/>
  <c r="H140" i="27"/>
  <c r="H19" i="27" s="1"/>
  <c r="G79" i="18" s="1"/>
  <c r="G242" i="18"/>
  <c r="H242" i="18" s="1"/>
  <c r="G229" i="18"/>
  <c r="H229" i="18" s="1"/>
  <c r="H170" i="27"/>
  <c r="I170" i="27" s="1"/>
  <c r="G215" i="18"/>
  <c r="H215" i="18" s="1"/>
  <c r="H156" i="27"/>
  <c r="G207" i="18"/>
  <c r="H207" i="18" s="1"/>
  <c r="H148" i="27"/>
  <c r="H27" i="27" s="1"/>
  <c r="G87" i="18" s="1"/>
  <c r="G198" i="18"/>
  <c r="H198" i="18" s="1"/>
  <c r="H139" i="27"/>
  <c r="H18" i="27" s="1"/>
  <c r="G78" i="18" s="1"/>
  <c r="G299" i="18"/>
  <c r="G239" i="18"/>
  <c r="H239" i="18" s="1"/>
  <c r="H180" i="27"/>
  <c r="G227" i="18"/>
  <c r="H227" i="18" s="1"/>
  <c r="H168" i="27"/>
  <c r="G214" i="18"/>
  <c r="H214" i="18" s="1"/>
  <c r="H155" i="27"/>
  <c r="H34" i="27" s="1"/>
  <c r="G94" i="18" s="1"/>
  <c r="G206" i="18"/>
  <c r="H206" i="18" s="1"/>
  <c r="H147" i="27"/>
  <c r="I147" i="27" s="1"/>
  <c r="G197" i="18"/>
  <c r="H197" i="18" s="1"/>
  <c r="H138" i="27"/>
  <c r="I138" i="27" s="1"/>
  <c r="G238" i="18"/>
  <c r="H238" i="18" s="1"/>
  <c r="H358" i="18"/>
  <c r="H179" i="27"/>
  <c r="I179" i="27" s="1"/>
  <c r="G226" i="18"/>
  <c r="H226" i="18" s="1"/>
  <c r="H167" i="27"/>
  <c r="H46" i="27" s="1"/>
  <c r="G106" i="18" s="1"/>
  <c r="G213" i="18"/>
  <c r="H213" i="18" s="1"/>
  <c r="H154" i="27"/>
  <c r="I154" i="27" s="1"/>
  <c r="G205" i="18"/>
  <c r="H205" i="18" s="1"/>
  <c r="H146" i="27"/>
  <c r="I146" i="27" s="1"/>
  <c r="G196" i="18"/>
  <c r="H196" i="18" s="1"/>
  <c r="H137" i="27"/>
  <c r="I137" i="27" s="1"/>
  <c r="G236" i="18"/>
  <c r="H236" i="18" s="1"/>
  <c r="H177" i="27"/>
  <c r="I177" i="27" s="1"/>
  <c r="G224" i="18"/>
  <c r="H224" i="18" s="1"/>
  <c r="H165" i="27"/>
  <c r="H44" i="27" s="1"/>
  <c r="G104" i="18" s="1"/>
  <c r="G212" i="18"/>
  <c r="H212" i="18" s="1"/>
  <c r="H153" i="27"/>
  <c r="H32" i="27" s="1"/>
  <c r="G92" i="18" s="1"/>
  <c r="G204" i="18"/>
  <c r="H204" i="18" s="1"/>
  <c r="H145" i="27"/>
  <c r="H24" i="27" s="1"/>
  <c r="G84" i="18" s="1"/>
  <c r="G195" i="18"/>
  <c r="H195" i="18" s="1"/>
  <c r="H136" i="27"/>
  <c r="H15" i="27" s="1"/>
  <c r="G75" i="18" s="1"/>
  <c r="D251" i="18"/>
  <c r="C11" i="18"/>
  <c r="E11" i="18"/>
  <c r="G11" i="18"/>
  <c r="D131" i="18"/>
  <c r="F131" i="18"/>
  <c r="C71" i="18"/>
  <c r="G191" i="18"/>
  <c r="F251" i="18"/>
  <c r="C191" i="18"/>
  <c r="E191" i="18"/>
  <c r="E71" i="18"/>
  <c r="C311" i="18"/>
  <c r="E311" i="18"/>
  <c r="G311" i="18"/>
  <c r="F71" i="18"/>
  <c r="E131" i="18"/>
  <c r="G131" i="18"/>
  <c r="D71" i="18"/>
  <c r="C131" i="18"/>
  <c r="G251" i="18"/>
  <c r="D191" i="18"/>
  <c r="F191" i="18"/>
  <c r="E251" i="18"/>
  <c r="D311" i="18"/>
  <c r="F311" i="18"/>
  <c r="C251" i="18"/>
  <c r="G71" i="18"/>
  <c r="D11" i="18"/>
  <c r="D3" i="18"/>
  <c r="H311" i="18" s="1"/>
  <c r="G64" i="27"/>
  <c r="F124" i="18" s="1"/>
  <c r="D63" i="27"/>
  <c r="C123" i="18" s="1"/>
  <c r="F61" i="27"/>
  <c r="E121" i="18" s="1"/>
  <c r="E57" i="27"/>
  <c r="D117" i="18" s="1"/>
  <c r="G55" i="27"/>
  <c r="F115" i="18" s="1"/>
  <c r="D54" i="27"/>
  <c r="F52" i="27"/>
  <c r="E112" i="18" s="1"/>
  <c r="E49" i="27"/>
  <c r="F43" i="27"/>
  <c r="E103" i="18" s="1"/>
  <c r="H41" i="27"/>
  <c r="G101" i="18" s="1"/>
  <c r="E40" i="27"/>
  <c r="D100" i="18" s="1"/>
  <c r="G38" i="27"/>
  <c r="F98" i="18" s="1"/>
  <c r="D37" i="27"/>
  <c r="C97" i="18" s="1"/>
  <c r="F34" i="27"/>
  <c r="E94" i="18" s="1"/>
  <c r="E31" i="27"/>
  <c r="G29" i="27"/>
  <c r="F89" i="18" s="1"/>
  <c r="D28" i="27"/>
  <c r="C88" i="18" s="1"/>
  <c r="F26" i="27"/>
  <c r="E86" i="18" s="1"/>
  <c r="E65" i="27"/>
  <c r="D125" i="18" s="1"/>
  <c r="G63" i="27"/>
  <c r="F123" i="18" s="1"/>
  <c r="D62" i="27"/>
  <c r="C122" i="18" s="1"/>
  <c r="F60" i="27"/>
  <c r="E120" i="18" s="1"/>
  <c r="G19" i="27"/>
  <c r="F79" i="18" s="1"/>
  <c r="D18" i="27"/>
  <c r="C78" i="18" s="1"/>
  <c r="F16" i="27"/>
  <c r="E76" i="18" s="1"/>
  <c r="G57" i="27"/>
  <c r="F117" i="18" s="1"/>
  <c r="D56" i="27"/>
  <c r="E51" i="27"/>
  <c r="D111" i="18" s="1"/>
  <c r="G49" i="27"/>
  <c r="F109" i="18" s="1"/>
  <c r="D48" i="27"/>
  <c r="F45" i="27"/>
  <c r="E105" i="18" s="1"/>
  <c r="H43" i="27"/>
  <c r="G103" i="18" s="1"/>
  <c r="E42" i="27"/>
  <c r="D102" i="18" s="1"/>
  <c r="G40" i="27"/>
  <c r="F100" i="18" s="1"/>
  <c r="D39" i="27"/>
  <c r="F37" i="27"/>
  <c r="E97" i="18" s="1"/>
  <c r="E33" i="27"/>
  <c r="G31" i="27"/>
  <c r="F91" i="18" s="1"/>
  <c r="D30" i="27"/>
  <c r="C90" i="18" s="1"/>
  <c r="F28" i="27"/>
  <c r="E88" i="18" s="1"/>
  <c r="E25" i="27"/>
  <c r="G22" i="27"/>
  <c r="F82" i="18" s="1"/>
  <c r="D21" i="27"/>
  <c r="C81" i="18" s="1"/>
  <c r="F19" i="27"/>
  <c r="E79" i="18" s="1"/>
  <c r="E16" i="27"/>
  <c r="G14" i="27"/>
  <c r="F74" i="18" s="1"/>
  <c r="D13" i="27"/>
  <c r="C73" i="18" s="1"/>
  <c r="G11" i="19"/>
  <c r="H34" i="19"/>
  <c r="F34" i="19"/>
  <c r="G16" i="19"/>
  <c r="E63" i="27"/>
  <c r="G61" i="27"/>
  <c r="F121" i="18" s="1"/>
  <c r="D60" i="27"/>
  <c r="F57" i="27"/>
  <c r="E117" i="18" s="1"/>
  <c r="E54" i="27"/>
  <c r="D114" i="18" s="1"/>
  <c r="G52" i="27"/>
  <c r="F112" i="18" s="1"/>
  <c r="F49" i="27"/>
  <c r="E109" i="18" s="1"/>
  <c r="E45" i="27"/>
  <c r="G43" i="27"/>
  <c r="F103" i="18" s="1"/>
  <c r="D42" i="27"/>
  <c r="F40" i="27"/>
  <c r="E100" i="18" s="1"/>
  <c r="E37" i="27"/>
  <c r="G34" i="27"/>
  <c r="F94" i="18" s="1"/>
  <c r="D33" i="27"/>
  <c r="C93" i="18" s="1"/>
  <c r="F31" i="27"/>
  <c r="E91" i="18" s="1"/>
  <c r="E28" i="27"/>
  <c r="G26" i="27"/>
  <c r="F86" i="18" s="1"/>
  <c r="D25" i="27"/>
  <c r="C85" i="18" s="1"/>
  <c r="G17" i="27"/>
  <c r="F77" i="18" s="1"/>
  <c r="D16" i="27"/>
  <c r="E34" i="19"/>
  <c r="F64" i="27"/>
  <c r="E124" i="18" s="1"/>
  <c r="E61" i="27"/>
  <c r="G58" i="27"/>
  <c r="F118" i="18" s="1"/>
  <c r="D57" i="27"/>
  <c r="F55" i="27"/>
  <c r="E115" i="18" s="1"/>
  <c r="D49" i="27"/>
  <c r="C109" i="18" s="1"/>
  <c r="G41" i="27"/>
  <c r="F101" i="18" s="1"/>
  <c r="D40" i="27"/>
  <c r="D34" i="27"/>
  <c r="C94" i="18" s="1"/>
  <c r="F32" i="27"/>
  <c r="E92" i="18" s="1"/>
  <c r="E29" i="27"/>
  <c r="G27" i="27"/>
  <c r="F87" i="18" s="1"/>
  <c r="D26" i="27"/>
  <c r="C86" i="18" s="1"/>
  <c r="F24" i="27"/>
  <c r="E84" i="18" s="1"/>
  <c r="E20" i="27"/>
  <c r="D80" i="18" s="1"/>
  <c r="G18" i="27"/>
  <c r="F78" i="18" s="1"/>
  <c r="D17" i="27"/>
  <c r="F15" i="27"/>
  <c r="E75" i="18" s="1"/>
  <c r="G65" i="27"/>
  <c r="D64" i="27"/>
  <c r="C124" i="18" s="1"/>
  <c r="G51" i="27"/>
  <c r="F111" i="18" s="1"/>
  <c r="F48" i="27"/>
  <c r="E108" i="18" s="1"/>
  <c r="G33" i="27"/>
  <c r="F93" i="18" s="1"/>
  <c r="D32" i="27"/>
  <c r="C92" i="18" s="1"/>
  <c r="G25" i="27"/>
  <c r="F85" i="18" s="1"/>
  <c r="D24" i="27"/>
  <c r="C84" i="18" s="1"/>
  <c r="F21" i="27"/>
  <c r="E81" i="18" s="1"/>
  <c r="E18" i="27"/>
  <c r="G16" i="27"/>
  <c r="F76" i="18" s="1"/>
  <c r="E22" i="27"/>
  <c r="G20" i="27"/>
  <c r="F80" i="18" s="1"/>
  <c r="F17" i="27"/>
  <c r="E77" i="18" s="1"/>
  <c r="E14" i="27"/>
  <c r="E28" i="19"/>
  <c r="F16" i="19"/>
  <c r="F12" i="27"/>
  <c r="G12" i="27"/>
  <c r="D15" i="27"/>
  <c r="F13" i="27"/>
  <c r="E73" i="18" s="1"/>
  <c r="H11" i="19"/>
  <c r="G28" i="19"/>
  <c r="I34" i="19"/>
  <c r="F113" i="30"/>
  <c r="F117" i="30" s="1"/>
  <c r="F99" i="30"/>
  <c r="J128" i="30"/>
  <c r="J132" i="30" s="1"/>
  <c r="J99" i="30"/>
  <c r="D363" i="18"/>
  <c r="C345" i="18"/>
  <c r="F361" i="18"/>
  <c r="F87" i="1"/>
  <c r="J100" i="30"/>
  <c r="D340" i="18"/>
  <c r="D364" i="18"/>
  <c r="E87" i="1"/>
  <c r="D15" i="2" s="1"/>
  <c r="E313" i="18"/>
  <c r="C340" i="18"/>
  <c r="C339" i="18"/>
  <c r="E355" i="18"/>
  <c r="F326" i="18"/>
  <c r="F333" i="18"/>
  <c r="D339" i="18"/>
  <c r="G101" i="30"/>
  <c r="E20" i="3" s="1"/>
  <c r="E341" i="18"/>
  <c r="F316" i="18"/>
  <c r="D319" i="18"/>
  <c r="D355" i="18"/>
  <c r="I100" i="30"/>
  <c r="H100" i="30"/>
  <c r="H132" i="30"/>
  <c r="D325" i="18"/>
  <c r="H356" i="18"/>
  <c r="C360" i="18"/>
  <c r="H122" i="30"/>
  <c r="H91" i="30" s="1"/>
  <c r="C317" i="18"/>
  <c r="D316" i="18"/>
  <c r="E363" i="18"/>
  <c r="E346" i="18"/>
  <c r="F112" i="30"/>
  <c r="F320" i="18"/>
  <c r="F331" i="18"/>
  <c r="C332" i="18"/>
  <c r="G122" i="30"/>
  <c r="H99" i="30"/>
  <c r="H341" i="18"/>
  <c r="D354" i="13"/>
  <c r="I99" i="30"/>
  <c r="I112" i="30"/>
  <c r="I113" i="30"/>
  <c r="I117" i="30" s="1"/>
  <c r="H361" i="18"/>
  <c r="F346" i="18"/>
  <c r="G99" i="30"/>
  <c r="J108" i="30"/>
  <c r="F330" i="18"/>
  <c r="H123" i="30"/>
  <c r="H127" i="30" s="1"/>
  <c r="Q350" i="13"/>
  <c r="D334" i="13"/>
  <c r="E316" i="18"/>
  <c r="I107" i="30"/>
  <c r="C313" i="18"/>
  <c r="C319" i="18"/>
  <c r="D329" i="18"/>
  <c r="D359" i="13"/>
  <c r="D320" i="13"/>
  <c r="D337" i="18"/>
  <c r="E321" i="18"/>
  <c r="F359" i="18"/>
  <c r="C316" i="18"/>
  <c r="F322" i="18"/>
  <c r="E315" i="18"/>
  <c r="E343" i="18"/>
  <c r="H335" i="18"/>
  <c r="D343" i="18"/>
  <c r="F349" i="18"/>
  <c r="F337" i="18"/>
  <c r="E338" i="18"/>
  <c r="E324" i="18"/>
  <c r="C333" i="18"/>
  <c r="F352" i="18"/>
  <c r="D356" i="18"/>
  <c r="E322" i="18"/>
  <c r="E330" i="18"/>
  <c r="E326" i="18"/>
  <c r="F329" i="18"/>
  <c r="F348" i="18"/>
  <c r="D353" i="18"/>
  <c r="D344" i="18"/>
  <c r="E327" i="18"/>
  <c r="F314" i="18"/>
  <c r="E333" i="18"/>
  <c r="C320" i="18"/>
  <c r="F323" i="18"/>
  <c r="E347" i="18"/>
  <c r="H325" i="18"/>
  <c r="D335" i="18"/>
  <c r="E342" i="18"/>
  <c r="C357" i="18"/>
  <c r="D327" i="18"/>
  <c r="H336" i="18"/>
  <c r="D326" i="18"/>
  <c r="D346" i="18"/>
  <c r="E337" i="18"/>
  <c r="E361" i="18"/>
  <c r="C365" i="18"/>
  <c r="H365" i="18" s="1"/>
  <c r="E317" i="18"/>
  <c r="F338" i="18"/>
  <c r="E323" i="18"/>
  <c r="F350" i="13"/>
  <c r="D347" i="18"/>
  <c r="D351" i="18"/>
  <c r="E331" i="18"/>
  <c r="L350" i="13"/>
  <c r="E52" i="27"/>
  <c r="D112" i="18" s="1"/>
  <c r="G50" i="27"/>
  <c r="F110" i="18" s="1"/>
  <c r="G46" i="27"/>
  <c r="F106" i="18" s="1"/>
  <c r="D45" i="27"/>
  <c r="C105" i="18" s="1"/>
  <c r="H65" i="27"/>
  <c r="G125" i="18" s="1"/>
  <c r="E64" i="27"/>
  <c r="G62" i="27"/>
  <c r="F122" i="18" s="1"/>
  <c r="D61" i="27"/>
  <c r="C121" i="18" s="1"/>
  <c r="F58" i="27"/>
  <c r="E118" i="18" s="1"/>
  <c r="E55" i="27"/>
  <c r="G53" i="27"/>
  <c r="F113" i="18" s="1"/>
  <c r="D52" i="27"/>
  <c r="F50" i="27"/>
  <c r="E110" i="18" s="1"/>
  <c r="H48" i="27"/>
  <c r="G108" i="18" s="1"/>
  <c r="E34" i="27"/>
  <c r="G32" i="27"/>
  <c r="F92" i="18" s="1"/>
  <c r="D31" i="27"/>
  <c r="C91" i="18" s="1"/>
  <c r="F29" i="27"/>
  <c r="E89" i="18" s="1"/>
  <c r="E26" i="27"/>
  <c r="G24" i="27"/>
  <c r="F84" i="18" s="1"/>
  <c r="D19" i="27"/>
  <c r="C79" i="18" s="1"/>
  <c r="F62" i="27"/>
  <c r="E122" i="18" s="1"/>
  <c r="H60" i="27"/>
  <c r="G120" i="18" s="1"/>
  <c r="F11" i="19"/>
  <c r="E3" i="19"/>
  <c r="E58" i="27"/>
  <c r="G56" i="27"/>
  <c r="F116" i="18" s="1"/>
  <c r="D55" i="27"/>
  <c r="C115" i="18" s="1"/>
  <c r="F53" i="27"/>
  <c r="E113" i="18" s="1"/>
  <c r="H51" i="27"/>
  <c r="G111" i="18" s="1"/>
  <c r="E50" i="27"/>
  <c r="G48" i="27"/>
  <c r="F108" i="18" s="1"/>
  <c r="E46" i="27"/>
  <c r="D106" i="18" s="1"/>
  <c r="G44" i="27"/>
  <c r="F104" i="18" s="1"/>
  <c r="F41" i="27"/>
  <c r="E101" i="18" s="1"/>
  <c r="H39" i="27"/>
  <c r="G99" i="18" s="1"/>
  <c r="E38" i="27"/>
  <c r="G36" i="27"/>
  <c r="F96" i="18" s="1"/>
  <c r="D22" i="27"/>
  <c r="C82" i="18" s="1"/>
  <c r="F20" i="27"/>
  <c r="E80" i="18" s="1"/>
  <c r="E17" i="27"/>
  <c r="D77" i="18" s="1"/>
  <c r="G15" i="27"/>
  <c r="F75" i="18" s="1"/>
  <c r="D14" i="27"/>
  <c r="C74" i="18" s="1"/>
  <c r="D43" i="27"/>
  <c r="F65" i="27"/>
  <c r="E125" i="18" s="1"/>
  <c r="E62" i="27"/>
  <c r="G60" i="27"/>
  <c r="F120" i="18" s="1"/>
  <c r="D58" i="27"/>
  <c r="C118" i="18" s="1"/>
  <c r="F56" i="27"/>
  <c r="E116" i="18" s="1"/>
  <c r="H54" i="27"/>
  <c r="G114" i="18" s="1"/>
  <c r="E53" i="27"/>
  <c r="D50" i="27"/>
  <c r="C110" i="18" s="1"/>
  <c r="D46" i="27"/>
  <c r="F44" i="27"/>
  <c r="E104" i="18" s="1"/>
  <c r="H42" i="27"/>
  <c r="G102" i="18" s="1"/>
  <c r="E41" i="27"/>
  <c r="D101" i="18" s="1"/>
  <c r="G39" i="27"/>
  <c r="F99" i="18" s="1"/>
  <c r="D38" i="27"/>
  <c r="C98" i="18" s="1"/>
  <c r="F36" i="27"/>
  <c r="E96" i="18" s="1"/>
  <c r="E32" i="27"/>
  <c r="G30" i="27"/>
  <c r="F90" i="18" s="1"/>
  <c r="D29" i="27"/>
  <c r="C89" i="18" s="1"/>
  <c r="F27" i="27"/>
  <c r="E87" i="18" s="1"/>
  <c r="E24" i="27"/>
  <c r="F30" i="27"/>
  <c r="E90" i="18" s="1"/>
  <c r="E27" i="27"/>
  <c r="D12" i="27"/>
  <c r="C72" i="18" s="1"/>
  <c r="H57" i="27"/>
  <c r="G117" i="18" s="1"/>
  <c r="E56" i="27"/>
  <c r="D116" i="18" s="1"/>
  <c r="G54" i="27"/>
  <c r="F114" i="18" s="1"/>
  <c r="D53" i="27"/>
  <c r="C113" i="18" s="1"/>
  <c r="F51" i="27"/>
  <c r="E111" i="18" s="1"/>
  <c r="E48" i="27"/>
  <c r="D108" i="18" s="1"/>
  <c r="H45" i="27"/>
  <c r="G105" i="18" s="1"/>
  <c r="E44" i="27"/>
  <c r="G42" i="27"/>
  <c r="F102" i="18" s="1"/>
  <c r="D41" i="27"/>
  <c r="F39" i="27"/>
  <c r="E99" i="18" s="1"/>
  <c r="E36" i="27"/>
  <c r="G21" i="27"/>
  <c r="F81" i="18" s="1"/>
  <c r="D20" i="27"/>
  <c r="F18" i="27"/>
  <c r="E78" i="18" s="1"/>
  <c r="E15" i="27"/>
  <c r="D75" i="18" s="1"/>
  <c r="G13" i="27"/>
  <c r="F73" i="18" s="1"/>
  <c r="F54" i="27"/>
  <c r="E114" i="18" s="1"/>
  <c r="G34" i="19"/>
  <c r="I11" i="19"/>
  <c r="H16" i="19"/>
  <c r="E16" i="19"/>
  <c r="E12" i="27"/>
  <c r="D65" i="27"/>
  <c r="F63" i="27"/>
  <c r="E123" i="18" s="1"/>
  <c r="H61" i="27"/>
  <c r="G121" i="18" s="1"/>
  <c r="E60" i="27"/>
  <c r="D120" i="18" s="1"/>
  <c r="G45" i="27"/>
  <c r="F105" i="18" s="1"/>
  <c r="D44" i="27"/>
  <c r="C104" i="18" s="1"/>
  <c r="F42" i="27"/>
  <c r="E102" i="18" s="1"/>
  <c r="E39" i="27"/>
  <c r="D99" i="18" s="1"/>
  <c r="G37" i="27"/>
  <c r="F97" i="18" s="1"/>
  <c r="D36" i="27"/>
  <c r="C96" i="18" s="1"/>
  <c r="F33" i="27"/>
  <c r="E93" i="18" s="1"/>
  <c r="E30" i="27"/>
  <c r="G28" i="27"/>
  <c r="F88" i="18" s="1"/>
  <c r="F25" i="27"/>
  <c r="E85" i="18" s="1"/>
  <c r="D27" i="27"/>
  <c r="C87" i="18" s="1"/>
  <c r="E21" i="27"/>
  <c r="E13" i="27"/>
  <c r="D51" i="27"/>
  <c r="F22" i="27"/>
  <c r="E82" i="18" s="1"/>
  <c r="H20" i="27"/>
  <c r="G80" i="18" s="1"/>
  <c r="E19" i="27"/>
  <c r="F14" i="27"/>
  <c r="E74" i="18" s="1"/>
  <c r="H28" i="19"/>
  <c r="F46" i="27"/>
  <c r="E106" i="18" s="1"/>
  <c r="E43" i="27"/>
  <c r="D103" i="18" s="1"/>
  <c r="F38" i="27"/>
  <c r="E98" i="18" s="1"/>
  <c r="D34" i="19"/>
  <c r="D28" i="19"/>
  <c r="I16" i="19"/>
  <c r="E11" i="19"/>
  <c r="D16" i="19"/>
  <c r="I282" i="27"/>
  <c r="I266" i="27"/>
  <c r="I258" i="27"/>
  <c r="D11" i="19"/>
  <c r="F28" i="19"/>
  <c r="I28" i="19"/>
  <c r="I257" i="27"/>
  <c r="I286" i="27"/>
  <c r="I278" i="27"/>
  <c r="I298" i="27"/>
  <c r="I297" i="27"/>
  <c r="I296" i="27"/>
  <c r="I299" i="27"/>
  <c r="I264" i="27"/>
  <c r="I302" i="27"/>
  <c r="I294" i="27"/>
  <c r="I270" i="27"/>
  <c r="I267" i="27"/>
  <c r="I262" i="27"/>
  <c r="I295" i="27"/>
  <c r="I287" i="27"/>
  <c r="I279" i="27"/>
  <c r="I269" i="27"/>
  <c r="I290" i="27"/>
  <c r="I274" i="27"/>
  <c r="I255" i="27"/>
  <c r="I276" i="27"/>
  <c r="I198" i="27"/>
  <c r="I291" i="27"/>
  <c r="I288" i="27"/>
  <c r="I259" i="27"/>
  <c r="I256" i="27"/>
  <c r="I303" i="27"/>
  <c r="I300" i="27"/>
  <c r="I271" i="27"/>
  <c r="I268" i="27"/>
  <c r="I283" i="27"/>
  <c r="I281" i="27"/>
  <c r="I280" i="27"/>
  <c r="I293" i="27"/>
  <c r="I292" i="27"/>
  <c r="I263" i="27"/>
  <c r="I261" i="27"/>
  <c r="I260" i="27"/>
  <c r="I275" i="27"/>
  <c r="I273" i="27"/>
  <c r="I272" i="27"/>
  <c r="I285" i="27"/>
  <c r="I284" i="27"/>
  <c r="I195" i="27"/>
  <c r="I226" i="27"/>
  <c r="I238" i="27"/>
  <c r="I237" i="27"/>
  <c r="I212" i="27"/>
  <c r="I239" i="27"/>
  <c r="I234" i="27"/>
  <c r="I207" i="27"/>
  <c r="I218" i="27"/>
  <c r="I214" i="27"/>
  <c r="I210" i="27"/>
  <c r="I202" i="27"/>
  <c r="I224" i="27"/>
  <c r="I216" i="27"/>
  <c r="I227" i="27"/>
  <c r="I222" i="27"/>
  <c r="I230" i="27"/>
  <c r="I206" i="27"/>
  <c r="I203" i="27"/>
  <c r="I228" i="27"/>
  <c r="I219" i="27"/>
  <c r="I196" i="27"/>
  <c r="I169" i="27"/>
  <c r="I240" i="27"/>
  <c r="I231" i="27"/>
  <c r="I211" i="27"/>
  <c r="I208" i="27"/>
  <c r="I199" i="27"/>
  <c r="I197" i="27"/>
  <c r="I243" i="27"/>
  <c r="I220" i="27"/>
  <c r="I209" i="27"/>
  <c r="I232" i="27"/>
  <c r="I223" i="27"/>
  <c r="I221" i="27"/>
  <c r="I200" i="27"/>
  <c r="I235" i="27"/>
  <c r="I233" i="27"/>
  <c r="I201" i="27"/>
  <c r="I215" i="27"/>
  <c r="I213" i="27"/>
  <c r="I236" i="27"/>
  <c r="I225" i="27"/>
  <c r="I204" i="27"/>
  <c r="I181" i="27"/>
  <c r="I141" i="27"/>
  <c r="I163" i="27"/>
  <c r="I175" i="27"/>
  <c r="I182" i="27"/>
  <c r="I162" i="27"/>
  <c r="I160" i="27"/>
  <c r="I172" i="27"/>
  <c r="I166" i="27"/>
  <c r="I178" i="27"/>
  <c r="I164" i="27"/>
  <c r="G253" i="27"/>
  <c r="G11" i="27"/>
  <c r="D132" i="27"/>
  <c r="H72" i="27"/>
  <c r="E11" i="27"/>
  <c r="F313" i="27"/>
  <c r="H11" i="27"/>
  <c r="G132" i="27"/>
  <c r="G313" i="27"/>
  <c r="G193" i="27"/>
  <c r="E253" i="27"/>
  <c r="H132" i="27"/>
  <c r="F72" i="27"/>
  <c r="F132" i="27"/>
  <c r="D193" i="27"/>
  <c r="G72" i="27"/>
  <c r="D11" i="27"/>
  <c r="E72" i="27"/>
  <c r="F11" i="27"/>
  <c r="D313" i="27"/>
  <c r="F253" i="27"/>
  <c r="H313" i="27"/>
  <c r="E313" i="27"/>
  <c r="E132" i="27"/>
  <c r="D253" i="27"/>
  <c r="H193" i="27"/>
  <c r="H253" i="27"/>
  <c r="E193" i="27"/>
  <c r="F193" i="27"/>
  <c r="D72" i="27"/>
  <c r="P40" i="4"/>
  <c r="V40" i="4" s="1"/>
  <c r="Y40" i="4" s="1"/>
  <c r="N40" i="4"/>
  <c r="K238" i="4"/>
  <c r="M238" i="4"/>
  <c r="K203" i="4"/>
  <c r="M203" i="4"/>
  <c r="K17" i="4"/>
  <c r="M17" i="4"/>
  <c r="K230" i="4"/>
  <c r="M230" i="4"/>
  <c r="K202" i="4"/>
  <c r="M202" i="4"/>
  <c r="K120" i="4"/>
  <c r="M120" i="4"/>
  <c r="N120" i="4" s="1"/>
  <c r="N206" i="4"/>
  <c r="P206" i="4"/>
  <c r="V206" i="4" s="1"/>
  <c r="N211" i="4"/>
  <c r="P211" i="4"/>
  <c r="P187" i="4"/>
  <c r="S187" i="4" s="1"/>
  <c r="N187" i="4"/>
  <c r="K210" i="4"/>
  <c r="M210" i="4"/>
  <c r="K187" i="4"/>
  <c r="J85" i="4"/>
  <c r="G328" i="13" s="1"/>
  <c r="H23" i="4"/>
  <c r="J185" i="4"/>
  <c r="M185" i="4" s="1"/>
  <c r="J154" i="4"/>
  <c r="K12" i="30"/>
  <c r="H106" i="13"/>
  <c r="K211" i="4"/>
  <c r="K206" i="4"/>
  <c r="J178" i="4"/>
  <c r="M178" i="4" s="1"/>
  <c r="J99" i="4"/>
  <c r="G342" i="13" s="1"/>
  <c r="H121" i="4"/>
  <c r="J172" i="4"/>
  <c r="AJ69" i="4"/>
  <c r="P50" i="4"/>
  <c r="V50" i="4" s="1"/>
  <c r="H190" i="4"/>
  <c r="H17" i="4"/>
  <c r="AA199" i="4"/>
  <c r="K50" i="4"/>
  <c r="H128" i="4"/>
  <c r="H254" i="4"/>
  <c r="J140" i="4"/>
  <c r="N19" i="4"/>
  <c r="AA260" i="4"/>
  <c r="J92" i="4"/>
  <c r="M92" i="4" s="1"/>
  <c r="I335" i="13" s="1"/>
  <c r="J146" i="4"/>
  <c r="J250" i="4"/>
  <c r="M250" i="4" s="1"/>
  <c r="N250" i="4" s="1"/>
  <c r="R255" i="4"/>
  <c r="H38" i="4"/>
  <c r="R263" i="4"/>
  <c r="P168" i="4"/>
  <c r="N168" i="4"/>
  <c r="M116" i="4"/>
  <c r="I359" i="13" s="1"/>
  <c r="K116" i="4"/>
  <c r="M51" i="4"/>
  <c r="K51" i="4"/>
  <c r="J26" i="4"/>
  <c r="H26" i="4"/>
  <c r="H150" i="4"/>
  <c r="J150" i="4"/>
  <c r="M193" i="4"/>
  <c r="K193" i="4"/>
  <c r="M160" i="4"/>
  <c r="K160" i="4"/>
  <c r="V19" i="4"/>
  <c r="Q19" i="4"/>
  <c r="M153" i="4"/>
  <c r="N153" i="4" s="1"/>
  <c r="K153" i="4"/>
  <c r="M63" i="4"/>
  <c r="K63" i="4"/>
  <c r="K25" i="4"/>
  <c r="M25" i="4"/>
  <c r="I12" i="1"/>
  <c r="E12" i="30" s="1"/>
  <c r="R69" i="4"/>
  <c r="J188" i="4"/>
  <c r="H188" i="4"/>
  <c r="H161" i="4"/>
  <c r="J161" i="4"/>
  <c r="H212" i="4"/>
  <c r="J212" i="4"/>
  <c r="K128" i="4"/>
  <c r="M128" i="4"/>
  <c r="M180" i="4"/>
  <c r="K180" i="4"/>
  <c r="M217" i="4"/>
  <c r="K217" i="4"/>
  <c r="K254" i="4"/>
  <c r="M254" i="4"/>
  <c r="H247" i="4"/>
  <c r="J247" i="4"/>
  <c r="J239" i="4"/>
  <c r="H239" i="4"/>
  <c r="J233" i="4"/>
  <c r="H233" i="4"/>
  <c r="M226" i="4"/>
  <c r="K226" i="4"/>
  <c r="J219" i="4"/>
  <c r="H219" i="4"/>
  <c r="Y106" i="13"/>
  <c r="X106" i="13"/>
  <c r="H350" i="13"/>
  <c r="J350" i="13"/>
  <c r="K190" i="4"/>
  <c r="M190" i="4"/>
  <c r="U75" i="4"/>
  <c r="L260" i="4"/>
  <c r="AA12" i="4"/>
  <c r="U12" i="4"/>
  <c r="F199" i="4"/>
  <c r="O12" i="4"/>
  <c r="I199" i="4"/>
  <c r="I75" i="4"/>
  <c r="AD75" i="4"/>
  <c r="E3" i="4"/>
  <c r="B7" i="4" s="1"/>
  <c r="X137" i="4"/>
  <c r="F75" i="4"/>
  <c r="AG137" i="4"/>
  <c r="AG199" i="4"/>
  <c r="AD12" i="4"/>
  <c r="D137" i="4"/>
  <c r="R136" i="4" s="1"/>
  <c r="U199" i="4"/>
  <c r="X199" i="4"/>
  <c r="I260" i="4"/>
  <c r="O260" i="4"/>
  <c r="AG75" i="4"/>
  <c r="J126" i="4"/>
  <c r="G186" i="13" s="1"/>
  <c r="H126" i="4"/>
  <c r="J84" i="4"/>
  <c r="G327" i="13" s="1"/>
  <c r="H84" i="4"/>
  <c r="I14" i="1"/>
  <c r="E14" i="30" s="1"/>
  <c r="E177" i="13"/>
  <c r="F177" i="13" s="1"/>
  <c r="H55" i="4"/>
  <c r="J55" i="4"/>
  <c r="M55" i="4" s="1"/>
  <c r="K38" i="4"/>
  <c r="M38" i="4"/>
  <c r="M142" i="4"/>
  <c r="AA137" i="4"/>
  <c r="M22" i="4"/>
  <c r="P22" i="4" s="1"/>
  <c r="K22" i="4"/>
  <c r="H252" i="4"/>
  <c r="J252" i="4"/>
  <c r="L75" i="4"/>
  <c r="M104" i="4"/>
  <c r="I347" i="13" s="1"/>
  <c r="K104" i="4"/>
  <c r="M16" i="4"/>
  <c r="K16" i="4"/>
  <c r="J177" i="4"/>
  <c r="M177" i="4" s="1"/>
  <c r="H177" i="4"/>
  <c r="H171" i="4"/>
  <c r="J171" i="4"/>
  <c r="M171" i="4" s="1"/>
  <c r="G194" i="4"/>
  <c r="H194" i="4" s="1"/>
  <c r="J204" i="4"/>
  <c r="H204" i="4"/>
  <c r="G21" i="1"/>
  <c r="H21" i="1" s="1"/>
  <c r="I21" i="1" s="1"/>
  <c r="E21" i="30" s="1"/>
  <c r="J77" i="4"/>
  <c r="H77" i="4"/>
  <c r="M35" i="4"/>
  <c r="K35" i="4"/>
  <c r="N248" i="4"/>
  <c r="P248" i="4"/>
  <c r="M209" i="4"/>
  <c r="K209" i="4"/>
  <c r="O199" i="4"/>
  <c r="AD137" i="4"/>
  <c r="P183" i="4"/>
  <c r="N183" i="4"/>
  <c r="H47" i="4"/>
  <c r="J47" i="4"/>
  <c r="K47" i="4" s="1"/>
  <c r="K163" i="4"/>
  <c r="M163" i="4"/>
  <c r="P163" i="4" s="1"/>
  <c r="Q163" i="4" s="1"/>
  <c r="M225" i="4"/>
  <c r="K225" i="4"/>
  <c r="H208" i="4"/>
  <c r="J208" i="4"/>
  <c r="G176" i="13"/>
  <c r="G156" i="13"/>
  <c r="E137" i="13"/>
  <c r="F137" i="13" s="1"/>
  <c r="E173" i="13"/>
  <c r="F173" i="13" s="1"/>
  <c r="M179" i="4"/>
  <c r="AJ255" i="4"/>
  <c r="F167" i="13"/>
  <c r="F15" i="1"/>
  <c r="G15" i="1" s="1"/>
  <c r="K54" i="4"/>
  <c r="E154" i="13"/>
  <c r="F154" i="13" s="1"/>
  <c r="J32" i="4"/>
  <c r="H32" i="4"/>
  <c r="P64" i="4"/>
  <c r="N64" i="4"/>
  <c r="M148" i="4"/>
  <c r="K148" i="4"/>
  <c r="K170" i="4"/>
  <c r="M170" i="4"/>
  <c r="E121" i="13"/>
  <c r="F121" i="13" s="1"/>
  <c r="E365" i="13"/>
  <c r="F365" i="13" s="1"/>
  <c r="H122" i="4"/>
  <c r="J122" i="4"/>
  <c r="G182" i="13" s="1"/>
  <c r="G333" i="13"/>
  <c r="G89" i="13"/>
  <c r="K90" i="4"/>
  <c r="M90" i="4"/>
  <c r="V151" i="4"/>
  <c r="S151" i="4"/>
  <c r="I254" i="27"/>
  <c r="M68" i="4"/>
  <c r="P65" i="4"/>
  <c r="N65" i="4"/>
  <c r="V156" i="4"/>
  <c r="W156" i="4" s="1"/>
  <c r="S156" i="4"/>
  <c r="M159" i="4"/>
  <c r="K159" i="4"/>
  <c r="G366" i="13"/>
  <c r="G122" i="13"/>
  <c r="K123" i="4"/>
  <c r="M123" i="4"/>
  <c r="E109" i="13"/>
  <c r="F109" i="13" s="1"/>
  <c r="E353" i="13"/>
  <c r="F353" i="13" s="1"/>
  <c r="H110" i="4"/>
  <c r="J110" i="4"/>
  <c r="G170" i="13" s="1"/>
  <c r="E340" i="13"/>
  <c r="F340" i="13" s="1"/>
  <c r="E96" i="13"/>
  <c r="F96" i="13" s="1"/>
  <c r="H97" i="4"/>
  <c r="J97" i="4"/>
  <c r="G157" i="13" s="1"/>
  <c r="E329" i="13"/>
  <c r="F329" i="13" s="1"/>
  <c r="E85" i="13"/>
  <c r="F85" i="13" s="1"/>
  <c r="J86" i="4"/>
  <c r="I324" i="13"/>
  <c r="I80" i="13"/>
  <c r="N81" i="4"/>
  <c r="P81" i="4"/>
  <c r="K141" i="13" s="1"/>
  <c r="Q109" i="4"/>
  <c r="G322" i="13"/>
  <c r="G78" i="13"/>
  <c r="M79" i="4"/>
  <c r="G364" i="13"/>
  <c r="G120" i="13"/>
  <c r="M121" i="4"/>
  <c r="I181" i="13" s="1"/>
  <c r="K121" i="4"/>
  <c r="G180" i="13"/>
  <c r="M58" i="4"/>
  <c r="K40" i="4"/>
  <c r="V189" i="4"/>
  <c r="W189" i="4" s="1"/>
  <c r="E114" i="13"/>
  <c r="F114" i="13" s="1"/>
  <c r="E358" i="13"/>
  <c r="F358" i="13" s="1"/>
  <c r="H115" i="4"/>
  <c r="J115" i="4"/>
  <c r="E345" i="13"/>
  <c r="F345" i="13" s="1"/>
  <c r="E101" i="13"/>
  <c r="F101" i="13" s="1"/>
  <c r="J102" i="4"/>
  <c r="H102" i="4"/>
  <c r="G338" i="13"/>
  <c r="G94" i="13"/>
  <c r="K95" i="4"/>
  <c r="M95" i="4"/>
  <c r="E77" i="13"/>
  <c r="F77" i="13" s="1"/>
  <c r="E321" i="13"/>
  <c r="F321" i="13" s="1"/>
  <c r="H78" i="4"/>
  <c r="J78" i="4"/>
  <c r="G138" i="13" s="1"/>
  <c r="N246" i="4"/>
  <c r="P246" i="4"/>
  <c r="N232" i="4"/>
  <c r="P232" i="4"/>
  <c r="W169" i="4"/>
  <c r="Y169" i="4"/>
  <c r="Z169" i="4" s="1"/>
  <c r="I332" i="13"/>
  <c r="I88" i="13"/>
  <c r="N89" i="4"/>
  <c r="P89" i="4"/>
  <c r="E113" i="13"/>
  <c r="F113" i="13" s="1"/>
  <c r="E357" i="13"/>
  <c r="F357" i="13" s="1"/>
  <c r="H114" i="4"/>
  <c r="J114" i="4"/>
  <c r="G174" i="13" s="1"/>
  <c r="E344" i="13"/>
  <c r="F344" i="13" s="1"/>
  <c r="E100" i="13"/>
  <c r="F100" i="13" s="1"/>
  <c r="H101" i="4"/>
  <c r="J101" i="4"/>
  <c r="G14" i="30"/>
  <c r="E184" i="13"/>
  <c r="F184" i="13" s="1"/>
  <c r="J62" i="4"/>
  <c r="H62" i="4"/>
  <c r="M48" i="4"/>
  <c r="K48" i="4"/>
  <c r="E165" i="13"/>
  <c r="F165" i="13" s="1"/>
  <c r="J43" i="4"/>
  <c r="H43" i="4"/>
  <c r="H166" i="4"/>
  <c r="J166" i="4"/>
  <c r="H145" i="4"/>
  <c r="J145" i="4"/>
  <c r="Q152" i="4"/>
  <c r="G167" i="13"/>
  <c r="H167" i="13" s="1"/>
  <c r="M45" i="4"/>
  <c r="J263" i="4"/>
  <c r="K263" i="4" s="1"/>
  <c r="M262" i="4"/>
  <c r="K262" i="4"/>
  <c r="M44" i="4"/>
  <c r="K44" i="4"/>
  <c r="K26" i="30"/>
  <c r="M127" i="4"/>
  <c r="K127" i="4"/>
  <c r="E93" i="13"/>
  <c r="F93" i="13" s="1"/>
  <c r="E337" i="13"/>
  <c r="F337" i="13" s="1"/>
  <c r="J94" i="4"/>
  <c r="H94" i="4"/>
  <c r="H14" i="30"/>
  <c r="E183" i="13"/>
  <c r="F183" i="13" s="1"/>
  <c r="J61" i="4"/>
  <c r="W152" i="4"/>
  <c r="Y152" i="4"/>
  <c r="Z152" i="4" s="1"/>
  <c r="M23" i="4"/>
  <c r="N54" i="4"/>
  <c r="K149" i="4"/>
  <c r="K144" i="4"/>
  <c r="K152" i="4"/>
  <c r="J201" i="4"/>
  <c r="G255" i="4"/>
  <c r="H255" i="4" s="1"/>
  <c r="H201" i="4"/>
  <c r="G367" i="13"/>
  <c r="G123" i="13"/>
  <c r="K124" i="4"/>
  <c r="M124" i="4"/>
  <c r="E362" i="13"/>
  <c r="F362" i="13" s="1"/>
  <c r="E118" i="13"/>
  <c r="F118" i="13" s="1"/>
  <c r="H119" i="4"/>
  <c r="J119" i="4"/>
  <c r="G355" i="13"/>
  <c r="G111" i="13"/>
  <c r="K112" i="4"/>
  <c r="M112" i="4"/>
  <c r="I172" i="13" s="1"/>
  <c r="E81" i="13"/>
  <c r="F81" i="13" s="1"/>
  <c r="E325" i="13"/>
  <c r="F325" i="13" s="1"/>
  <c r="H82" i="4"/>
  <c r="J82" i="4"/>
  <c r="G142" i="13" s="1"/>
  <c r="M66" i="4"/>
  <c r="K66" i="4"/>
  <c r="G79" i="13"/>
  <c r="M184" i="4"/>
  <c r="K184" i="4"/>
  <c r="J129" i="4"/>
  <c r="H129" i="4"/>
  <c r="E117" i="13"/>
  <c r="F117" i="13" s="1"/>
  <c r="E361" i="13"/>
  <c r="F361" i="13" s="1"/>
  <c r="J118" i="4"/>
  <c r="H118" i="4"/>
  <c r="E354" i="13"/>
  <c r="E110" i="13"/>
  <c r="F110" i="13" s="1"/>
  <c r="H111" i="4"/>
  <c r="J111" i="4"/>
  <c r="E97" i="13"/>
  <c r="F97" i="13" s="1"/>
  <c r="E341" i="13"/>
  <c r="F341" i="13" s="1"/>
  <c r="H98" i="4"/>
  <c r="J98" i="4"/>
  <c r="E330" i="13"/>
  <c r="F330" i="13" s="1"/>
  <c r="E86" i="13"/>
  <c r="F86" i="13" s="1"/>
  <c r="H87" i="4"/>
  <c r="J87" i="4"/>
  <c r="G147" i="13" s="1"/>
  <c r="G324" i="13"/>
  <c r="G80" i="13"/>
  <c r="K81" i="4"/>
  <c r="G69" i="4"/>
  <c r="U260" i="4"/>
  <c r="L199" i="4"/>
  <c r="X75" i="4"/>
  <c r="E369" i="13"/>
  <c r="F369" i="13" s="1"/>
  <c r="E125" i="13"/>
  <c r="F125" i="13" s="1"/>
  <c r="E351" i="13"/>
  <c r="F351" i="13" s="1"/>
  <c r="E107" i="13"/>
  <c r="F107" i="13" s="1"/>
  <c r="E346" i="13"/>
  <c r="F346" i="13" s="1"/>
  <c r="E102" i="13"/>
  <c r="F102" i="13" s="1"/>
  <c r="E90" i="13"/>
  <c r="F90" i="13" s="1"/>
  <c r="E334" i="13"/>
  <c r="E82" i="13"/>
  <c r="F82" i="13" s="1"/>
  <c r="E326" i="13"/>
  <c r="F326" i="13" s="1"/>
  <c r="E322" i="13"/>
  <c r="F322" i="13" s="1"/>
  <c r="E78" i="13"/>
  <c r="F78" i="13" s="1"/>
  <c r="E178" i="13"/>
  <c r="F178" i="13" s="1"/>
  <c r="E174" i="13"/>
  <c r="F174" i="13" s="1"/>
  <c r="E171" i="13"/>
  <c r="F171" i="13" s="1"/>
  <c r="E166" i="13"/>
  <c r="F166" i="13" s="1"/>
  <c r="E159" i="13"/>
  <c r="F159" i="13" s="1"/>
  <c r="M29" i="4"/>
  <c r="G332" i="13"/>
  <c r="G88" i="13"/>
  <c r="E368" i="13"/>
  <c r="F368" i="13" s="1"/>
  <c r="E124" i="13"/>
  <c r="F124" i="13" s="1"/>
  <c r="E105" i="13"/>
  <c r="F105" i="13" s="1"/>
  <c r="E349" i="13"/>
  <c r="F349" i="13" s="1"/>
  <c r="E338" i="13"/>
  <c r="F338" i="13" s="1"/>
  <c r="E94" i="13"/>
  <c r="F94" i="13" s="1"/>
  <c r="E89" i="13"/>
  <c r="F89" i="13" s="1"/>
  <c r="E333" i="13"/>
  <c r="F333" i="13" s="1"/>
  <c r="E170" i="13"/>
  <c r="F170" i="13" s="1"/>
  <c r="E158" i="13"/>
  <c r="F158" i="13" s="1"/>
  <c r="J36" i="4"/>
  <c r="W220" i="4"/>
  <c r="Y220" i="4"/>
  <c r="X260" i="4"/>
  <c r="L137" i="4"/>
  <c r="F12" i="4"/>
  <c r="O75" i="4"/>
  <c r="K89" i="4"/>
  <c r="L12" i="4"/>
  <c r="J15" i="4"/>
  <c r="H127" i="4"/>
  <c r="G181" i="13"/>
  <c r="E367" i="13"/>
  <c r="F367" i="13" s="1"/>
  <c r="E123" i="13"/>
  <c r="F123" i="13" s="1"/>
  <c r="E364" i="13"/>
  <c r="F364" i="13" s="1"/>
  <c r="E120" i="13"/>
  <c r="F120" i="13" s="1"/>
  <c r="E116" i="13"/>
  <c r="F116" i="13" s="1"/>
  <c r="E360" i="13"/>
  <c r="F360" i="13" s="1"/>
  <c r="E348" i="13"/>
  <c r="F348" i="13" s="1"/>
  <c r="E104" i="13"/>
  <c r="F104" i="13" s="1"/>
  <c r="E332" i="13"/>
  <c r="F332" i="13" s="1"/>
  <c r="E88" i="13"/>
  <c r="F88" i="13" s="1"/>
  <c r="E328" i="13"/>
  <c r="F328" i="13" s="1"/>
  <c r="E84" i="13"/>
  <c r="F84" i="13" s="1"/>
  <c r="E180" i="13"/>
  <c r="F180" i="13" s="1"/>
  <c r="E176" i="13"/>
  <c r="F176" i="13" s="1"/>
  <c r="E169" i="13"/>
  <c r="F169" i="13" s="1"/>
  <c r="E161" i="13"/>
  <c r="F161" i="13" s="1"/>
  <c r="J39" i="4"/>
  <c r="E153" i="13"/>
  <c r="F153" i="13" s="1"/>
  <c r="J31" i="4"/>
  <c r="E149" i="13"/>
  <c r="F149" i="13" s="1"/>
  <c r="J27" i="4"/>
  <c r="E143" i="13"/>
  <c r="F143" i="13" s="1"/>
  <c r="J21" i="4"/>
  <c r="S220" i="4"/>
  <c r="Q220" i="4"/>
  <c r="I137" i="4"/>
  <c r="AD260" i="4"/>
  <c r="AA75" i="4"/>
  <c r="G105" i="13"/>
  <c r="X12" i="4"/>
  <c r="I12" i="4"/>
  <c r="G363" i="13"/>
  <c r="G119" i="13"/>
  <c r="G359" i="13"/>
  <c r="G115" i="13"/>
  <c r="E356" i="13"/>
  <c r="F356" i="13" s="1"/>
  <c r="E112" i="13"/>
  <c r="F112" i="13" s="1"/>
  <c r="G352" i="13"/>
  <c r="G108" i="13"/>
  <c r="G347" i="13"/>
  <c r="G103" i="13"/>
  <c r="E99" i="13"/>
  <c r="F99" i="13" s="1"/>
  <c r="E343" i="13"/>
  <c r="F343" i="13" s="1"/>
  <c r="G339" i="13"/>
  <c r="G95" i="13"/>
  <c r="E92" i="13"/>
  <c r="F92" i="13" s="1"/>
  <c r="E336" i="13"/>
  <c r="F336" i="13" s="1"/>
  <c r="E324" i="13"/>
  <c r="F324" i="13" s="1"/>
  <c r="E80" i="13"/>
  <c r="F80" i="13" s="1"/>
  <c r="E186" i="13"/>
  <c r="F186" i="13" s="1"/>
  <c r="E182" i="13"/>
  <c r="F182" i="13" s="1"/>
  <c r="G172" i="13"/>
  <c r="E168" i="13"/>
  <c r="F168" i="13" s="1"/>
  <c r="J46" i="4"/>
  <c r="P41" i="4"/>
  <c r="E156" i="13"/>
  <c r="F156" i="13" s="1"/>
  <c r="E146" i="13"/>
  <c r="F146" i="13" s="1"/>
  <c r="J24" i="4"/>
  <c r="D75" i="4"/>
  <c r="U137" i="4"/>
  <c r="AG260" i="4"/>
  <c r="AD199" i="4"/>
  <c r="M52" i="4"/>
  <c r="D260" i="4"/>
  <c r="F260" i="4"/>
  <c r="D12" i="4"/>
  <c r="G343" i="13"/>
  <c r="G99" i="13"/>
  <c r="E76" i="13"/>
  <c r="F76" i="13" s="1"/>
  <c r="E320" i="13"/>
  <c r="E363" i="13"/>
  <c r="F363" i="13" s="1"/>
  <c r="E119" i="13"/>
  <c r="F119" i="13" s="1"/>
  <c r="E115" i="13"/>
  <c r="F115" i="13" s="1"/>
  <c r="E359" i="13"/>
  <c r="E352" i="13"/>
  <c r="F352" i="13" s="1"/>
  <c r="E108" i="13"/>
  <c r="F108" i="13" s="1"/>
  <c r="E103" i="13"/>
  <c r="F103" i="13" s="1"/>
  <c r="E347" i="13"/>
  <c r="F347" i="13" s="1"/>
  <c r="E95" i="13"/>
  <c r="F95" i="13" s="1"/>
  <c r="E339" i="13"/>
  <c r="F339" i="13" s="1"/>
  <c r="E331" i="13"/>
  <c r="F331" i="13" s="1"/>
  <c r="E87" i="13"/>
  <c r="F87" i="13" s="1"/>
  <c r="E83" i="13"/>
  <c r="F83" i="13" s="1"/>
  <c r="E327" i="13"/>
  <c r="F327" i="13" s="1"/>
  <c r="E323" i="13"/>
  <c r="F323" i="13" s="1"/>
  <c r="E79" i="13"/>
  <c r="F79" i="13" s="1"/>
  <c r="E181" i="13"/>
  <c r="F181" i="13" s="1"/>
  <c r="E179" i="13"/>
  <c r="F179" i="13" s="1"/>
  <c r="E175" i="13"/>
  <c r="F175" i="13" s="1"/>
  <c r="E172" i="13"/>
  <c r="F172" i="13" s="1"/>
  <c r="E152" i="13"/>
  <c r="F152" i="13" s="1"/>
  <c r="J30" i="4"/>
  <c r="G139" i="13"/>
  <c r="D199" i="4"/>
  <c r="F137" i="4"/>
  <c r="AG12" i="4"/>
  <c r="I141" i="13"/>
  <c r="E122" i="13"/>
  <c r="F122" i="13" s="1"/>
  <c r="E366" i="13"/>
  <c r="F366" i="13" s="1"/>
  <c r="E111" i="13"/>
  <c r="F111" i="13" s="1"/>
  <c r="E355" i="13"/>
  <c r="F355" i="13" s="1"/>
  <c r="J108" i="4"/>
  <c r="J103" i="4"/>
  <c r="E342" i="13"/>
  <c r="F342" i="13" s="1"/>
  <c r="E98" i="13"/>
  <c r="F98" i="13" s="1"/>
  <c r="E91" i="13"/>
  <c r="F91" i="13" s="1"/>
  <c r="E335" i="13"/>
  <c r="F335" i="13" s="1"/>
  <c r="J83" i="4"/>
  <c r="H79" i="4"/>
  <c r="E13" i="1"/>
  <c r="E185" i="13"/>
  <c r="F185" i="13" s="1"/>
  <c r="J56" i="4"/>
  <c r="H52" i="4"/>
  <c r="J49" i="4"/>
  <c r="J37" i="4"/>
  <c r="G155" i="13"/>
  <c r="M33" i="4"/>
  <c r="E140" i="13"/>
  <c r="F140" i="13" s="1"/>
  <c r="E164" i="13"/>
  <c r="F164" i="13" s="1"/>
  <c r="E162" i="13"/>
  <c r="F162" i="13" s="1"/>
  <c r="E148" i="13"/>
  <c r="F148" i="13" s="1"/>
  <c r="E139" i="13"/>
  <c r="F139" i="13" s="1"/>
  <c r="E155" i="13"/>
  <c r="F155" i="13" s="1"/>
  <c r="E151" i="13"/>
  <c r="F151" i="13" s="1"/>
  <c r="E145" i="13"/>
  <c r="F145" i="13" s="1"/>
  <c r="M245" i="4"/>
  <c r="K245" i="4"/>
  <c r="G150" i="13"/>
  <c r="E142" i="13"/>
  <c r="F142" i="13" s="1"/>
  <c r="G160" i="13"/>
  <c r="E150" i="13"/>
  <c r="F150" i="13" s="1"/>
  <c r="G141" i="13"/>
  <c r="E138" i="13"/>
  <c r="F138" i="13" s="1"/>
  <c r="E163" i="13"/>
  <c r="F163" i="13" s="1"/>
  <c r="E160" i="13"/>
  <c r="F160" i="13" s="1"/>
  <c r="E157" i="13"/>
  <c r="F157" i="13" s="1"/>
  <c r="E147" i="13"/>
  <c r="F147" i="13" s="1"/>
  <c r="E144" i="13"/>
  <c r="F144" i="13" s="1"/>
  <c r="E141" i="13"/>
  <c r="F141" i="13" s="1"/>
  <c r="M350" i="13"/>
  <c r="AJ194" i="4"/>
  <c r="I194" i="27"/>
  <c r="K16" i="30"/>
  <c r="J152" i="5"/>
  <c r="M152" i="5" s="1"/>
  <c r="P152" i="5" s="1"/>
  <c r="H152" i="5"/>
  <c r="H98" i="5"/>
  <c r="J98" i="5"/>
  <c r="M98" i="5" s="1"/>
  <c r="J90" i="5"/>
  <c r="M90" i="5" s="1"/>
  <c r="H90" i="5"/>
  <c r="J82" i="5"/>
  <c r="H82" i="5"/>
  <c r="R166" i="5"/>
  <c r="G166" i="5"/>
  <c r="H166" i="5" s="1"/>
  <c r="G158" i="5"/>
  <c r="R141" i="5"/>
  <c r="E201" i="13"/>
  <c r="G141" i="5"/>
  <c r="H141" i="5" s="1"/>
  <c r="D426" i="13"/>
  <c r="K236" i="5"/>
  <c r="H236" i="5"/>
  <c r="K228" i="5"/>
  <c r="N228" i="5"/>
  <c r="E204" i="13"/>
  <c r="H211" i="5"/>
  <c r="Q211" i="5"/>
  <c r="D386" i="13"/>
  <c r="D221" i="13"/>
  <c r="N97" i="5"/>
  <c r="H188" i="5"/>
  <c r="J188" i="5"/>
  <c r="J93" i="5"/>
  <c r="M93" i="5" s="1"/>
  <c r="H93" i="5"/>
  <c r="J85" i="5"/>
  <c r="M85" i="5" s="1"/>
  <c r="H85" i="5"/>
  <c r="J77" i="5"/>
  <c r="M77" i="5" s="1"/>
  <c r="H77" i="5"/>
  <c r="H183" i="5"/>
  <c r="J183" i="5"/>
  <c r="G182" i="5"/>
  <c r="R182" i="5"/>
  <c r="G172" i="5"/>
  <c r="E232" i="13"/>
  <c r="R161" i="5"/>
  <c r="G161" i="5"/>
  <c r="R152" i="5"/>
  <c r="D403" i="13"/>
  <c r="G247" i="5"/>
  <c r="H247" i="5" s="1"/>
  <c r="D245" i="13"/>
  <c r="D421" i="13"/>
  <c r="G231" i="5"/>
  <c r="G207" i="5"/>
  <c r="D205" i="13"/>
  <c r="J145" i="5"/>
  <c r="M145" i="5" s="1"/>
  <c r="P145" i="5" s="1"/>
  <c r="D409" i="13"/>
  <c r="D418" i="13"/>
  <c r="Z65" i="5"/>
  <c r="D302" i="18" s="1"/>
  <c r="Z56" i="5"/>
  <c r="D294" i="18" s="1"/>
  <c r="Z48" i="5"/>
  <c r="D286" i="18" s="1"/>
  <c r="Z40" i="5"/>
  <c r="D278" i="18" s="1"/>
  <c r="Z32" i="5"/>
  <c r="D270" i="18" s="1"/>
  <c r="Z24" i="5"/>
  <c r="D262" i="18" s="1"/>
  <c r="Z16" i="5"/>
  <c r="D254" i="18" s="1"/>
  <c r="AE62" i="5"/>
  <c r="E300" i="18" s="1"/>
  <c r="AE54" i="5"/>
  <c r="E292" i="18" s="1"/>
  <c r="AE46" i="5"/>
  <c r="E284" i="18" s="1"/>
  <c r="AE38" i="5"/>
  <c r="E276" i="18" s="1"/>
  <c r="AE30" i="5"/>
  <c r="E268" i="18" s="1"/>
  <c r="AE22" i="5"/>
  <c r="E260" i="18" s="1"/>
  <c r="AT198" i="5"/>
  <c r="R11" i="5"/>
  <c r="G38" i="30"/>
  <c r="H38" i="30" s="1"/>
  <c r="I38" i="30" s="1"/>
  <c r="J38" i="30" s="1"/>
  <c r="Z62" i="5"/>
  <c r="D300" i="18" s="1"/>
  <c r="Z54" i="5"/>
  <c r="D292" i="18" s="1"/>
  <c r="Z46" i="5"/>
  <c r="D284" i="18" s="1"/>
  <c r="Z38" i="5"/>
  <c r="D276" i="18" s="1"/>
  <c r="Z30" i="5"/>
  <c r="D268" i="18" s="1"/>
  <c r="Z22" i="5"/>
  <c r="D260" i="18" s="1"/>
  <c r="AE60" i="5"/>
  <c r="E298" i="18" s="1"/>
  <c r="AE52" i="5"/>
  <c r="E290" i="18" s="1"/>
  <c r="AE44" i="5"/>
  <c r="E282" i="18" s="1"/>
  <c r="AE36" i="5"/>
  <c r="E274" i="18" s="1"/>
  <c r="AE28" i="5"/>
  <c r="E266" i="18" s="1"/>
  <c r="AE20" i="5"/>
  <c r="E258" i="18" s="1"/>
  <c r="AT271" i="5"/>
  <c r="Z61" i="5"/>
  <c r="D299" i="18" s="1"/>
  <c r="Z53" i="5"/>
  <c r="D291" i="18" s="1"/>
  <c r="Z45" i="5"/>
  <c r="D283" i="18" s="1"/>
  <c r="Z37" i="5"/>
  <c r="D275" i="18" s="1"/>
  <c r="Z29" i="5"/>
  <c r="D267" i="18" s="1"/>
  <c r="Z21" i="5"/>
  <c r="D259" i="18" s="1"/>
  <c r="D218" i="13"/>
  <c r="Z60" i="5"/>
  <c r="D298" i="18" s="1"/>
  <c r="Z52" i="5"/>
  <c r="D290" i="18" s="1"/>
  <c r="Z44" i="5"/>
  <c r="D282" i="18" s="1"/>
  <c r="Z36" i="5"/>
  <c r="D274" i="18" s="1"/>
  <c r="Z28" i="5"/>
  <c r="D266" i="18" s="1"/>
  <c r="Z20" i="5"/>
  <c r="D258" i="18" s="1"/>
  <c r="AE64" i="5"/>
  <c r="E304" i="18" s="1"/>
  <c r="AE58" i="5"/>
  <c r="E296" i="18" s="1"/>
  <c r="AE50" i="5"/>
  <c r="E288" i="18" s="1"/>
  <c r="AE42" i="5"/>
  <c r="E280" i="18" s="1"/>
  <c r="AE34" i="5"/>
  <c r="E272" i="18" s="1"/>
  <c r="AE26" i="5"/>
  <c r="E264" i="18" s="1"/>
  <c r="AE18" i="5"/>
  <c r="E256" i="18" s="1"/>
  <c r="Z67" i="5"/>
  <c r="D305" i="18" s="1"/>
  <c r="Z59" i="5"/>
  <c r="D297" i="18" s="1"/>
  <c r="Z51" i="5"/>
  <c r="D289" i="18" s="1"/>
  <c r="Z43" i="5"/>
  <c r="D281" i="18" s="1"/>
  <c r="Z35" i="5"/>
  <c r="D273" i="18" s="1"/>
  <c r="Z27" i="5"/>
  <c r="D265" i="18" s="1"/>
  <c r="Z19" i="5"/>
  <c r="D257" i="18" s="1"/>
  <c r="D226" i="13"/>
  <c r="Z64" i="5"/>
  <c r="D304" i="18" s="1"/>
  <c r="Z58" i="5"/>
  <c r="D296" i="18" s="1"/>
  <c r="Z50" i="5"/>
  <c r="D288" i="18" s="1"/>
  <c r="Z42" i="5"/>
  <c r="D280" i="18" s="1"/>
  <c r="Z34" i="5"/>
  <c r="D272" i="18" s="1"/>
  <c r="Z26" i="5"/>
  <c r="D264" i="18" s="1"/>
  <c r="Z18" i="5"/>
  <c r="D256" i="18" s="1"/>
  <c r="AE65" i="5"/>
  <c r="E302" i="18" s="1"/>
  <c r="AE56" i="5"/>
  <c r="E294" i="18" s="1"/>
  <c r="AE48" i="5"/>
  <c r="E286" i="18" s="1"/>
  <c r="AE40" i="5"/>
  <c r="E278" i="18" s="1"/>
  <c r="AE32" i="5"/>
  <c r="E270" i="18" s="1"/>
  <c r="AE24" i="5"/>
  <c r="E262" i="18" s="1"/>
  <c r="AE16" i="5"/>
  <c r="E254" i="18" s="1"/>
  <c r="U67" i="5"/>
  <c r="Z66" i="5"/>
  <c r="D303" i="18" s="1"/>
  <c r="Z57" i="5"/>
  <c r="D295" i="18" s="1"/>
  <c r="Z49" i="5"/>
  <c r="D287" i="18" s="1"/>
  <c r="Z41" i="5"/>
  <c r="D279" i="18" s="1"/>
  <c r="Z33" i="5"/>
  <c r="D271" i="18" s="1"/>
  <c r="Z25" i="5"/>
  <c r="D263" i="18" s="1"/>
  <c r="Z17" i="5"/>
  <c r="D255" i="18" s="1"/>
  <c r="AT184" i="5"/>
  <c r="AT176" i="5"/>
  <c r="AT168" i="5"/>
  <c r="AT160" i="5"/>
  <c r="AT152" i="5"/>
  <c r="AT144" i="5"/>
  <c r="U40" i="5"/>
  <c r="K37" i="30"/>
  <c r="K180" i="5"/>
  <c r="H248" i="5"/>
  <c r="H232" i="5"/>
  <c r="H224" i="5"/>
  <c r="H216" i="5"/>
  <c r="H208" i="5"/>
  <c r="K208" i="5"/>
  <c r="D238" i="13"/>
  <c r="G148" i="5"/>
  <c r="J148" i="5" s="1"/>
  <c r="M148" i="5" s="1"/>
  <c r="P148" i="5" s="1"/>
  <c r="J89" i="5"/>
  <c r="M89" i="5" s="1"/>
  <c r="K105" i="5"/>
  <c r="R148" i="5"/>
  <c r="J81" i="5"/>
  <c r="R176" i="5"/>
  <c r="H228" i="5"/>
  <c r="D222" i="13"/>
  <c r="AT278" i="5"/>
  <c r="AT280" i="5"/>
  <c r="G157" i="5"/>
  <c r="G176" i="5"/>
  <c r="J96" i="5"/>
  <c r="R157" i="5"/>
  <c r="J110" i="5"/>
  <c r="E214" i="13"/>
  <c r="AT310" i="5"/>
  <c r="R197" i="5"/>
  <c r="J118" i="5"/>
  <c r="M118" i="5" s="1"/>
  <c r="D206" i="13"/>
  <c r="D230" i="13"/>
  <c r="G140" i="5"/>
  <c r="G165" i="5"/>
  <c r="Q105" i="5"/>
  <c r="G42" i="30"/>
  <c r="H42" i="30" s="1"/>
  <c r="I42" i="30" s="1"/>
  <c r="J42" i="30" s="1"/>
  <c r="K117" i="5"/>
  <c r="AC294" i="5"/>
  <c r="Y294" i="5"/>
  <c r="J170" i="5"/>
  <c r="H170" i="5"/>
  <c r="H250" i="5"/>
  <c r="H242" i="5"/>
  <c r="K242" i="5"/>
  <c r="D416" i="13"/>
  <c r="H202" i="5"/>
  <c r="Y274" i="5"/>
  <c r="AC274" i="5"/>
  <c r="AH274" i="5" s="1"/>
  <c r="H190" i="5"/>
  <c r="J190" i="5"/>
  <c r="M190" i="5" s="1"/>
  <c r="P190" i="5" s="1"/>
  <c r="K102" i="5"/>
  <c r="J88" i="5"/>
  <c r="M88" i="5" s="1"/>
  <c r="K235" i="5"/>
  <c r="G234" i="5"/>
  <c r="H234" i="5" s="1"/>
  <c r="AC304" i="5"/>
  <c r="AH304" i="5" s="1"/>
  <c r="AM304" i="5" s="1"/>
  <c r="AN304" i="5" s="1"/>
  <c r="AT314" i="5"/>
  <c r="E235" i="13"/>
  <c r="Q101" i="5"/>
  <c r="N101" i="5"/>
  <c r="K101" i="5"/>
  <c r="R190" i="5"/>
  <c r="J95" i="5"/>
  <c r="M95" i="5" s="1"/>
  <c r="H126" i="5"/>
  <c r="D208" i="13"/>
  <c r="D240" i="13"/>
  <c r="Y279" i="5"/>
  <c r="AT299" i="5"/>
  <c r="E202" i="13"/>
  <c r="H101" i="5"/>
  <c r="N215" i="5"/>
  <c r="R170" i="5"/>
  <c r="AC284" i="5"/>
  <c r="AH284" i="5" s="1"/>
  <c r="AT186" i="5"/>
  <c r="AT178" i="5"/>
  <c r="AT170" i="5"/>
  <c r="AT162" i="5"/>
  <c r="AT154" i="5"/>
  <c r="AT146" i="5"/>
  <c r="K79" i="5"/>
  <c r="G178" i="5"/>
  <c r="H115" i="5"/>
  <c r="D216" i="13"/>
  <c r="J144" i="5"/>
  <c r="M144" i="5" s="1"/>
  <c r="P144" i="5" s="1"/>
  <c r="J121" i="5"/>
  <c r="M121" i="5" s="1"/>
  <c r="J169" i="5"/>
  <c r="M169" i="5" s="1"/>
  <c r="P169" i="5" s="1"/>
  <c r="Y286" i="5"/>
  <c r="K86" i="5"/>
  <c r="J149" i="5"/>
  <c r="K211" i="5"/>
  <c r="D224" i="13"/>
  <c r="R254" i="5"/>
  <c r="U48" i="5"/>
  <c r="AE254" i="5"/>
  <c r="AJ254" i="5"/>
  <c r="I43" i="30" s="1"/>
  <c r="I33" i="30" s="1"/>
  <c r="AT264" i="5"/>
  <c r="AT266" i="5"/>
  <c r="R315" i="5"/>
  <c r="U64" i="5"/>
  <c r="U58" i="5"/>
  <c r="U50" i="5"/>
  <c r="U34" i="5"/>
  <c r="AT191" i="5"/>
  <c r="AT183" i="5"/>
  <c r="AT175" i="5"/>
  <c r="AT167" i="5"/>
  <c r="AT159" i="5"/>
  <c r="AT151" i="5"/>
  <c r="AT143" i="5"/>
  <c r="J142" i="5"/>
  <c r="M142" i="5" s="1"/>
  <c r="P142" i="5" s="1"/>
  <c r="AC263" i="5"/>
  <c r="AD263" i="5" s="1"/>
  <c r="Y302" i="5"/>
  <c r="AC302" i="5"/>
  <c r="AD302" i="5" s="1"/>
  <c r="X100" i="5"/>
  <c r="N100" i="5"/>
  <c r="K103" i="5"/>
  <c r="AH301" i="5"/>
  <c r="AD301" i="5"/>
  <c r="S211" i="5"/>
  <c r="X211" i="5"/>
  <c r="AC211" i="5" s="1"/>
  <c r="AD211" i="5" s="1"/>
  <c r="AT136" i="5"/>
  <c r="G159" i="5"/>
  <c r="H244" i="5"/>
  <c r="AT276" i="5"/>
  <c r="AC277" i="5"/>
  <c r="AT301" i="5"/>
  <c r="U66" i="5"/>
  <c r="U41" i="5"/>
  <c r="U33" i="5"/>
  <c r="U25" i="5"/>
  <c r="U17" i="5"/>
  <c r="AT188" i="5"/>
  <c r="AT182" i="5"/>
  <c r="AT174" i="5"/>
  <c r="AT166" i="5"/>
  <c r="AT158" i="5"/>
  <c r="AT150" i="5"/>
  <c r="AT142" i="5"/>
  <c r="J127" i="5"/>
  <c r="M127" i="5" s="1"/>
  <c r="G200" i="5"/>
  <c r="AT274" i="5"/>
  <c r="AT190" i="5"/>
  <c r="AT181" i="5"/>
  <c r="AT173" i="5"/>
  <c r="AT165" i="5"/>
  <c r="AT157" i="5"/>
  <c r="AT149" i="5"/>
  <c r="AT141" i="5"/>
  <c r="U32" i="5"/>
  <c r="U18" i="5"/>
  <c r="J162" i="5"/>
  <c r="G143" i="5"/>
  <c r="R150" i="5"/>
  <c r="AJ315" i="5"/>
  <c r="AT272" i="5"/>
  <c r="AT297" i="5"/>
  <c r="U63" i="5"/>
  <c r="U55" i="5"/>
  <c r="U47" i="5"/>
  <c r="U39" i="5"/>
  <c r="U31" i="5"/>
  <c r="AT189" i="5"/>
  <c r="AT180" i="5"/>
  <c r="AT172" i="5"/>
  <c r="AT164" i="5"/>
  <c r="AT156" i="5"/>
  <c r="AT148" i="5"/>
  <c r="AT140" i="5"/>
  <c r="U16" i="5"/>
  <c r="E245" i="13"/>
  <c r="J191" i="5"/>
  <c r="M191" i="5" s="1"/>
  <c r="P191" i="5" s="1"/>
  <c r="K226" i="5"/>
  <c r="U14" i="5"/>
  <c r="G206" i="5"/>
  <c r="K206" i="5" s="1"/>
  <c r="K315" i="5"/>
  <c r="AC291" i="5"/>
  <c r="AT303" i="5"/>
  <c r="U54" i="5"/>
  <c r="U46" i="5"/>
  <c r="U38" i="5"/>
  <c r="U22" i="5"/>
  <c r="AT187" i="5"/>
  <c r="AT179" i="5"/>
  <c r="AT171" i="5"/>
  <c r="AT163" i="5"/>
  <c r="AT155" i="5"/>
  <c r="AT147" i="5"/>
  <c r="AT139" i="5"/>
  <c r="E210" i="13"/>
  <c r="H83" i="5"/>
  <c r="E247" i="13"/>
  <c r="U61" i="5"/>
  <c r="U45" i="5"/>
  <c r="U29" i="5"/>
  <c r="U21" i="5"/>
  <c r="H32" i="1"/>
  <c r="G189" i="5"/>
  <c r="K83" i="5"/>
  <c r="G150" i="5"/>
  <c r="AC297" i="5"/>
  <c r="AD297" i="5" s="1"/>
  <c r="AT311" i="5"/>
  <c r="U60" i="5"/>
  <c r="U52" i="5"/>
  <c r="U36" i="5"/>
  <c r="U20" i="5"/>
  <c r="AT185" i="5"/>
  <c r="AT177" i="5"/>
  <c r="AT169" i="5"/>
  <c r="AT161" i="5"/>
  <c r="AT153" i="5"/>
  <c r="AT145" i="5"/>
  <c r="U65" i="5"/>
  <c r="J175" i="5"/>
  <c r="M175" i="5" s="1"/>
  <c r="P175" i="5" s="1"/>
  <c r="R189" i="5"/>
  <c r="J108" i="5"/>
  <c r="M108" i="5" s="1"/>
  <c r="AC272" i="5"/>
  <c r="AH272" i="5" s="1"/>
  <c r="AT286" i="5"/>
  <c r="AT288" i="5"/>
  <c r="U59" i="5"/>
  <c r="U51" i="5"/>
  <c r="U43" i="5"/>
  <c r="U35" i="5"/>
  <c r="U27" i="5"/>
  <c r="U19" i="5"/>
  <c r="U56" i="5"/>
  <c r="N242" i="5"/>
  <c r="H124" i="5"/>
  <c r="J124" i="5"/>
  <c r="M124" i="5" s="1"/>
  <c r="J106" i="5"/>
  <c r="M106" i="5" s="1"/>
  <c r="H106" i="5"/>
  <c r="K212" i="5"/>
  <c r="R181" i="5"/>
  <c r="G181" i="5"/>
  <c r="K179" i="5"/>
  <c r="X309" i="5"/>
  <c r="AT309" i="5"/>
  <c r="X83" i="5"/>
  <c r="N83" i="5"/>
  <c r="K224" i="5"/>
  <c r="H243" i="5"/>
  <c r="E34" i="1"/>
  <c r="E32" i="1" s="1"/>
  <c r="R130" i="5"/>
  <c r="P126" i="5"/>
  <c r="K126" i="5"/>
  <c r="P122" i="5"/>
  <c r="K122" i="5"/>
  <c r="K116" i="5"/>
  <c r="P116" i="5"/>
  <c r="E233" i="13"/>
  <c r="R155" i="5"/>
  <c r="E207" i="13"/>
  <c r="G147" i="5"/>
  <c r="R147" i="5"/>
  <c r="G139" i="5"/>
  <c r="R139" i="5"/>
  <c r="H252" i="5"/>
  <c r="AT138" i="5"/>
  <c r="Q97" i="5"/>
  <c r="K107" i="5"/>
  <c r="P107" i="5"/>
  <c r="K109" i="5"/>
  <c r="H210" i="5"/>
  <c r="K115" i="5"/>
  <c r="P115" i="5"/>
  <c r="H78" i="5"/>
  <c r="G130" i="5"/>
  <c r="J78" i="5"/>
  <c r="M78" i="5" s="1"/>
  <c r="H251" i="5"/>
  <c r="H84" i="5"/>
  <c r="J84" i="5"/>
  <c r="M84" i="5" s="1"/>
  <c r="H239" i="5"/>
  <c r="H219" i="5"/>
  <c r="H241" i="5"/>
  <c r="G233" i="5"/>
  <c r="D231" i="13"/>
  <c r="G225" i="5"/>
  <c r="D223" i="13"/>
  <c r="G217" i="5"/>
  <c r="D215" i="13"/>
  <c r="D391" i="13"/>
  <c r="G201" i="5"/>
  <c r="D199" i="13"/>
  <c r="E254" i="5"/>
  <c r="E43" i="1" s="1"/>
  <c r="K167" i="5"/>
  <c r="G155" i="5"/>
  <c r="H119" i="5"/>
  <c r="J119" i="5"/>
  <c r="M119" i="5" s="1"/>
  <c r="H168" i="5"/>
  <c r="J168" i="5"/>
  <c r="M168" i="5" s="1"/>
  <c r="P168" i="5" s="1"/>
  <c r="G209" i="5"/>
  <c r="H213" i="5"/>
  <c r="G138" i="5"/>
  <c r="F14" i="5"/>
  <c r="R14" i="5" s="1"/>
  <c r="F192" i="5"/>
  <c r="H240" i="5"/>
  <c r="K87" i="5"/>
  <c r="P87" i="5"/>
  <c r="H184" i="5"/>
  <c r="J184" i="5"/>
  <c r="M184" i="5" s="1"/>
  <c r="P184" i="5" s="1"/>
  <c r="P125" i="5"/>
  <c r="K125" i="5"/>
  <c r="J186" i="5"/>
  <c r="M186" i="5" s="1"/>
  <c r="P186" i="5" s="1"/>
  <c r="H186" i="5"/>
  <c r="D239" i="13"/>
  <c r="D385" i="13"/>
  <c r="Y265" i="5"/>
  <c r="AC265" i="5"/>
  <c r="AH265" i="5" s="1"/>
  <c r="Y307" i="5"/>
  <c r="AC307" i="5"/>
  <c r="AH307" i="5" s="1"/>
  <c r="U42" i="5"/>
  <c r="U26" i="5"/>
  <c r="AC290" i="5"/>
  <c r="AD290" i="5" s="1"/>
  <c r="Y290" i="5"/>
  <c r="U57" i="5"/>
  <c r="U49" i="5"/>
  <c r="U24" i="5"/>
  <c r="H212" i="5"/>
  <c r="AT289" i="5"/>
  <c r="X298" i="5"/>
  <c r="Y298" i="5" s="1"/>
  <c r="AT298" i="5"/>
  <c r="Y271" i="5"/>
  <c r="AC271" i="5"/>
  <c r="AD271" i="5" s="1"/>
  <c r="H45" i="1"/>
  <c r="N315" i="5"/>
  <c r="Q315" i="5"/>
  <c r="U23" i="5"/>
  <c r="U15" i="5"/>
  <c r="AD279" i="5"/>
  <c r="U62" i="5"/>
  <c r="U30" i="5"/>
  <c r="I32" i="1"/>
  <c r="E33" i="30" s="1"/>
  <c r="AC311" i="5"/>
  <c r="U53" i="5"/>
  <c r="U37" i="5"/>
  <c r="Y289" i="5"/>
  <c r="AC289" i="5"/>
  <c r="AH289" i="5" s="1"/>
  <c r="U44" i="5"/>
  <c r="U28" i="5"/>
  <c r="Z254" i="5"/>
  <c r="G43" i="30" s="1"/>
  <c r="AT208" i="5"/>
  <c r="AT224" i="5"/>
  <c r="AO254" i="5"/>
  <c r="J43" i="30" s="1"/>
  <c r="AT302" i="5"/>
  <c r="AT304" i="5"/>
  <c r="AT305" i="5"/>
  <c r="AO315" i="5"/>
  <c r="AT296" i="5"/>
  <c r="AT313" i="5"/>
  <c r="AT231" i="5"/>
  <c r="AT202" i="5"/>
  <c r="AT210" i="5"/>
  <c r="AT226" i="5"/>
  <c r="AT234" i="5"/>
  <c r="AT250" i="5"/>
  <c r="AT284" i="5"/>
  <c r="U254" i="5"/>
  <c r="F43" i="30" s="1"/>
  <c r="F33" i="30" s="1"/>
  <c r="AT269" i="5"/>
  <c r="AT282" i="5"/>
  <c r="AT294" i="5"/>
  <c r="AT283" i="5"/>
  <c r="AT292" i="5"/>
  <c r="AT308" i="5"/>
  <c r="AT207" i="5"/>
  <c r="AT270" i="5"/>
  <c r="AT295" i="5"/>
  <c r="K154" i="5"/>
  <c r="N6" i="5"/>
  <c r="D382" i="13"/>
  <c r="D428" i="13"/>
  <c r="E244" i="13"/>
  <c r="D420" i="13"/>
  <c r="E236" i="13"/>
  <c r="H230" i="5"/>
  <c r="H222" i="5"/>
  <c r="H214" i="5"/>
  <c r="D388" i="13"/>
  <c r="K248" i="5"/>
  <c r="D431" i="13"/>
  <c r="R188" i="5"/>
  <c r="E213" i="13"/>
  <c r="K227" i="5"/>
  <c r="K156" i="5"/>
  <c r="H113" i="5"/>
  <c r="J113" i="5"/>
  <c r="M113" i="5" s="1"/>
  <c r="G32" i="1"/>
  <c r="H253" i="5"/>
  <c r="AT76" i="5"/>
  <c r="E225" i="13"/>
  <c r="E200" i="13"/>
  <c r="K243" i="5"/>
  <c r="K244" i="5"/>
  <c r="U315" i="5"/>
  <c r="X262" i="5"/>
  <c r="AC269" i="5"/>
  <c r="Y269" i="5"/>
  <c r="AC278" i="5"/>
  <c r="Y278" i="5"/>
  <c r="AT285" i="5"/>
  <c r="X285" i="5"/>
  <c r="Y314" i="5"/>
  <c r="AC314" i="5"/>
  <c r="G249" i="5"/>
  <c r="G246" i="5"/>
  <c r="G238" i="5"/>
  <c r="AT263" i="5"/>
  <c r="Y276" i="5"/>
  <c r="AC276" i="5"/>
  <c r="AC292" i="5"/>
  <c r="Y292" i="5"/>
  <c r="D220" i="13"/>
  <c r="Y303" i="5"/>
  <c r="Y288" i="5"/>
  <c r="AC288" i="5"/>
  <c r="Y295" i="5"/>
  <c r="AC295" i="5"/>
  <c r="AC310" i="5"/>
  <c r="Y310" i="5"/>
  <c r="AT281" i="5"/>
  <c r="X281" i="5"/>
  <c r="AC308" i="5"/>
  <c r="Y308" i="5"/>
  <c r="AT312" i="5"/>
  <c r="AC312" i="5"/>
  <c r="L68" i="5"/>
  <c r="O68" i="5"/>
  <c r="D212" i="13"/>
  <c r="AD265" i="5"/>
  <c r="AT216" i="5"/>
  <c r="AT267" i="5"/>
  <c r="G39" i="30"/>
  <c r="AT219" i="5"/>
  <c r="Y261" i="5"/>
  <c r="AT265" i="5"/>
  <c r="AT268" i="5"/>
  <c r="X268" i="5"/>
  <c r="AT290" i="5"/>
  <c r="AH290" i="5"/>
  <c r="AT306" i="5"/>
  <c r="AC306" i="5"/>
  <c r="AC313" i="5"/>
  <c r="Y313" i="5"/>
  <c r="D68" i="5"/>
  <c r="AC270" i="5"/>
  <c r="Y270" i="5"/>
  <c r="AT262" i="5"/>
  <c r="Z315" i="5"/>
  <c r="AT261" i="5"/>
  <c r="Y266" i="5"/>
  <c r="AC266" i="5"/>
  <c r="AT277" i="5"/>
  <c r="AT279" i="5"/>
  <c r="Y282" i="5"/>
  <c r="AC282" i="5"/>
  <c r="AC296" i="5"/>
  <c r="Y296" i="5"/>
  <c r="S315" i="5"/>
  <c r="H315" i="5"/>
  <c r="E45" i="1"/>
  <c r="AD303" i="5"/>
  <c r="AC267" i="5"/>
  <c r="Y267" i="5"/>
  <c r="AE315" i="5"/>
  <c r="Y264" i="5"/>
  <c r="AC264" i="5"/>
  <c r="AT273" i="5"/>
  <c r="AC273" i="5"/>
  <c r="AT275" i="5"/>
  <c r="AC275" i="5"/>
  <c r="AC280" i="5"/>
  <c r="Y280" i="5"/>
  <c r="AT287" i="5"/>
  <c r="X287" i="5"/>
  <c r="AC300" i="5"/>
  <c r="AT300" i="5"/>
  <c r="AT293" i="5"/>
  <c r="AT291" i="5"/>
  <c r="Y297" i="5"/>
  <c r="X305" i="5"/>
  <c r="F44" i="1"/>
  <c r="Y299" i="5"/>
  <c r="Y301" i="5"/>
  <c r="K35" i="30"/>
  <c r="AT130" i="5"/>
  <c r="X101" i="5"/>
  <c r="X97" i="5"/>
  <c r="X92" i="5"/>
  <c r="M192" i="4" l="1"/>
  <c r="N192" i="4" s="1"/>
  <c r="P153" i="4"/>
  <c r="K189" i="4"/>
  <c r="K151" i="4"/>
  <c r="M175" i="4"/>
  <c r="K175" i="4"/>
  <c r="K143" i="4"/>
  <c r="M143" i="4"/>
  <c r="K231" i="4"/>
  <c r="M231" i="4"/>
  <c r="M186" i="4"/>
  <c r="N20" i="4"/>
  <c r="M237" i="4"/>
  <c r="K237" i="4"/>
  <c r="F38" i="1"/>
  <c r="F68" i="5"/>
  <c r="K162" i="5"/>
  <c r="M162" i="5"/>
  <c r="P162" i="5" s="1"/>
  <c r="K149" i="5"/>
  <c r="M149" i="5"/>
  <c r="P149" i="5" s="1"/>
  <c r="K170" i="5"/>
  <c r="M170" i="5"/>
  <c r="P170" i="5" s="1"/>
  <c r="K110" i="5"/>
  <c r="M110" i="5"/>
  <c r="K96" i="5"/>
  <c r="M96" i="5"/>
  <c r="M81" i="5"/>
  <c r="P81" i="5" s="1"/>
  <c r="K183" i="5"/>
  <c r="M183" i="5"/>
  <c r="P183" i="5" s="1"/>
  <c r="M188" i="5"/>
  <c r="M82" i="5"/>
  <c r="P82" i="5" s="1"/>
  <c r="K171" i="5"/>
  <c r="M171" i="5"/>
  <c r="P171" i="5" s="1"/>
  <c r="K187" i="5"/>
  <c r="M187" i="5"/>
  <c r="P187" i="5" s="1"/>
  <c r="E243" i="13"/>
  <c r="K160" i="5"/>
  <c r="M160" i="5"/>
  <c r="P160" i="5" s="1"/>
  <c r="M91" i="5"/>
  <c r="P91" i="5" s="1"/>
  <c r="M86" i="5"/>
  <c r="K177" i="5"/>
  <c r="M177" i="5"/>
  <c r="P177" i="5" s="1"/>
  <c r="M102" i="5"/>
  <c r="M79" i="5"/>
  <c r="K128" i="5"/>
  <c r="M128" i="5"/>
  <c r="P156" i="5"/>
  <c r="Q156" i="5" s="1"/>
  <c r="N156" i="5"/>
  <c r="C111" i="18"/>
  <c r="I51" i="27"/>
  <c r="C112" i="18"/>
  <c r="I52" i="27"/>
  <c r="C117" i="18"/>
  <c r="I57" i="27"/>
  <c r="C99" i="18"/>
  <c r="I39" i="27"/>
  <c r="C80" i="18"/>
  <c r="I20" i="27"/>
  <c r="C120" i="18"/>
  <c r="I60" i="27"/>
  <c r="C114" i="18"/>
  <c r="I54" i="27"/>
  <c r="C101" i="18"/>
  <c r="I41" i="27"/>
  <c r="C77" i="18"/>
  <c r="G40" i="22"/>
  <c r="C100" i="18"/>
  <c r="C75" i="18"/>
  <c r="I15" i="27"/>
  <c r="C108" i="18"/>
  <c r="I48" i="27"/>
  <c r="G72" i="18"/>
  <c r="C106" i="18"/>
  <c r="I46" i="27"/>
  <c r="F72" i="18"/>
  <c r="C102" i="18"/>
  <c r="I42" i="27"/>
  <c r="C103" i="18"/>
  <c r="I43" i="27"/>
  <c r="D41" i="22"/>
  <c r="D23" i="22"/>
  <c r="D31" i="22" s="1"/>
  <c r="D32" i="22" s="1"/>
  <c r="C125" i="18"/>
  <c r="I65" i="27"/>
  <c r="C116" i="18"/>
  <c r="G76" i="13"/>
  <c r="J132" i="4"/>
  <c r="F62" i="30"/>
  <c r="G62" i="30" s="1"/>
  <c r="H62" i="30" s="1"/>
  <c r="F64" i="30"/>
  <c r="K50" i="30"/>
  <c r="K68" i="30"/>
  <c r="F58" i="30"/>
  <c r="G58" i="30" s="1"/>
  <c r="H58" i="30" s="1"/>
  <c r="I58" i="30" s="1"/>
  <c r="J58" i="30" s="1"/>
  <c r="K57" i="30"/>
  <c r="G98" i="30"/>
  <c r="J33" i="30"/>
  <c r="F74" i="30"/>
  <c r="G74" i="30" s="1"/>
  <c r="H74" i="30" s="1"/>
  <c r="I74" i="30" s="1"/>
  <c r="J74" i="30" s="1"/>
  <c r="K39" i="30"/>
  <c r="C76" i="18"/>
  <c r="D84" i="18"/>
  <c r="I24" i="27"/>
  <c r="D78" i="18"/>
  <c r="I18" i="27"/>
  <c r="D124" i="18"/>
  <c r="D76" i="18"/>
  <c r="D93" i="18"/>
  <c r="D123" i="18"/>
  <c r="D105" i="18"/>
  <c r="I45" i="27"/>
  <c r="D90" i="18"/>
  <c r="I30" i="27"/>
  <c r="D92" i="18"/>
  <c r="I32" i="27"/>
  <c r="D109" i="18"/>
  <c r="D89" i="18"/>
  <c r="D98" i="18"/>
  <c r="D74" i="18"/>
  <c r="D85" i="18"/>
  <c r="D73" i="18"/>
  <c r="I13" i="27"/>
  <c r="D104" i="18"/>
  <c r="I44" i="27"/>
  <c r="D113" i="18"/>
  <c r="D86" i="18"/>
  <c r="D97" i="18"/>
  <c r="D91" i="18"/>
  <c r="D79" i="18"/>
  <c r="I19" i="27"/>
  <c r="D96" i="18"/>
  <c r="I36" i="27"/>
  <c r="D110" i="18"/>
  <c r="D94" i="18"/>
  <c r="I34" i="27"/>
  <c r="D88" i="18"/>
  <c r="I28" i="27"/>
  <c r="D122" i="18"/>
  <c r="D121" i="18"/>
  <c r="I61" i="27"/>
  <c r="D81" i="18"/>
  <c r="I21" i="27"/>
  <c r="D72" i="18"/>
  <c r="D87" i="18"/>
  <c r="I27" i="27"/>
  <c r="D118" i="18"/>
  <c r="D115" i="18"/>
  <c r="I55" i="27"/>
  <c r="D82" i="18"/>
  <c r="I22" i="27"/>
  <c r="E72" i="18"/>
  <c r="I12" i="27"/>
  <c r="AT192" i="5"/>
  <c r="N189" i="4"/>
  <c r="Q189" i="4"/>
  <c r="Q187" i="4"/>
  <c r="P192" i="4"/>
  <c r="V192" i="4" s="1"/>
  <c r="W192" i="4" s="1"/>
  <c r="V187" i="4"/>
  <c r="W187" i="4" s="1"/>
  <c r="F21" i="30"/>
  <c r="G21" i="30" s="1"/>
  <c r="H21" i="30" s="1"/>
  <c r="I21" i="30" s="1"/>
  <c r="J21" i="30" s="1"/>
  <c r="P236" i="4"/>
  <c r="Q236" i="4" s="1"/>
  <c r="V240" i="4"/>
  <c r="S240" i="4"/>
  <c r="Y20" i="4"/>
  <c r="W20" i="4"/>
  <c r="N28" i="4"/>
  <c r="S20" i="4"/>
  <c r="Q20" i="4"/>
  <c r="I150" i="13"/>
  <c r="J150" i="13" s="1"/>
  <c r="S92" i="5"/>
  <c r="AD299" i="5"/>
  <c r="AD289" i="5"/>
  <c r="AM279" i="5"/>
  <c r="AH271" i="5"/>
  <c r="AI271" i="5" s="1"/>
  <c r="AM303" i="5"/>
  <c r="E240" i="13"/>
  <c r="N211" i="5"/>
  <c r="N109" i="5"/>
  <c r="P109" i="5"/>
  <c r="N96" i="5"/>
  <c r="P96" i="5"/>
  <c r="X96" i="5" s="1"/>
  <c r="N103" i="5"/>
  <c r="P103" i="5"/>
  <c r="X103" i="5" s="1"/>
  <c r="Y103" i="5" s="1"/>
  <c r="N121" i="5"/>
  <c r="P121" i="5"/>
  <c r="N117" i="5"/>
  <c r="P117" i="5"/>
  <c r="X117" i="5" s="1"/>
  <c r="N129" i="5"/>
  <c r="P129" i="5"/>
  <c r="S129" i="5" s="1"/>
  <c r="N99" i="5"/>
  <c r="P99" i="5"/>
  <c r="Q99" i="5" s="1"/>
  <c r="N94" i="5"/>
  <c r="P94" i="5"/>
  <c r="T40" i="22"/>
  <c r="M40" i="22"/>
  <c r="I40" i="22"/>
  <c r="K11" i="30"/>
  <c r="K156" i="30"/>
  <c r="K97" i="30"/>
  <c r="H58" i="27"/>
  <c r="G118" i="18" s="1"/>
  <c r="K32" i="30"/>
  <c r="AJ12" i="6"/>
  <c r="Y39" i="6"/>
  <c r="Q39" i="13" s="1"/>
  <c r="R39" i="13" s="1"/>
  <c r="Z331" i="6"/>
  <c r="AB331" i="6"/>
  <c r="AB378" i="6"/>
  <c r="Z328" i="6"/>
  <c r="AB328" i="6"/>
  <c r="AB14" i="6" s="1"/>
  <c r="W17" i="6"/>
  <c r="F80" i="30"/>
  <c r="AC225" i="6"/>
  <c r="W39" i="6"/>
  <c r="D10" i="2"/>
  <c r="G30" i="2"/>
  <c r="AI179" i="6"/>
  <c r="Z183" i="6"/>
  <c r="AC183" i="6"/>
  <c r="Y35" i="6"/>
  <c r="Q35" i="13" s="1"/>
  <c r="Z179" i="6"/>
  <c r="Y55" i="6"/>
  <c r="Z146" i="6"/>
  <c r="Y56" i="6"/>
  <c r="Q56" i="13" s="1"/>
  <c r="R56" i="13" s="1"/>
  <c r="Y23" i="6"/>
  <c r="Z23" i="6" s="1"/>
  <c r="Y26" i="6"/>
  <c r="Q26" i="13" s="1"/>
  <c r="R26" i="13" s="1"/>
  <c r="AC190" i="6"/>
  <c r="AF179" i="6"/>
  <c r="AC179" i="6"/>
  <c r="AE177" i="6"/>
  <c r="AH177" i="6" s="1"/>
  <c r="Z187" i="6"/>
  <c r="AF177" i="6"/>
  <c r="AC187" i="6"/>
  <c r="O55" i="13"/>
  <c r="P55" i="13" s="1"/>
  <c r="W54" i="6"/>
  <c r="W37" i="6"/>
  <c r="W58" i="6"/>
  <c r="AF109" i="6"/>
  <c r="Y32" i="6"/>
  <c r="Q32" i="13" s="1"/>
  <c r="O67" i="13"/>
  <c r="P67" i="13" s="1"/>
  <c r="O34" i="13"/>
  <c r="P34" i="13" s="1"/>
  <c r="AC94" i="6"/>
  <c r="Y45" i="6"/>
  <c r="Z45" i="6" s="1"/>
  <c r="Z81" i="6"/>
  <c r="W56" i="6"/>
  <c r="AC126" i="6"/>
  <c r="AE126" i="6"/>
  <c r="I62" i="30"/>
  <c r="J62" i="30" s="1"/>
  <c r="I51" i="30"/>
  <c r="K61" i="30"/>
  <c r="K55" i="30"/>
  <c r="G56" i="30"/>
  <c r="H56" i="30" s="1"/>
  <c r="I56" i="30" s="1"/>
  <c r="J56" i="30" s="1"/>
  <c r="AD286" i="5"/>
  <c r="AH297" i="5"/>
  <c r="AD272" i="5"/>
  <c r="F217" i="13"/>
  <c r="E401" i="13"/>
  <c r="F401" i="13" s="1"/>
  <c r="N216" i="5"/>
  <c r="K216" i="5"/>
  <c r="H160" i="5"/>
  <c r="E421" i="13"/>
  <c r="F421" i="13" s="1"/>
  <c r="G242" i="13"/>
  <c r="K129" i="5"/>
  <c r="E426" i="13"/>
  <c r="F426" i="13" s="1"/>
  <c r="E216" i="13"/>
  <c r="E386" i="13"/>
  <c r="F386" i="13" s="1"/>
  <c r="F202" i="13"/>
  <c r="G237" i="13"/>
  <c r="H237" i="13" s="1"/>
  <c r="G217" i="13"/>
  <c r="K82" i="5"/>
  <c r="E246" i="13"/>
  <c r="E205" i="13"/>
  <c r="X112" i="5"/>
  <c r="D419" i="13"/>
  <c r="D427" i="13"/>
  <c r="K91" i="5"/>
  <c r="G247" i="13"/>
  <c r="F247" i="13"/>
  <c r="E419" i="13"/>
  <c r="F234" i="13"/>
  <c r="S112" i="5"/>
  <c r="F210" i="13"/>
  <c r="E222" i="13"/>
  <c r="D429" i="13"/>
  <c r="F245" i="13"/>
  <c r="N109" i="4"/>
  <c r="S228" i="4"/>
  <c r="V228" i="4"/>
  <c r="M205" i="4"/>
  <c r="N205" i="4" s="1"/>
  <c r="K250" i="4"/>
  <c r="S221" i="4"/>
  <c r="Q221" i="4"/>
  <c r="N221" i="4"/>
  <c r="M253" i="4"/>
  <c r="N253" i="4" s="1"/>
  <c r="M249" i="4"/>
  <c r="P249" i="4" s="1"/>
  <c r="M223" i="4"/>
  <c r="K223" i="4"/>
  <c r="P250" i="4"/>
  <c r="Q250" i="4" s="1"/>
  <c r="K215" i="4"/>
  <c r="M215" i="4"/>
  <c r="P241" i="4"/>
  <c r="N241" i="4"/>
  <c r="K218" i="4"/>
  <c r="M218" i="4"/>
  <c r="S206" i="4"/>
  <c r="P224" i="4"/>
  <c r="Q224" i="4" s="1"/>
  <c r="Q149" i="4"/>
  <c r="N149" i="4"/>
  <c r="W149" i="4"/>
  <c r="S163" i="4"/>
  <c r="N163" i="4"/>
  <c r="V163" i="4"/>
  <c r="W163" i="4" s="1"/>
  <c r="S149" i="4"/>
  <c r="K178" i="4"/>
  <c r="N176" i="4"/>
  <c r="S167" i="4"/>
  <c r="Q167" i="4"/>
  <c r="N167" i="4"/>
  <c r="K141" i="4"/>
  <c r="M141" i="4"/>
  <c r="K157" i="4"/>
  <c r="M157" i="4"/>
  <c r="N186" i="4"/>
  <c r="P186" i="4"/>
  <c r="K165" i="4"/>
  <c r="M165" i="4"/>
  <c r="K174" i="4"/>
  <c r="M174" i="4"/>
  <c r="AB131" i="4"/>
  <c r="Z131" i="4"/>
  <c r="G349" i="13"/>
  <c r="H349" i="13" s="1"/>
  <c r="M106" i="4"/>
  <c r="I349" i="13" s="1"/>
  <c r="G166" i="13"/>
  <c r="H166" i="13" s="1"/>
  <c r="G92" i="13"/>
  <c r="H92" i="13" s="1"/>
  <c r="G331" i="13"/>
  <c r="H331" i="13" s="1"/>
  <c r="P88" i="4"/>
  <c r="K87" i="13" s="1"/>
  <c r="I92" i="13"/>
  <c r="K55" i="4"/>
  <c r="M57" i="4"/>
  <c r="N57" i="4" s="1"/>
  <c r="R11" i="4"/>
  <c r="AJ12" i="4"/>
  <c r="I70" i="26"/>
  <c r="N40" i="22"/>
  <c r="N32" i="22"/>
  <c r="U40" i="22"/>
  <c r="U32" i="22"/>
  <c r="J40" i="22"/>
  <c r="J32" i="22"/>
  <c r="O40" i="22"/>
  <c r="O32" i="22"/>
  <c r="L40" i="22"/>
  <c r="L32" i="22"/>
  <c r="K40" i="22"/>
  <c r="K32" i="22"/>
  <c r="R40" i="22"/>
  <c r="R32" i="22"/>
  <c r="F40" i="22"/>
  <c r="F32" i="22"/>
  <c r="E40" i="22"/>
  <c r="E32" i="22"/>
  <c r="K108" i="13"/>
  <c r="K352" i="13"/>
  <c r="M352" i="13" s="1"/>
  <c r="I108" i="13"/>
  <c r="J108" i="13" s="1"/>
  <c r="I352" i="13"/>
  <c r="J352" i="13" s="1"/>
  <c r="S109" i="4"/>
  <c r="G148" i="13"/>
  <c r="H148" i="13" s="1"/>
  <c r="G31" i="2"/>
  <c r="G336" i="13"/>
  <c r="J336" i="13" s="1"/>
  <c r="I331" i="13"/>
  <c r="P93" i="4"/>
  <c r="K92" i="13" s="1"/>
  <c r="N93" i="4"/>
  <c r="G116" i="13"/>
  <c r="H116" i="13" s="1"/>
  <c r="I339" i="13"/>
  <c r="J339" i="13" s="1"/>
  <c r="G360" i="13"/>
  <c r="H360" i="13" s="1"/>
  <c r="G124" i="13"/>
  <c r="H124" i="13" s="1"/>
  <c r="G185" i="13"/>
  <c r="G368" i="13"/>
  <c r="H368" i="13" s="1"/>
  <c r="G177" i="13"/>
  <c r="H177" i="13" s="1"/>
  <c r="M117" i="4"/>
  <c r="I360" i="13" s="1"/>
  <c r="I91" i="13"/>
  <c r="M100" i="4"/>
  <c r="I343" i="13" s="1"/>
  <c r="J343" i="13" s="1"/>
  <c r="K92" i="4"/>
  <c r="M125" i="4"/>
  <c r="I185" i="13" s="1"/>
  <c r="G145" i="13"/>
  <c r="H145" i="13" s="1"/>
  <c r="P120" i="4"/>
  <c r="Q120" i="4" s="1"/>
  <c r="K91" i="4"/>
  <c r="I363" i="13"/>
  <c r="J363" i="13" s="1"/>
  <c r="G335" i="13"/>
  <c r="J335" i="13" s="1"/>
  <c r="G173" i="13"/>
  <c r="H173" i="13" s="1"/>
  <c r="M91" i="4"/>
  <c r="I90" i="13" s="1"/>
  <c r="H17" i="27"/>
  <c r="G77" i="18" s="1"/>
  <c r="K93" i="4"/>
  <c r="G90" i="13"/>
  <c r="H90" i="13" s="1"/>
  <c r="G334" i="13"/>
  <c r="H334" i="13" s="1"/>
  <c r="I119" i="13"/>
  <c r="J119" i="13" s="1"/>
  <c r="G91" i="13"/>
  <c r="H91" i="13" s="1"/>
  <c r="P130" i="4"/>
  <c r="S130" i="4" s="1"/>
  <c r="F359" i="13"/>
  <c r="G84" i="13"/>
  <c r="H84" i="13" s="1"/>
  <c r="I87" i="13"/>
  <c r="K88" i="4"/>
  <c r="G87" i="13"/>
  <c r="H87" i="13" s="1"/>
  <c r="AC343" i="6"/>
  <c r="AC337" i="6"/>
  <c r="AH334" i="6"/>
  <c r="AC341" i="6"/>
  <c r="AC366" i="6"/>
  <c r="W19" i="6"/>
  <c r="W382" i="6"/>
  <c r="O36" i="13"/>
  <c r="P36" i="13" s="1"/>
  <c r="W65" i="6"/>
  <c r="AE338" i="6"/>
  <c r="AH338" i="6" s="1"/>
  <c r="F82" i="30"/>
  <c r="G82" i="30" s="1"/>
  <c r="H82" i="30" s="1"/>
  <c r="I82" i="30" s="1"/>
  <c r="J82" i="30" s="1"/>
  <c r="J93" i="30" s="1"/>
  <c r="AB344" i="6"/>
  <c r="Z344" i="6"/>
  <c r="O14" i="13"/>
  <c r="P14" i="13" s="1"/>
  <c r="AB284" i="6"/>
  <c r="Z284" i="6"/>
  <c r="O64" i="13"/>
  <c r="P64" i="13" s="1"/>
  <c r="Y321" i="6"/>
  <c r="AB314" i="6"/>
  <c r="Z314" i="6"/>
  <c r="AE268" i="6"/>
  <c r="AC268" i="6"/>
  <c r="AI203" i="6"/>
  <c r="AF203" i="6"/>
  <c r="AC233" i="6"/>
  <c r="AE219" i="6"/>
  <c r="AF219" i="6" s="1"/>
  <c r="AC207" i="6"/>
  <c r="Z241" i="6"/>
  <c r="Z221" i="6"/>
  <c r="AH230" i="6"/>
  <c r="AK230" i="6" s="1"/>
  <c r="AC206" i="6"/>
  <c r="AH207" i="6"/>
  <c r="AI207" i="6" s="1"/>
  <c r="Z233" i="6"/>
  <c r="Y51" i="6"/>
  <c r="Z51" i="6" s="1"/>
  <c r="W60" i="6"/>
  <c r="AK222" i="6"/>
  <c r="AB215" i="6"/>
  <c r="Z215" i="6"/>
  <c r="AF174" i="6"/>
  <c r="AB188" i="6"/>
  <c r="AE186" i="6"/>
  <c r="AC186" i="6"/>
  <c r="AC174" i="6"/>
  <c r="AE155" i="6"/>
  <c r="AC155" i="6"/>
  <c r="W53" i="6"/>
  <c r="AE182" i="6"/>
  <c r="AC182" i="6"/>
  <c r="AC178" i="6"/>
  <c r="AE178" i="6"/>
  <c r="Y15" i="6"/>
  <c r="Q15" i="13" s="1"/>
  <c r="R15" i="13" s="1"/>
  <c r="AC157" i="6"/>
  <c r="Y31" i="6"/>
  <c r="Q31" i="13" s="1"/>
  <c r="R31" i="13" s="1"/>
  <c r="Z157" i="6"/>
  <c r="AI190" i="6"/>
  <c r="AK190" i="6"/>
  <c r="W42" i="6"/>
  <c r="Z96" i="6"/>
  <c r="Y34" i="6"/>
  <c r="Q34" i="13" s="1"/>
  <c r="AB85" i="6"/>
  <c r="AC85" i="6" s="1"/>
  <c r="Z107" i="6"/>
  <c r="Z101" i="6"/>
  <c r="AB101" i="6"/>
  <c r="AC101" i="6" s="1"/>
  <c r="W29" i="6"/>
  <c r="F237" i="13"/>
  <c r="K103" i="30"/>
  <c r="F334" i="13"/>
  <c r="K108" i="30"/>
  <c r="I101" i="30"/>
  <c r="G20" i="3" s="1"/>
  <c r="F98" i="30"/>
  <c r="H349" i="18"/>
  <c r="W40" i="22"/>
  <c r="V40" i="22"/>
  <c r="X40" i="22"/>
  <c r="AB169" i="4"/>
  <c r="AC169" i="4" s="1"/>
  <c r="Y167" i="4"/>
  <c r="AB167" i="4" s="1"/>
  <c r="P110" i="5"/>
  <c r="AH293" i="5"/>
  <c r="AD283" i="5"/>
  <c r="AH302" i="5"/>
  <c r="AI302" i="5" s="1"/>
  <c r="AD261" i="5"/>
  <c r="J151" i="5"/>
  <c r="E33" i="1"/>
  <c r="D13" i="2" s="1"/>
  <c r="E427" i="13"/>
  <c r="N171" i="5"/>
  <c r="S94" i="5"/>
  <c r="K94" i="5"/>
  <c r="K123" i="5"/>
  <c r="P123" i="5"/>
  <c r="P114" i="5"/>
  <c r="K114" i="5"/>
  <c r="AD274" i="5"/>
  <c r="AD304" i="5"/>
  <c r="N76" i="5"/>
  <c r="K104" i="5"/>
  <c r="P104" i="5"/>
  <c r="P120" i="5"/>
  <c r="K120" i="5"/>
  <c r="R74" i="4"/>
  <c r="M158" i="4"/>
  <c r="K158" i="4"/>
  <c r="K173" i="4"/>
  <c r="M173" i="4"/>
  <c r="N181" i="4"/>
  <c r="P181" i="4"/>
  <c r="N227" i="4"/>
  <c r="P227" i="4"/>
  <c r="P234" i="4"/>
  <c r="N234" i="4"/>
  <c r="H174" i="13"/>
  <c r="P96" i="4"/>
  <c r="K339" i="13" s="1"/>
  <c r="I95" i="13"/>
  <c r="J95" i="13" s="1"/>
  <c r="H363" i="18"/>
  <c r="G125" i="13"/>
  <c r="H125" i="13" s="1"/>
  <c r="G98" i="13"/>
  <c r="H98" i="13" s="1"/>
  <c r="H105" i="13"/>
  <c r="E11" i="2"/>
  <c r="G369" i="13"/>
  <c r="H369" i="13" s="1"/>
  <c r="G112" i="13"/>
  <c r="H112" i="13" s="1"/>
  <c r="H323" i="18"/>
  <c r="H318" i="18"/>
  <c r="H362" i="18"/>
  <c r="S40" i="22"/>
  <c r="P40" i="22"/>
  <c r="Q40" i="22"/>
  <c r="Y317" i="13"/>
  <c r="J68" i="13"/>
  <c r="L68" i="13"/>
  <c r="K87" i="30"/>
  <c r="H338" i="18"/>
  <c r="K128" i="30"/>
  <c r="H327" i="18"/>
  <c r="H324" i="18"/>
  <c r="H321" i="18"/>
  <c r="I132" i="30"/>
  <c r="K132" i="30" s="1"/>
  <c r="H339" i="18"/>
  <c r="H360" i="18"/>
  <c r="C343" i="18"/>
  <c r="H343" i="18" s="1"/>
  <c r="H344" i="18"/>
  <c r="H347" i="18"/>
  <c r="H320" i="18"/>
  <c r="G102" i="30"/>
  <c r="E39" i="3" s="1"/>
  <c r="D314" i="18"/>
  <c r="H337" i="18"/>
  <c r="H357" i="18"/>
  <c r="H359" i="18"/>
  <c r="H331" i="18"/>
  <c r="H345" i="18"/>
  <c r="H330" i="18"/>
  <c r="F327" i="18"/>
  <c r="F339" i="18"/>
  <c r="F319" i="18"/>
  <c r="F344" i="18"/>
  <c r="F328" i="18"/>
  <c r="F357" i="18"/>
  <c r="F325" i="18"/>
  <c r="F358" i="18"/>
  <c r="J122" i="30"/>
  <c r="J91" i="30" s="1"/>
  <c r="J101" i="30"/>
  <c r="H20" i="3" s="1"/>
  <c r="F321" i="18"/>
  <c r="F351" i="18"/>
  <c r="E335" i="18"/>
  <c r="E340" i="18"/>
  <c r="E332" i="18"/>
  <c r="E358" i="18"/>
  <c r="E353" i="18"/>
  <c r="E348" i="18"/>
  <c r="E360" i="18"/>
  <c r="E365" i="18"/>
  <c r="C351" i="18"/>
  <c r="H351" i="18" s="1"/>
  <c r="R350" i="13"/>
  <c r="C342" i="18"/>
  <c r="H342" i="18" s="1"/>
  <c r="D334" i="18"/>
  <c r="D350" i="18"/>
  <c r="D338" i="18"/>
  <c r="D357" i="18"/>
  <c r="D320" i="18"/>
  <c r="D321" i="18"/>
  <c r="D328" i="18"/>
  <c r="D330" i="18"/>
  <c r="C353" i="18"/>
  <c r="H353" i="18" s="1"/>
  <c r="C329" i="18"/>
  <c r="H329" i="18" s="1"/>
  <c r="C354" i="18"/>
  <c r="H354" i="18" s="1"/>
  <c r="C312" i="18"/>
  <c r="H312" i="18" s="1"/>
  <c r="C355" i="18"/>
  <c r="H355" i="18" s="1"/>
  <c r="C346" i="18"/>
  <c r="H346" i="18" s="1"/>
  <c r="C326" i="18"/>
  <c r="H326" i="18" s="1"/>
  <c r="H332" i="18"/>
  <c r="C350" i="18"/>
  <c r="H350" i="18" s="1"/>
  <c r="H317" i="18"/>
  <c r="H340" i="18"/>
  <c r="H316" i="18"/>
  <c r="C352" i="18"/>
  <c r="H352" i="18" s="1"/>
  <c r="H333" i="18"/>
  <c r="H319" i="18"/>
  <c r="AF366" i="6"/>
  <c r="AB18" i="6"/>
  <c r="S18" i="13" s="1"/>
  <c r="T18" i="13" s="1"/>
  <c r="AE348" i="6"/>
  <c r="AH348" i="6" s="1"/>
  <c r="W27" i="6"/>
  <c r="W31" i="6"/>
  <c r="W28" i="6"/>
  <c r="W47" i="6"/>
  <c r="W33" i="6"/>
  <c r="AF360" i="6"/>
  <c r="Z336" i="6"/>
  <c r="AB336" i="6"/>
  <c r="W63" i="6"/>
  <c r="AC356" i="6"/>
  <c r="AE356" i="6"/>
  <c r="AF350" i="6"/>
  <c r="AB371" i="6"/>
  <c r="Z371" i="6"/>
  <c r="AH354" i="6"/>
  <c r="AF354" i="6"/>
  <c r="W26" i="6"/>
  <c r="AF343" i="6"/>
  <c r="AH343" i="6"/>
  <c r="AB46" i="6"/>
  <c r="S46" i="13" s="1"/>
  <c r="AC350" i="6"/>
  <c r="AC368" i="6"/>
  <c r="AE368" i="6"/>
  <c r="AC340" i="6"/>
  <c r="AE340" i="6"/>
  <c r="Z377" i="6"/>
  <c r="AB377" i="6"/>
  <c r="AB63" i="6" s="1"/>
  <c r="AC360" i="6"/>
  <c r="AE379" i="6"/>
  <c r="AC379" i="6"/>
  <c r="Y63" i="6"/>
  <c r="Q63" i="13" s="1"/>
  <c r="R63" i="13" s="1"/>
  <c r="AE372" i="6"/>
  <c r="AC372" i="6"/>
  <c r="AI366" i="6"/>
  <c r="AK366" i="6"/>
  <c r="Y47" i="6"/>
  <c r="Q47" i="13" s="1"/>
  <c r="R47" i="13" s="1"/>
  <c r="AE329" i="6"/>
  <c r="AC329" i="6"/>
  <c r="AB381" i="6"/>
  <c r="Z381" i="6"/>
  <c r="AB361" i="6"/>
  <c r="Z361" i="6"/>
  <c r="AE367" i="6"/>
  <c r="AC367" i="6"/>
  <c r="AF351" i="6"/>
  <c r="AH351" i="6"/>
  <c r="Z382" i="6"/>
  <c r="AB382" i="6"/>
  <c r="AE373" i="6"/>
  <c r="AC373" i="6"/>
  <c r="AF363" i="6"/>
  <c r="AH363" i="6"/>
  <c r="AF337" i="6"/>
  <c r="AH337" i="6"/>
  <c r="AF333" i="6"/>
  <c r="AH333" i="6"/>
  <c r="Z345" i="6"/>
  <c r="AB345" i="6"/>
  <c r="AE378" i="6"/>
  <c r="AC378" i="6"/>
  <c r="Z357" i="6"/>
  <c r="AB357" i="6"/>
  <c r="AC369" i="6"/>
  <c r="AE369" i="6"/>
  <c r="AC332" i="6"/>
  <c r="AE332" i="6"/>
  <c r="AH370" i="6"/>
  <c r="AF370" i="6"/>
  <c r="AB365" i="6"/>
  <c r="Z365" i="6"/>
  <c r="AH355" i="6"/>
  <c r="AF355" i="6"/>
  <c r="O32" i="13"/>
  <c r="P32" i="13" s="1"/>
  <c r="W32" i="6"/>
  <c r="Z375" i="6"/>
  <c r="AB375" i="6"/>
  <c r="AB353" i="6"/>
  <c r="Z353" i="6"/>
  <c r="AH359" i="6"/>
  <c r="AF359" i="6"/>
  <c r="AC347" i="6"/>
  <c r="AE347" i="6"/>
  <c r="AK360" i="6"/>
  <c r="AI360" i="6"/>
  <c r="AC376" i="6"/>
  <c r="AE376" i="6"/>
  <c r="AE380" i="6"/>
  <c r="AC380" i="6"/>
  <c r="AH349" i="6"/>
  <c r="AF349" i="6"/>
  <c r="AK341" i="6"/>
  <c r="AI341" i="6"/>
  <c r="AF335" i="6"/>
  <c r="AH335" i="6"/>
  <c r="O18" i="13"/>
  <c r="P18" i="13" s="1"/>
  <c r="W18" i="6"/>
  <c r="AE362" i="6"/>
  <c r="AC362" i="6"/>
  <c r="AE346" i="6"/>
  <c r="AC346" i="6"/>
  <c r="AE342" i="6"/>
  <c r="AC342" i="6"/>
  <c r="AE358" i="6"/>
  <c r="AC358" i="6"/>
  <c r="Z330" i="6"/>
  <c r="AB330" i="6"/>
  <c r="AH352" i="6"/>
  <c r="AF352" i="6"/>
  <c r="AI334" i="6"/>
  <c r="AK334" i="6"/>
  <c r="AE374" i="6"/>
  <c r="AC374" i="6"/>
  <c r="AI350" i="6"/>
  <c r="AK350" i="6"/>
  <c r="AF364" i="6"/>
  <c r="AH364" i="6"/>
  <c r="AE339" i="6"/>
  <c r="AC339" i="6"/>
  <c r="AC306" i="6"/>
  <c r="AB64" i="6"/>
  <c r="S64" i="13" s="1"/>
  <c r="Z317" i="6"/>
  <c r="K69" i="30"/>
  <c r="Y19" i="6"/>
  <c r="Q19" i="13" s="1"/>
  <c r="R19" i="13" s="1"/>
  <c r="Z311" i="6"/>
  <c r="AC311" i="6"/>
  <c r="Z321" i="6"/>
  <c r="AF275" i="6"/>
  <c r="AH275" i="6"/>
  <c r="AC317" i="6"/>
  <c r="Z315" i="6"/>
  <c r="AB315" i="6"/>
  <c r="Z274" i="6"/>
  <c r="AB274" i="6"/>
  <c r="AB21" i="6" s="1"/>
  <c r="AF316" i="6"/>
  <c r="AH316" i="6"/>
  <c r="W40" i="6"/>
  <c r="AB318" i="6"/>
  <c r="Z318" i="6"/>
  <c r="AF285" i="6"/>
  <c r="AH285" i="6"/>
  <c r="AC273" i="6"/>
  <c r="AE273" i="6"/>
  <c r="Y64" i="6"/>
  <c r="W15" i="6"/>
  <c r="W62" i="6"/>
  <c r="AC275" i="6"/>
  <c r="AB313" i="6"/>
  <c r="Z313" i="6"/>
  <c r="AC316" i="6"/>
  <c r="AB304" i="6"/>
  <c r="Z304" i="6"/>
  <c r="AB297" i="6"/>
  <c r="Z297" i="6"/>
  <c r="AE307" i="6"/>
  <c r="AC307" i="6"/>
  <c r="AE320" i="6"/>
  <c r="AC320" i="6"/>
  <c r="AC310" i="6"/>
  <c r="AE310" i="6"/>
  <c r="AH286" i="6"/>
  <c r="AF286" i="6"/>
  <c r="AH311" i="6"/>
  <c r="AF311" i="6"/>
  <c r="AB281" i="6"/>
  <c r="Z281" i="6"/>
  <c r="AE292" i="6"/>
  <c r="AC292" i="6"/>
  <c r="AE280" i="6"/>
  <c r="AC280" i="6"/>
  <c r="AH317" i="6"/>
  <c r="AF317" i="6"/>
  <c r="AF293" i="6"/>
  <c r="AH293" i="6"/>
  <c r="AB301" i="6"/>
  <c r="Z301" i="6"/>
  <c r="AC291" i="6"/>
  <c r="AE291" i="6"/>
  <c r="AE279" i="6"/>
  <c r="AC279" i="6"/>
  <c r="AH289" i="6"/>
  <c r="AF289" i="6"/>
  <c r="AE305" i="6"/>
  <c r="AC305" i="6"/>
  <c r="AB276" i="6"/>
  <c r="AB23" i="6" s="1"/>
  <c r="Z276" i="6"/>
  <c r="AC309" i="6"/>
  <c r="AE309" i="6"/>
  <c r="Z277" i="6"/>
  <c r="AB277" i="6"/>
  <c r="AF298" i="6"/>
  <c r="AH298" i="6"/>
  <c r="Z272" i="6"/>
  <c r="AB272" i="6"/>
  <c r="AE302" i="6"/>
  <c r="AC302" i="6"/>
  <c r="AC290" i="6"/>
  <c r="AE290" i="6"/>
  <c r="AH278" i="6"/>
  <c r="AF278" i="6"/>
  <c r="AC270" i="6"/>
  <c r="AE270" i="6"/>
  <c r="AF306" i="6"/>
  <c r="AH306" i="6"/>
  <c r="AF288" i="6"/>
  <c r="AH288" i="6"/>
  <c r="AC294" i="6"/>
  <c r="AE294" i="6"/>
  <c r="Z319" i="6"/>
  <c r="AB319" i="6"/>
  <c r="AB66" i="6" s="1"/>
  <c r="AB296" i="6"/>
  <c r="Z296" i="6"/>
  <c r="AB308" i="6"/>
  <c r="Z308" i="6"/>
  <c r="AB312" i="6"/>
  <c r="Z312" i="6"/>
  <c r="Z295" i="6"/>
  <c r="AB295" i="6"/>
  <c r="AB269" i="6"/>
  <c r="Z269" i="6"/>
  <c r="AE300" i="6"/>
  <c r="AC300" i="6"/>
  <c r="AE282" i="6"/>
  <c r="AC282" i="6"/>
  <c r="AC299" i="6"/>
  <c r="AE299" i="6"/>
  <c r="AC287" i="6"/>
  <c r="AE287" i="6"/>
  <c r="AE303" i="6"/>
  <c r="AC303" i="6"/>
  <c r="AH271" i="6"/>
  <c r="AF271" i="6"/>
  <c r="AE267" i="6"/>
  <c r="AC267" i="6"/>
  <c r="AE283" i="6"/>
  <c r="AC283" i="6"/>
  <c r="AE234" i="6"/>
  <c r="AH234" i="6" s="1"/>
  <c r="W45" i="6"/>
  <c r="W61" i="6"/>
  <c r="AB238" i="6"/>
  <c r="AC238" i="6" s="1"/>
  <c r="AB232" i="6"/>
  <c r="Z232" i="6"/>
  <c r="Z204" i="6"/>
  <c r="AB204" i="6"/>
  <c r="W50" i="6"/>
  <c r="AB208" i="6"/>
  <c r="Z208" i="6"/>
  <c r="AE211" i="6"/>
  <c r="AC211" i="6"/>
  <c r="AB26" i="6"/>
  <c r="S26" i="13" s="1"/>
  <c r="Z21" i="6"/>
  <c r="AB216" i="6"/>
  <c r="Z216" i="6"/>
  <c r="AE242" i="6"/>
  <c r="AF242" i="6" s="1"/>
  <c r="AC223" i="6"/>
  <c r="AE223" i="6"/>
  <c r="AC198" i="6"/>
  <c r="AE198" i="6"/>
  <c r="AC212" i="6"/>
  <c r="AE212" i="6"/>
  <c r="Y252" i="6"/>
  <c r="Z252" i="6" s="1"/>
  <c r="AE236" i="6"/>
  <c r="AC236" i="6"/>
  <c r="Z228" i="6"/>
  <c r="AB228" i="6"/>
  <c r="AF225" i="6"/>
  <c r="AH225" i="6"/>
  <c r="AC213" i="6"/>
  <c r="AE213" i="6"/>
  <c r="W66" i="6"/>
  <c r="AC210" i="6"/>
  <c r="AE210" i="6"/>
  <c r="AE205" i="6"/>
  <c r="AC205" i="6"/>
  <c r="AC209" i="6"/>
  <c r="AE209" i="6"/>
  <c r="AH227" i="6"/>
  <c r="AF227" i="6"/>
  <c r="AC241" i="6"/>
  <c r="AE241" i="6"/>
  <c r="AC246" i="6"/>
  <c r="AE246" i="6"/>
  <c r="W46" i="6"/>
  <c r="AB239" i="6"/>
  <c r="AB55" i="6" s="1"/>
  <c r="Z239" i="6"/>
  <c r="AE249" i="6"/>
  <c r="AC249" i="6"/>
  <c r="Z237" i="6"/>
  <c r="AB237" i="6"/>
  <c r="AF233" i="6"/>
  <c r="AH233" i="6"/>
  <c r="AC221" i="6"/>
  <c r="AE221" i="6"/>
  <c r="W16" i="6"/>
  <c r="AC248" i="6"/>
  <c r="AE248" i="6"/>
  <c r="Z245" i="6"/>
  <c r="AB245" i="6"/>
  <c r="AE220" i="6"/>
  <c r="AC220" i="6"/>
  <c r="AE240" i="6"/>
  <c r="AC240" i="6"/>
  <c r="AB251" i="6"/>
  <c r="Z251" i="6"/>
  <c r="AF214" i="6"/>
  <c r="AH214" i="6"/>
  <c r="Z199" i="6"/>
  <c r="AB199" i="6"/>
  <c r="AE201" i="6"/>
  <c r="AC201" i="6"/>
  <c r="AB226" i="6"/>
  <c r="Z226" i="6"/>
  <c r="AF206" i="6"/>
  <c r="AH206" i="6"/>
  <c r="AB235" i="6"/>
  <c r="Z235" i="6"/>
  <c r="AC250" i="6"/>
  <c r="AE250" i="6"/>
  <c r="AI202" i="6"/>
  <c r="AK202" i="6"/>
  <c r="AC247" i="6"/>
  <c r="AE247" i="6"/>
  <c r="AC231" i="6"/>
  <c r="AE231" i="6"/>
  <c r="AE244" i="6"/>
  <c r="AC244" i="6"/>
  <c r="AC243" i="6"/>
  <c r="AE243" i="6"/>
  <c r="AB218" i="6"/>
  <c r="AB34" i="6" s="1"/>
  <c r="Z218" i="6"/>
  <c r="AE200" i="6"/>
  <c r="AC200" i="6"/>
  <c r="AH217" i="6"/>
  <c r="AF217" i="6"/>
  <c r="AB224" i="6"/>
  <c r="Z224" i="6"/>
  <c r="G69" i="1"/>
  <c r="F10" i="2" s="1"/>
  <c r="F76" i="30"/>
  <c r="G76" i="30" s="1"/>
  <c r="H76" i="30" s="1"/>
  <c r="I76" i="30" s="1"/>
  <c r="J76" i="30" s="1"/>
  <c r="J90" i="30" s="1"/>
  <c r="AH175" i="6"/>
  <c r="AI175" i="6" s="1"/>
  <c r="AI174" i="6"/>
  <c r="Z18" i="6"/>
  <c r="O24" i="13"/>
  <c r="P24" i="13" s="1"/>
  <c r="W24" i="6"/>
  <c r="O23" i="13"/>
  <c r="P23" i="13" s="1"/>
  <c r="W23" i="6"/>
  <c r="AE181" i="6"/>
  <c r="AC181" i="6"/>
  <c r="AC146" i="6"/>
  <c r="AC184" i="6"/>
  <c r="AE184" i="6"/>
  <c r="W48" i="6"/>
  <c r="O25" i="13"/>
  <c r="P25" i="13" s="1"/>
  <c r="W25" i="6"/>
  <c r="O20" i="13"/>
  <c r="P20" i="13" s="1"/>
  <c r="W20" i="6"/>
  <c r="AB166" i="6"/>
  <c r="Z166" i="6"/>
  <c r="AE161" i="6"/>
  <c r="AC161" i="6"/>
  <c r="AC185" i="6"/>
  <c r="AE185" i="6"/>
  <c r="AE147" i="6"/>
  <c r="AC147" i="6"/>
  <c r="O35" i="13"/>
  <c r="P35" i="13" s="1"/>
  <c r="W35" i="6"/>
  <c r="Z163" i="6"/>
  <c r="AB163" i="6"/>
  <c r="AH146" i="6"/>
  <c r="AF146" i="6"/>
  <c r="AH183" i="6"/>
  <c r="AF183" i="6"/>
  <c r="AE169" i="6"/>
  <c r="AC169" i="6"/>
  <c r="AH157" i="6"/>
  <c r="AF157" i="6"/>
  <c r="AE153" i="6"/>
  <c r="AC153" i="6"/>
  <c r="AB180" i="6"/>
  <c r="Z180" i="6"/>
  <c r="Z158" i="6"/>
  <c r="AB158" i="6"/>
  <c r="AB35" i="6" s="1"/>
  <c r="S35" i="13" s="1"/>
  <c r="AB138" i="6"/>
  <c r="Z138" i="6"/>
  <c r="AE148" i="6"/>
  <c r="AC148" i="6"/>
  <c r="AE141" i="6"/>
  <c r="AC141" i="6"/>
  <c r="AC156" i="6"/>
  <c r="AE156" i="6"/>
  <c r="AE152" i="6"/>
  <c r="AC152" i="6"/>
  <c r="AE173" i="6"/>
  <c r="AC173" i="6"/>
  <c r="AC164" i="6"/>
  <c r="AE164" i="6"/>
  <c r="AE159" i="6"/>
  <c r="AC159" i="6"/>
  <c r="Z176" i="6"/>
  <c r="AB176" i="6"/>
  <c r="Q14" i="13"/>
  <c r="Z14" i="6"/>
  <c r="AE145" i="6"/>
  <c r="AC145" i="6"/>
  <c r="AH187" i="6"/>
  <c r="AF187" i="6"/>
  <c r="AH139" i="6"/>
  <c r="AF139" i="6"/>
  <c r="AE143" i="6"/>
  <c r="AC143" i="6"/>
  <c r="W49" i="6"/>
  <c r="AE149" i="6"/>
  <c r="AC149" i="6"/>
  <c r="AC144" i="6"/>
  <c r="AE144" i="6"/>
  <c r="AC160" i="6"/>
  <c r="AE160" i="6"/>
  <c r="AC150" i="6"/>
  <c r="AE150" i="6"/>
  <c r="AC172" i="6"/>
  <c r="AE172" i="6"/>
  <c r="O21" i="13"/>
  <c r="W21" i="6"/>
  <c r="AB142" i="6"/>
  <c r="Z142" i="6"/>
  <c r="AB154" i="6"/>
  <c r="Z154" i="6"/>
  <c r="AB171" i="6"/>
  <c r="Z171" i="6"/>
  <c r="Z151" i="6"/>
  <c r="AB151" i="6"/>
  <c r="O44" i="13"/>
  <c r="P44" i="13" s="1"/>
  <c r="W44" i="6"/>
  <c r="AE165" i="6"/>
  <c r="AC165" i="6"/>
  <c r="AH140" i="6"/>
  <c r="AF140" i="6"/>
  <c r="AE137" i="6"/>
  <c r="AC137" i="6"/>
  <c r="AB167" i="6"/>
  <c r="Z167" i="6"/>
  <c r="Z170" i="6"/>
  <c r="AB170" i="6"/>
  <c r="O41" i="13"/>
  <c r="P41" i="13" s="1"/>
  <c r="W41" i="6"/>
  <c r="AE162" i="6"/>
  <c r="AC162" i="6"/>
  <c r="AH189" i="6"/>
  <c r="AF189" i="6"/>
  <c r="Y191" i="6"/>
  <c r="Z191" i="6" s="1"/>
  <c r="AC168" i="6"/>
  <c r="AE168" i="6"/>
  <c r="AH94" i="6"/>
  <c r="AI94" i="6" s="1"/>
  <c r="AC80" i="6"/>
  <c r="AC96" i="6"/>
  <c r="AC97" i="6"/>
  <c r="Y29" i="6"/>
  <c r="AB91" i="6"/>
  <c r="Z91" i="6"/>
  <c r="Y40" i="6"/>
  <c r="AB102" i="6"/>
  <c r="Z102" i="6"/>
  <c r="Y60" i="6"/>
  <c r="Z122" i="6"/>
  <c r="AB122" i="6"/>
  <c r="Z85" i="6"/>
  <c r="AE81" i="6"/>
  <c r="AC81" i="6"/>
  <c r="Y27" i="6"/>
  <c r="AB89" i="6"/>
  <c r="Z93" i="6"/>
  <c r="Y42" i="6"/>
  <c r="AB104" i="6"/>
  <c r="Z104" i="6"/>
  <c r="AE76" i="6"/>
  <c r="AC76" i="6"/>
  <c r="AE83" i="6"/>
  <c r="AC83" i="6"/>
  <c r="Y44" i="6"/>
  <c r="AB106" i="6"/>
  <c r="Z106" i="6"/>
  <c r="AB93" i="6"/>
  <c r="AE93" i="6" s="1"/>
  <c r="AK109" i="6"/>
  <c r="AH97" i="6"/>
  <c r="AF97" i="6"/>
  <c r="Y50" i="6"/>
  <c r="AB112" i="6"/>
  <c r="Z112" i="6"/>
  <c r="Y16" i="6"/>
  <c r="AB78" i="6"/>
  <c r="Z78" i="6"/>
  <c r="Y28" i="6"/>
  <c r="Z90" i="6"/>
  <c r="AB90" i="6"/>
  <c r="Y49" i="6"/>
  <c r="AB111" i="6"/>
  <c r="Z111" i="6"/>
  <c r="Y22" i="6"/>
  <c r="AB84" i="6"/>
  <c r="Z84" i="6"/>
  <c r="O30" i="13"/>
  <c r="P30" i="13" s="1"/>
  <c r="W30" i="6"/>
  <c r="Q55" i="13"/>
  <c r="Z55" i="6"/>
  <c r="Q46" i="13"/>
  <c r="R46" i="13" s="1"/>
  <c r="Z46" i="6"/>
  <c r="AE113" i="6"/>
  <c r="AC113" i="6"/>
  <c r="Y65" i="6"/>
  <c r="Z127" i="6"/>
  <c r="AB127" i="6"/>
  <c r="Y37" i="6"/>
  <c r="AB99" i="6"/>
  <c r="Z99" i="6"/>
  <c r="W130" i="6"/>
  <c r="Y130" i="6"/>
  <c r="AE77" i="6"/>
  <c r="AC77" i="6"/>
  <c r="Y41" i="6"/>
  <c r="AB103" i="6"/>
  <c r="Z103" i="6"/>
  <c r="Y48" i="6"/>
  <c r="Z110" i="6"/>
  <c r="AB110" i="6"/>
  <c r="Y62" i="6"/>
  <c r="Z124" i="6"/>
  <c r="AB124" i="6"/>
  <c r="AH88" i="6"/>
  <c r="AF88" i="6"/>
  <c r="AH108" i="6"/>
  <c r="AF108" i="6"/>
  <c r="AE128" i="6"/>
  <c r="AC128" i="6"/>
  <c r="AB45" i="6"/>
  <c r="AE107" i="6"/>
  <c r="AC107" i="6"/>
  <c r="AE117" i="6"/>
  <c r="AC117" i="6"/>
  <c r="Y33" i="6"/>
  <c r="Z95" i="6"/>
  <c r="AB95" i="6"/>
  <c r="AB56" i="6"/>
  <c r="AC118" i="6"/>
  <c r="AE118" i="6"/>
  <c r="Y67" i="6"/>
  <c r="Z129" i="6"/>
  <c r="AB129" i="6"/>
  <c r="O22" i="13"/>
  <c r="P22" i="13" s="1"/>
  <c r="V68" i="6"/>
  <c r="W22" i="6"/>
  <c r="Y43" i="6"/>
  <c r="Z105" i="6"/>
  <c r="AB105" i="6"/>
  <c r="Q66" i="13"/>
  <c r="R66" i="13" s="1"/>
  <c r="Z66" i="6"/>
  <c r="Q23" i="13"/>
  <c r="Y25" i="6"/>
  <c r="Z87" i="6"/>
  <c r="AB87" i="6"/>
  <c r="Y36" i="6"/>
  <c r="AB98" i="6"/>
  <c r="Z98" i="6"/>
  <c r="Y54" i="6"/>
  <c r="AB116" i="6"/>
  <c r="Z116" i="6"/>
  <c r="Y24" i="6"/>
  <c r="AB86" i="6"/>
  <c r="Z86" i="6"/>
  <c r="Y59" i="6"/>
  <c r="Z121" i="6"/>
  <c r="AB121" i="6"/>
  <c r="Y57" i="6"/>
  <c r="Z119" i="6"/>
  <c r="AB119" i="6"/>
  <c r="Y38" i="6"/>
  <c r="AB100" i="6"/>
  <c r="Z100" i="6"/>
  <c r="Y58" i="6"/>
  <c r="Z120" i="6"/>
  <c r="AB120" i="6"/>
  <c r="Y17" i="6"/>
  <c r="Z79" i="6"/>
  <c r="AB79" i="6"/>
  <c r="Y20" i="6"/>
  <c r="AB82" i="6"/>
  <c r="Z82" i="6"/>
  <c r="Y53" i="6"/>
  <c r="Z115" i="6"/>
  <c r="AB115" i="6"/>
  <c r="O43" i="13"/>
  <c r="P43" i="13" s="1"/>
  <c r="W43" i="6"/>
  <c r="O59" i="13"/>
  <c r="P59" i="13" s="1"/>
  <c r="W59" i="6"/>
  <c r="O57" i="13"/>
  <c r="P57" i="13" s="1"/>
  <c r="W57" i="6"/>
  <c r="Y52" i="6"/>
  <c r="Z114" i="6"/>
  <c r="AB114" i="6"/>
  <c r="AH80" i="6"/>
  <c r="AF80" i="6"/>
  <c r="AH96" i="6"/>
  <c r="AF96" i="6"/>
  <c r="Y61" i="6"/>
  <c r="AB123" i="6"/>
  <c r="Z123" i="6"/>
  <c r="Y30" i="6"/>
  <c r="AB92" i="6"/>
  <c r="Z92" i="6"/>
  <c r="O52" i="13"/>
  <c r="P52" i="13" s="1"/>
  <c r="W52" i="6"/>
  <c r="O38" i="13"/>
  <c r="P38" i="13" s="1"/>
  <c r="W38" i="6"/>
  <c r="H69" i="1"/>
  <c r="G10" i="2" s="1"/>
  <c r="I71" i="1"/>
  <c r="AH263" i="5"/>
  <c r="AI263" i="5" s="1"/>
  <c r="K63" i="30"/>
  <c r="H51" i="30"/>
  <c r="G64" i="30"/>
  <c r="H64" i="30" s="1"/>
  <c r="I64" i="30" s="1"/>
  <c r="J64" i="30" s="1"/>
  <c r="G51" i="30"/>
  <c r="I296" i="26"/>
  <c r="B7" i="13"/>
  <c r="K53" i="30"/>
  <c r="F51" i="30"/>
  <c r="F51" i="1"/>
  <c r="G53" i="1"/>
  <c r="J46" i="30"/>
  <c r="F232" i="13"/>
  <c r="K45" i="30"/>
  <c r="AO68" i="5"/>
  <c r="S164" i="5"/>
  <c r="X164" i="5"/>
  <c r="AC164" i="5" s="1"/>
  <c r="C287" i="18"/>
  <c r="H287" i="18" s="1"/>
  <c r="AT49" i="5"/>
  <c r="C276" i="18"/>
  <c r="H276" i="18" s="1"/>
  <c r="AT38" i="5"/>
  <c r="C296" i="18"/>
  <c r="H296" i="18" s="1"/>
  <c r="AT58" i="5"/>
  <c r="C295" i="18"/>
  <c r="H295" i="18" s="1"/>
  <c r="AT57" i="5"/>
  <c r="C265" i="18"/>
  <c r="H265" i="18" s="1"/>
  <c r="AT27" i="5"/>
  <c r="C267" i="18"/>
  <c r="H267" i="18" s="1"/>
  <c r="AT29" i="5"/>
  <c r="C284" i="18"/>
  <c r="H284" i="18" s="1"/>
  <c r="AT46" i="5"/>
  <c r="C254" i="18"/>
  <c r="H254" i="18" s="1"/>
  <c r="AT16" i="5"/>
  <c r="C269" i="18"/>
  <c r="H269" i="18" s="1"/>
  <c r="AT31" i="5"/>
  <c r="C270" i="18"/>
  <c r="H270" i="18" s="1"/>
  <c r="AT32" i="5"/>
  <c r="C255" i="18"/>
  <c r="H255" i="18" s="1"/>
  <c r="AT17" i="5"/>
  <c r="C304" i="18"/>
  <c r="H304" i="18" s="1"/>
  <c r="AT64" i="5"/>
  <c r="C300" i="18"/>
  <c r="H300" i="18" s="1"/>
  <c r="AT62" i="5"/>
  <c r="C256" i="18"/>
  <c r="H256" i="18" s="1"/>
  <c r="AT18" i="5"/>
  <c r="C273" i="18"/>
  <c r="H273" i="18" s="1"/>
  <c r="AT35" i="5"/>
  <c r="C283" i="18"/>
  <c r="H283" i="18" s="1"/>
  <c r="AT45" i="5"/>
  <c r="C292" i="18"/>
  <c r="H292" i="18" s="1"/>
  <c r="AT54" i="5"/>
  <c r="C277" i="18"/>
  <c r="H277" i="18" s="1"/>
  <c r="AT39" i="5"/>
  <c r="C263" i="18"/>
  <c r="H263" i="18" s="1"/>
  <c r="AT25" i="5"/>
  <c r="C259" i="18"/>
  <c r="H259" i="18" s="1"/>
  <c r="AT21" i="5"/>
  <c r="C275" i="18"/>
  <c r="H275" i="18" s="1"/>
  <c r="AT37" i="5"/>
  <c r="C281" i="18"/>
  <c r="H281" i="18" s="1"/>
  <c r="AT43" i="5"/>
  <c r="C299" i="18"/>
  <c r="H299" i="18" s="1"/>
  <c r="AT61" i="5"/>
  <c r="C285" i="18"/>
  <c r="H285" i="18" s="1"/>
  <c r="AT47" i="5"/>
  <c r="C271" i="18"/>
  <c r="H271" i="18" s="1"/>
  <c r="AT33" i="5"/>
  <c r="C257" i="18"/>
  <c r="H257" i="18" s="1"/>
  <c r="AT19" i="5"/>
  <c r="C291" i="18"/>
  <c r="H291" i="18" s="1"/>
  <c r="AT53" i="5"/>
  <c r="C253" i="18"/>
  <c r="H253" i="18" s="1"/>
  <c r="AT15" i="5"/>
  <c r="C289" i="18"/>
  <c r="H289" i="18" s="1"/>
  <c r="AT51" i="5"/>
  <c r="C258" i="18"/>
  <c r="H258" i="18" s="1"/>
  <c r="AT20" i="5"/>
  <c r="C293" i="18"/>
  <c r="H293" i="18" s="1"/>
  <c r="AT55" i="5"/>
  <c r="C279" i="18"/>
  <c r="H279" i="18" s="1"/>
  <c r="AT41" i="5"/>
  <c r="C278" i="18"/>
  <c r="H278" i="18" s="1"/>
  <c r="AT40" i="5"/>
  <c r="C261" i="18"/>
  <c r="H261" i="18" s="1"/>
  <c r="AT23" i="5"/>
  <c r="C297" i="18"/>
  <c r="H297" i="18" s="1"/>
  <c r="AT59" i="5"/>
  <c r="C302" i="18"/>
  <c r="H302" i="18" s="1"/>
  <c r="AT65" i="5"/>
  <c r="C274" i="18"/>
  <c r="H274" i="18" s="1"/>
  <c r="AT36" i="5"/>
  <c r="C301" i="18"/>
  <c r="H301" i="18" s="1"/>
  <c r="AT63" i="5"/>
  <c r="C303" i="18"/>
  <c r="H303" i="18" s="1"/>
  <c r="AT66" i="5"/>
  <c r="C305" i="18"/>
  <c r="H305" i="18" s="1"/>
  <c r="AT67" i="5"/>
  <c r="C272" i="18"/>
  <c r="H272" i="18" s="1"/>
  <c r="AT34" i="5"/>
  <c r="C266" i="18"/>
  <c r="H266" i="18" s="1"/>
  <c r="AT28" i="5"/>
  <c r="C264" i="18"/>
  <c r="H264" i="18" s="1"/>
  <c r="AT26" i="5"/>
  <c r="C290" i="18"/>
  <c r="H290" i="18" s="1"/>
  <c r="AT52" i="5"/>
  <c r="C282" i="18"/>
  <c r="H282" i="18" s="1"/>
  <c r="AT44" i="5"/>
  <c r="C268" i="18"/>
  <c r="H268" i="18" s="1"/>
  <c r="AT30" i="5"/>
  <c r="C262" i="18"/>
  <c r="H262" i="18" s="1"/>
  <c r="AT24" i="5"/>
  <c r="C280" i="18"/>
  <c r="H280" i="18" s="1"/>
  <c r="AT42" i="5"/>
  <c r="C294" i="18"/>
  <c r="H294" i="18" s="1"/>
  <c r="AT56" i="5"/>
  <c r="C298" i="18"/>
  <c r="H298" i="18" s="1"/>
  <c r="AT60" i="5"/>
  <c r="C260" i="18"/>
  <c r="H260" i="18" s="1"/>
  <c r="AT22" i="5"/>
  <c r="C288" i="18"/>
  <c r="H288" i="18" s="1"/>
  <c r="AT50" i="5"/>
  <c r="C286" i="18"/>
  <c r="H286" i="18" s="1"/>
  <c r="AT48" i="5"/>
  <c r="S105" i="5"/>
  <c r="X105" i="5"/>
  <c r="Y105" i="5" s="1"/>
  <c r="G243" i="13"/>
  <c r="X121" i="5"/>
  <c r="AC121" i="5" s="1"/>
  <c r="F242" i="13"/>
  <c r="P111" i="5"/>
  <c r="K111" i="5"/>
  <c r="P80" i="5"/>
  <c r="K80" i="5"/>
  <c r="Q213" i="4"/>
  <c r="V213" i="4"/>
  <c r="S213" i="4"/>
  <c r="Q242" i="4"/>
  <c r="V242" i="4"/>
  <c r="S242" i="4"/>
  <c r="Y240" i="4"/>
  <c r="W240" i="4"/>
  <c r="Q243" i="4"/>
  <c r="V243" i="4"/>
  <c r="S243" i="4"/>
  <c r="N216" i="4"/>
  <c r="P216" i="4"/>
  <c r="S235" i="4"/>
  <c r="K222" i="4"/>
  <c r="M222" i="4"/>
  <c r="V235" i="4"/>
  <c r="Y235" i="4" s="1"/>
  <c r="N251" i="4"/>
  <c r="P251" i="4"/>
  <c r="Q206" i="4"/>
  <c r="V207" i="4"/>
  <c r="M229" i="4"/>
  <c r="K229" i="4"/>
  <c r="Q207" i="4"/>
  <c r="N207" i="4"/>
  <c r="P214" i="4"/>
  <c r="N214" i="4"/>
  <c r="K244" i="4"/>
  <c r="M244" i="4"/>
  <c r="Y189" i="4"/>
  <c r="Z189" i="4" s="1"/>
  <c r="Y192" i="4"/>
  <c r="Z192" i="4" s="1"/>
  <c r="AB149" i="4"/>
  <c r="AC149" i="4" s="1"/>
  <c r="AB152" i="4"/>
  <c r="AC152" i="4" s="1"/>
  <c r="S192" i="4"/>
  <c r="N164" i="4"/>
  <c r="P164" i="4"/>
  <c r="K177" i="4"/>
  <c r="K182" i="4"/>
  <c r="M182" i="4"/>
  <c r="V144" i="4"/>
  <c r="S144" i="4"/>
  <c r="Q144" i="4"/>
  <c r="M162" i="4"/>
  <c r="P162" i="4" s="1"/>
  <c r="K185" i="4"/>
  <c r="K147" i="4"/>
  <c r="M147" i="4"/>
  <c r="K191" i="4"/>
  <c r="M191" i="4"/>
  <c r="Y156" i="4"/>
  <c r="Z156" i="4" s="1"/>
  <c r="K155" i="4"/>
  <c r="M155" i="4"/>
  <c r="H16" i="27"/>
  <c r="G76" i="18" s="1"/>
  <c r="M80" i="4"/>
  <c r="K80" i="4"/>
  <c r="K105" i="4"/>
  <c r="G144" i="13"/>
  <c r="H144" i="13" s="1"/>
  <c r="G104" i="13"/>
  <c r="H104" i="13" s="1"/>
  <c r="N105" i="4"/>
  <c r="G83" i="13"/>
  <c r="H83" i="13" s="1"/>
  <c r="G348" i="13"/>
  <c r="H348" i="13" s="1"/>
  <c r="P105" i="4"/>
  <c r="K348" i="13" s="1"/>
  <c r="I103" i="13"/>
  <c r="J103" i="13" s="1"/>
  <c r="I104" i="13"/>
  <c r="G175" i="13"/>
  <c r="H175" i="13" s="1"/>
  <c r="E15" i="2"/>
  <c r="M113" i="4"/>
  <c r="K113" i="4"/>
  <c r="M47" i="4"/>
  <c r="P47" i="4" s="1"/>
  <c r="G169" i="13"/>
  <c r="H169" i="13" s="1"/>
  <c r="P60" i="4"/>
  <c r="V60" i="4" s="1"/>
  <c r="K34" i="4"/>
  <c r="M34" i="4"/>
  <c r="K42" i="4"/>
  <c r="M42" i="4"/>
  <c r="S50" i="4"/>
  <c r="I139" i="13"/>
  <c r="J139" i="13" s="1"/>
  <c r="Q50" i="4"/>
  <c r="Q40" i="4"/>
  <c r="S40" i="4"/>
  <c r="W40" i="4"/>
  <c r="M18" i="4"/>
  <c r="K18" i="4"/>
  <c r="V59" i="4"/>
  <c r="W59" i="4" s="1"/>
  <c r="M53" i="4"/>
  <c r="K53" i="4"/>
  <c r="S67" i="4"/>
  <c r="Q67" i="4"/>
  <c r="V67" i="4"/>
  <c r="G140" i="13"/>
  <c r="H140" i="13" s="1"/>
  <c r="R198" i="4"/>
  <c r="I148" i="27"/>
  <c r="I165" i="27"/>
  <c r="I145" i="27"/>
  <c r="R195" i="6"/>
  <c r="N204" i="5"/>
  <c r="D395" i="13"/>
  <c r="D411" i="13"/>
  <c r="E227" i="13"/>
  <c r="I74" i="26"/>
  <c r="E211" i="13"/>
  <c r="D387" i="13"/>
  <c r="K229" i="5"/>
  <c r="I139" i="27"/>
  <c r="F32" i="1"/>
  <c r="I155" i="27"/>
  <c r="F68" i="13"/>
  <c r="H63" i="27"/>
  <c r="G63" i="18" s="1"/>
  <c r="H29" i="27"/>
  <c r="I29" i="27" s="1"/>
  <c r="J146" i="5"/>
  <c r="M146" i="5" s="1"/>
  <c r="P146" i="5" s="1"/>
  <c r="I140" i="27"/>
  <c r="I167" i="27"/>
  <c r="I173" i="27"/>
  <c r="I157" i="27"/>
  <c r="H49" i="27"/>
  <c r="I49" i="27" s="1"/>
  <c r="H40" i="27"/>
  <c r="I40" i="27" s="1"/>
  <c r="H53" i="27"/>
  <c r="I53" i="27" s="1"/>
  <c r="I133" i="27"/>
  <c r="I134" i="27"/>
  <c r="I151" i="27"/>
  <c r="H187" i="5"/>
  <c r="J185" i="5"/>
  <c r="H163" i="5"/>
  <c r="J163" i="5"/>
  <c r="M163" i="5" s="1"/>
  <c r="P163" i="5" s="1"/>
  <c r="H62" i="27"/>
  <c r="I62" i="27" s="1"/>
  <c r="R256" i="6"/>
  <c r="J173" i="5"/>
  <c r="I242" i="13"/>
  <c r="R264" i="6"/>
  <c r="I264" i="26"/>
  <c r="K174" i="5"/>
  <c r="Y40" i="22"/>
  <c r="D40" i="22"/>
  <c r="C184" i="18"/>
  <c r="C64" i="18"/>
  <c r="E19" i="18"/>
  <c r="E139" i="18"/>
  <c r="G20" i="18"/>
  <c r="G140" i="18"/>
  <c r="D30" i="18"/>
  <c r="D150" i="18"/>
  <c r="F165" i="18"/>
  <c r="F45" i="18"/>
  <c r="E18" i="18"/>
  <c r="E138" i="18"/>
  <c r="G165" i="18"/>
  <c r="G45" i="18"/>
  <c r="C12" i="18"/>
  <c r="H33" i="27"/>
  <c r="I33" i="27" s="1"/>
  <c r="C170" i="18"/>
  <c r="C50" i="18"/>
  <c r="E65" i="18"/>
  <c r="E185" i="18"/>
  <c r="D38" i="18"/>
  <c r="D158" i="18"/>
  <c r="E173" i="18"/>
  <c r="E53" i="18"/>
  <c r="C139" i="18"/>
  <c r="C19" i="18"/>
  <c r="G48" i="18"/>
  <c r="G168" i="18"/>
  <c r="D184" i="18"/>
  <c r="D64" i="18"/>
  <c r="E133" i="18"/>
  <c r="E13" i="18"/>
  <c r="D14" i="18"/>
  <c r="D134" i="18"/>
  <c r="E141" i="18"/>
  <c r="E21" i="18"/>
  <c r="F65" i="18"/>
  <c r="F125" i="18"/>
  <c r="F185" i="18"/>
  <c r="F147" i="18"/>
  <c r="F27" i="18"/>
  <c r="E175" i="18"/>
  <c r="E55" i="18"/>
  <c r="C16" i="18"/>
  <c r="C136" i="18"/>
  <c r="F154" i="18"/>
  <c r="F34" i="18"/>
  <c r="D54" i="18"/>
  <c r="D174" i="18"/>
  <c r="C141" i="18"/>
  <c r="C21" i="18"/>
  <c r="C159" i="18"/>
  <c r="C39" i="18"/>
  <c r="C176" i="18"/>
  <c r="C56" i="18"/>
  <c r="D185" i="18"/>
  <c r="D65" i="18"/>
  <c r="D160" i="18"/>
  <c r="D40" i="18"/>
  <c r="C164" i="18"/>
  <c r="C44" i="18"/>
  <c r="C166" i="18"/>
  <c r="C46" i="18"/>
  <c r="D154" i="18"/>
  <c r="D34" i="18"/>
  <c r="C169" i="18"/>
  <c r="C49" i="18"/>
  <c r="F63" i="18"/>
  <c r="F183" i="18"/>
  <c r="E142" i="18"/>
  <c r="E22" i="18"/>
  <c r="E33" i="18"/>
  <c r="E153" i="18"/>
  <c r="D60" i="18"/>
  <c r="D180" i="18"/>
  <c r="C140" i="18"/>
  <c r="C20" i="18"/>
  <c r="D168" i="18"/>
  <c r="D48" i="18"/>
  <c r="D147" i="18"/>
  <c r="D27" i="18"/>
  <c r="E36" i="18"/>
  <c r="E156" i="18"/>
  <c r="D53" i="18"/>
  <c r="D173" i="18"/>
  <c r="C163" i="18"/>
  <c r="C43" i="18"/>
  <c r="G39" i="18"/>
  <c r="G159" i="18"/>
  <c r="C175" i="18"/>
  <c r="C55" i="18"/>
  <c r="F24" i="18"/>
  <c r="F144" i="18"/>
  <c r="E50" i="18"/>
  <c r="E170" i="18"/>
  <c r="G185" i="18"/>
  <c r="G65" i="18"/>
  <c r="C15" i="18"/>
  <c r="C135" i="18"/>
  <c r="E17" i="18"/>
  <c r="E137" i="18"/>
  <c r="C24" i="18"/>
  <c r="C144" i="18"/>
  <c r="D29" i="18"/>
  <c r="D149" i="18"/>
  <c r="C177" i="18"/>
  <c r="C57" i="18"/>
  <c r="F17" i="18"/>
  <c r="F137" i="18"/>
  <c r="D37" i="18"/>
  <c r="D157" i="18"/>
  <c r="E57" i="18"/>
  <c r="E177" i="18"/>
  <c r="F22" i="18"/>
  <c r="F142" i="18"/>
  <c r="F40" i="18"/>
  <c r="F160" i="18"/>
  <c r="F57" i="18"/>
  <c r="F177" i="18"/>
  <c r="E26" i="18"/>
  <c r="E146" i="18"/>
  <c r="G161" i="18"/>
  <c r="G41" i="18"/>
  <c r="E181" i="18"/>
  <c r="E61" i="18"/>
  <c r="D44" i="18"/>
  <c r="D164" i="18"/>
  <c r="E182" i="18"/>
  <c r="E62" i="18"/>
  <c r="D171" i="18"/>
  <c r="D51" i="18"/>
  <c r="E158" i="18"/>
  <c r="E38" i="18"/>
  <c r="C171" i="18"/>
  <c r="C51" i="18"/>
  <c r="C156" i="18"/>
  <c r="C36" i="18"/>
  <c r="G181" i="18"/>
  <c r="G61" i="18"/>
  <c r="F141" i="18"/>
  <c r="F21" i="18"/>
  <c r="E150" i="18"/>
  <c r="E30" i="18"/>
  <c r="C158" i="18"/>
  <c r="C38" i="18"/>
  <c r="G54" i="18"/>
  <c r="G174" i="18"/>
  <c r="C134" i="18"/>
  <c r="C14" i="18"/>
  <c r="E41" i="18"/>
  <c r="E161" i="18"/>
  <c r="F56" i="18"/>
  <c r="F176" i="18"/>
  <c r="D146" i="18"/>
  <c r="D26" i="18"/>
  <c r="C172" i="18"/>
  <c r="C52" i="18"/>
  <c r="C165" i="18"/>
  <c r="C45" i="18"/>
  <c r="F140" i="18"/>
  <c r="F20" i="18"/>
  <c r="F25" i="18"/>
  <c r="F145" i="18"/>
  <c r="E135" i="18"/>
  <c r="E15" i="18"/>
  <c r="F178" i="18"/>
  <c r="F58" i="18"/>
  <c r="C25" i="18"/>
  <c r="C145" i="18"/>
  <c r="E160" i="18"/>
  <c r="E40" i="18"/>
  <c r="C180" i="18"/>
  <c r="C60" i="18"/>
  <c r="D145" i="18"/>
  <c r="D25" i="18"/>
  <c r="D162" i="18"/>
  <c r="D42" i="18"/>
  <c r="E136" i="18"/>
  <c r="E16" i="18"/>
  <c r="C148" i="18"/>
  <c r="C28" i="18"/>
  <c r="E43" i="18"/>
  <c r="E163" i="18"/>
  <c r="C183" i="18"/>
  <c r="C63" i="18"/>
  <c r="G57" i="18"/>
  <c r="G177" i="18"/>
  <c r="F62" i="18"/>
  <c r="F182" i="18"/>
  <c r="C33" i="18"/>
  <c r="C153" i="18"/>
  <c r="F38" i="18"/>
  <c r="F158" i="18"/>
  <c r="D163" i="18"/>
  <c r="D43" i="18"/>
  <c r="D13" i="18"/>
  <c r="D133" i="18"/>
  <c r="F157" i="18"/>
  <c r="F37" i="18"/>
  <c r="E183" i="18"/>
  <c r="E63" i="18"/>
  <c r="D36" i="18"/>
  <c r="D156" i="18"/>
  <c r="E51" i="18"/>
  <c r="E171" i="18"/>
  <c r="D144" i="18"/>
  <c r="D24" i="18"/>
  <c r="F39" i="18"/>
  <c r="F159" i="18"/>
  <c r="E176" i="18"/>
  <c r="E56" i="18"/>
  <c r="F15" i="18"/>
  <c r="F135" i="18"/>
  <c r="F164" i="18"/>
  <c r="F44" i="18"/>
  <c r="D178" i="18"/>
  <c r="D58" i="18"/>
  <c r="F173" i="18"/>
  <c r="F53" i="18"/>
  <c r="F46" i="18"/>
  <c r="F166" i="18"/>
  <c r="F132" i="18"/>
  <c r="F12" i="18"/>
  <c r="D22" i="18"/>
  <c r="D142" i="18"/>
  <c r="C32" i="18"/>
  <c r="C152" i="18"/>
  <c r="C17" i="18"/>
  <c r="C137" i="18"/>
  <c r="E152" i="18"/>
  <c r="E32" i="18"/>
  <c r="D61" i="18"/>
  <c r="D181" i="18"/>
  <c r="F146" i="18"/>
  <c r="F26" i="18"/>
  <c r="C162" i="18"/>
  <c r="C42" i="18"/>
  <c r="F181" i="18"/>
  <c r="F61" i="18"/>
  <c r="C133" i="18"/>
  <c r="C13" i="18"/>
  <c r="E28" i="18"/>
  <c r="E148" i="18"/>
  <c r="G163" i="18"/>
  <c r="G43" i="18"/>
  <c r="C138" i="18"/>
  <c r="C18" i="18"/>
  <c r="F149" i="18"/>
  <c r="F29" i="18"/>
  <c r="D169" i="18"/>
  <c r="D49" i="18"/>
  <c r="F64" i="18"/>
  <c r="F184" i="18"/>
  <c r="D139" i="18"/>
  <c r="D19" i="18"/>
  <c r="D152" i="18"/>
  <c r="D32" i="18"/>
  <c r="F156" i="18"/>
  <c r="F36" i="18"/>
  <c r="F172" i="18"/>
  <c r="F52" i="18"/>
  <c r="D177" i="18"/>
  <c r="D57" i="18"/>
  <c r="E166" i="18"/>
  <c r="E46" i="18"/>
  <c r="D21" i="18"/>
  <c r="D141" i="18"/>
  <c r="D39" i="18"/>
  <c r="D159" i="18"/>
  <c r="C185" i="18"/>
  <c r="C65" i="18"/>
  <c r="E174" i="18"/>
  <c r="E54" i="18"/>
  <c r="E159" i="18"/>
  <c r="E39" i="18"/>
  <c r="C173" i="18"/>
  <c r="C53" i="18"/>
  <c r="E27" i="18"/>
  <c r="E147" i="18"/>
  <c r="D161" i="18"/>
  <c r="D41" i="18"/>
  <c r="C178" i="18"/>
  <c r="C58" i="18"/>
  <c r="D137" i="18"/>
  <c r="D17" i="18"/>
  <c r="D46" i="18"/>
  <c r="D166" i="18"/>
  <c r="E149" i="18"/>
  <c r="E29" i="18"/>
  <c r="D55" i="18"/>
  <c r="D175" i="18"/>
  <c r="F170" i="18"/>
  <c r="F50" i="18"/>
  <c r="E12" i="18"/>
  <c r="F33" i="18"/>
  <c r="F153" i="18"/>
  <c r="F138" i="18"/>
  <c r="F18" i="18"/>
  <c r="C154" i="18"/>
  <c r="C34" i="18"/>
  <c r="D28" i="18"/>
  <c r="D148" i="18"/>
  <c r="F163" i="18"/>
  <c r="F43" i="18"/>
  <c r="D63" i="18"/>
  <c r="D183" i="18"/>
  <c r="F14" i="18"/>
  <c r="F134" i="18"/>
  <c r="C150" i="18"/>
  <c r="C30" i="18"/>
  <c r="E165" i="18"/>
  <c r="E45" i="18"/>
  <c r="F139" i="18"/>
  <c r="F19" i="18"/>
  <c r="D31" i="18"/>
  <c r="D151" i="18"/>
  <c r="E52" i="18"/>
  <c r="E172" i="18"/>
  <c r="C147" i="18"/>
  <c r="C27" i="18"/>
  <c r="D12" i="18"/>
  <c r="F133" i="18"/>
  <c r="F13" i="18"/>
  <c r="C161" i="18"/>
  <c r="C41" i="18"/>
  <c r="F54" i="18"/>
  <c r="F174" i="18"/>
  <c r="C149" i="18"/>
  <c r="C29" i="18"/>
  <c r="G162" i="18"/>
  <c r="G42" i="18"/>
  <c r="F180" i="18"/>
  <c r="F60" i="18"/>
  <c r="E20" i="18"/>
  <c r="E140" i="18"/>
  <c r="F48" i="18"/>
  <c r="F168" i="18"/>
  <c r="C31" i="18"/>
  <c r="C151" i="18"/>
  <c r="E58" i="18"/>
  <c r="E178" i="18"/>
  <c r="D52" i="18"/>
  <c r="D172" i="18"/>
  <c r="F16" i="18"/>
  <c r="F136" i="18"/>
  <c r="E168" i="18"/>
  <c r="E48" i="18"/>
  <c r="D20" i="18"/>
  <c r="D140" i="18"/>
  <c r="C160" i="18"/>
  <c r="C40" i="18"/>
  <c r="E184" i="18"/>
  <c r="E64" i="18"/>
  <c r="D45" i="18"/>
  <c r="D165" i="18"/>
  <c r="D136" i="18"/>
  <c r="D16" i="18"/>
  <c r="F31" i="18"/>
  <c r="F151" i="18"/>
  <c r="C168" i="18"/>
  <c r="C48" i="18"/>
  <c r="E60" i="18"/>
  <c r="E180" i="18"/>
  <c r="E34" i="18"/>
  <c r="E154" i="18"/>
  <c r="C174" i="18"/>
  <c r="C54" i="18"/>
  <c r="F148" i="18"/>
  <c r="F28" i="18"/>
  <c r="G51" i="18"/>
  <c r="G171" i="18"/>
  <c r="C146" i="18"/>
  <c r="C26" i="18"/>
  <c r="E157" i="18"/>
  <c r="E37" i="18"/>
  <c r="E134" i="18"/>
  <c r="E14" i="18"/>
  <c r="E25" i="18"/>
  <c r="E145" i="18"/>
  <c r="E42" i="18"/>
  <c r="E162" i="18"/>
  <c r="D15" i="18"/>
  <c r="D135" i="18"/>
  <c r="F162" i="18"/>
  <c r="F42" i="18"/>
  <c r="D176" i="18"/>
  <c r="D56" i="18"/>
  <c r="F30" i="18"/>
  <c r="F150" i="18"/>
  <c r="E44" i="18"/>
  <c r="E164" i="18"/>
  <c r="D62" i="18"/>
  <c r="D182" i="18"/>
  <c r="C142" i="18"/>
  <c r="C22" i="18"/>
  <c r="D170" i="18"/>
  <c r="D50" i="18"/>
  <c r="G180" i="18"/>
  <c r="G60" i="18"/>
  <c r="F32" i="18"/>
  <c r="F152" i="18"/>
  <c r="C181" i="18"/>
  <c r="C61" i="18"/>
  <c r="D138" i="18"/>
  <c r="D18" i="18"/>
  <c r="F171" i="18"/>
  <c r="F51" i="18"/>
  <c r="E144" i="18"/>
  <c r="E24" i="18"/>
  <c r="F41" i="18"/>
  <c r="F161" i="18"/>
  <c r="E151" i="18"/>
  <c r="E31" i="18"/>
  <c r="E49" i="18"/>
  <c r="E169" i="18"/>
  <c r="D153" i="18"/>
  <c r="D33" i="18"/>
  <c r="F49" i="18"/>
  <c r="F169" i="18"/>
  <c r="C182" i="18"/>
  <c r="C62" i="18"/>
  <c r="C157" i="18"/>
  <c r="C37" i="18"/>
  <c r="F55" i="18"/>
  <c r="F175" i="18"/>
  <c r="I142" i="27"/>
  <c r="I149" i="27"/>
  <c r="H64" i="27"/>
  <c r="I64" i="27" s="1"/>
  <c r="H50" i="27"/>
  <c r="I50" i="27" s="1"/>
  <c r="J141" i="5"/>
  <c r="M141" i="5" s="1"/>
  <c r="P141" i="5" s="1"/>
  <c r="H37" i="27"/>
  <c r="I37" i="27" s="1"/>
  <c r="H153" i="5"/>
  <c r="J153" i="5"/>
  <c r="M153" i="5" s="1"/>
  <c r="P153" i="5" s="1"/>
  <c r="H25" i="27"/>
  <c r="I25" i="27" s="1"/>
  <c r="I136" i="27"/>
  <c r="Y11" i="13"/>
  <c r="Y73" i="13"/>
  <c r="Y195" i="13"/>
  <c r="AJ135" i="6"/>
  <c r="I255" i="26"/>
  <c r="I132" i="26"/>
  <c r="R325" i="6"/>
  <c r="AJ74" i="6"/>
  <c r="R11" i="6"/>
  <c r="AJ257" i="6"/>
  <c r="AJ196" i="6"/>
  <c r="I195" i="26"/>
  <c r="I12" i="26"/>
  <c r="I137" i="26"/>
  <c r="I143" i="27"/>
  <c r="I176" i="27"/>
  <c r="I153" i="27"/>
  <c r="H38" i="27"/>
  <c r="G98" i="18" s="1"/>
  <c r="H31" i="27"/>
  <c r="I31" i="27" s="1"/>
  <c r="H14" i="27"/>
  <c r="I14" i="27" s="1"/>
  <c r="H56" i="27"/>
  <c r="I56" i="27" s="1"/>
  <c r="X156" i="5"/>
  <c r="S156" i="5"/>
  <c r="K188" i="5"/>
  <c r="G87" i="1"/>
  <c r="F15" i="2" s="1"/>
  <c r="F354" i="13"/>
  <c r="F320" i="13"/>
  <c r="G27" i="18"/>
  <c r="G147" i="18"/>
  <c r="G164" i="18"/>
  <c r="G44" i="18"/>
  <c r="G138" i="18"/>
  <c r="G18" i="18"/>
  <c r="G150" i="18"/>
  <c r="G30" i="18"/>
  <c r="G55" i="18"/>
  <c r="G175" i="18"/>
  <c r="G222" i="13"/>
  <c r="E221" i="13"/>
  <c r="G247" i="18"/>
  <c r="H247" i="18" s="1"/>
  <c r="G34" i="18"/>
  <c r="G154" i="18"/>
  <c r="G142" i="18"/>
  <c r="G22" i="18"/>
  <c r="G172" i="18"/>
  <c r="G52" i="18"/>
  <c r="G148" i="18"/>
  <c r="G28" i="18"/>
  <c r="G21" i="18"/>
  <c r="G141" i="18"/>
  <c r="G32" i="18"/>
  <c r="G152" i="18"/>
  <c r="H217" i="13"/>
  <c r="G19" i="18"/>
  <c r="G139" i="18"/>
  <c r="H189" i="27"/>
  <c r="J160" i="30" s="1"/>
  <c r="G24" i="18"/>
  <c r="G144" i="18"/>
  <c r="G156" i="18"/>
  <c r="G36" i="18"/>
  <c r="G15" i="18"/>
  <c r="G135" i="18"/>
  <c r="G166" i="18"/>
  <c r="G46" i="18"/>
  <c r="H26" i="27"/>
  <c r="G86" i="18" s="1"/>
  <c r="J166" i="5"/>
  <c r="G12" i="18"/>
  <c r="G133" i="18"/>
  <c r="G13" i="18"/>
  <c r="H191" i="18"/>
  <c r="H251" i="18"/>
  <c r="H71" i="18"/>
  <c r="H11" i="18"/>
  <c r="H131" i="18"/>
  <c r="F23" i="27"/>
  <c r="E83" i="18" s="1"/>
  <c r="I265" i="27"/>
  <c r="D35" i="27"/>
  <c r="C95" i="18" s="1"/>
  <c r="G35" i="27"/>
  <c r="F95" i="18" s="1"/>
  <c r="G59" i="27"/>
  <c r="F119" i="18" s="1"/>
  <c r="I301" i="27"/>
  <c r="K107" i="30"/>
  <c r="H356" i="13"/>
  <c r="F102" i="30"/>
  <c r="D39" i="3" s="1"/>
  <c r="H343" i="13"/>
  <c r="I98" i="30"/>
  <c r="G32" i="2" s="1"/>
  <c r="F312" i="18"/>
  <c r="H101" i="30"/>
  <c r="K127" i="30"/>
  <c r="K113" i="30"/>
  <c r="D315" i="18"/>
  <c r="G91" i="30"/>
  <c r="H98" i="30"/>
  <c r="K117" i="30"/>
  <c r="S350" i="13"/>
  <c r="H102" i="30"/>
  <c r="F39" i="3" s="1"/>
  <c r="F313" i="18"/>
  <c r="K123" i="30"/>
  <c r="X350" i="13"/>
  <c r="Y350" i="13"/>
  <c r="J112" i="30"/>
  <c r="K112" i="30" s="1"/>
  <c r="J98" i="30"/>
  <c r="H313" i="18"/>
  <c r="I217" i="27"/>
  <c r="G47" i="27"/>
  <c r="F107" i="18" s="1"/>
  <c r="I168" i="27"/>
  <c r="D23" i="27"/>
  <c r="C83" i="18" s="1"/>
  <c r="H23" i="27"/>
  <c r="G83" i="18" s="1"/>
  <c r="E59" i="27"/>
  <c r="I132" i="27"/>
  <c r="I193" i="27"/>
  <c r="I11" i="27"/>
  <c r="I72" i="27"/>
  <c r="I253" i="27"/>
  <c r="I313" i="27"/>
  <c r="H176" i="13"/>
  <c r="N203" i="4"/>
  <c r="P203" i="4"/>
  <c r="H108" i="13"/>
  <c r="K99" i="4"/>
  <c r="M99" i="4"/>
  <c r="P210" i="4"/>
  <c r="N210" i="4"/>
  <c r="AJ199" i="4"/>
  <c r="Q211" i="4"/>
  <c r="V211" i="4"/>
  <c r="S211" i="4"/>
  <c r="N202" i="4"/>
  <c r="P202" i="4"/>
  <c r="N238" i="4"/>
  <c r="P238" i="4"/>
  <c r="H157" i="13"/>
  <c r="K154" i="4"/>
  <c r="M154" i="4"/>
  <c r="N230" i="4"/>
  <c r="P230" i="4"/>
  <c r="M146" i="4"/>
  <c r="K146" i="4"/>
  <c r="K140" i="4"/>
  <c r="M140" i="4"/>
  <c r="P17" i="4"/>
  <c r="N17" i="4"/>
  <c r="P92" i="4"/>
  <c r="N92" i="4"/>
  <c r="M172" i="4"/>
  <c r="K172" i="4"/>
  <c r="K85" i="4"/>
  <c r="M85" i="4"/>
  <c r="V22" i="4"/>
  <c r="Q22" i="4"/>
  <c r="S22" i="4"/>
  <c r="H99" i="13"/>
  <c r="R259" i="4"/>
  <c r="N116" i="4"/>
  <c r="K208" i="4"/>
  <c r="M208" i="4"/>
  <c r="V28" i="4"/>
  <c r="Q28" i="4"/>
  <c r="S28" i="4"/>
  <c r="M247" i="4"/>
  <c r="K247" i="4"/>
  <c r="S248" i="4"/>
  <c r="Q248" i="4"/>
  <c r="V248" i="4"/>
  <c r="K239" i="4"/>
  <c r="M239" i="4"/>
  <c r="G320" i="13"/>
  <c r="H320" i="13" s="1"/>
  <c r="P116" i="4"/>
  <c r="K176" i="13" s="1"/>
  <c r="P179" i="4"/>
  <c r="N179" i="4"/>
  <c r="V183" i="4"/>
  <c r="S183" i="4"/>
  <c r="Q183" i="4"/>
  <c r="P142" i="4"/>
  <c r="N142" i="4"/>
  <c r="P38" i="4"/>
  <c r="N38" i="4"/>
  <c r="K84" i="4"/>
  <c r="M84" i="4"/>
  <c r="I144" i="13" s="1"/>
  <c r="M219" i="4"/>
  <c r="K219" i="4"/>
  <c r="P217" i="4"/>
  <c r="N217" i="4"/>
  <c r="K161" i="4"/>
  <c r="M161" i="4"/>
  <c r="V168" i="4"/>
  <c r="Q168" i="4"/>
  <c r="S168" i="4"/>
  <c r="I176" i="13"/>
  <c r="J176" i="13" s="1"/>
  <c r="I115" i="13"/>
  <c r="J115" i="13" s="1"/>
  <c r="Y228" i="4"/>
  <c r="W228" i="4"/>
  <c r="N254" i="4"/>
  <c r="P254" i="4"/>
  <c r="N63" i="4"/>
  <c r="P63" i="4"/>
  <c r="M26" i="4"/>
  <c r="K26" i="4"/>
  <c r="K150" i="4"/>
  <c r="M150" i="4"/>
  <c r="P225" i="4"/>
  <c r="N225" i="4"/>
  <c r="M252" i="4"/>
  <c r="K252" i="4"/>
  <c r="M126" i="4"/>
  <c r="K126" i="4"/>
  <c r="N226" i="4"/>
  <c r="P226" i="4"/>
  <c r="N160" i="4"/>
  <c r="P160" i="4"/>
  <c r="P25" i="4"/>
  <c r="N25" i="4"/>
  <c r="AJ137" i="4"/>
  <c r="N22" i="4"/>
  <c r="P16" i="4"/>
  <c r="N16" i="4"/>
  <c r="K188" i="4"/>
  <c r="M188" i="4"/>
  <c r="P51" i="4"/>
  <c r="N51" i="4"/>
  <c r="M77" i="4"/>
  <c r="K77" i="4"/>
  <c r="J172" i="13"/>
  <c r="K171" i="4"/>
  <c r="N35" i="4"/>
  <c r="P35" i="4"/>
  <c r="AJ75" i="4"/>
  <c r="K233" i="4"/>
  <c r="M233" i="4"/>
  <c r="P180" i="4"/>
  <c r="N180" i="4"/>
  <c r="K212" i="4"/>
  <c r="M212" i="4"/>
  <c r="P193" i="4"/>
  <c r="N193" i="4"/>
  <c r="J14" i="30"/>
  <c r="P209" i="4"/>
  <c r="N209" i="4"/>
  <c r="K204" i="4"/>
  <c r="M204" i="4"/>
  <c r="P104" i="4"/>
  <c r="N104" i="4"/>
  <c r="P190" i="4"/>
  <c r="N190" i="4"/>
  <c r="P205" i="4"/>
  <c r="P128" i="4"/>
  <c r="N128" i="4"/>
  <c r="Y19" i="4"/>
  <c r="W19" i="4"/>
  <c r="H141" i="13"/>
  <c r="G159" i="13"/>
  <c r="H159" i="13" s="1"/>
  <c r="M37" i="4"/>
  <c r="K37" i="4"/>
  <c r="G346" i="13"/>
  <c r="H346" i="13" s="1"/>
  <c r="G102" i="13"/>
  <c r="H102" i="13" s="1"/>
  <c r="M103" i="4"/>
  <c r="K103" i="4"/>
  <c r="J141" i="13"/>
  <c r="H164" i="13"/>
  <c r="N52" i="4"/>
  <c r="P52" i="4"/>
  <c r="G168" i="13"/>
  <c r="H168" i="13" s="1"/>
  <c r="M46" i="4"/>
  <c r="K46" i="4"/>
  <c r="H181" i="13"/>
  <c r="J181" i="13"/>
  <c r="N184" i="4"/>
  <c r="P184" i="4"/>
  <c r="H323" i="13"/>
  <c r="Y221" i="4"/>
  <c r="W221" i="4"/>
  <c r="H355" i="13"/>
  <c r="H367" i="13"/>
  <c r="H327" i="13"/>
  <c r="I167" i="13"/>
  <c r="J167" i="13" s="1"/>
  <c r="N45" i="4"/>
  <c r="P45" i="4"/>
  <c r="H338" i="13"/>
  <c r="H180" i="13"/>
  <c r="AB40" i="4"/>
  <c r="Z40" i="4"/>
  <c r="G171" i="13"/>
  <c r="H171" i="13" s="1"/>
  <c r="M49" i="4"/>
  <c r="K49" i="4"/>
  <c r="G351" i="13"/>
  <c r="H351" i="13" s="1"/>
  <c r="G107" i="13"/>
  <c r="H107" i="13" s="1"/>
  <c r="M108" i="4"/>
  <c r="K108" i="4"/>
  <c r="G152" i="13"/>
  <c r="H152" i="13" s="1"/>
  <c r="M30" i="4"/>
  <c r="K30" i="4"/>
  <c r="H142" i="13"/>
  <c r="H352" i="13"/>
  <c r="G149" i="13"/>
  <c r="H149" i="13" s="1"/>
  <c r="K27" i="4"/>
  <c r="M27" i="4"/>
  <c r="G158" i="13"/>
  <c r="H158" i="13" s="1"/>
  <c r="K36" i="4"/>
  <c r="M36" i="4"/>
  <c r="G325" i="13"/>
  <c r="H325" i="13" s="1"/>
  <c r="G81" i="13"/>
  <c r="H81" i="13" s="1"/>
  <c r="M82" i="4"/>
  <c r="K82" i="4"/>
  <c r="G362" i="13"/>
  <c r="H362" i="13" s="1"/>
  <c r="G118" i="13"/>
  <c r="H118" i="13" s="1"/>
  <c r="K119" i="4"/>
  <c r="M119" i="4"/>
  <c r="F30" i="2"/>
  <c r="P127" i="4"/>
  <c r="N127" i="4"/>
  <c r="G165" i="13"/>
  <c r="H165" i="13" s="1"/>
  <c r="M43" i="4"/>
  <c r="K43" i="4"/>
  <c r="E30" i="2"/>
  <c r="E32" i="2"/>
  <c r="G321" i="13"/>
  <c r="H321" i="13" s="1"/>
  <c r="G77" i="13"/>
  <c r="H77" i="13" s="1"/>
  <c r="M78" i="4"/>
  <c r="K78" i="4"/>
  <c r="I169" i="13"/>
  <c r="N47" i="4"/>
  <c r="G340" i="13"/>
  <c r="H340" i="13" s="1"/>
  <c r="G96" i="13"/>
  <c r="H96" i="13" s="1"/>
  <c r="M97" i="4"/>
  <c r="K97" i="4"/>
  <c r="I366" i="13"/>
  <c r="J366" i="13" s="1"/>
  <c r="I122" i="13"/>
  <c r="J122" i="13" s="1"/>
  <c r="N123" i="4"/>
  <c r="P123" i="4"/>
  <c r="N148" i="4"/>
  <c r="P148" i="4"/>
  <c r="H147" i="13"/>
  <c r="H150" i="13"/>
  <c r="H139" i="13"/>
  <c r="G146" i="13"/>
  <c r="H146" i="13" s="1"/>
  <c r="K24" i="4"/>
  <c r="M24" i="4"/>
  <c r="H172" i="13"/>
  <c r="H95" i="13"/>
  <c r="H328" i="13"/>
  <c r="G341" i="13"/>
  <c r="H341" i="13" s="1"/>
  <c r="G97" i="13"/>
  <c r="H97" i="13" s="1"/>
  <c r="M98" i="4"/>
  <c r="K98" i="4"/>
  <c r="P57" i="4"/>
  <c r="K331" i="13"/>
  <c r="H15" i="1"/>
  <c r="F11" i="2"/>
  <c r="N44" i="4"/>
  <c r="P44" i="4"/>
  <c r="AE131" i="4"/>
  <c r="AC131" i="4"/>
  <c r="G345" i="13"/>
  <c r="H345" i="13" s="1"/>
  <c r="G101" i="13"/>
  <c r="H101" i="13" s="1"/>
  <c r="K102" i="4"/>
  <c r="M102" i="4"/>
  <c r="I364" i="13"/>
  <c r="J364" i="13" s="1"/>
  <c r="I120" i="13"/>
  <c r="J120" i="13" s="1"/>
  <c r="P121" i="4"/>
  <c r="N121" i="4"/>
  <c r="I322" i="13"/>
  <c r="J322" i="13" s="1"/>
  <c r="I78" i="13"/>
  <c r="J78" i="13" s="1"/>
  <c r="P79" i="4"/>
  <c r="N79" i="4"/>
  <c r="V65" i="4"/>
  <c r="Q65" i="4"/>
  <c r="S65" i="4"/>
  <c r="I333" i="13"/>
  <c r="J333" i="13" s="1"/>
  <c r="I89" i="13"/>
  <c r="J89" i="13" s="1"/>
  <c r="N90" i="4"/>
  <c r="P90" i="4"/>
  <c r="G178" i="13"/>
  <c r="H178" i="13" s="1"/>
  <c r="K56" i="4"/>
  <c r="M56" i="4"/>
  <c r="G326" i="13"/>
  <c r="H326" i="13" s="1"/>
  <c r="G82" i="13"/>
  <c r="H82" i="13" s="1"/>
  <c r="M83" i="4"/>
  <c r="K83" i="4"/>
  <c r="H339" i="13"/>
  <c r="H76" i="13"/>
  <c r="G153" i="13"/>
  <c r="H153" i="13" s="1"/>
  <c r="M31" i="4"/>
  <c r="K31" i="4"/>
  <c r="G137" i="13"/>
  <c r="H137" i="13" s="1"/>
  <c r="K15" i="4"/>
  <c r="M15" i="4"/>
  <c r="J69" i="4"/>
  <c r="AB220" i="4"/>
  <c r="Z220" i="4"/>
  <c r="P29" i="4"/>
  <c r="N29" i="4"/>
  <c r="G361" i="13"/>
  <c r="H361" i="13" s="1"/>
  <c r="G117" i="13"/>
  <c r="H117" i="13" s="1"/>
  <c r="K118" i="4"/>
  <c r="M118" i="4"/>
  <c r="N55" i="4"/>
  <c r="P55" i="4"/>
  <c r="K201" i="4"/>
  <c r="M201" i="4"/>
  <c r="J255" i="4"/>
  <c r="K255" i="4" s="1"/>
  <c r="P23" i="4"/>
  <c r="N23" i="4"/>
  <c r="G344" i="13"/>
  <c r="H344" i="13" s="1"/>
  <c r="G100" i="13"/>
  <c r="H100" i="13" s="1"/>
  <c r="M101" i="4"/>
  <c r="K101" i="4"/>
  <c r="H120" i="13"/>
  <c r="H78" i="13"/>
  <c r="O352" i="13"/>
  <c r="O108" i="13"/>
  <c r="W109" i="4"/>
  <c r="Y109" i="4"/>
  <c r="K324" i="13"/>
  <c r="K80" i="13"/>
  <c r="S81" i="4"/>
  <c r="Q81" i="4"/>
  <c r="V81" i="4"/>
  <c r="H122" i="13"/>
  <c r="N245" i="4"/>
  <c r="P245" i="4"/>
  <c r="H342" i="13"/>
  <c r="H115" i="13"/>
  <c r="H151" i="13"/>
  <c r="H80" i="13"/>
  <c r="G179" i="13"/>
  <c r="H179" i="13" s="1"/>
  <c r="K145" i="4"/>
  <c r="M145" i="4"/>
  <c r="J194" i="4"/>
  <c r="K194" i="4" s="1"/>
  <c r="N48" i="4"/>
  <c r="P48" i="4"/>
  <c r="K332" i="13"/>
  <c r="K88" i="13"/>
  <c r="Q89" i="4"/>
  <c r="V89" i="4"/>
  <c r="S89" i="4"/>
  <c r="Q232" i="4"/>
  <c r="V232" i="4"/>
  <c r="S232" i="4"/>
  <c r="H364" i="13"/>
  <c r="H322" i="13"/>
  <c r="H366" i="13"/>
  <c r="P159" i="4"/>
  <c r="N159" i="4"/>
  <c r="H89" i="13"/>
  <c r="P170" i="4"/>
  <c r="N170" i="4"/>
  <c r="H160" i="13"/>
  <c r="M141" i="13"/>
  <c r="L141" i="13"/>
  <c r="H359" i="13"/>
  <c r="G161" i="13"/>
  <c r="H161" i="13" s="1"/>
  <c r="M39" i="4"/>
  <c r="K39" i="4"/>
  <c r="H324" i="13"/>
  <c r="I355" i="13"/>
  <c r="J355" i="13" s="1"/>
  <c r="I111" i="13"/>
  <c r="J111" i="13" s="1"/>
  <c r="N112" i="4"/>
  <c r="P112" i="4"/>
  <c r="I367" i="13"/>
  <c r="J367" i="13" s="1"/>
  <c r="I123" i="13"/>
  <c r="J123" i="13" s="1"/>
  <c r="P124" i="4"/>
  <c r="N124" i="4"/>
  <c r="V153" i="4"/>
  <c r="Q153" i="4"/>
  <c r="S153" i="4"/>
  <c r="G337" i="13"/>
  <c r="H337" i="13" s="1"/>
  <c r="G93" i="13"/>
  <c r="H93" i="13" s="1"/>
  <c r="K94" i="4"/>
  <c r="M94" i="4"/>
  <c r="P262" i="4"/>
  <c r="M263" i="4"/>
  <c r="H170" i="13"/>
  <c r="I338" i="13"/>
  <c r="J338" i="13" s="1"/>
  <c r="I94" i="13"/>
  <c r="J94" i="13" s="1"/>
  <c r="N95" i="4"/>
  <c r="P95" i="4"/>
  <c r="G358" i="13"/>
  <c r="H358" i="13" s="1"/>
  <c r="G114" i="13"/>
  <c r="H114" i="13" s="1"/>
  <c r="M115" i="4"/>
  <c r="K115" i="4"/>
  <c r="P171" i="4"/>
  <c r="N171" i="4"/>
  <c r="J80" i="13"/>
  <c r="H132" i="4"/>
  <c r="G353" i="13"/>
  <c r="H353" i="13" s="1"/>
  <c r="G109" i="13"/>
  <c r="H109" i="13" s="1"/>
  <c r="K110" i="4"/>
  <c r="M110" i="4"/>
  <c r="H333" i="13"/>
  <c r="G154" i="13"/>
  <c r="H154" i="13" s="1"/>
  <c r="M32" i="4"/>
  <c r="K32" i="4"/>
  <c r="G163" i="13"/>
  <c r="H163" i="13" s="1"/>
  <c r="I155" i="13"/>
  <c r="J155" i="13" s="1"/>
  <c r="N33" i="4"/>
  <c r="P33" i="4"/>
  <c r="D12" i="2"/>
  <c r="F13" i="1"/>
  <c r="Q41" i="4"/>
  <c r="S41" i="4"/>
  <c r="V41" i="4"/>
  <c r="H103" i="13"/>
  <c r="H119" i="13"/>
  <c r="H88" i="13"/>
  <c r="AJ260" i="4"/>
  <c r="G330" i="13"/>
  <c r="H330" i="13" s="1"/>
  <c r="G86" i="13"/>
  <c r="H86" i="13" s="1"/>
  <c r="M87" i="4"/>
  <c r="K87" i="4"/>
  <c r="G354" i="13"/>
  <c r="H354" i="13" s="1"/>
  <c r="G110" i="13"/>
  <c r="H110" i="13" s="1"/>
  <c r="K111" i="4"/>
  <c r="M111" i="4"/>
  <c r="V54" i="4"/>
  <c r="Q54" i="4"/>
  <c r="M166" i="4"/>
  <c r="K166" i="4"/>
  <c r="J88" i="13"/>
  <c r="J347" i="13"/>
  <c r="Q246" i="4"/>
  <c r="S246" i="4"/>
  <c r="V246" i="4"/>
  <c r="G162" i="13"/>
  <c r="H162" i="13" s="1"/>
  <c r="H182" i="13"/>
  <c r="J324" i="13"/>
  <c r="G329" i="13"/>
  <c r="H329" i="13" s="1"/>
  <c r="G85" i="13"/>
  <c r="H85" i="13" s="1"/>
  <c r="K86" i="4"/>
  <c r="M86" i="4"/>
  <c r="P185" i="4"/>
  <c r="N185" i="4"/>
  <c r="H186" i="13"/>
  <c r="N178" i="4"/>
  <c r="P178" i="4"/>
  <c r="W151" i="4"/>
  <c r="Y151" i="4"/>
  <c r="G365" i="13"/>
  <c r="H365" i="13" s="1"/>
  <c r="G121" i="13"/>
  <c r="H121" i="13" s="1"/>
  <c r="K122" i="4"/>
  <c r="M122" i="4"/>
  <c r="Q64" i="4"/>
  <c r="V64" i="4"/>
  <c r="H138" i="13"/>
  <c r="S250" i="4"/>
  <c r="V250" i="4"/>
  <c r="H155" i="13"/>
  <c r="H185" i="13"/>
  <c r="H156" i="13"/>
  <c r="H347" i="13"/>
  <c r="H363" i="13"/>
  <c r="G143" i="13"/>
  <c r="H143" i="13" s="1"/>
  <c r="K21" i="4"/>
  <c r="M21" i="4"/>
  <c r="H332" i="13"/>
  <c r="W206" i="4"/>
  <c r="Y206" i="4"/>
  <c r="H69" i="4"/>
  <c r="W50" i="4"/>
  <c r="Y50" i="4"/>
  <c r="K129" i="4"/>
  <c r="M129" i="4"/>
  <c r="P177" i="4"/>
  <c r="N177" i="4"/>
  <c r="H79" i="13"/>
  <c r="P66" i="4"/>
  <c r="N66" i="4"/>
  <c r="H111" i="13"/>
  <c r="H123" i="13"/>
  <c r="G183" i="13"/>
  <c r="H183" i="13" s="1"/>
  <c r="K61" i="4"/>
  <c r="M61" i="4"/>
  <c r="G184" i="13"/>
  <c r="H184" i="13" s="1"/>
  <c r="M62" i="4"/>
  <c r="K62" i="4"/>
  <c r="G357" i="13"/>
  <c r="H357" i="13" s="1"/>
  <c r="G113" i="13"/>
  <c r="H113" i="13" s="1"/>
  <c r="M114" i="4"/>
  <c r="K114" i="4"/>
  <c r="J332" i="13"/>
  <c r="H94" i="13"/>
  <c r="I180" i="13"/>
  <c r="J180" i="13" s="1"/>
  <c r="N58" i="4"/>
  <c r="P58" i="4"/>
  <c r="N68" i="4"/>
  <c r="P68" i="4"/>
  <c r="J359" i="13"/>
  <c r="V176" i="4"/>
  <c r="Q176" i="4"/>
  <c r="S176" i="4"/>
  <c r="H148" i="5"/>
  <c r="X215" i="5"/>
  <c r="AC215" i="5" s="1"/>
  <c r="D410" i="13"/>
  <c r="K145" i="5"/>
  <c r="H161" i="5"/>
  <c r="J161" i="5"/>
  <c r="M161" i="5" s="1"/>
  <c r="P161" i="5" s="1"/>
  <c r="K81" i="5"/>
  <c r="AH211" i="5"/>
  <c r="AJ68" i="5"/>
  <c r="P77" i="5"/>
  <c r="K77" i="5"/>
  <c r="D405" i="13"/>
  <c r="AC112" i="5"/>
  <c r="AD112" i="5" s="1"/>
  <c r="G235" i="13"/>
  <c r="K152" i="5"/>
  <c r="D389" i="13"/>
  <c r="J172" i="5"/>
  <c r="M172" i="5" s="1"/>
  <c r="P172" i="5" s="1"/>
  <c r="H172" i="5"/>
  <c r="P85" i="5"/>
  <c r="K85" i="5"/>
  <c r="F243" i="13"/>
  <c r="F235" i="13"/>
  <c r="N208" i="5"/>
  <c r="D402" i="13"/>
  <c r="E218" i="13"/>
  <c r="E418" i="13"/>
  <c r="F418" i="13" s="1"/>
  <c r="G234" i="13"/>
  <c r="H207" i="5"/>
  <c r="N226" i="5"/>
  <c r="G401" i="13"/>
  <c r="H401" i="13" s="1"/>
  <c r="Y211" i="5"/>
  <c r="Z68" i="5"/>
  <c r="D413" i="13"/>
  <c r="E229" i="13"/>
  <c r="H182" i="5"/>
  <c r="J182" i="5"/>
  <c r="M182" i="5" s="1"/>
  <c r="P182" i="5" s="1"/>
  <c r="K93" i="5"/>
  <c r="P93" i="5"/>
  <c r="K90" i="5"/>
  <c r="P90" i="5"/>
  <c r="H43" i="30"/>
  <c r="H33" i="30" s="1"/>
  <c r="AE68" i="5"/>
  <c r="K148" i="5"/>
  <c r="H231" i="5"/>
  <c r="P98" i="5"/>
  <c r="K98" i="5"/>
  <c r="K121" i="5"/>
  <c r="U68" i="5"/>
  <c r="H158" i="5"/>
  <c r="J158" i="5"/>
  <c r="M158" i="5" s="1"/>
  <c r="P158" i="5" s="1"/>
  <c r="F209" i="13"/>
  <c r="G33" i="30"/>
  <c r="E31" i="2" s="1"/>
  <c r="N180" i="5"/>
  <c r="H206" i="5"/>
  <c r="D406" i="13"/>
  <c r="D414" i="13"/>
  <c r="D422" i="13"/>
  <c r="AD284" i="5"/>
  <c r="D390" i="13"/>
  <c r="E206" i="13"/>
  <c r="R192" i="5"/>
  <c r="E398" i="13"/>
  <c r="F398" i="13" s="1"/>
  <c r="G214" i="13"/>
  <c r="K232" i="5"/>
  <c r="N148" i="5"/>
  <c r="D132" i="18"/>
  <c r="H176" i="5"/>
  <c r="J176" i="5"/>
  <c r="M176" i="5" s="1"/>
  <c r="P176" i="5" s="1"/>
  <c r="D430" i="13"/>
  <c r="Q206" i="5"/>
  <c r="H165" i="5"/>
  <c r="J165" i="5"/>
  <c r="M165" i="5" s="1"/>
  <c r="P165" i="5" s="1"/>
  <c r="K223" i="5"/>
  <c r="J157" i="5"/>
  <c r="M157" i="5" s="1"/>
  <c r="P157" i="5" s="1"/>
  <c r="H157" i="5"/>
  <c r="AI304" i="5"/>
  <c r="F214" i="13"/>
  <c r="J140" i="5"/>
  <c r="M140" i="5" s="1"/>
  <c r="P140" i="5" s="1"/>
  <c r="H140" i="5"/>
  <c r="P118" i="5"/>
  <c r="K118" i="5"/>
  <c r="P89" i="5"/>
  <c r="K89" i="5"/>
  <c r="Y83" i="5"/>
  <c r="AC83" i="5"/>
  <c r="AH83" i="5" s="1"/>
  <c r="AC100" i="5"/>
  <c r="AH100" i="5" s="1"/>
  <c r="Y100" i="5"/>
  <c r="AD307" i="5"/>
  <c r="K205" i="5"/>
  <c r="D400" i="13"/>
  <c r="P95" i="5"/>
  <c r="K95" i="5"/>
  <c r="P88" i="5"/>
  <c r="K88" i="5"/>
  <c r="K190" i="5"/>
  <c r="K202" i="5"/>
  <c r="D424" i="13"/>
  <c r="E431" i="13"/>
  <c r="F431" i="13" s="1"/>
  <c r="K169" i="5"/>
  <c r="J178" i="5"/>
  <c r="M178" i="5" s="1"/>
  <c r="P178" i="5" s="1"/>
  <c r="H178" i="5"/>
  <c r="E238" i="13"/>
  <c r="D392" i="13"/>
  <c r="E208" i="13"/>
  <c r="E416" i="13"/>
  <c r="F416" i="13" s="1"/>
  <c r="G232" i="13"/>
  <c r="E393" i="13"/>
  <c r="F393" i="13" s="1"/>
  <c r="G209" i="13"/>
  <c r="K144" i="5"/>
  <c r="AR304" i="5"/>
  <c r="AS304" i="5" s="1"/>
  <c r="K247" i="5"/>
  <c r="X315" i="5"/>
  <c r="Y315" i="5" s="1"/>
  <c r="K142" i="5"/>
  <c r="AC298" i="5"/>
  <c r="AH298" i="5" s="1"/>
  <c r="D408" i="13"/>
  <c r="E224" i="13"/>
  <c r="E230" i="13"/>
  <c r="K250" i="5"/>
  <c r="AD294" i="5"/>
  <c r="AH294" i="5"/>
  <c r="E394" i="13"/>
  <c r="F394" i="13" s="1"/>
  <c r="J189" i="5"/>
  <c r="M189" i="5" s="1"/>
  <c r="P189" i="5" s="1"/>
  <c r="H189" i="5"/>
  <c r="K203" i="5"/>
  <c r="N149" i="5"/>
  <c r="E226" i="13"/>
  <c r="X109" i="5"/>
  <c r="K191" i="5"/>
  <c r="N183" i="5"/>
  <c r="C252" i="18"/>
  <c r="C132" i="18"/>
  <c r="K221" i="5"/>
  <c r="H200" i="5"/>
  <c r="H159" i="5"/>
  <c r="J159" i="5"/>
  <c r="M159" i="5" s="1"/>
  <c r="P159" i="5" s="1"/>
  <c r="AI299" i="5"/>
  <c r="AM299" i="5"/>
  <c r="E429" i="13"/>
  <c r="G245" i="13"/>
  <c r="E203" i="13"/>
  <c r="AD277" i="5"/>
  <c r="AH277" i="5"/>
  <c r="P108" i="5"/>
  <c r="K108" i="5"/>
  <c r="H143" i="5"/>
  <c r="J143" i="5"/>
  <c r="M143" i="5" s="1"/>
  <c r="P143" i="5" s="1"/>
  <c r="K127" i="5"/>
  <c r="P127" i="5"/>
  <c r="S100" i="5"/>
  <c r="Q100" i="5"/>
  <c r="K175" i="5"/>
  <c r="H150" i="5"/>
  <c r="J150" i="5"/>
  <c r="M150" i="5" s="1"/>
  <c r="P150" i="5" s="1"/>
  <c r="AD291" i="5"/>
  <c r="AH291" i="5"/>
  <c r="E219" i="13"/>
  <c r="S121" i="5"/>
  <c r="Q121" i="5"/>
  <c r="AI301" i="5"/>
  <c r="AM301" i="5"/>
  <c r="X148" i="5"/>
  <c r="Q148" i="5"/>
  <c r="S148" i="5"/>
  <c r="R68" i="5"/>
  <c r="K218" i="5"/>
  <c r="D407" i="13"/>
  <c r="E223" i="13"/>
  <c r="K251" i="5"/>
  <c r="N122" i="5"/>
  <c r="N224" i="5"/>
  <c r="N179" i="5"/>
  <c r="E241" i="13"/>
  <c r="N125" i="5"/>
  <c r="J155" i="5"/>
  <c r="M155" i="5" s="1"/>
  <c r="P155" i="5" s="1"/>
  <c r="H155" i="5"/>
  <c r="H225" i="5"/>
  <c r="X206" i="5"/>
  <c r="S206" i="5"/>
  <c r="N212" i="5"/>
  <c r="J138" i="5"/>
  <c r="M138" i="5" s="1"/>
  <c r="P138" i="5" s="1"/>
  <c r="H138" i="5"/>
  <c r="G192" i="5"/>
  <c r="D383" i="13"/>
  <c r="E199" i="13"/>
  <c r="D415" i="13"/>
  <c r="E231" i="13"/>
  <c r="K219" i="5"/>
  <c r="N126" i="5"/>
  <c r="E424" i="13"/>
  <c r="G240" i="13"/>
  <c r="D423" i="13"/>
  <c r="E239" i="13"/>
  <c r="K213" i="5"/>
  <c r="H201" i="5"/>
  <c r="H233" i="5"/>
  <c r="X216" i="5"/>
  <c r="S216" i="5"/>
  <c r="Q216" i="5"/>
  <c r="K210" i="5"/>
  <c r="N107" i="5"/>
  <c r="N81" i="5"/>
  <c r="J139" i="5"/>
  <c r="M139" i="5" s="1"/>
  <c r="P139" i="5" s="1"/>
  <c r="H139" i="5"/>
  <c r="E417" i="13"/>
  <c r="F417" i="13" s="1"/>
  <c r="G233" i="13"/>
  <c r="F233" i="13"/>
  <c r="Q83" i="5"/>
  <c r="S83" i="5"/>
  <c r="AT254" i="5"/>
  <c r="G14" i="5"/>
  <c r="E382" i="13" s="1"/>
  <c r="F382" i="13" s="1"/>
  <c r="K184" i="5"/>
  <c r="H209" i="5"/>
  <c r="P78" i="5"/>
  <c r="K78" i="5"/>
  <c r="AI286" i="5"/>
  <c r="AM286" i="5"/>
  <c r="P106" i="5"/>
  <c r="K106" i="5"/>
  <c r="K186" i="5"/>
  <c r="K168" i="5"/>
  <c r="N167" i="5"/>
  <c r="K241" i="5"/>
  <c r="K239" i="5"/>
  <c r="F35" i="1"/>
  <c r="H130" i="5"/>
  <c r="K220" i="5"/>
  <c r="J147" i="5"/>
  <c r="M147" i="5" s="1"/>
  <c r="P147" i="5" s="1"/>
  <c r="H147" i="5"/>
  <c r="N116" i="5"/>
  <c r="Y309" i="5"/>
  <c r="AC309" i="5"/>
  <c r="P124" i="5"/>
  <c r="K124" i="5"/>
  <c r="Y112" i="5"/>
  <c r="G254" i="5"/>
  <c r="F43" i="1" s="1"/>
  <c r="AH311" i="5"/>
  <c r="AD311" i="5"/>
  <c r="K240" i="5"/>
  <c r="N91" i="5"/>
  <c r="D399" i="13"/>
  <c r="E215" i="13"/>
  <c r="P84" i="5"/>
  <c r="K84" i="5"/>
  <c r="K252" i="5"/>
  <c r="H181" i="5"/>
  <c r="J181" i="5"/>
  <c r="M181" i="5" s="1"/>
  <c r="P181" i="5" s="1"/>
  <c r="N82" i="5"/>
  <c r="N87" i="5"/>
  <c r="P119" i="5"/>
  <c r="K119" i="5"/>
  <c r="H217" i="5"/>
  <c r="N115" i="5"/>
  <c r="E252" i="18"/>
  <c r="E132" i="18"/>
  <c r="K234" i="5"/>
  <c r="AD282" i="5"/>
  <c r="AH282" i="5"/>
  <c r="H249" i="5"/>
  <c r="AH278" i="5"/>
  <c r="AD278" i="5"/>
  <c r="AI283" i="5"/>
  <c r="AM283" i="5"/>
  <c r="K113" i="5"/>
  <c r="P113" i="5"/>
  <c r="J130" i="5"/>
  <c r="Q242" i="5"/>
  <c r="S242" i="5"/>
  <c r="X242" i="5"/>
  <c r="AD273" i="5"/>
  <c r="AH273" i="5"/>
  <c r="AH267" i="5"/>
  <c r="AD267" i="5"/>
  <c r="AC268" i="5"/>
  <c r="Y268" i="5"/>
  <c r="D396" i="13"/>
  <c r="E212" i="13"/>
  <c r="AD308" i="5"/>
  <c r="AH308" i="5"/>
  <c r="AH310" i="5"/>
  <c r="AD310" i="5"/>
  <c r="AI297" i="5"/>
  <c r="AM297" i="5"/>
  <c r="N243" i="5"/>
  <c r="N236" i="5"/>
  <c r="E385" i="13"/>
  <c r="F385" i="13" s="1"/>
  <c r="F201" i="13"/>
  <c r="G201" i="13"/>
  <c r="N227" i="5"/>
  <c r="K214" i="5"/>
  <c r="E420" i="13"/>
  <c r="F420" i="13" s="1"/>
  <c r="G236" i="13"/>
  <c r="F236" i="13"/>
  <c r="E68" i="5"/>
  <c r="S117" i="5"/>
  <c r="Q117" i="5"/>
  <c r="AD300" i="5"/>
  <c r="AH300" i="5"/>
  <c r="AD270" i="5"/>
  <c r="AH270" i="5"/>
  <c r="AM302" i="5"/>
  <c r="Y281" i="5"/>
  <c r="AC281" i="5"/>
  <c r="AH295" i="5"/>
  <c r="AD295" i="5"/>
  <c r="AM293" i="5"/>
  <c r="AI293" i="5"/>
  <c r="AD269" i="5"/>
  <c r="AH269" i="5"/>
  <c r="AI307" i="5"/>
  <c r="AM307" i="5"/>
  <c r="E397" i="13"/>
  <c r="F397" i="13" s="1"/>
  <c r="F213" i="13"/>
  <c r="G213" i="13"/>
  <c r="E391" i="13"/>
  <c r="F391" i="13" s="1"/>
  <c r="G207" i="13"/>
  <c r="F207" i="13"/>
  <c r="AC287" i="5"/>
  <c r="Y287" i="5"/>
  <c r="AH264" i="5"/>
  <c r="AD264" i="5"/>
  <c r="AM265" i="5"/>
  <c r="AI265" i="5"/>
  <c r="K245" i="5"/>
  <c r="AD314" i="5"/>
  <c r="AH314" i="5"/>
  <c r="Y262" i="5"/>
  <c r="AC262" i="5"/>
  <c r="E384" i="13"/>
  <c r="F384" i="13" s="1"/>
  <c r="G200" i="13"/>
  <c r="F200" i="13"/>
  <c r="E389" i="13"/>
  <c r="G205" i="13"/>
  <c r="G427" i="13"/>
  <c r="AD266" i="5"/>
  <c r="AH266" i="5"/>
  <c r="AH313" i="5"/>
  <c r="AD313" i="5"/>
  <c r="AM289" i="5"/>
  <c r="AI289" i="5"/>
  <c r="AM271" i="5"/>
  <c r="AH288" i="5"/>
  <c r="AD288" i="5"/>
  <c r="AD292" i="5"/>
  <c r="AH292" i="5"/>
  <c r="E409" i="13"/>
  <c r="F409" i="13" s="1"/>
  <c r="G225" i="13"/>
  <c r="F225" i="13"/>
  <c r="AI261" i="5"/>
  <c r="AM261" i="5"/>
  <c r="N235" i="5"/>
  <c r="E428" i="13"/>
  <c r="F428" i="13" s="1"/>
  <c r="F244" i="13"/>
  <c r="G244" i="13"/>
  <c r="AR279" i="5"/>
  <c r="AN279" i="5"/>
  <c r="AR303" i="5"/>
  <c r="AN303" i="5"/>
  <c r="AD306" i="5"/>
  <c r="AH306" i="5"/>
  <c r="AH276" i="5"/>
  <c r="AD276" i="5"/>
  <c r="AC285" i="5"/>
  <c r="Y285" i="5"/>
  <c r="AM274" i="5"/>
  <c r="AI274" i="5"/>
  <c r="K253" i="5"/>
  <c r="K222" i="5"/>
  <c r="AC305" i="5"/>
  <c r="Y305" i="5"/>
  <c r="AD280" i="5"/>
  <c r="AH280" i="5"/>
  <c r="AT315" i="5"/>
  <c r="AD312" i="5"/>
  <c r="AH312" i="5"/>
  <c r="D412" i="13"/>
  <c r="E228" i="13"/>
  <c r="H238" i="5"/>
  <c r="N244" i="5"/>
  <c r="N248" i="5"/>
  <c r="E388" i="13"/>
  <c r="F388" i="13" s="1"/>
  <c r="F204" i="13"/>
  <c r="G204" i="13"/>
  <c r="AD275" i="5"/>
  <c r="AH275" i="5"/>
  <c r="AH296" i="5"/>
  <c r="AD296" i="5"/>
  <c r="AI290" i="5"/>
  <c r="AM290" i="5"/>
  <c r="AI284" i="5"/>
  <c r="AM284" i="5"/>
  <c r="AM272" i="5"/>
  <c r="AI272" i="5"/>
  <c r="D404" i="13"/>
  <c r="E220" i="13"/>
  <c r="H246" i="5"/>
  <c r="K230" i="5"/>
  <c r="N154" i="5"/>
  <c r="H242" i="13"/>
  <c r="D307" i="18"/>
  <c r="G132" i="18"/>
  <c r="AT14" i="5"/>
  <c r="G252" i="18"/>
  <c r="AC92" i="5"/>
  <c r="Y92" i="5"/>
  <c r="AC97" i="5"/>
  <c r="Y97" i="5"/>
  <c r="D31" i="2"/>
  <c r="AC101" i="5"/>
  <c r="Y101" i="5"/>
  <c r="I179" i="13" l="1"/>
  <c r="V236" i="4"/>
  <c r="N231" i="4"/>
  <c r="P231" i="4"/>
  <c r="S88" i="4"/>
  <c r="Q88" i="4"/>
  <c r="S236" i="4"/>
  <c r="P143" i="4"/>
  <c r="N143" i="4"/>
  <c r="Y187" i="4"/>
  <c r="N237" i="4"/>
  <c r="P237" i="4"/>
  <c r="N175" i="4"/>
  <c r="P175" i="4"/>
  <c r="G68" i="5"/>
  <c r="F307" i="18"/>
  <c r="AJ69" i="5"/>
  <c r="K166" i="5"/>
  <c r="M166" i="5"/>
  <c r="P166" i="5" s="1"/>
  <c r="K173" i="5"/>
  <c r="M173" i="5"/>
  <c r="P173" i="5" s="1"/>
  <c r="K185" i="5"/>
  <c r="M185" i="5"/>
  <c r="P185" i="5" s="1"/>
  <c r="M151" i="5"/>
  <c r="N79" i="5"/>
  <c r="P79" i="5"/>
  <c r="N102" i="5"/>
  <c r="P102" i="5"/>
  <c r="N86" i="5"/>
  <c r="P86" i="5"/>
  <c r="P188" i="5"/>
  <c r="N188" i="5"/>
  <c r="G58" i="18"/>
  <c r="H58" i="18" s="1"/>
  <c r="G178" i="18"/>
  <c r="D42" i="22"/>
  <c r="E42" i="22" s="1"/>
  <c r="F42" i="22" s="1"/>
  <c r="G42" i="22" s="1"/>
  <c r="I38" i="27"/>
  <c r="I16" i="27"/>
  <c r="J158" i="30"/>
  <c r="J157" i="30" s="1"/>
  <c r="K160" i="30"/>
  <c r="I58" i="27"/>
  <c r="I26" i="27"/>
  <c r="I63" i="27"/>
  <c r="I17" i="27"/>
  <c r="M132" i="4"/>
  <c r="K91" i="30"/>
  <c r="H31" i="2"/>
  <c r="F89" i="30"/>
  <c r="H89" i="30"/>
  <c r="I89" i="30"/>
  <c r="G89" i="30"/>
  <c r="D119" i="18"/>
  <c r="S99" i="5"/>
  <c r="X129" i="5"/>
  <c r="AC129" i="5" s="1"/>
  <c r="Y121" i="5"/>
  <c r="X99" i="5"/>
  <c r="Y99" i="5" s="1"/>
  <c r="Q192" i="4"/>
  <c r="AB192" i="4"/>
  <c r="Y163" i="4"/>
  <c r="V224" i="4"/>
  <c r="Y59" i="4"/>
  <c r="Z59" i="4" s="1"/>
  <c r="Z20" i="4"/>
  <c r="AB20" i="4"/>
  <c r="V88" i="4"/>
  <c r="O87" i="13" s="1"/>
  <c r="P87" i="13" s="1"/>
  <c r="F429" i="13"/>
  <c r="J185" i="13"/>
  <c r="AC117" i="5"/>
  <c r="AH117" i="5" s="1"/>
  <c r="Y117" i="5"/>
  <c r="AD83" i="5"/>
  <c r="AC105" i="5"/>
  <c r="I243" i="13"/>
  <c r="N206" i="5"/>
  <c r="N128" i="5"/>
  <c r="P128" i="5"/>
  <c r="X128" i="5" s="1"/>
  <c r="F216" i="13"/>
  <c r="AF348" i="6"/>
  <c r="Z39" i="6"/>
  <c r="Q45" i="13"/>
  <c r="R45" i="13" s="1"/>
  <c r="R14" i="13"/>
  <c r="AC331" i="6"/>
  <c r="AE331" i="6"/>
  <c r="AC328" i="6"/>
  <c r="AE328" i="6"/>
  <c r="AE14" i="6" s="1"/>
  <c r="Z26" i="6"/>
  <c r="R55" i="13"/>
  <c r="G80" i="30"/>
  <c r="F92" i="30"/>
  <c r="T26" i="13"/>
  <c r="AH219" i="6"/>
  <c r="AK219" i="6" s="1"/>
  <c r="Z35" i="6"/>
  <c r="Z56" i="6"/>
  <c r="R34" i="13"/>
  <c r="AI177" i="6"/>
  <c r="AK177" i="6"/>
  <c r="AE85" i="6"/>
  <c r="Z32" i="6"/>
  <c r="AF126" i="6"/>
  <c r="AH126" i="6"/>
  <c r="AU304" i="5"/>
  <c r="I237" i="13"/>
  <c r="G421" i="13"/>
  <c r="H421" i="13" s="1"/>
  <c r="F419" i="13"/>
  <c r="F427" i="13"/>
  <c r="E400" i="13"/>
  <c r="F400" i="13" s="1"/>
  <c r="K151" i="5"/>
  <c r="N177" i="5"/>
  <c r="G426" i="13"/>
  <c r="H426" i="13" s="1"/>
  <c r="G431" i="13"/>
  <c r="H431" i="13" s="1"/>
  <c r="Y129" i="5"/>
  <c r="N110" i="5"/>
  <c r="Q129" i="5"/>
  <c r="Q109" i="5"/>
  <c r="E430" i="13"/>
  <c r="F430" i="13" s="1"/>
  <c r="I222" i="13"/>
  <c r="G406" i="13"/>
  <c r="G216" i="13"/>
  <c r="H216" i="13" s="1"/>
  <c r="I210" i="13"/>
  <c r="G210" i="13"/>
  <c r="H210" i="13" s="1"/>
  <c r="K217" i="13"/>
  <c r="I217" i="13"/>
  <c r="E406" i="13"/>
  <c r="F406" i="13" s="1"/>
  <c r="G386" i="13"/>
  <c r="H386" i="13" s="1"/>
  <c r="G202" i="13"/>
  <c r="H202" i="13" s="1"/>
  <c r="P106" i="4"/>
  <c r="V106" i="4" s="1"/>
  <c r="N106" i="4"/>
  <c r="I166" i="13"/>
  <c r="J166" i="13" s="1"/>
  <c r="P352" i="13"/>
  <c r="J349" i="13"/>
  <c r="J92" i="13"/>
  <c r="W235" i="4"/>
  <c r="P253" i="4"/>
  <c r="Q253" i="4" s="1"/>
  <c r="N249" i="4"/>
  <c r="P215" i="4"/>
  <c r="N215" i="4"/>
  <c r="S224" i="4"/>
  <c r="N223" i="4"/>
  <c r="P223" i="4"/>
  <c r="N218" i="4"/>
  <c r="P218" i="4"/>
  <c r="V241" i="4"/>
  <c r="Q241" i="4"/>
  <c r="S241" i="4"/>
  <c r="N162" i="4"/>
  <c r="AE169" i="4"/>
  <c r="AF169" i="4" s="1"/>
  <c r="Z167" i="4"/>
  <c r="AB189" i="4"/>
  <c r="AC189" i="4" s="1"/>
  <c r="V186" i="4"/>
  <c r="S186" i="4"/>
  <c r="Q186" i="4"/>
  <c r="N157" i="4"/>
  <c r="P157" i="4"/>
  <c r="N165" i="4"/>
  <c r="P165" i="4"/>
  <c r="P174" i="4"/>
  <c r="N174" i="4"/>
  <c r="N141" i="4"/>
  <c r="P141" i="4"/>
  <c r="L352" i="13"/>
  <c r="I105" i="13"/>
  <c r="J105" i="13" s="1"/>
  <c r="L108" i="13"/>
  <c r="J331" i="13"/>
  <c r="I334" i="13"/>
  <c r="J334" i="13" s="1"/>
  <c r="M108" i="13"/>
  <c r="P108" i="13"/>
  <c r="Q60" i="4"/>
  <c r="I177" i="13"/>
  <c r="J177" i="13" s="1"/>
  <c r="V130" i="4"/>
  <c r="P117" i="4"/>
  <c r="K360" i="13" s="1"/>
  <c r="I151" i="13"/>
  <c r="J151" i="13" s="1"/>
  <c r="N91" i="4"/>
  <c r="P91" i="4"/>
  <c r="K90" i="13" s="1"/>
  <c r="H336" i="13"/>
  <c r="J360" i="13"/>
  <c r="Q130" i="4"/>
  <c r="J87" i="13"/>
  <c r="I116" i="13"/>
  <c r="J116" i="13" s="1"/>
  <c r="N117" i="4"/>
  <c r="V93" i="4"/>
  <c r="O92" i="13" s="1"/>
  <c r="P92" i="13" s="1"/>
  <c r="K336" i="13"/>
  <c r="L336" i="13" s="1"/>
  <c r="S93" i="4"/>
  <c r="S120" i="4"/>
  <c r="Q93" i="4"/>
  <c r="K119" i="13"/>
  <c r="M119" i="13" s="1"/>
  <c r="J348" i="13"/>
  <c r="K363" i="13"/>
  <c r="M363" i="13" s="1"/>
  <c r="V120" i="4"/>
  <c r="O363" i="13" s="1"/>
  <c r="J91" i="13"/>
  <c r="I160" i="13"/>
  <c r="J160" i="13" s="1"/>
  <c r="H335" i="13"/>
  <c r="N100" i="4"/>
  <c r="P100" i="4"/>
  <c r="Q100" i="4" s="1"/>
  <c r="I99" i="13"/>
  <c r="J99" i="13" s="1"/>
  <c r="G16" i="18"/>
  <c r="H16" i="18" s="1"/>
  <c r="G136" i="18"/>
  <c r="H136" i="18" s="1"/>
  <c r="S96" i="4"/>
  <c r="P125" i="4"/>
  <c r="K185" i="13" s="1"/>
  <c r="N125" i="4"/>
  <c r="I368" i="13"/>
  <c r="J368" i="13" s="1"/>
  <c r="I124" i="13"/>
  <c r="J124" i="13" s="1"/>
  <c r="Q96" i="4"/>
  <c r="G137" i="18"/>
  <c r="H137" i="18" s="1"/>
  <c r="G17" i="18"/>
  <c r="H17" i="18" s="1"/>
  <c r="V96" i="4"/>
  <c r="W96" i="4" s="1"/>
  <c r="K95" i="13"/>
  <c r="M95" i="13" s="1"/>
  <c r="J90" i="13"/>
  <c r="H427" i="13"/>
  <c r="G184" i="18"/>
  <c r="H184" i="18" s="1"/>
  <c r="G124" i="18"/>
  <c r="H124" i="18" s="1"/>
  <c r="G182" i="18"/>
  <c r="H182" i="18" s="1"/>
  <c r="G122" i="18"/>
  <c r="H122" i="18" s="1"/>
  <c r="G53" i="18"/>
  <c r="H53" i="18" s="1"/>
  <c r="G113" i="18"/>
  <c r="H113" i="18" s="1"/>
  <c r="G40" i="18"/>
  <c r="H40" i="18" s="1"/>
  <c r="G100" i="18"/>
  <c r="H100" i="18" s="1"/>
  <c r="G149" i="18"/>
  <c r="H149" i="18" s="1"/>
  <c r="G89" i="18"/>
  <c r="H89" i="18" s="1"/>
  <c r="G33" i="18"/>
  <c r="H33" i="18" s="1"/>
  <c r="G93" i="18"/>
  <c r="H93" i="18" s="1"/>
  <c r="G134" i="18"/>
  <c r="H134" i="18" s="1"/>
  <c r="G74" i="18"/>
  <c r="H74" i="18" s="1"/>
  <c r="G145" i="18"/>
  <c r="H145" i="18" s="1"/>
  <c r="G85" i="18"/>
  <c r="H85" i="18" s="1"/>
  <c r="G183" i="18"/>
  <c r="H183" i="18" s="1"/>
  <c r="G123" i="18"/>
  <c r="H123" i="18" s="1"/>
  <c r="J144" i="13"/>
  <c r="G176" i="18"/>
  <c r="H176" i="18" s="1"/>
  <c r="G116" i="18"/>
  <c r="H116" i="18" s="1"/>
  <c r="G31" i="18"/>
  <c r="H31" i="18" s="1"/>
  <c r="G91" i="18"/>
  <c r="H91" i="18" s="1"/>
  <c r="G49" i="18"/>
  <c r="H49" i="18" s="1"/>
  <c r="G109" i="18"/>
  <c r="H109" i="18" s="1"/>
  <c r="G50" i="18"/>
  <c r="H50" i="18" s="1"/>
  <c r="G110" i="18"/>
  <c r="H110" i="18" s="1"/>
  <c r="G37" i="18"/>
  <c r="H37" i="18" s="1"/>
  <c r="G97" i="18"/>
  <c r="H97" i="18" s="1"/>
  <c r="AC64" i="6"/>
  <c r="Q51" i="13"/>
  <c r="R51" i="13" s="1"/>
  <c r="G93" i="30"/>
  <c r="AF338" i="6"/>
  <c r="F93" i="30"/>
  <c r="Q64" i="13"/>
  <c r="T64" i="13" s="1"/>
  <c r="AE344" i="6"/>
  <c r="AC344" i="6"/>
  <c r="AB321" i="6"/>
  <c r="AE284" i="6"/>
  <c r="AC284" i="6"/>
  <c r="AF268" i="6"/>
  <c r="AH268" i="6"/>
  <c r="AE314" i="6"/>
  <c r="AC314" i="6"/>
  <c r="AK207" i="6"/>
  <c r="AC215" i="6"/>
  <c r="AE215" i="6"/>
  <c r="AB51" i="6"/>
  <c r="S51" i="13" s="1"/>
  <c r="AI230" i="6"/>
  <c r="Z63" i="6"/>
  <c r="F90" i="30"/>
  <c r="Z31" i="6"/>
  <c r="AH242" i="6"/>
  <c r="AK242" i="6" s="1"/>
  <c r="AC18" i="6"/>
  <c r="Z64" i="6"/>
  <c r="AH155" i="6"/>
  <c r="AF155" i="6"/>
  <c r="AB15" i="6"/>
  <c r="S15" i="13" s="1"/>
  <c r="T15" i="13" s="1"/>
  <c r="AH186" i="6"/>
  <c r="AF186" i="6"/>
  <c r="AC188" i="6"/>
  <c r="AE188" i="6"/>
  <c r="AC34" i="6"/>
  <c r="Z34" i="6"/>
  <c r="AH178" i="6"/>
  <c r="AF178" i="6"/>
  <c r="Z15" i="6"/>
  <c r="AE18" i="6"/>
  <c r="U18" i="13" s="1"/>
  <c r="V18" i="13" s="1"/>
  <c r="AH182" i="6"/>
  <c r="AF182" i="6"/>
  <c r="AE101" i="6"/>
  <c r="AF101" i="6" s="1"/>
  <c r="AB39" i="6"/>
  <c r="S39" i="13" s="1"/>
  <c r="T39" i="13" s="1"/>
  <c r="AK94" i="6"/>
  <c r="AC93" i="6"/>
  <c r="AE149" i="4"/>
  <c r="AH149" i="4" s="1"/>
  <c r="AE152" i="4"/>
  <c r="AF152" i="4" s="1"/>
  <c r="D32" i="2"/>
  <c r="H90" i="18"/>
  <c r="I102" i="30"/>
  <c r="G39" i="3" s="1"/>
  <c r="H118" i="18"/>
  <c r="H88" i="18"/>
  <c r="H154" i="18"/>
  <c r="H98" i="18"/>
  <c r="AD298" i="5"/>
  <c r="X94" i="5"/>
  <c r="Q94" i="5"/>
  <c r="D16" i="2"/>
  <c r="AM263" i="5"/>
  <c r="AR263" i="5" s="1"/>
  <c r="H141" i="18"/>
  <c r="N237" i="5"/>
  <c r="F205" i="13"/>
  <c r="H144" i="18"/>
  <c r="N120" i="5"/>
  <c r="N104" i="5"/>
  <c r="N114" i="5"/>
  <c r="Q76" i="5"/>
  <c r="S76" i="5"/>
  <c r="N123" i="5"/>
  <c r="V181" i="4"/>
  <c r="Q181" i="4"/>
  <c r="S181" i="4"/>
  <c r="Q234" i="4"/>
  <c r="S234" i="4"/>
  <c r="V234" i="4"/>
  <c r="N173" i="4"/>
  <c r="P173" i="4"/>
  <c r="V249" i="4"/>
  <c r="Q249" i="4"/>
  <c r="S249" i="4"/>
  <c r="V253" i="4"/>
  <c r="N158" i="4"/>
  <c r="P158" i="4"/>
  <c r="V227" i="4"/>
  <c r="S227" i="4"/>
  <c r="Q227" i="4"/>
  <c r="J104" i="13"/>
  <c r="H106" i="18"/>
  <c r="H156" i="18"/>
  <c r="H60" i="18"/>
  <c r="H166" i="18"/>
  <c r="H152" i="18"/>
  <c r="V105" i="4"/>
  <c r="W105" i="4" s="1"/>
  <c r="S105" i="4"/>
  <c r="Q105" i="4"/>
  <c r="K104" i="13"/>
  <c r="M104" i="13" s="1"/>
  <c r="G62" i="18"/>
  <c r="H62" i="18" s="1"/>
  <c r="G173" i="18"/>
  <c r="H173" i="18" s="1"/>
  <c r="G29" i="18"/>
  <c r="H29" i="18" s="1"/>
  <c r="F32" i="2"/>
  <c r="H104" i="18"/>
  <c r="H99" i="18"/>
  <c r="H73" i="18"/>
  <c r="K122" i="30"/>
  <c r="H117" i="18"/>
  <c r="F20" i="3"/>
  <c r="D21" i="3" s="1"/>
  <c r="D23" i="3" s="1"/>
  <c r="H75" i="18"/>
  <c r="C366" i="18"/>
  <c r="AC46" i="6"/>
  <c r="S63" i="13"/>
  <c r="T63" i="13" s="1"/>
  <c r="AC63" i="6"/>
  <c r="AB31" i="6"/>
  <c r="S31" i="13" s="1"/>
  <c r="T31" i="13" s="1"/>
  <c r="AC336" i="6"/>
  <c r="AE336" i="6"/>
  <c r="AE371" i="6"/>
  <c r="AC371" i="6"/>
  <c r="AE377" i="6"/>
  <c r="AE63" i="6" s="1"/>
  <c r="U63" i="13" s="1"/>
  <c r="AC377" i="6"/>
  <c r="AI343" i="6"/>
  <c r="AK343" i="6"/>
  <c r="AF356" i="6"/>
  <c r="AH356" i="6"/>
  <c r="Z47" i="6"/>
  <c r="AF372" i="6"/>
  <c r="AH372" i="6"/>
  <c r="AH340" i="6"/>
  <c r="AF340" i="6"/>
  <c r="AE64" i="6"/>
  <c r="U64" i="13" s="1"/>
  <c r="V64" i="13" s="1"/>
  <c r="AF379" i="6"/>
  <c r="AH379" i="6"/>
  <c r="AF368" i="6"/>
  <c r="AH368" i="6"/>
  <c r="AI354" i="6"/>
  <c r="AK354" i="6"/>
  <c r="AI333" i="6"/>
  <c r="AK333" i="6"/>
  <c r="AH347" i="6"/>
  <c r="AF347" i="6"/>
  <c r="AE330" i="6"/>
  <c r="AC330" i="6"/>
  <c r="AE353" i="6"/>
  <c r="AC353" i="6"/>
  <c r="AK355" i="6"/>
  <c r="AI355" i="6"/>
  <c r="AK363" i="6"/>
  <c r="AI363" i="6"/>
  <c r="AI351" i="6"/>
  <c r="AK351" i="6"/>
  <c r="AF374" i="6"/>
  <c r="AH374" i="6"/>
  <c r="AH346" i="6"/>
  <c r="AF346" i="6"/>
  <c r="AE375" i="6"/>
  <c r="AC375" i="6"/>
  <c r="AC357" i="6"/>
  <c r="AE357" i="6"/>
  <c r="AI338" i="6"/>
  <c r="AK338" i="6"/>
  <c r="AH329" i="6"/>
  <c r="AF329" i="6"/>
  <c r="AK349" i="6"/>
  <c r="AI349" i="6"/>
  <c r="AI370" i="6"/>
  <c r="AK370" i="6"/>
  <c r="AH378" i="6"/>
  <c r="AF378" i="6"/>
  <c r="AK348" i="6"/>
  <c r="AI348" i="6"/>
  <c r="AH362" i="6"/>
  <c r="AF362" i="6"/>
  <c r="AF367" i="6"/>
  <c r="AH367" i="6"/>
  <c r="AH339" i="6"/>
  <c r="AF339" i="6"/>
  <c r="AH358" i="6"/>
  <c r="AF358" i="6"/>
  <c r="AH332" i="6"/>
  <c r="AF332" i="6"/>
  <c r="AH373" i="6"/>
  <c r="AF373" i="6"/>
  <c r="AC361" i="6"/>
  <c r="AE361" i="6"/>
  <c r="R18" i="13"/>
  <c r="Z19" i="6"/>
  <c r="AI364" i="6"/>
  <c r="AK364" i="6"/>
  <c r="R32" i="13"/>
  <c r="AH380" i="6"/>
  <c r="AF380" i="6"/>
  <c r="AK359" i="6"/>
  <c r="AI359" i="6"/>
  <c r="AK337" i="6"/>
  <c r="AI337" i="6"/>
  <c r="AC382" i="6"/>
  <c r="AE382" i="6"/>
  <c r="AC365" i="6"/>
  <c r="AE365" i="6"/>
  <c r="AK352" i="6"/>
  <c r="AI352" i="6"/>
  <c r="AH342" i="6"/>
  <c r="AF342" i="6"/>
  <c r="AK335" i="6"/>
  <c r="AI335" i="6"/>
  <c r="AH376" i="6"/>
  <c r="AF376" i="6"/>
  <c r="AH369" i="6"/>
  <c r="AF369" i="6"/>
  <c r="AE345" i="6"/>
  <c r="AC345" i="6"/>
  <c r="AE381" i="6"/>
  <c r="AC381" i="6"/>
  <c r="H93" i="30"/>
  <c r="I93" i="30"/>
  <c r="AC321" i="6"/>
  <c r="AE46" i="6"/>
  <c r="AF46" i="6" s="1"/>
  <c r="AE274" i="6"/>
  <c r="AE21" i="6" s="1"/>
  <c r="AC274" i="6"/>
  <c r="AC313" i="6"/>
  <c r="AE313" i="6"/>
  <c r="AK285" i="6"/>
  <c r="AI285" i="6"/>
  <c r="AE315" i="6"/>
  <c r="AC315" i="6"/>
  <c r="AH273" i="6"/>
  <c r="AF273" i="6"/>
  <c r="AE318" i="6"/>
  <c r="AC318" i="6"/>
  <c r="AK275" i="6"/>
  <c r="AI275" i="6"/>
  <c r="AK316" i="6"/>
  <c r="AI316" i="6"/>
  <c r="AK271" i="6"/>
  <c r="AI271" i="6"/>
  <c r="AF282" i="6"/>
  <c r="AH282" i="6"/>
  <c r="AE312" i="6"/>
  <c r="AC312" i="6"/>
  <c r="AK289" i="6"/>
  <c r="AI289" i="6"/>
  <c r="AC281" i="6"/>
  <c r="AE281" i="6"/>
  <c r="AF320" i="6"/>
  <c r="AH320" i="6"/>
  <c r="AK293" i="6"/>
  <c r="AI293" i="6"/>
  <c r="AB19" i="6"/>
  <c r="AC19" i="6" s="1"/>
  <c r="AH294" i="6"/>
  <c r="AF294" i="6"/>
  <c r="AK298" i="6"/>
  <c r="AI298" i="6"/>
  <c r="AH309" i="6"/>
  <c r="AF309" i="6"/>
  <c r="AH283" i="6"/>
  <c r="AF283" i="6"/>
  <c r="AH303" i="6"/>
  <c r="AF303" i="6"/>
  <c r="AF300" i="6"/>
  <c r="AH300" i="6"/>
  <c r="AE308" i="6"/>
  <c r="AC308" i="6"/>
  <c r="AK278" i="6"/>
  <c r="AI278" i="6"/>
  <c r="AH279" i="6"/>
  <c r="AF279" i="6"/>
  <c r="AK317" i="6"/>
  <c r="AI317" i="6"/>
  <c r="AI311" i="6"/>
  <c r="AK311" i="6"/>
  <c r="AF307" i="6"/>
  <c r="AH307" i="6"/>
  <c r="AH287" i="6"/>
  <c r="AF287" i="6"/>
  <c r="AK288" i="6"/>
  <c r="AI288" i="6"/>
  <c r="AH290" i="6"/>
  <c r="AF290" i="6"/>
  <c r="AC277" i="6"/>
  <c r="AE277" i="6"/>
  <c r="AH291" i="6"/>
  <c r="AF291" i="6"/>
  <c r="AE319" i="6"/>
  <c r="AE66" i="6" s="1"/>
  <c r="AC319" i="6"/>
  <c r="AE272" i="6"/>
  <c r="AC272" i="6"/>
  <c r="AH267" i="6"/>
  <c r="AF267" i="6"/>
  <c r="AC269" i="6"/>
  <c r="AE269" i="6"/>
  <c r="AE276" i="6"/>
  <c r="AE23" i="6" s="1"/>
  <c r="AC276" i="6"/>
  <c r="AF280" i="6"/>
  <c r="AH280" i="6"/>
  <c r="AK286" i="6"/>
  <c r="AI286" i="6"/>
  <c r="AC297" i="6"/>
  <c r="AE297" i="6"/>
  <c r="AH299" i="6"/>
  <c r="AF299" i="6"/>
  <c r="AE295" i="6"/>
  <c r="AC295" i="6"/>
  <c r="AK306" i="6"/>
  <c r="AI306" i="6"/>
  <c r="AH310" i="6"/>
  <c r="AF310" i="6"/>
  <c r="AH270" i="6"/>
  <c r="AF270" i="6"/>
  <c r="AE296" i="6"/>
  <c r="AC296" i="6"/>
  <c r="AF302" i="6"/>
  <c r="AH302" i="6"/>
  <c r="AH305" i="6"/>
  <c r="AF305" i="6"/>
  <c r="AC301" i="6"/>
  <c r="AE301" i="6"/>
  <c r="AF292" i="6"/>
  <c r="AH292" i="6"/>
  <c r="AE304" i="6"/>
  <c r="AC304" i="6"/>
  <c r="AF234" i="6"/>
  <c r="AE26" i="6"/>
  <c r="U26" i="13" s="1"/>
  <c r="V26" i="13" s="1"/>
  <c r="AC26" i="6"/>
  <c r="AC216" i="6"/>
  <c r="AB32" i="6"/>
  <c r="AE216" i="6"/>
  <c r="AC204" i="6"/>
  <c r="AE204" i="6"/>
  <c r="AE238" i="6"/>
  <c r="AH238" i="6" s="1"/>
  <c r="AE232" i="6"/>
  <c r="AC232" i="6"/>
  <c r="H44" i="18"/>
  <c r="AF211" i="6"/>
  <c r="AH211" i="6"/>
  <c r="H52" i="18"/>
  <c r="AC208" i="6"/>
  <c r="AE208" i="6"/>
  <c r="AI217" i="6"/>
  <c r="AK217" i="6"/>
  <c r="AH201" i="6"/>
  <c r="AF201" i="6"/>
  <c r="AE251" i="6"/>
  <c r="AC251" i="6"/>
  <c r="AF246" i="6"/>
  <c r="AH246" i="6"/>
  <c r="AC199" i="6"/>
  <c r="AE199" i="6"/>
  <c r="AE237" i="6"/>
  <c r="AC237" i="6"/>
  <c r="AF205" i="6"/>
  <c r="AH205" i="6"/>
  <c r="AF236" i="6"/>
  <c r="AH236" i="6"/>
  <c r="AB252" i="6"/>
  <c r="AC252" i="6" s="1"/>
  <c r="AF247" i="6"/>
  <c r="AH247" i="6"/>
  <c r="AH200" i="6"/>
  <c r="AF200" i="6"/>
  <c r="AK234" i="6"/>
  <c r="AI234" i="6"/>
  <c r="AF240" i="6"/>
  <c r="AH240" i="6"/>
  <c r="AF241" i="6"/>
  <c r="AH241" i="6"/>
  <c r="AH210" i="6"/>
  <c r="AF210" i="6"/>
  <c r="AH213" i="6"/>
  <c r="AF213" i="6"/>
  <c r="AH198" i="6"/>
  <c r="AF198" i="6"/>
  <c r="AH250" i="6"/>
  <c r="AF250" i="6"/>
  <c r="AI206" i="6"/>
  <c r="AK206" i="6"/>
  <c r="AK214" i="6"/>
  <c r="AI214" i="6"/>
  <c r="AE218" i="6"/>
  <c r="AC218" i="6"/>
  <c r="AH244" i="6"/>
  <c r="AF244" i="6"/>
  <c r="AH220" i="6"/>
  <c r="AF220" i="6"/>
  <c r="AH249" i="6"/>
  <c r="AF249" i="6"/>
  <c r="AK225" i="6"/>
  <c r="AI225" i="6"/>
  <c r="AI233" i="6"/>
  <c r="AK233" i="6"/>
  <c r="AH231" i="6"/>
  <c r="AF231" i="6"/>
  <c r="AC245" i="6"/>
  <c r="AE245" i="6"/>
  <c r="AF221" i="6"/>
  <c r="AH221" i="6"/>
  <c r="AK227" i="6"/>
  <c r="AI227" i="6"/>
  <c r="AF212" i="6"/>
  <c r="AH212" i="6"/>
  <c r="AF223" i="6"/>
  <c r="AH223" i="6"/>
  <c r="AF243" i="6"/>
  <c r="AH243" i="6"/>
  <c r="AH248" i="6"/>
  <c r="AF248" i="6"/>
  <c r="S34" i="13"/>
  <c r="T34" i="13" s="1"/>
  <c r="T35" i="13"/>
  <c r="AE224" i="6"/>
  <c r="AC224" i="6"/>
  <c r="AC235" i="6"/>
  <c r="AE235" i="6"/>
  <c r="AC226" i="6"/>
  <c r="AE226" i="6"/>
  <c r="AC239" i="6"/>
  <c r="AE239" i="6"/>
  <c r="AE55" i="6" s="1"/>
  <c r="AF209" i="6"/>
  <c r="AH209" i="6"/>
  <c r="AE228" i="6"/>
  <c r="AC228" i="6"/>
  <c r="I90" i="30"/>
  <c r="H90" i="30"/>
  <c r="G90" i="30"/>
  <c r="AK175" i="6"/>
  <c r="H46" i="18"/>
  <c r="R35" i="13"/>
  <c r="AH184" i="6"/>
  <c r="AF184" i="6"/>
  <c r="H27" i="18"/>
  <c r="AF181" i="6"/>
  <c r="AH181" i="6"/>
  <c r="R23" i="13"/>
  <c r="AE171" i="6"/>
  <c r="AC171" i="6"/>
  <c r="AK189" i="6"/>
  <c r="AI189" i="6"/>
  <c r="AC167" i="6"/>
  <c r="AE167" i="6"/>
  <c r="AF172" i="6"/>
  <c r="AH172" i="6"/>
  <c r="AH144" i="6"/>
  <c r="AF144" i="6"/>
  <c r="AF164" i="6"/>
  <c r="AH164" i="6"/>
  <c r="AH169" i="6"/>
  <c r="AF169" i="6"/>
  <c r="AH161" i="6"/>
  <c r="AF161" i="6"/>
  <c r="AF165" i="6"/>
  <c r="AH165" i="6"/>
  <c r="AC154" i="6"/>
  <c r="AE154" i="6"/>
  <c r="AH143" i="6"/>
  <c r="AF143" i="6"/>
  <c r="AF141" i="6"/>
  <c r="AH141" i="6"/>
  <c r="AE180" i="6"/>
  <c r="AC180" i="6"/>
  <c r="AF162" i="6"/>
  <c r="AH162" i="6"/>
  <c r="AH150" i="6"/>
  <c r="AF150" i="6"/>
  <c r="AI183" i="6"/>
  <c r="AK183" i="6"/>
  <c r="AE166" i="6"/>
  <c r="AC166" i="6"/>
  <c r="AH159" i="6"/>
  <c r="AF159" i="6"/>
  <c r="AC142" i="6"/>
  <c r="AE142" i="6"/>
  <c r="AE19" i="6" s="1"/>
  <c r="U19" i="13" s="1"/>
  <c r="AH149" i="6"/>
  <c r="AF149" i="6"/>
  <c r="AK139" i="6"/>
  <c r="AI139" i="6"/>
  <c r="AH173" i="6"/>
  <c r="AF173" i="6"/>
  <c r="AH148" i="6"/>
  <c r="AF148" i="6"/>
  <c r="AC35" i="6"/>
  <c r="AF168" i="6"/>
  <c r="AH168" i="6"/>
  <c r="AH137" i="6"/>
  <c r="AF137" i="6"/>
  <c r="AE151" i="6"/>
  <c r="AC151" i="6"/>
  <c r="AC176" i="6"/>
  <c r="AE176" i="6"/>
  <c r="AH153" i="6"/>
  <c r="AF153" i="6"/>
  <c r="AK146" i="6"/>
  <c r="AI146" i="6"/>
  <c r="AH147" i="6"/>
  <c r="AF147" i="6"/>
  <c r="P21" i="13"/>
  <c r="R21" i="13"/>
  <c r="AH145" i="6"/>
  <c r="AF145" i="6"/>
  <c r="AE170" i="6"/>
  <c r="AC170" i="6"/>
  <c r="AB47" i="6"/>
  <c r="AB191" i="6"/>
  <c r="AC191" i="6" s="1"/>
  <c r="AI187" i="6"/>
  <c r="AK187" i="6"/>
  <c r="AH152" i="6"/>
  <c r="AF152" i="6"/>
  <c r="AE138" i="6"/>
  <c r="AC138" i="6"/>
  <c r="AE163" i="6"/>
  <c r="AC163" i="6"/>
  <c r="AH185" i="6"/>
  <c r="AF185" i="6"/>
  <c r="AI140" i="6"/>
  <c r="AK140" i="6"/>
  <c r="AH160" i="6"/>
  <c r="AF160" i="6"/>
  <c r="AF156" i="6"/>
  <c r="AH156" i="6"/>
  <c r="AE158" i="6"/>
  <c r="AC158" i="6"/>
  <c r="AI157" i="6"/>
  <c r="AK157" i="6"/>
  <c r="Q60" i="13"/>
  <c r="R60" i="13" s="1"/>
  <c r="Z60" i="6"/>
  <c r="Q27" i="13"/>
  <c r="R27" i="13" s="1"/>
  <c r="Z27" i="6"/>
  <c r="AB27" i="6"/>
  <c r="AE89" i="6"/>
  <c r="AC89" i="6"/>
  <c r="AH76" i="6"/>
  <c r="AF76" i="6"/>
  <c r="AB40" i="6"/>
  <c r="AE102" i="6"/>
  <c r="AC102" i="6"/>
  <c r="S21" i="13"/>
  <c r="T21" i="13" s="1"/>
  <c r="AC21" i="6"/>
  <c r="S14" i="13"/>
  <c r="T14" i="13" s="1"/>
  <c r="AC14" i="6"/>
  <c r="AH81" i="6"/>
  <c r="AF81" i="6"/>
  <c r="Q40" i="13"/>
  <c r="R40" i="13" s="1"/>
  <c r="Z40" i="6"/>
  <c r="AB44" i="6"/>
  <c r="AE106" i="6"/>
  <c r="AC106" i="6"/>
  <c r="Q44" i="13"/>
  <c r="R44" i="13" s="1"/>
  <c r="Z44" i="6"/>
  <c r="AB42" i="6"/>
  <c r="AC104" i="6"/>
  <c r="AE104" i="6"/>
  <c r="AB29" i="6"/>
  <c r="AC91" i="6"/>
  <c r="AE91" i="6"/>
  <c r="AI97" i="6"/>
  <c r="AK97" i="6"/>
  <c r="Q42" i="13"/>
  <c r="R42" i="13" s="1"/>
  <c r="Z42" i="6"/>
  <c r="AB60" i="6"/>
  <c r="AC122" i="6"/>
  <c r="AE122" i="6"/>
  <c r="Q29" i="13"/>
  <c r="R29" i="13" s="1"/>
  <c r="Z29" i="6"/>
  <c r="AH83" i="6"/>
  <c r="AF83" i="6"/>
  <c r="Q61" i="13"/>
  <c r="R61" i="13" s="1"/>
  <c r="Z61" i="6"/>
  <c r="Q38" i="13"/>
  <c r="R38" i="13" s="1"/>
  <c r="Z38" i="6"/>
  <c r="Q36" i="13"/>
  <c r="R36" i="13" s="1"/>
  <c r="Z36" i="6"/>
  <c r="O68" i="13"/>
  <c r="P68" i="13" s="1"/>
  <c r="W68" i="6"/>
  <c r="AB33" i="6"/>
  <c r="AC95" i="6"/>
  <c r="AE95" i="6"/>
  <c r="S23" i="13"/>
  <c r="T23" i="13" s="1"/>
  <c r="AC23" i="6"/>
  <c r="AI108" i="6"/>
  <c r="AK108" i="6"/>
  <c r="AB16" i="6"/>
  <c r="AE78" i="6"/>
  <c r="AC78" i="6"/>
  <c r="Q52" i="13"/>
  <c r="R52" i="13" s="1"/>
  <c r="Z52" i="6"/>
  <c r="Q53" i="13"/>
  <c r="R53" i="13" s="1"/>
  <c r="Z53" i="6"/>
  <c r="Q59" i="13"/>
  <c r="R59" i="13" s="1"/>
  <c r="Z59" i="6"/>
  <c r="AB54" i="6"/>
  <c r="AE116" i="6"/>
  <c r="AC116" i="6"/>
  <c r="AB25" i="6"/>
  <c r="AC87" i="6"/>
  <c r="AE87" i="6"/>
  <c r="Q62" i="13"/>
  <c r="R62" i="13" s="1"/>
  <c r="Z62" i="6"/>
  <c r="AH77" i="6"/>
  <c r="AF77" i="6"/>
  <c r="AB37" i="6"/>
  <c r="AE99" i="6"/>
  <c r="AC99" i="6"/>
  <c r="AB28" i="6"/>
  <c r="AE90" i="6"/>
  <c r="AC90" i="6"/>
  <c r="Q16" i="13"/>
  <c r="R16" i="13" s="1"/>
  <c r="Z16" i="6"/>
  <c r="Y68" i="6"/>
  <c r="AK96" i="6"/>
  <c r="AI96" i="6"/>
  <c r="Q54" i="13"/>
  <c r="R54" i="13" s="1"/>
  <c r="Z54" i="6"/>
  <c r="AB67" i="6"/>
  <c r="AC129" i="6"/>
  <c r="AE129" i="6"/>
  <c r="Q33" i="13"/>
  <c r="R33" i="13" s="1"/>
  <c r="Z33" i="6"/>
  <c r="AE45" i="6"/>
  <c r="AH107" i="6"/>
  <c r="AF107" i="6"/>
  <c r="AB48" i="6"/>
  <c r="AE110" i="6"/>
  <c r="AC110" i="6"/>
  <c r="Q37" i="13"/>
  <c r="R37" i="13" s="1"/>
  <c r="Z37" i="6"/>
  <c r="Q49" i="13"/>
  <c r="R49" i="13" s="1"/>
  <c r="Z49" i="6"/>
  <c r="AB20" i="6"/>
  <c r="AE82" i="6"/>
  <c r="AC82" i="6"/>
  <c r="AB58" i="6"/>
  <c r="AE120" i="6"/>
  <c r="AC120" i="6"/>
  <c r="AF93" i="6"/>
  <c r="AH93" i="6"/>
  <c r="Q25" i="13"/>
  <c r="R25" i="13" s="1"/>
  <c r="Z25" i="6"/>
  <c r="T46" i="13"/>
  <c r="S45" i="13"/>
  <c r="T45" i="13" s="1"/>
  <c r="AC45" i="6"/>
  <c r="AB65" i="6"/>
  <c r="AE127" i="6"/>
  <c r="AC127" i="6"/>
  <c r="Q28" i="13"/>
  <c r="R28" i="13" s="1"/>
  <c r="Z28" i="6"/>
  <c r="AB50" i="6"/>
  <c r="AE112" i="6"/>
  <c r="AC112" i="6"/>
  <c r="AB30" i="6"/>
  <c r="AC92" i="6"/>
  <c r="AE92" i="6"/>
  <c r="Q20" i="13"/>
  <c r="R20" i="13" s="1"/>
  <c r="Z20" i="6"/>
  <c r="AB57" i="6"/>
  <c r="AE119" i="6"/>
  <c r="AC119" i="6"/>
  <c r="AB43" i="6"/>
  <c r="AE105" i="6"/>
  <c r="AC105" i="6"/>
  <c r="Q67" i="13"/>
  <c r="R67" i="13" s="1"/>
  <c r="Z67" i="6"/>
  <c r="AH117" i="6"/>
  <c r="AF117" i="6"/>
  <c r="Q48" i="13"/>
  <c r="R48" i="13" s="1"/>
  <c r="Z48" i="6"/>
  <c r="AB22" i="6"/>
  <c r="AC84" i="6"/>
  <c r="AE84" i="6"/>
  <c r="Q50" i="13"/>
  <c r="R50" i="13" s="1"/>
  <c r="Z50" i="6"/>
  <c r="Q30" i="13"/>
  <c r="R30" i="13" s="1"/>
  <c r="Z30" i="6"/>
  <c r="AK80" i="6"/>
  <c r="AI80" i="6"/>
  <c r="AB17" i="6"/>
  <c r="AC79" i="6"/>
  <c r="AE79" i="6"/>
  <c r="Q58" i="13"/>
  <c r="R58" i="13" s="1"/>
  <c r="Z58" i="6"/>
  <c r="AE56" i="6"/>
  <c r="AH118" i="6"/>
  <c r="AF118" i="6"/>
  <c r="S55" i="13"/>
  <c r="T55" i="13" s="1"/>
  <c r="AC55" i="6"/>
  <c r="AF128" i="6"/>
  <c r="AH128" i="6"/>
  <c r="AI88" i="6"/>
  <c r="AK88" i="6"/>
  <c r="Q65" i="13"/>
  <c r="R65" i="13" s="1"/>
  <c r="Z65" i="6"/>
  <c r="Q22" i="13"/>
  <c r="R22" i="13" s="1"/>
  <c r="Z22" i="6"/>
  <c r="Q57" i="13"/>
  <c r="R57" i="13" s="1"/>
  <c r="Z57" i="6"/>
  <c r="AB24" i="6"/>
  <c r="AE86" i="6"/>
  <c r="AC86" i="6"/>
  <c r="Q43" i="13"/>
  <c r="R43" i="13" s="1"/>
  <c r="Z43" i="6"/>
  <c r="S66" i="13"/>
  <c r="T66" i="13" s="1"/>
  <c r="AC66" i="6"/>
  <c r="AB41" i="6"/>
  <c r="AE103" i="6"/>
  <c r="AC103" i="6"/>
  <c r="AB130" i="6"/>
  <c r="Z130" i="6"/>
  <c r="AB61" i="6"/>
  <c r="AE123" i="6"/>
  <c r="AC123" i="6"/>
  <c r="AB52" i="6"/>
  <c r="AE114" i="6"/>
  <c r="AC114" i="6"/>
  <c r="AB53" i="6"/>
  <c r="AC115" i="6"/>
  <c r="AE115" i="6"/>
  <c r="Q17" i="13"/>
  <c r="R17" i="13" s="1"/>
  <c r="Z17" i="6"/>
  <c r="AB38" i="6"/>
  <c r="AC100" i="6"/>
  <c r="AE100" i="6"/>
  <c r="AB59" i="6"/>
  <c r="AE121" i="6"/>
  <c r="AC121" i="6"/>
  <c r="Q24" i="13"/>
  <c r="R24" i="13" s="1"/>
  <c r="Z24" i="6"/>
  <c r="AB36" i="6"/>
  <c r="AC98" i="6"/>
  <c r="AE98" i="6"/>
  <c r="S56" i="13"/>
  <c r="T56" i="13" s="1"/>
  <c r="AC56" i="6"/>
  <c r="AF85" i="6"/>
  <c r="AH85" i="6"/>
  <c r="AB62" i="6"/>
  <c r="AC124" i="6"/>
  <c r="AE124" i="6"/>
  <c r="Q41" i="13"/>
  <c r="R41" i="13" s="1"/>
  <c r="Z41" i="6"/>
  <c r="AF113" i="6"/>
  <c r="AH113" i="6"/>
  <c r="AB49" i="6"/>
  <c r="AE111" i="6"/>
  <c r="AC111" i="6"/>
  <c r="I69" i="1"/>
  <c r="E72" i="30"/>
  <c r="H178" i="18"/>
  <c r="K51" i="30"/>
  <c r="H53" i="1"/>
  <c r="G51" i="1"/>
  <c r="K33" i="30"/>
  <c r="F31" i="2"/>
  <c r="K43" i="30"/>
  <c r="AT68" i="5"/>
  <c r="C307" i="18"/>
  <c r="F246" i="13"/>
  <c r="F424" i="13"/>
  <c r="Y164" i="5"/>
  <c r="H139" i="18"/>
  <c r="N160" i="5"/>
  <c r="AH112" i="5"/>
  <c r="AI112" i="5" s="1"/>
  <c r="H175" i="18"/>
  <c r="H133" i="18"/>
  <c r="S96" i="5"/>
  <c r="AC103" i="5"/>
  <c r="AD103" i="5" s="1"/>
  <c r="Q103" i="5"/>
  <c r="S103" i="5"/>
  <c r="N80" i="5"/>
  <c r="E405" i="13"/>
  <c r="F405" i="13" s="1"/>
  <c r="G394" i="13"/>
  <c r="H394" i="13" s="1"/>
  <c r="N111" i="5"/>
  <c r="AD100" i="5"/>
  <c r="H148" i="18"/>
  <c r="H13" i="18"/>
  <c r="H87" i="18"/>
  <c r="H79" i="18"/>
  <c r="H55" i="18"/>
  <c r="H159" i="18"/>
  <c r="H36" i="18"/>
  <c r="H28" i="18"/>
  <c r="H63" i="18"/>
  <c r="H138" i="18"/>
  <c r="H177" i="18"/>
  <c r="W213" i="4"/>
  <c r="Y213" i="4"/>
  <c r="Y243" i="4"/>
  <c r="W243" i="4"/>
  <c r="AB240" i="4"/>
  <c r="Z240" i="4"/>
  <c r="Q216" i="4"/>
  <c r="S216" i="4"/>
  <c r="V216" i="4"/>
  <c r="Y242" i="4"/>
  <c r="W242" i="4"/>
  <c r="P244" i="4"/>
  <c r="N244" i="4"/>
  <c r="Q251" i="4"/>
  <c r="V251" i="4"/>
  <c r="S251" i="4"/>
  <c r="W236" i="4"/>
  <c r="Y236" i="4"/>
  <c r="Q214" i="4"/>
  <c r="S214" i="4"/>
  <c r="V214" i="4"/>
  <c r="N222" i="4"/>
  <c r="P222" i="4"/>
  <c r="P229" i="4"/>
  <c r="N229" i="4"/>
  <c r="Y207" i="4"/>
  <c r="W207" i="4"/>
  <c r="AB156" i="4"/>
  <c r="H19" i="18"/>
  <c r="H57" i="18"/>
  <c r="H84" i="18"/>
  <c r="H34" i="18"/>
  <c r="H163" i="18"/>
  <c r="H92" i="18"/>
  <c r="H112" i="18"/>
  <c r="H120" i="18"/>
  <c r="H115" i="18"/>
  <c r="H171" i="18"/>
  <c r="V164" i="4"/>
  <c r="Q164" i="4"/>
  <c r="S164" i="4"/>
  <c r="P155" i="4"/>
  <c r="N155" i="4"/>
  <c r="P191" i="4"/>
  <c r="N191" i="4"/>
  <c r="W144" i="4"/>
  <c r="Y144" i="4"/>
  <c r="P147" i="4"/>
  <c r="N147" i="4"/>
  <c r="N182" i="4"/>
  <c r="P182" i="4"/>
  <c r="H150" i="18"/>
  <c r="H147" i="18"/>
  <c r="H39" i="18"/>
  <c r="H135" i="18"/>
  <c r="H82" i="18"/>
  <c r="H142" i="18"/>
  <c r="H77" i="18"/>
  <c r="H96" i="18"/>
  <c r="H81" i="18"/>
  <c r="H105" i="18"/>
  <c r="V116" i="4"/>
  <c r="W116" i="4" s="1"/>
  <c r="S116" i="4"/>
  <c r="K115" i="13"/>
  <c r="L115" i="13" s="1"/>
  <c r="K359" i="13"/>
  <c r="M359" i="13" s="1"/>
  <c r="N80" i="4"/>
  <c r="I323" i="13"/>
  <c r="J323" i="13" s="1"/>
  <c r="I79" i="13"/>
  <c r="J79" i="13" s="1"/>
  <c r="P80" i="4"/>
  <c r="P113" i="4"/>
  <c r="K173" i="13" s="1"/>
  <c r="N113" i="4"/>
  <c r="I112" i="13"/>
  <c r="J112" i="13" s="1"/>
  <c r="I356" i="13"/>
  <c r="J356" i="13" s="1"/>
  <c r="I173" i="13"/>
  <c r="J173" i="13" s="1"/>
  <c r="J169" i="13"/>
  <c r="P42" i="4"/>
  <c r="N42" i="4"/>
  <c r="I164" i="13"/>
  <c r="J164" i="13" s="1"/>
  <c r="N34" i="4"/>
  <c r="P34" i="4"/>
  <c r="I156" i="13"/>
  <c r="J156" i="13" s="1"/>
  <c r="P53" i="4"/>
  <c r="N53" i="4"/>
  <c r="W60" i="4"/>
  <c r="Y60" i="4"/>
  <c r="Y67" i="4"/>
  <c r="W67" i="4"/>
  <c r="I140" i="13"/>
  <c r="J140" i="13" s="1"/>
  <c r="P18" i="4"/>
  <c r="N18" i="4"/>
  <c r="G64" i="18"/>
  <c r="H64" i="18" s="1"/>
  <c r="F227" i="13"/>
  <c r="G227" i="13"/>
  <c r="E411" i="13"/>
  <c r="F411" i="13" s="1"/>
  <c r="G170" i="18"/>
  <c r="H170" i="18" s="1"/>
  <c r="N229" i="5"/>
  <c r="Q208" i="5"/>
  <c r="G211" i="13"/>
  <c r="F211" i="13"/>
  <c r="E395" i="13"/>
  <c r="F395" i="13" s="1"/>
  <c r="Y215" i="5"/>
  <c r="S204" i="5"/>
  <c r="X204" i="5"/>
  <c r="Q204" i="5"/>
  <c r="H21" i="18"/>
  <c r="H18" i="18"/>
  <c r="H65" i="18"/>
  <c r="H48" i="18"/>
  <c r="H32" i="18"/>
  <c r="H51" i="18"/>
  <c r="H15" i="18"/>
  <c r="H42" i="18"/>
  <c r="G169" i="18"/>
  <c r="H169" i="18" s="1"/>
  <c r="K146" i="5"/>
  <c r="F221" i="13"/>
  <c r="G160" i="18"/>
  <c r="H160" i="18" s="1"/>
  <c r="J242" i="13"/>
  <c r="I426" i="13"/>
  <c r="K242" i="13"/>
  <c r="L242" i="13" s="1"/>
  <c r="N174" i="5"/>
  <c r="K141" i="5"/>
  <c r="N187" i="5"/>
  <c r="K163" i="5"/>
  <c r="H140" i="18"/>
  <c r="E143" i="18"/>
  <c r="E23" i="18"/>
  <c r="G157" i="18"/>
  <c r="H157" i="18" s="1"/>
  <c r="G153" i="18"/>
  <c r="H153" i="18" s="1"/>
  <c r="H162" i="18"/>
  <c r="H61" i="18"/>
  <c r="H101" i="18"/>
  <c r="H185" i="18"/>
  <c r="H20" i="18"/>
  <c r="G25" i="18"/>
  <c r="H25" i="18" s="1"/>
  <c r="H94" i="18"/>
  <c r="H102" i="18"/>
  <c r="H43" i="18"/>
  <c r="H181" i="18"/>
  <c r="H41" i="18"/>
  <c r="H125" i="18"/>
  <c r="F179" i="18"/>
  <c r="F59" i="18"/>
  <c r="H24" i="18"/>
  <c r="H172" i="18"/>
  <c r="H30" i="18"/>
  <c r="H164" i="18"/>
  <c r="H121" i="18"/>
  <c r="H161" i="18"/>
  <c r="H45" i="18"/>
  <c r="D179" i="18"/>
  <c r="D59" i="18"/>
  <c r="F47" i="18"/>
  <c r="F167" i="18"/>
  <c r="F155" i="18"/>
  <c r="F35" i="18"/>
  <c r="H22" i="18"/>
  <c r="H180" i="18"/>
  <c r="H103" i="18"/>
  <c r="H165" i="18"/>
  <c r="H111" i="18"/>
  <c r="H114" i="18"/>
  <c r="C23" i="18"/>
  <c r="C143" i="18"/>
  <c r="H78" i="18"/>
  <c r="H174" i="18"/>
  <c r="H168" i="18"/>
  <c r="C155" i="18"/>
  <c r="C35" i="18"/>
  <c r="H76" i="18"/>
  <c r="H54" i="18"/>
  <c r="H108" i="18"/>
  <c r="H80" i="18"/>
  <c r="H14" i="5"/>
  <c r="E198" i="13"/>
  <c r="F198" i="13" s="1"/>
  <c r="N162" i="5"/>
  <c r="G56" i="18"/>
  <c r="H56" i="18" s="1"/>
  <c r="K153" i="5"/>
  <c r="G158" i="18"/>
  <c r="H158" i="18" s="1"/>
  <c r="G38" i="18"/>
  <c r="H38" i="18" s="1"/>
  <c r="G14" i="18"/>
  <c r="H14" i="18" s="1"/>
  <c r="G151" i="18"/>
  <c r="H151" i="18" s="1"/>
  <c r="Y156" i="5"/>
  <c r="AC156" i="5"/>
  <c r="I401" i="13"/>
  <c r="J401" i="13" s="1"/>
  <c r="G23" i="18"/>
  <c r="G143" i="18"/>
  <c r="H86" i="18"/>
  <c r="G146" i="18"/>
  <c r="H146" i="18" s="1"/>
  <c r="G26" i="18"/>
  <c r="H26" i="18" s="1"/>
  <c r="J14" i="5"/>
  <c r="G382" i="13" s="1"/>
  <c r="H382" i="13" s="1"/>
  <c r="G23" i="27"/>
  <c r="I180" i="27"/>
  <c r="I205" i="27"/>
  <c r="I277" i="27"/>
  <c r="H35" i="27"/>
  <c r="G95" i="18" s="1"/>
  <c r="K98" i="30"/>
  <c r="E312" i="18"/>
  <c r="V350" i="13"/>
  <c r="T350" i="13"/>
  <c r="J89" i="30"/>
  <c r="J102" i="30"/>
  <c r="H39" i="3" s="1"/>
  <c r="F59" i="27"/>
  <c r="E119" i="18" s="1"/>
  <c r="I156" i="27"/>
  <c r="I229" i="27"/>
  <c r="F47" i="27"/>
  <c r="E107" i="18" s="1"/>
  <c r="I289" i="27"/>
  <c r="E47" i="27"/>
  <c r="D107" i="18" s="1"/>
  <c r="E35" i="27"/>
  <c r="I241" i="27"/>
  <c r="E23" i="27"/>
  <c r="I144" i="27"/>
  <c r="D59" i="27"/>
  <c r="C119" i="18" s="1"/>
  <c r="H59" i="27"/>
  <c r="G119" i="18" s="1"/>
  <c r="F35" i="27"/>
  <c r="H47" i="27"/>
  <c r="G107" i="18" s="1"/>
  <c r="D47" i="27"/>
  <c r="S17" i="4"/>
  <c r="Q17" i="4"/>
  <c r="V17" i="4"/>
  <c r="N85" i="4"/>
  <c r="P85" i="4"/>
  <c r="K145" i="13" s="1"/>
  <c r="I84" i="13"/>
  <c r="J84" i="13" s="1"/>
  <c r="I328" i="13"/>
  <c r="J328" i="13" s="1"/>
  <c r="S238" i="4"/>
  <c r="Q238" i="4"/>
  <c r="V238" i="4"/>
  <c r="P140" i="4"/>
  <c r="N140" i="4"/>
  <c r="AB235" i="4"/>
  <c r="Z235" i="4"/>
  <c r="Q202" i="4"/>
  <c r="S202" i="4"/>
  <c r="V202" i="4"/>
  <c r="H72" i="18"/>
  <c r="S230" i="4"/>
  <c r="Q230" i="4"/>
  <c r="V230" i="4"/>
  <c r="V210" i="4"/>
  <c r="Q210" i="4"/>
  <c r="S210" i="4"/>
  <c r="Q203" i="4"/>
  <c r="V203" i="4"/>
  <c r="S203" i="4"/>
  <c r="P172" i="4"/>
  <c r="N172" i="4"/>
  <c r="N99" i="4"/>
  <c r="I342" i="13"/>
  <c r="J342" i="13" s="1"/>
  <c r="I98" i="13"/>
  <c r="J98" i="13" s="1"/>
  <c r="P99" i="4"/>
  <c r="I145" i="13"/>
  <c r="J145" i="13" s="1"/>
  <c r="P146" i="4"/>
  <c r="N146" i="4"/>
  <c r="P154" i="4"/>
  <c r="N154" i="4"/>
  <c r="Y211" i="4"/>
  <c r="W211" i="4"/>
  <c r="Q92" i="4"/>
  <c r="V92" i="4"/>
  <c r="S92" i="4"/>
  <c r="K335" i="13"/>
  <c r="K91" i="13"/>
  <c r="W224" i="4"/>
  <c r="Y224" i="4"/>
  <c r="Q225" i="4"/>
  <c r="S225" i="4"/>
  <c r="V225" i="4"/>
  <c r="N204" i="4"/>
  <c r="P204" i="4"/>
  <c r="P233" i="4"/>
  <c r="N233" i="4"/>
  <c r="P252" i="4"/>
  <c r="N252" i="4"/>
  <c r="N84" i="4"/>
  <c r="I327" i="13"/>
  <c r="J327" i="13" s="1"/>
  <c r="I83" i="13"/>
  <c r="J83" i="13" s="1"/>
  <c r="P84" i="4"/>
  <c r="W183" i="4"/>
  <c r="Y183" i="4"/>
  <c r="W28" i="4"/>
  <c r="Y28" i="4"/>
  <c r="S205" i="4"/>
  <c r="V205" i="4"/>
  <c r="Q205" i="4"/>
  <c r="P161" i="4"/>
  <c r="N161" i="4"/>
  <c r="F389" i="13"/>
  <c r="V128" i="4"/>
  <c r="S128" i="4"/>
  <c r="Q128" i="4"/>
  <c r="H30" i="2"/>
  <c r="H32" i="2"/>
  <c r="S51" i="4"/>
  <c r="Q51" i="4"/>
  <c r="V51" i="4"/>
  <c r="P150" i="4"/>
  <c r="N150" i="4"/>
  <c r="S254" i="4"/>
  <c r="V254" i="4"/>
  <c r="Q254" i="4"/>
  <c r="W168" i="4"/>
  <c r="Y168" i="4"/>
  <c r="W248" i="4"/>
  <c r="Y248" i="4"/>
  <c r="N208" i="4"/>
  <c r="P208" i="4"/>
  <c r="Q209" i="4"/>
  <c r="S209" i="4"/>
  <c r="V209" i="4"/>
  <c r="V193" i="4"/>
  <c r="Q193" i="4"/>
  <c r="S193" i="4"/>
  <c r="Q35" i="4"/>
  <c r="V35" i="4"/>
  <c r="S35" i="4"/>
  <c r="Q226" i="4"/>
  <c r="V226" i="4"/>
  <c r="S226" i="4"/>
  <c r="V38" i="4"/>
  <c r="S38" i="4"/>
  <c r="Q38" i="4"/>
  <c r="P212" i="4"/>
  <c r="N212" i="4"/>
  <c r="V190" i="4"/>
  <c r="S190" i="4"/>
  <c r="Q190" i="4"/>
  <c r="N77" i="4"/>
  <c r="P77" i="4"/>
  <c r="I76" i="13"/>
  <c r="J76" i="13" s="1"/>
  <c r="I320" i="13"/>
  <c r="J320" i="13" s="1"/>
  <c r="V16" i="4"/>
  <c r="Q16" i="4"/>
  <c r="S16" i="4"/>
  <c r="AB228" i="4"/>
  <c r="Z228" i="4"/>
  <c r="V217" i="4"/>
  <c r="Q217" i="4"/>
  <c r="S217" i="4"/>
  <c r="V142" i="4"/>
  <c r="Q142" i="4"/>
  <c r="S142" i="4"/>
  <c r="P247" i="4"/>
  <c r="N247" i="4"/>
  <c r="S25" i="4"/>
  <c r="V25" i="4"/>
  <c r="Q25" i="4"/>
  <c r="P126" i="4"/>
  <c r="N126" i="4"/>
  <c r="I186" i="13"/>
  <c r="J186" i="13" s="1"/>
  <c r="I369" i="13"/>
  <c r="J369" i="13" s="1"/>
  <c r="I125" i="13"/>
  <c r="J125" i="13" s="1"/>
  <c r="P26" i="4"/>
  <c r="I148" i="13"/>
  <c r="J148" i="13" s="1"/>
  <c r="N26" i="4"/>
  <c r="W22" i="4"/>
  <c r="Y22" i="4"/>
  <c r="P188" i="4"/>
  <c r="N188" i="4"/>
  <c r="V179" i="4"/>
  <c r="Q179" i="4"/>
  <c r="S179" i="4"/>
  <c r="Z19" i="4"/>
  <c r="AB19" i="4"/>
  <c r="S104" i="4"/>
  <c r="V104" i="4"/>
  <c r="K347" i="13"/>
  <c r="K103" i="13"/>
  <c r="V180" i="4"/>
  <c r="Q180" i="4"/>
  <c r="S180" i="4"/>
  <c r="V160" i="4"/>
  <c r="S160" i="4"/>
  <c r="Q160" i="4"/>
  <c r="Q63" i="4"/>
  <c r="V63" i="4"/>
  <c r="P219" i="4"/>
  <c r="N219" i="4"/>
  <c r="P239" i="4"/>
  <c r="N239" i="4"/>
  <c r="K14" i="30"/>
  <c r="Z163" i="4"/>
  <c r="AB163" i="4"/>
  <c r="O324" i="13"/>
  <c r="P324" i="13" s="1"/>
  <c r="O80" i="13"/>
  <c r="P80" i="13" s="1"/>
  <c r="W81" i="4"/>
  <c r="Y81" i="4"/>
  <c r="O141" i="13"/>
  <c r="P141" i="13" s="1"/>
  <c r="S23" i="4"/>
  <c r="V23" i="4"/>
  <c r="Q23" i="4"/>
  <c r="K333" i="13"/>
  <c r="K89" i="13"/>
  <c r="V90" i="4"/>
  <c r="S90" i="4"/>
  <c r="Q90" i="4"/>
  <c r="K150" i="13"/>
  <c r="I171" i="13"/>
  <c r="J171" i="13" s="1"/>
  <c r="N49" i="4"/>
  <c r="P49" i="4"/>
  <c r="M92" i="13"/>
  <c r="L92" i="13"/>
  <c r="I168" i="13"/>
  <c r="J168" i="13" s="1"/>
  <c r="N46" i="4"/>
  <c r="P46" i="4"/>
  <c r="I357" i="13"/>
  <c r="J357" i="13" s="1"/>
  <c r="I113" i="13"/>
  <c r="J113" i="13" s="1"/>
  <c r="P114" i="4"/>
  <c r="K174" i="13" s="1"/>
  <c r="N114" i="4"/>
  <c r="Z206" i="4"/>
  <c r="AB206" i="4"/>
  <c r="V178" i="4"/>
  <c r="Q178" i="4"/>
  <c r="S178" i="4"/>
  <c r="Y41" i="4"/>
  <c r="W41" i="4"/>
  <c r="K155" i="13"/>
  <c r="V33" i="4"/>
  <c r="Q33" i="4"/>
  <c r="S33" i="4"/>
  <c r="I154" i="13"/>
  <c r="J154" i="13" s="1"/>
  <c r="P32" i="4"/>
  <c r="N32" i="4"/>
  <c r="I337" i="13"/>
  <c r="J337" i="13" s="1"/>
  <c r="I93" i="13"/>
  <c r="J93" i="13" s="1"/>
  <c r="N94" i="4"/>
  <c r="P94" i="4"/>
  <c r="V170" i="4"/>
  <c r="S170" i="4"/>
  <c r="Q170" i="4"/>
  <c r="O332" i="13"/>
  <c r="P332" i="13" s="1"/>
  <c r="O88" i="13"/>
  <c r="P88" i="13" s="1"/>
  <c r="Y89" i="4"/>
  <c r="W89" i="4"/>
  <c r="N145" i="4"/>
  <c r="P145" i="4"/>
  <c r="M194" i="4"/>
  <c r="I153" i="13"/>
  <c r="J153" i="13" s="1"/>
  <c r="P31" i="4"/>
  <c r="N31" i="4"/>
  <c r="K166" i="13"/>
  <c r="S44" i="4"/>
  <c r="Q44" i="4"/>
  <c r="V44" i="4"/>
  <c r="O331" i="13"/>
  <c r="P331" i="13" s="1"/>
  <c r="Y88" i="4"/>
  <c r="Q57" i="4"/>
  <c r="V57" i="4"/>
  <c r="K366" i="13"/>
  <c r="K122" i="13"/>
  <c r="V123" i="4"/>
  <c r="S123" i="4"/>
  <c r="Q123" i="4"/>
  <c r="I362" i="13"/>
  <c r="J362" i="13" s="1"/>
  <c r="I118" i="13"/>
  <c r="J118" i="13" s="1"/>
  <c r="N119" i="4"/>
  <c r="P119" i="4"/>
  <c r="K179" i="13" s="1"/>
  <c r="I346" i="13"/>
  <c r="J346" i="13" s="1"/>
  <c r="I102" i="13"/>
  <c r="J102" i="13" s="1"/>
  <c r="P103" i="4"/>
  <c r="N103" i="4"/>
  <c r="I163" i="13"/>
  <c r="J163" i="13" s="1"/>
  <c r="AB50" i="4"/>
  <c r="Z50" i="4"/>
  <c r="Z151" i="4"/>
  <c r="AB151" i="4"/>
  <c r="W54" i="4"/>
  <c r="Y54" i="4"/>
  <c r="I353" i="13"/>
  <c r="J353" i="13" s="1"/>
  <c r="I109" i="13"/>
  <c r="J109" i="13" s="1"/>
  <c r="P110" i="4"/>
  <c r="K170" i="13" s="1"/>
  <c r="N110" i="4"/>
  <c r="W153" i="4"/>
  <c r="Y153" i="4"/>
  <c r="I326" i="13"/>
  <c r="J326" i="13" s="1"/>
  <c r="I82" i="13"/>
  <c r="J82" i="13" s="1"/>
  <c r="P83" i="4"/>
  <c r="N83" i="4"/>
  <c r="I345" i="13"/>
  <c r="J345" i="13" s="1"/>
  <c r="I101" i="13"/>
  <c r="J101" i="13" s="1"/>
  <c r="P102" i="4"/>
  <c r="N102" i="4"/>
  <c r="I162" i="13"/>
  <c r="J162" i="13" s="1"/>
  <c r="J179" i="13"/>
  <c r="V148" i="4"/>
  <c r="Q148" i="4"/>
  <c r="S148" i="4"/>
  <c r="AB221" i="4"/>
  <c r="Z221" i="4"/>
  <c r="S52" i="4"/>
  <c r="Q52" i="4"/>
  <c r="V52" i="4"/>
  <c r="W176" i="4"/>
  <c r="Y176" i="4"/>
  <c r="W250" i="4"/>
  <c r="Y250" i="4"/>
  <c r="M176" i="13"/>
  <c r="L176" i="13"/>
  <c r="I358" i="13"/>
  <c r="J358" i="13" s="1"/>
  <c r="I114" i="13"/>
  <c r="J114" i="13" s="1"/>
  <c r="P115" i="4"/>
  <c r="N115" i="4"/>
  <c r="I175" i="13"/>
  <c r="J175" i="13" s="1"/>
  <c r="M88" i="13"/>
  <c r="L88" i="13"/>
  <c r="AB59" i="4"/>
  <c r="Q245" i="4"/>
  <c r="V245" i="4"/>
  <c r="S245" i="4"/>
  <c r="M80" i="13"/>
  <c r="L80" i="13"/>
  <c r="AC220" i="4"/>
  <c r="AE220" i="4"/>
  <c r="I329" i="13"/>
  <c r="J329" i="13" s="1"/>
  <c r="I85" i="13"/>
  <c r="J85" i="13" s="1"/>
  <c r="N86" i="4"/>
  <c r="P86" i="4"/>
  <c r="H12" i="18"/>
  <c r="K180" i="13"/>
  <c r="Q58" i="4"/>
  <c r="V58" i="4"/>
  <c r="I184" i="13"/>
  <c r="J184" i="13" s="1"/>
  <c r="P62" i="4"/>
  <c r="N62" i="4"/>
  <c r="I330" i="13"/>
  <c r="J330" i="13" s="1"/>
  <c r="I86" i="13"/>
  <c r="J86" i="13" s="1"/>
  <c r="P87" i="4"/>
  <c r="N87" i="4"/>
  <c r="I147" i="13"/>
  <c r="J147" i="13" s="1"/>
  <c r="K367" i="13"/>
  <c r="K123" i="13"/>
  <c r="Q124" i="4"/>
  <c r="S124" i="4"/>
  <c r="V124" i="4"/>
  <c r="M332" i="13"/>
  <c r="L332" i="13"/>
  <c r="M324" i="13"/>
  <c r="L324" i="13"/>
  <c r="M255" i="4"/>
  <c r="P201" i="4"/>
  <c r="N201" i="4"/>
  <c r="S29" i="4"/>
  <c r="Q29" i="4"/>
  <c r="V29" i="4"/>
  <c r="K69" i="4"/>
  <c r="K364" i="13"/>
  <c r="K120" i="13"/>
  <c r="Q121" i="4"/>
  <c r="S121" i="4"/>
  <c r="V121" i="4"/>
  <c r="K181" i="13"/>
  <c r="L87" i="13"/>
  <c r="M87" i="13"/>
  <c r="I341" i="13"/>
  <c r="J341" i="13" s="1"/>
  <c r="I97" i="13"/>
  <c r="J97" i="13" s="1"/>
  <c r="P98" i="4"/>
  <c r="N98" i="4"/>
  <c r="Z187" i="4"/>
  <c r="AB187" i="4"/>
  <c r="S127" i="4"/>
  <c r="Q127" i="4"/>
  <c r="V127" i="4"/>
  <c r="I158" i="13"/>
  <c r="J158" i="13" s="1"/>
  <c r="N36" i="4"/>
  <c r="P36" i="4"/>
  <c r="I351" i="13"/>
  <c r="J351" i="13" s="1"/>
  <c r="I107" i="13"/>
  <c r="J107" i="13" s="1"/>
  <c r="N108" i="4"/>
  <c r="P108" i="4"/>
  <c r="I174" i="13"/>
  <c r="J174" i="13" s="1"/>
  <c r="V177" i="4"/>
  <c r="Q177" i="4"/>
  <c r="S177" i="4"/>
  <c r="I365" i="13"/>
  <c r="J365" i="13" s="1"/>
  <c r="I121" i="13"/>
  <c r="J121" i="13" s="1"/>
  <c r="N122" i="4"/>
  <c r="P122" i="4"/>
  <c r="I182" i="13"/>
  <c r="J182" i="13" s="1"/>
  <c r="N263" i="4"/>
  <c r="P263" i="4"/>
  <c r="S48" i="4"/>
  <c r="V48" i="4"/>
  <c r="Q48" i="4"/>
  <c r="Q352" i="13"/>
  <c r="R352" i="13" s="1"/>
  <c r="Q108" i="13"/>
  <c r="R108" i="13" s="1"/>
  <c r="Z109" i="4"/>
  <c r="AB109" i="4"/>
  <c r="I344" i="13"/>
  <c r="J344" i="13" s="1"/>
  <c r="I100" i="13"/>
  <c r="J100" i="13" s="1"/>
  <c r="P101" i="4"/>
  <c r="N101" i="4"/>
  <c r="I137" i="13"/>
  <c r="J137" i="13" s="1"/>
  <c r="N15" i="4"/>
  <c r="P15" i="4"/>
  <c r="M69" i="4"/>
  <c r="I178" i="13"/>
  <c r="J178" i="13" s="1"/>
  <c r="P56" i="4"/>
  <c r="N56" i="4"/>
  <c r="Y65" i="4"/>
  <c r="W65" i="4"/>
  <c r="K322" i="13"/>
  <c r="K78" i="13"/>
  <c r="V79" i="4"/>
  <c r="S79" i="4"/>
  <c r="Q79" i="4"/>
  <c r="K139" i="13"/>
  <c r="L331" i="13"/>
  <c r="M331" i="13"/>
  <c r="K132" i="4"/>
  <c r="AE40" i="4"/>
  <c r="AC40" i="4"/>
  <c r="I159" i="13"/>
  <c r="J159" i="13" s="1"/>
  <c r="P37" i="4"/>
  <c r="N37" i="4"/>
  <c r="P129" i="4"/>
  <c r="N129" i="4"/>
  <c r="K338" i="13"/>
  <c r="K94" i="13"/>
  <c r="S95" i="4"/>
  <c r="Q95" i="4"/>
  <c r="V95" i="4"/>
  <c r="V262" i="4"/>
  <c r="S262" i="4"/>
  <c r="Q262" i="4"/>
  <c r="V162" i="4"/>
  <c r="Q162" i="4"/>
  <c r="S162" i="4"/>
  <c r="I161" i="13"/>
  <c r="J161" i="13" s="1"/>
  <c r="N39" i="4"/>
  <c r="P39" i="4"/>
  <c r="V159" i="4"/>
  <c r="Q159" i="4"/>
  <c r="S159" i="4"/>
  <c r="Y232" i="4"/>
  <c r="W232" i="4"/>
  <c r="V55" i="4"/>
  <c r="Q55" i="4"/>
  <c r="I361" i="13"/>
  <c r="J361" i="13" s="1"/>
  <c r="I117" i="13"/>
  <c r="J117" i="13" s="1"/>
  <c r="P118" i="4"/>
  <c r="N118" i="4"/>
  <c r="M339" i="13"/>
  <c r="L339" i="13"/>
  <c r="AH131" i="4"/>
  <c r="AF131" i="4"/>
  <c r="I340" i="13"/>
  <c r="J340" i="13" s="1"/>
  <c r="I96" i="13"/>
  <c r="J96" i="13" s="1"/>
  <c r="P97" i="4"/>
  <c r="N97" i="4"/>
  <c r="I157" i="13"/>
  <c r="J157" i="13" s="1"/>
  <c r="K169" i="13"/>
  <c r="Q47" i="4"/>
  <c r="S47" i="4"/>
  <c r="V47" i="4"/>
  <c r="I321" i="13"/>
  <c r="J321" i="13" s="1"/>
  <c r="I77" i="13"/>
  <c r="J77" i="13" s="1"/>
  <c r="P78" i="4"/>
  <c r="N78" i="4"/>
  <c r="I138" i="13"/>
  <c r="J138" i="13" s="1"/>
  <c r="I165" i="13"/>
  <c r="J165" i="13" s="1"/>
  <c r="N43" i="4"/>
  <c r="P43" i="4"/>
  <c r="I325" i="13"/>
  <c r="J325" i="13" s="1"/>
  <c r="I81" i="13"/>
  <c r="J81" i="13" s="1"/>
  <c r="N82" i="4"/>
  <c r="P82" i="4"/>
  <c r="I142" i="13"/>
  <c r="J142" i="13" s="1"/>
  <c r="V184" i="4"/>
  <c r="Q184" i="4"/>
  <c r="S184" i="4"/>
  <c r="Y64" i="4"/>
  <c r="W64" i="4"/>
  <c r="Y246" i="4"/>
  <c r="W246" i="4"/>
  <c r="Q68" i="4"/>
  <c r="S68" i="4"/>
  <c r="V68" i="4"/>
  <c r="I183" i="13"/>
  <c r="J183" i="13" s="1"/>
  <c r="P61" i="4"/>
  <c r="N61" i="4"/>
  <c r="Q66" i="4"/>
  <c r="S66" i="4"/>
  <c r="V66" i="4"/>
  <c r="I143" i="13"/>
  <c r="J143" i="13" s="1"/>
  <c r="N21" i="4"/>
  <c r="P21" i="4"/>
  <c r="V185" i="4"/>
  <c r="Q185" i="4"/>
  <c r="S185" i="4"/>
  <c r="P166" i="4"/>
  <c r="N166" i="4"/>
  <c r="I354" i="13"/>
  <c r="J354" i="13" s="1"/>
  <c r="I110" i="13"/>
  <c r="J110" i="13" s="1"/>
  <c r="P111" i="4"/>
  <c r="N111" i="4"/>
  <c r="E12" i="2"/>
  <c r="G13" i="1"/>
  <c r="M348" i="13"/>
  <c r="L348" i="13"/>
  <c r="V171" i="4"/>
  <c r="S171" i="4"/>
  <c r="Q171" i="4"/>
  <c r="K355" i="13"/>
  <c r="K111" i="13"/>
  <c r="S112" i="4"/>
  <c r="Q112" i="4"/>
  <c r="V112" i="4"/>
  <c r="K172" i="13"/>
  <c r="I170" i="13"/>
  <c r="J170" i="13" s="1"/>
  <c r="G15" i="2"/>
  <c r="I15" i="1"/>
  <c r="G11" i="2"/>
  <c r="I146" i="13"/>
  <c r="J146" i="13" s="1"/>
  <c r="N24" i="4"/>
  <c r="P24" i="4"/>
  <c r="I149" i="13"/>
  <c r="J149" i="13" s="1"/>
  <c r="N27" i="4"/>
  <c r="P27" i="4"/>
  <c r="I152" i="13"/>
  <c r="J152" i="13" s="1"/>
  <c r="P30" i="4"/>
  <c r="N30" i="4"/>
  <c r="K167" i="13"/>
  <c r="Q45" i="4"/>
  <c r="V45" i="4"/>
  <c r="AC167" i="4"/>
  <c r="AE167" i="4"/>
  <c r="AC192" i="4"/>
  <c r="AE192" i="4"/>
  <c r="AC96" i="5"/>
  <c r="E413" i="13"/>
  <c r="F413" i="13" s="1"/>
  <c r="G229" i="13"/>
  <c r="F229" i="13"/>
  <c r="E402" i="13"/>
  <c r="F402" i="13" s="1"/>
  <c r="G218" i="13"/>
  <c r="F218" i="13"/>
  <c r="AI211" i="5"/>
  <c r="AM211" i="5"/>
  <c r="S109" i="5"/>
  <c r="Q96" i="5"/>
  <c r="K231" i="5"/>
  <c r="H235" i="13"/>
  <c r="G419" i="13"/>
  <c r="H419" i="13" s="1"/>
  <c r="I235" i="13"/>
  <c r="S215" i="5"/>
  <c r="K158" i="5"/>
  <c r="K207" i="5"/>
  <c r="AH105" i="5"/>
  <c r="AD105" i="5"/>
  <c r="K161" i="5"/>
  <c r="H243" i="13"/>
  <c r="Q215" i="5"/>
  <c r="N93" i="5"/>
  <c r="G418" i="13"/>
  <c r="H418" i="13" s="1"/>
  <c r="H234" i="13"/>
  <c r="I234" i="13"/>
  <c r="K172" i="5"/>
  <c r="S226" i="5"/>
  <c r="Y96" i="5"/>
  <c r="N77" i="5"/>
  <c r="N145" i="5"/>
  <c r="N90" i="5"/>
  <c r="X228" i="5"/>
  <c r="S228" i="5"/>
  <c r="Q228" i="5"/>
  <c r="K182" i="5"/>
  <c r="AH121" i="5"/>
  <c r="AD121" i="5"/>
  <c r="N85" i="5"/>
  <c r="N98" i="5"/>
  <c r="J237" i="13"/>
  <c r="N152" i="5"/>
  <c r="N170" i="5"/>
  <c r="H132" i="18"/>
  <c r="F240" i="13"/>
  <c r="H247" i="13"/>
  <c r="N118" i="5"/>
  <c r="K157" i="5"/>
  <c r="N232" i="5"/>
  <c r="G206" i="13"/>
  <c r="E390" i="13"/>
  <c r="F390" i="13" s="1"/>
  <c r="F206" i="13"/>
  <c r="X180" i="5"/>
  <c r="Q180" i="5"/>
  <c r="S180" i="5"/>
  <c r="K140" i="5"/>
  <c r="N223" i="5"/>
  <c r="K176" i="5"/>
  <c r="K165" i="5"/>
  <c r="I214" i="13"/>
  <c r="H214" i="13"/>
  <c r="G398" i="13"/>
  <c r="H398" i="13" s="1"/>
  <c r="N89" i="5"/>
  <c r="G224" i="13"/>
  <c r="F224" i="13"/>
  <c r="E408" i="13"/>
  <c r="F408" i="13" s="1"/>
  <c r="N88" i="5"/>
  <c r="G230" i="13"/>
  <c r="E414" i="13"/>
  <c r="F414" i="13" s="1"/>
  <c r="F230" i="13"/>
  <c r="G416" i="13"/>
  <c r="H416" i="13" s="1"/>
  <c r="H232" i="13"/>
  <c r="I232" i="13"/>
  <c r="E422" i="13"/>
  <c r="F422" i="13" s="1"/>
  <c r="F238" i="13"/>
  <c r="G238" i="13"/>
  <c r="N144" i="5"/>
  <c r="N95" i="5"/>
  <c r="AM294" i="5"/>
  <c r="AI294" i="5"/>
  <c r="N247" i="5"/>
  <c r="H252" i="18"/>
  <c r="G393" i="13"/>
  <c r="H393" i="13" s="1"/>
  <c r="I209" i="13"/>
  <c r="K178" i="5"/>
  <c r="N202" i="5"/>
  <c r="N169" i="5"/>
  <c r="N205" i="5"/>
  <c r="N250" i="5"/>
  <c r="N142" i="5"/>
  <c r="N190" i="5"/>
  <c r="E392" i="13"/>
  <c r="F392" i="13" s="1"/>
  <c r="G208" i="13"/>
  <c r="F208" i="13"/>
  <c r="AM291" i="5"/>
  <c r="AI291" i="5"/>
  <c r="N108" i="5"/>
  <c r="K159" i="5"/>
  <c r="AC109" i="5"/>
  <c r="Y109" i="5"/>
  <c r="AI277" i="5"/>
  <c r="AM277" i="5"/>
  <c r="X183" i="5"/>
  <c r="S183" i="5"/>
  <c r="Q183" i="5"/>
  <c r="AR301" i="5"/>
  <c r="AN301" i="5"/>
  <c r="K150" i="5"/>
  <c r="N127" i="5"/>
  <c r="K200" i="5"/>
  <c r="N203" i="5"/>
  <c r="E387" i="13"/>
  <c r="F387" i="13" s="1"/>
  <c r="G203" i="13"/>
  <c r="F203" i="13"/>
  <c r="N191" i="5"/>
  <c r="N175" i="5"/>
  <c r="K143" i="5"/>
  <c r="AN299" i="5"/>
  <c r="AR299" i="5"/>
  <c r="X177" i="5"/>
  <c r="S177" i="5"/>
  <c r="Q177" i="5"/>
  <c r="H254" i="5"/>
  <c r="N221" i="5"/>
  <c r="N166" i="5"/>
  <c r="E403" i="13"/>
  <c r="F403" i="13" s="1"/>
  <c r="G219" i="13"/>
  <c r="F219" i="13"/>
  <c r="I245" i="13"/>
  <c r="G429" i="13"/>
  <c r="H429" i="13" s="1"/>
  <c r="H245" i="13"/>
  <c r="E410" i="13"/>
  <c r="F410" i="13" s="1"/>
  <c r="G226" i="13"/>
  <c r="F226" i="13"/>
  <c r="K189" i="5"/>
  <c r="Y148" i="5"/>
  <c r="AC148" i="5"/>
  <c r="X149" i="5"/>
  <c r="Q149" i="5"/>
  <c r="S149" i="5"/>
  <c r="E307" i="18"/>
  <c r="S115" i="5"/>
  <c r="Q115" i="5"/>
  <c r="X115" i="5"/>
  <c r="N84" i="5"/>
  <c r="N241" i="5"/>
  <c r="AR286" i="5"/>
  <c r="AN286" i="5"/>
  <c r="N184" i="5"/>
  <c r="K139" i="5"/>
  <c r="K201" i="5"/>
  <c r="G424" i="13"/>
  <c r="H424" i="13" s="1"/>
  <c r="H240" i="13"/>
  <c r="I240" i="13"/>
  <c r="N219" i="5"/>
  <c r="X171" i="5"/>
  <c r="S171" i="5"/>
  <c r="Q171" i="5"/>
  <c r="E407" i="13"/>
  <c r="F407" i="13" s="1"/>
  <c r="G223" i="13"/>
  <c r="F223" i="13"/>
  <c r="Q87" i="5"/>
  <c r="S87" i="5"/>
  <c r="X87" i="5"/>
  <c r="Q81" i="5"/>
  <c r="S81" i="5"/>
  <c r="X81" i="5"/>
  <c r="Y216" i="5"/>
  <c r="AC216" i="5"/>
  <c r="E415" i="13"/>
  <c r="F415" i="13" s="1"/>
  <c r="F231" i="13"/>
  <c r="G231" i="13"/>
  <c r="H192" i="5"/>
  <c r="F39" i="1"/>
  <c r="F33" i="1" s="1"/>
  <c r="E13" i="2" s="1"/>
  <c r="Q179" i="5"/>
  <c r="X179" i="5"/>
  <c r="S179" i="5"/>
  <c r="E399" i="13"/>
  <c r="F399" i="13" s="1"/>
  <c r="G215" i="13"/>
  <c r="F215" i="13"/>
  <c r="X116" i="5"/>
  <c r="Q116" i="5"/>
  <c r="S116" i="5"/>
  <c r="N141" i="5"/>
  <c r="S224" i="5"/>
  <c r="Q224" i="5"/>
  <c r="X224" i="5"/>
  <c r="K217" i="5"/>
  <c r="S82" i="5"/>
  <c r="Q82" i="5"/>
  <c r="X82" i="5"/>
  <c r="N240" i="5"/>
  <c r="AM311" i="5"/>
  <c r="AI311" i="5"/>
  <c r="N124" i="5"/>
  <c r="N220" i="5"/>
  <c r="X167" i="5"/>
  <c r="S167" i="5"/>
  <c r="Q167" i="5"/>
  <c r="N186" i="5"/>
  <c r="N106" i="5"/>
  <c r="N78" i="5"/>
  <c r="S107" i="5"/>
  <c r="Q107" i="5"/>
  <c r="X107" i="5"/>
  <c r="AD164" i="5"/>
  <c r="AH164" i="5"/>
  <c r="K138" i="5"/>
  <c r="J192" i="5"/>
  <c r="Q125" i="5"/>
  <c r="S125" i="5"/>
  <c r="X125" i="5"/>
  <c r="N251" i="5"/>
  <c r="N218" i="5"/>
  <c r="K181" i="5"/>
  <c r="Q91" i="5"/>
  <c r="S91" i="5"/>
  <c r="X91" i="5"/>
  <c r="K147" i="5"/>
  <c r="N168" i="5"/>
  <c r="E423" i="13"/>
  <c r="F423" i="13" s="1"/>
  <c r="F239" i="13"/>
  <c r="G239" i="13"/>
  <c r="E383" i="13"/>
  <c r="F383" i="13" s="1"/>
  <c r="F199" i="13"/>
  <c r="G199" i="13"/>
  <c r="K225" i="5"/>
  <c r="E425" i="13"/>
  <c r="F425" i="13" s="1"/>
  <c r="G241" i="13"/>
  <c r="F241" i="13"/>
  <c r="N252" i="5"/>
  <c r="X160" i="5"/>
  <c r="Q160" i="5"/>
  <c r="S160" i="5"/>
  <c r="I233" i="13"/>
  <c r="G417" i="13"/>
  <c r="H417" i="13" s="1"/>
  <c r="H233" i="13"/>
  <c r="Q126" i="5"/>
  <c r="S126" i="5"/>
  <c r="X126" i="5"/>
  <c r="S212" i="5"/>
  <c r="Q212" i="5"/>
  <c r="X212" i="5"/>
  <c r="AI298" i="5"/>
  <c r="AM298" i="5"/>
  <c r="S122" i="5"/>
  <c r="Q122" i="5"/>
  <c r="X122" i="5"/>
  <c r="N234" i="5"/>
  <c r="AD215" i="5"/>
  <c r="AH215" i="5"/>
  <c r="X162" i="5"/>
  <c r="S162" i="5"/>
  <c r="Q162" i="5"/>
  <c r="K209" i="5"/>
  <c r="N210" i="5"/>
  <c r="K233" i="5"/>
  <c r="N119" i="5"/>
  <c r="AH309" i="5"/>
  <c r="AD309" i="5"/>
  <c r="N239" i="5"/>
  <c r="N213" i="5"/>
  <c r="Y206" i="5"/>
  <c r="AC206" i="5"/>
  <c r="K155" i="5"/>
  <c r="S110" i="5"/>
  <c r="Q110" i="5"/>
  <c r="X110" i="5"/>
  <c r="AM306" i="5"/>
  <c r="AI306" i="5"/>
  <c r="AM270" i="5"/>
  <c r="AI270" i="5"/>
  <c r="X154" i="5"/>
  <c r="X30" i="5" s="1"/>
  <c r="O214" i="13" s="1"/>
  <c r="Q154" i="5"/>
  <c r="S154" i="5"/>
  <c r="AN284" i="5"/>
  <c r="AR284" i="5"/>
  <c r="AM275" i="5"/>
  <c r="AI275" i="5"/>
  <c r="X244" i="5"/>
  <c r="S244" i="5"/>
  <c r="Q244" i="5"/>
  <c r="N222" i="5"/>
  <c r="AH285" i="5"/>
  <c r="AD285" i="5"/>
  <c r="AS303" i="5"/>
  <c r="AU303" i="5"/>
  <c r="AH287" i="5"/>
  <c r="AD287" i="5"/>
  <c r="AN307" i="5"/>
  <c r="AR307" i="5"/>
  <c r="AD281" i="5"/>
  <c r="AH281" i="5"/>
  <c r="E396" i="13"/>
  <c r="F396" i="13" s="1"/>
  <c r="G212" i="13"/>
  <c r="F212" i="13"/>
  <c r="G35" i="1"/>
  <c r="K130" i="5"/>
  <c r="AR283" i="5"/>
  <c r="AN283" i="5"/>
  <c r="AM282" i="5"/>
  <c r="AI282" i="5"/>
  <c r="AN293" i="5"/>
  <c r="AR293" i="5"/>
  <c r="N230" i="5"/>
  <c r="E404" i="13"/>
  <c r="F404" i="13" s="1"/>
  <c r="F220" i="13"/>
  <c r="G220" i="13"/>
  <c r="K238" i="5"/>
  <c r="N253" i="5"/>
  <c r="AR289" i="5"/>
  <c r="AN289" i="5"/>
  <c r="G384" i="13"/>
  <c r="H384" i="13" s="1"/>
  <c r="H200" i="13"/>
  <c r="I200" i="13"/>
  <c r="G391" i="13"/>
  <c r="H391" i="13" s="1"/>
  <c r="H207" i="13"/>
  <c r="I207" i="13"/>
  <c r="X227" i="5"/>
  <c r="Q227" i="5"/>
  <c r="S227" i="5"/>
  <c r="S243" i="5"/>
  <c r="Q243" i="5"/>
  <c r="X243" i="5"/>
  <c r="N113" i="5"/>
  <c r="M130" i="5"/>
  <c r="AN290" i="5"/>
  <c r="AR290" i="5"/>
  <c r="AU279" i="5"/>
  <c r="AS279" i="5"/>
  <c r="AM292" i="5"/>
  <c r="AI292" i="5"/>
  <c r="AN265" i="5"/>
  <c r="AR265" i="5"/>
  <c r="AI269" i="5"/>
  <c r="AM269" i="5"/>
  <c r="J254" i="5"/>
  <c r="G385" i="13"/>
  <c r="H385" i="13" s="1"/>
  <c r="H201" i="13"/>
  <c r="I201" i="13"/>
  <c r="AN297" i="5"/>
  <c r="AR297" i="5"/>
  <c r="Q248" i="5"/>
  <c r="S248" i="5"/>
  <c r="X248" i="5"/>
  <c r="E412" i="13"/>
  <c r="F412" i="13" s="1"/>
  <c r="F228" i="13"/>
  <c r="G228" i="13"/>
  <c r="AM280" i="5"/>
  <c r="AI280" i="5"/>
  <c r="AM313" i="5"/>
  <c r="AI313" i="5"/>
  <c r="AH262" i="5"/>
  <c r="AD262" i="5"/>
  <c r="AC315" i="5"/>
  <c r="AD315" i="5" s="1"/>
  <c r="AR302" i="5"/>
  <c r="AN302" i="5"/>
  <c r="N214" i="5"/>
  <c r="AM278" i="5"/>
  <c r="AI278" i="5"/>
  <c r="AI276" i="5"/>
  <c r="AM276" i="5"/>
  <c r="G409" i="13"/>
  <c r="H409" i="13" s="1"/>
  <c r="I225" i="13"/>
  <c r="H225" i="13"/>
  <c r="G397" i="13"/>
  <c r="H397" i="13" s="1"/>
  <c r="I213" i="13"/>
  <c r="AH268" i="5"/>
  <c r="AD268" i="5"/>
  <c r="G428" i="13"/>
  <c r="H428" i="13" s="1"/>
  <c r="H244" i="13"/>
  <c r="I244" i="13"/>
  <c r="X235" i="5"/>
  <c r="Q235" i="5"/>
  <c r="S235" i="5"/>
  <c r="AI288" i="5"/>
  <c r="AM288" i="5"/>
  <c r="G389" i="13"/>
  <c r="H389" i="13" s="1"/>
  <c r="I205" i="13"/>
  <c r="H205" i="13"/>
  <c r="AM314" i="5"/>
  <c r="AI314" i="5"/>
  <c r="AM310" i="5"/>
  <c r="AI310" i="5"/>
  <c r="Y242" i="5"/>
  <c r="AC242" i="5"/>
  <c r="K249" i="5"/>
  <c r="AN272" i="5"/>
  <c r="AR272" i="5"/>
  <c r="K246" i="5"/>
  <c r="AM312" i="5"/>
  <c r="AI312" i="5"/>
  <c r="AD305" i="5"/>
  <c r="AH305" i="5"/>
  <c r="AN274" i="5"/>
  <c r="AR274" i="5"/>
  <c r="AM266" i="5"/>
  <c r="AI266" i="5"/>
  <c r="AM264" i="5"/>
  <c r="AI264" i="5"/>
  <c r="AI308" i="5"/>
  <c r="AM308" i="5"/>
  <c r="AI267" i="5"/>
  <c r="AM267" i="5"/>
  <c r="AI296" i="5"/>
  <c r="AM296" i="5"/>
  <c r="G388" i="13"/>
  <c r="H388" i="13" s="1"/>
  <c r="H204" i="13"/>
  <c r="I204" i="13"/>
  <c r="AN261" i="5"/>
  <c r="AR261" i="5"/>
  <c r="AR271" i="5"/>
  <c r="AN271" i="5"/>
  <c r="I427" i="13"/>
  <c r="J243" i="13"/>
  <c r="K243" i="13"/>
  <c r="N245" i="5"/>
  <c r="AI295" i="5"/>
  <c r="AM295" i="5"/>
  <c r="AM300" i="5"/>
  <c r="AI300" i="5"/>
  <c r="G420" i="13"/>
  <c r="H420" i="13" s="1"/>
  <c r="H236" i="13"/>
  <c r="I236" i="13"/>
  <c r="S236" i="5"/>
  <c r="X236" i="5"/>
  <c r="Q236" i="5"/>
  <c r="AM273" i="5"/>
  <c r="AI273" i="5"/>
  <c r="G307" i="18"/>
  <c r="AM100" i="5"/>
  <c r="AI100" i="5"/>
  <c r="AM83" i="5"/>
  <c r="AI83" i="5"/>
  <c r="AH97" i="5"/>
  <c r="AD97" i="5"/>
  <c r="AH129" i="5"/>
  <c r="AD129" i="5"/>
  <c r="AH101" i="5"/>
  <c r="AD101" i="5"/>
  <c r="AD92" i="5"/>
  <c r="AH92" i="5"/>
  <c r="V143" i="4" l="1"/>
  <c r="S143" i="4"/>
  <c r="Q143" i="4"/>
  <c r="Q175" i="4"/>
  <c r="V175" i="4"/>
  <c r="S175" i="4"/>
  <c r="S237" i="4"/>
  <c r="V237" i="4"/>
  <c r="Q237" i="4"/>
  <c r="V231" i="4"/>
  <c r="Q231" i="4"/>
  <c r="S231" i="4"/>
  <c r="H68" i="5"/>
  <c r="J68" i="5"/>
  <c r="K68" i="5" s="1"/>
  <c r="L243" i="13"/>
  <c r="X188" i="5"/>
  <c r="S188" i="5"/>
  <c r="Q188" i="5"/>
  <c r="X86" i="5"/>
  <c r="Q86" i="5"/>
  <c r="S86" i="5"/>
  <c r="X102" i="5"/>
  <c r="Q102" i="5"/>
  <c r="S102" i="5"/>
  <c r="X79" i="5"/>
  <c r="S79" i="5"/>
  <c r="Q79" i="5"/>
  <c r="P151" i="5"/>
  <c r="S151" i="5" s="1"/>
  <c r="N151" i="5"/>
  <c r="J217" i="13"/>
  <c r="L217" i="13"/>
  <c r="J222" i="13"/>
  <c r="C107" i="18"/>
  <c r="I47" i="27"/>
  <c r="F83" i="18"/>
  <c r="G68" i="27"/>
  <c r="I59" i="27"/>
  <c r="K158" i="30"/>
  <c r="D68" i="27"/>
  <c r="C127" i="18" s="1"/>
  <c r="W88" i="4"/>
  <c r="P132" i="4"/>
  <c r="H68" i="27"/>
  <c r="K89" i="30"/>
  <c r="D95" i="18"/>
  <c r="I35" i="27"/>
  <c r="D83" i="18"/>
  <c r="I23" i="27"/>
  <c r="E68" i="27"/>
  <c r="D127" i="18" s="1"/>
  <c r="E95" i="18"/>
  <c r="F68" i="27"/>
  <c r="E127" i="18" s="1"/>
  <c r="S128" i="5"/>
  <c r="Q128" i="5"/>
  <c r="AD117" i="5"/>
  <c r="AC99" i="5"/>
  <c r="K247" i="13"/>
  <c r="I394" i="13"/>
  <c r="K210" i="13"/>
  <c r="L210" i="13" s="1"/>
  <c r="AE189" i="4"/>
  <c r="AH169" i="4"/>
  <c r="AC20" i="4"/>
  <c r="AE20" i="4"/>
  <c r="K349" i="13"/>
  <c r="M349" i="13" s="1"/>
  <c r="K105" i="13"/>
  <c r="M105" i="13" s="1"/>
  <c r="S106" i="4"/>
  <c r="W130" i="4"/>
  <c r="Y130" i="4"/>
  <c r="I431" i="13"/>
  <c r="J431" i="13" s="1"/>
  <c r="K237" i="13"/>
  <c r="L237" i="13" s="1"/>
  <c r="I421" i="13"/>
  <c r="J421" i="13" s="1"/>
  <c r="AF331" i="6"/>
  <c r="AH331" i="6"/>
  <c r="AH328" i="6"/>
  <c r="AF328" i="6"/>
  <c r="H80" i="30"/>
  <c r="G92" i="30"/>
  <c r="AI219" i="6"/>
  <c r="R64" i="13"/>
  <c r="AH101" i="6"/>
  <c r="AI101" i="6" s="1"/>
  <c r="AE39" i="6"/>
  <c r="U39" i="13" s="1"/>
  <c r="V39" i="13" s="1"/>
  <c r="T51" i="13"/>
  <c r="AC39" i="6"/>
  <c r="AC51" i="6"/>
  <c r="AK126" i="6"/>
  <c r="AI126" i="6"/>
  <c r="AN263" i="5"/>
  <c r="I246" i="13"/>
  <c r="G430" i="13"/>
  <c r="H430" i="13" s="1"/>
  <c r="G246" i="13"/>
  <c r="H246" i="13" s="1"/>
  <c r="J426" i="13"/>
  <c r="I216" i="13"/>
  <c r="I247" i="13"/>
  <c r="H406" i="13"/>
  <c r="K401" i="13"/>
  <c r="L401" i="13" s="1"/>
  <c r="K222" i="13"/>
  <c r="L222" i="13" s="1"/>
  <c r="G400" i="13"/>
  <c r="H400" i="13" s="1"/>
  <c r="I406" i="13"/>
  <c r="J406" i="13" s="1"/>
  <c r="I221" i="13"/>
  <c r="G221" i="13"/>
  <c r="H221" i="13" s="1"/>
  <c r="K202" i="13"/>
  <c r="I202" i="13"/>
  <c r="M14" i="5"/>
  <c r="N14" i="5" s="1"/>
  <c r="F222" i="13"/>
  <c r="H222" i="13"/>
  <c r="S253" i="4"/>
  <c r="Q223" i="4"/>
  <c r="V223" i="4"/>
  <c r="S223" i="4"/>
  <c r="V215" i="4"/>
  <c r="Q215" i="4"/>
  <c r="S215" i="4"/>
  <c r="Y241" i="4"/>
  <c r="W241" i="4"/>
  <c r="Q218" i="4"/>
  <c r="V218" i="4"/>
  <c r="S218" i="4"/>
  <c r="AH152" i="4"/>
  <c r="AK152" i="4" s="1"/>
  <c r="S165" i="4"/>
  <c r="Q165" i="4"/>
  <c r="V165" i="4"/>
  <c r="Q174" i="4"/>
  <c r="V174" i="4"/>
  <c r="S174" i="4"/>
  <c r="S157" i="4"/>
  <c r="V157" i="4"/>
  <c r="Q157" i="4"/>
  <c r="S141" i="4"/>
  <c r="V141" i="4"/>
  <c r="Q141" i="4"/>
  <c r="W186" i="4"/>
  <c r="Y186" i="4"/>
  <c r="S117" i="4"/>
  <c r="Q117" i="4"/>
  <c r="K177" i="13"/>
  <c r="L177" i="13" s="1"/>
  <c r="V117" i="4"/>
  <c r="O177" i="13" s="1"/>
  <c r="K116" i="13"/>
  <c r="L116" i="13" s="1"/>
  <c r="L95" i="13"/>
  <c r="P363" i="13"/>
  <c r="Y93" i="4"/>
  <c r="Z93" i="4" s="1"/>
  <c r="W93" i="4"/>
  <c r="K151" i="13"/>
  <c r="M151" i="13" s="1"/>
  <c r="Q91" i="4"/>
  <c r="O336" i="13"/>
  <c r="P336" i="13" s="1"/>
  <c r="V91" i="4"/>
  <c r="O90" i="13" s="1"/>
  <c r="P90" i="13" s="1"/>
  <c r="S91" i="4"/>
  <c r="K334" i="13"/>
  <c r="M334" i="13" s="1"/>
  <c r="Y120" i="4"/>
  <c r="Q363" i="13" s="1"/>
  <c r="R363" i="13" s="1"/>
  <c r="O119" i="13"/>
  <c r="P119" i="13" s="1"/>
  <c r="M336" i="13"/>
  <c r="W120" i="4"/>
  <c r="L363" i="13"/>
  <c r="L119" i="13"/>
  <c r="K99" i="13"/>
  <c r="L99" i="13" s="1"/>
  <c r="O95" i="13"/>
  <c r="P95" i="13" s="1"/>
  <c r="O339" i="13"/>
  <c r="P339" i="13" s="1"/>
  <c r="Y96" i="4"/>
  <c r="Q339" i="13" s="1"/>
  <c r="K343" i="13"/>
  <c r="L343" i="13" s="1"/>
  <c r="V100" i="4"/>
  <c r="O99" i="13" s="1"/>
  <c r="K160" i="13"/>
  <c r="L160" i="13" s="1"/>
  <c r="S100" i="4"/>
  <c r="S125" i="4"/>
  <c r="V125" i="4"/>
  <c r="O185" i="13" s="1"/>
  <c r="P185" i="13" s="1"/>
  <c r="K368" i="13"/>
  <c r="Q125" i="4"/>
  <c r="K124" i="13"/>
  <c r="L104" i="13"/>
  <c r="O104" i="13"/>
  <c r="P104" i="13" s="1"/>
  <c r="AH344" i="6"/>
  <c r="AF344" i="6"/>
  <c r="AH46" i="6"/>
  <c r="W46" i="13" s="1"/>
  <c r="AE321" i="6"/>
  <c r="AF321" i="6" s="1"/>
  <c r="AH284" i="6"/>
  <c r="AF284" i="6"/>
  <c r="AF314" i="6"/>
  <c r="AH314" i="6"/>
  <c r="AI268" i="6"/>
  <c r="AK268" i="6"/>
  <c r="AF18" i="6"/>
  <c r="AC15" i="6"/>
  <c r="AI242" i="6"/>
  <c r="AH215" i="6"/>
  <c r="AF215" i="6"/>
  <c r="AC31" i="6"/>
  <c r="AF188" i="6"/>
  <c r="AH188" i="6"/>
  <c r="AI186" i="6"/>
  <c r="AK186" i="6"/>
  <c r="AK155" i="6"/>
  <c r="AI155" i="6"/>
  <c r="AI182" i="6"/>
  <c r="AK182" i="6"/>
  <c r="AK178" i="6"/>
  <c r="AI178" i="6"/>
  <c r="AH18" i="6"/>
  <c r="W18" i="13" s="1"/>
  <c r="U46" i="13"/>
  <c r="V46" i="13" s="1"/>
  <c r="V63" i="13"/>
  <c r="AF149" i="4"/>
  <c r="D40" i="3"/>
  <c r="D42" i="3" s="1"/>
  <c r="C47" i="3" s="1"/>
  <c r="Q151" i="5"/>
  <c r="X151" i="5"/>
  <c r="AC94" i="5"/>
  <c r="Y94" i="5"/>
  <c r="AM112" i="5"/>
  <c r="AR112" i="5" s="1"/>
  <c r="S237" i="5"/>
  <c r="Q237" i="5"/>
  <c r="X237" i="5"/>
  <c r="Y76" i="5"/>
  <c r="AC76" i="5"/>
  <c r="S114" i="5"/>
  <c r="X114" i="5"/>
  <c r="Q114" i="5"/>
  <c r="Q123" i="5"/>
  <c r="S123" i="5"/>
  <c r="X123" i="5"/>
  <c r="X104" i="5"/>
  <c r="Q104" i="5"/>
  <c r="S104" i="5"/>
  <c r="X38" i="5"/>
  <c r="O222" i="13" s="1"/>
  <c r="S120" i="5"/>
  <c r="X120" i="5"/>
  <c r="Q120" i="5"/>
  <c r="V158" i="4"/>
  <c r="S158" i="4"/>
  <c r="Q158" i="4"/>
  <c r="V173" i="4"/>
  <c r="S173" i="4"/>
  <c r="Q173" i="4"/>
  <c r="Y253" i="4"/>
  <c r="W253" i="4"/>
  <c r="W234" i="4"/>
  <c r="Y234" i="4"/>
  <c r="Y227" i="4"/>
  <c r="W227" i="4"/>
  <c r="W249" i="4"/>
  <c r="Y249" i="4"/>
  <c r="W181" i="4"/>
  <c r="Y181" i="4"/>
  <c r="Y105" i="4"/>
  <c r="Q348" i="13" s="1"/>
  <c r="O348" i="13"/>
  <c r="P348" i="13" s="1"/>
  <c r="J394" i="13"/>
  <c r="M115" i="13"/>
  <c r="H366" i="18"/>
  <c r="L359" i="13"/>
  <c r="AF64" i="6"/>
  <c r="AK372" i="6"/>
  <c r="AI372" i="6"/>
  <c r="AF377" i="6"/>
  <c r="AH377" i="6"/>
  <c r="AH63" i="6" s="1"/>
  <c r="W63" i="13" s="1"/>
  <c r="AK379" i="6"/>
  <c r="AI379" i="6"/>
  <c r="AI340" i="6"/>
  <c r="AK340" i="6"/>
  <c r="AI368" i="6"/>
  <c r="AK368" i="6"/>
  <c r="AK356" i="6"/>
  <c r="AI356" i="6"/>
  <c r="AF371" i="6"/>
  <c r="AH371" i="6"/>
  <c r="AH26" i="6"/>
  <c r="W26" i="13" s="1"/>
  <c r="X26" i="13" s="1"/>
  <c r="AF336" i="6"/>
  <c r="AH336" i="6"/>
  <c r="AF381" i="6"/>
  <c r="AH381" i="6"/>
  <c r="AI374" i="6"/>
  <c r="AK374" i="6"/>
  <c r="AK332" i="6"/>
  <c r="AI332" i="6"/>
  <c r="AK362" i="6"/>
  <c r="AI362" i="6"/>
  <c r="AH353" i="6"/>
  <c r="AH39" i="6" s="1"/>
  <c r="AF353" i="6"/>
  <c r="AI358" i="6"/>
  <c r="AK358" i="6"/>
  <c r="AI329" i="6"/>
  <c r="AK329" i="6"/>
  <c r="AF330" i="6"/>
  <c r="AH330" i="6"/>
  <c r="S19" i="13"/>
  <c r="T19" i="13" s="1"/>
  <c r="AK369" i="6"/>
  <c r="AI369" i="6"/>
  <c r="AH361" i="6"/>
  <c r="AF361" i="6"/>
  <c r="AF345" i="6"/>
  <c r="AH345" i="6"/>
  <c r="AH357" i="6"/>
  <c r="AF357" i="6"/>
  <c r="AH365" i="6"/>
  <c r="AF365" i="6"/>
  <c r="AK339" i="6"/>
  <c r="AI339" i="6"/>
  <c r="AI378" i="6"/>
  <c r="AK378" i="6"/>
  <c r="AH375" i="6"/>
  <c r="AF375" i="6"/>
  <c r="AK347" i="6"/>
  <c r="AI347" i="6"/>
  <c r="AK342" i="6"/>
  <c r="AI342" i="6"/>
  <c r="AE31" i="6"/>
  <c r="AF31" i="6" s="1"/>
  <c r="AK376" i="6"/>
  <c r="AI376" i="6"/>
  <c r="AI380" i="6"/>
  <c r="AK380" i="6"/>
  <c r="AK367" i="6"/>
  <c r="AI367" i="6"/>
  <c r="AH382" i="6"/>
  <c r="AF382" i="6"/>
  <c r="AK373" i="6"/>
  <c r="AI373" i="6"/>
  <c r="AI346" i="6"/>
  <c r="AK346" i="6"/>
  <c r="K93" i="30"/>
  <c r="AH315" i="6"/>
  <c r="AF315" i="6"/>
  <c r="AF313" i="6"/>
  <c r="AH313" i="6"/>
  <c r="AH318" i="6"/>
  <c r="AF318" i="6"/>
  <c r="AK273" i="6"/>
  <c r="AI273" i="6"/>
  <c r="AF274" i="6"/>
  <c r="AH274" i="6"/>
  <c r="AH21" i="6" s="1"/>
  <c r="AK292" i="6"/>
  <c r="AI292" i="6"/>
  <c r="AI280" i="6"/>
  <c r="AK280" i="6"/>
  <c r="AH304" i="6"/>
  <c r="AF304" i="6"/>
  <c r="AF296" i="6"/>
  <c r="AH296" i="6"/>
  <c r="AH295" i="6"/>
  <c r="AF295" i="6"/>
  <c r="AH272" i="6"/>
  <c r="AF272" i="6"/>
  <c r="AK290" i="6"/>
  <c r="AI290" i="6"/>
  <c r="AH308" i="6"/>
  <c r="AF308" i="6"/>
  <c r="AI309" i="6"/>
  <c r="AK309" i="6"/>
  <c r="AK320" i="6"/>
  <c r="AI320" i="6"/>
  <c r="AI283" i="6"/>
  <c r="AK283" i="6"/>
  <c r="AH301" i="6"/>
  <c r="AF301" i="6"/>
  <c r="AK300" i="6"/>
  <c r="AI300" i="6"/>
  <c r="AH312" i="6"/>
  <c r="AF312" i="6"/>
  <c r="AK270" i="6"/>
  <c r="AI270" i="6"/>
  <c r="AI299" i="6"/>
  <c r="AK299" i="6"/>
  <c r="AF276" i="6"/>
  <c r="AH276" i="6"/>
  <c r="AH23" i="6" s="1"/>
  <c r="AH319" i="6"/>
  <c r="AF319" i="6"/>
  <c r="AH281" i="6"/>
  <c r="AF281" i="6"/>
  <c r="AI282" i="6"/>
  <c r="AK282" i="6"/>
  <c r="AH297" i="6"/>
  <c r="AF297" i="6"/>
  <c r="AH269" i="6"/>
  <c r="AF269" i="6"/>
  <c r="AE51" i="6"/>
  <c r="AF51" i="6" s="1"/>
  <c r="AK305" i="6"/>
  <c r="AI305" i="6"/>
  <c r="AK310" i="6"/>
  <c r="AI310" i="6"/>
  <c r="AI291" i="6"/>
  <c r="AK291" i="6"/>
  <c r="AK287" i="6"/>
  <c r="AI287" i="6"/>
  <c r="AI279" i="6"/>
  <c r="AK279" i="6"/>
  <c r="AI303" i="6"/>
  <c r="AK303" i="6"/>
  <c r="AI294" i="6"/>
  <c r="AK294" i="6"/>
  <c r="AK267" i="6"/>
  <c r="AI267" i="6"/>
  <c r="AK302" i="6"/>
  <c r="AI302" i="6"/>
  <c r="AH277" i="6"/>
  <c r="AF277" i="6"/>
  <c r="AI307" i="6"/>
  <c r="AK307" i="6"/>
  <c r="AF26" i="6"/>
  <c r="AF238" i="6"/>
  <c r="AE15" i="6"/>
  <c r="AF15" i="6" s="1"/>
  <c r="AF63" i="6"/>
  <c r="AH232" i="6"/>
  <c r="AF232" i="6"/>
  <c r="AH208" i="6"/>
  <c r="AF208" i="6"/>
  <c r="AF204" i="6"/>
  <c r="AH204" i="6"/>
  <c r="AK211" i="6"/>
  <c r="AI211" i="6"/>
  <c r="AH216" i="6"/>
  <c r="AE32" i="6"/>
  <c r="AF216" i="6"/>
  <c r="S32" i="13"/>
  <c r="T32" i="13" s="1"/>
  <c r="AC32" i="6"/>
  <c r="AI246" i="6"/>
  <c r="AK246" i="6"/>
  <c r="AH235" i="6"/>
  <c r="AF235" i="6"/>
  <c r="AK243" i="6"/>
  <c r="AI243" i="6"/>
  <c r="AK238" i="6"/>
  <c r="AI238" i="6"/>
  <c r="AF237" i="6"/>
  <c r="AH237" i="6"/>
  <c r="AF228" i="6"/>
  <c r="AH228" i="6"/>
  <c r="AK231" i="6"/>
  <c r="AI231" i="6"/>
  <c r="AK220" i="6"/>
  <c r="AI220" i="6"/>
  <c r="AK236" i="6"/>
  <c r="AI236" i="6"/>
  <c r="AK248" i="6"/>
  <c r="AI248" i="6"/>
  <c r="AH64" i="6"/>
  <c r="AK209" i="6"/>
  <c r="AI209" i="6"/>
  <c r="AK223" i="6"/>
  <c r="AI223" i="6"/>
  <c r="AK221" i="6"/>
  <c r="AI221" i="6"/>
  <c r="AI213" i="6"/>
  <c r="AK213" i="6"/>
  <c r="AF251" i="6"/>
  <c r="AH251" i="6"/>
  <c r="AK240" i="6"/>
  <c r="AI240" i="6"/>
  <c r="AF224" i="6"/>
  <c r="AH224" i="6"/>
  <c r="AI244" i="6"/>
  <c r="AK244" i="6"/>
  <c r="AI250" i="6"/>
  <c r="AK250" i="6"/>
  <c r="AF199" i="6"/>
  <c r="AH199" i="6"/>
  <c r="AF239" i="6"/>
  <c r="AH239" i="6"/>
  <c r="AH55" i="6" s="1"/>
  <c r="AK212" i="6"/>
  <c r="AI212" i="6"/>
  <c r="AF245" i="6"/>
  <c r="AH245" i="6"/>
  <c r="AK210" i="6"/>
  <c r="AI210" i="6"/>
  <c r="AI200" i="6"/>
  <c r="AK200" i="6"/>
  <c r="AI201" i="6"/>
  <c r="AK201" i="6"/>
  <c r="AK249" i="6"/>
  <c r="AI249" i="6"/>
  <c r="K90" i="30"/>
  <c r="AH218" i="6"/>
  <c r="AF218" i="6"/>
  <c r="AE34" i="6"/>
  <c r="AI198" i="6"/>
  <c r="AK198" i="6"/>
  <c r="AI241" i="6"/>
  <c r="AK241" i="6"/>
  <c r="AK205" i="6"/>
  <c r="AI205" i="6"/>
  <c r="AF226" i="6"/>
  <c r="AH226" i="6"/>
  <c r="AE252" i="6"/>
  <c r="AF252" i="6" s="1"/>
  <c r="AI247" i="6"/>
  <c r="AK247" i="6"/>
  <c r="AK181" i="6"/>
  <c r="AI181" i="6"/>
  <c r="AK184" i="6"/>
  <c r="AI184" i="6"/>
  <c r="AH163" i="6"/>
  <c r="AF163" i="6"/>
  <c r="AK147" i="6"/>
  <c r="AI147" i="6"/>
  <c r="AH167" i="6"/>
  <c r="AF167" i="6"/>
  <c r="AK150" i="6"/>
  <c r="AI150" i="6"/>
  <c r="AK143" i="6"/>
  <c r="AI143" i="6"/>
  <c r="AI169" i="6"/>
  <c r="AK169" i="6"/>
  <c r="AK148" i="6"/>
  <c r="AI148" i="6"/>
  <c r="AK160" i="6"/>
  <c r="AI160" i="6"/>
  <c r="AH138" i="6"/>
  <c r="AF138" i="6"/>
  <c r="AH170" i="6"/>
  <c r="AF170" i="6"/>
  <c r="AE47" i="6"/>
  <c r="AK137" i="6"/>
  <c r="AI137" i="6"/>
  <c r="AK173" i="6"/>
  <c r="AI173" i="6"/>
  <c r="AK162" i="6"/>
  <c r="AI162" i="6"/>
  <c r="AH154" i="6"/>
  <c r="AF154" i="6"/>
  <c r="AK164" i="6"/>
  <c r="AI164" i="6"/>
  <c r="AE191" i="6"/>
  <c r="AK159" i="6"/>
  <c r="AI159" i="6"/>
  <c r="S47" i="13"/>
  <c r="T47" i="13" s="1"/>
  <c r="AC47" i="6"/>
  <c r="AK152" i="6"/>
  <c r="AI152" i="6"/>
  <c r="AI145" i="6"/>
  <c r="AK145" i="6"/>
  <c r="AI153" i="6"/>
  <c r="AK153" i="6"/>
  <c r="AK168" i="6"/>
  <c r="AI168" i="6"/>
  <c r="AI165" i="6"/>
  <c r="AK165" i="6"/>
  <c r="AF176" i="6"/>
  <c r="AH176" i="6"/>
  <c r="AF166" i="6"/>
  <c r="AH166" i="6"/>
  <c r="AH180" i="6"/>
  <c r="AF180" i="6"/>
  <c r="AK144" i="6"/>
  <c r="AI144" i="6"/>
  <c r="AH171" i="6"/>
  <c r="AF171" i="6"/>
  <c r="AH151" i="6"/>
  <c r="AF151" i="6"/>
  <c r="AH158" i="6"/>
  <c r="AF158" i="6"/>
  <c r="AE35" i="6"/>
  <c r="AK185" i="6"/>
  <c r="AI185" i="6"/>
  <c r="AI149" i="6"/>
  <c r="AK149" i="6"/>
  <c r="AI141" i="6"/>
  <c r="AK141" i="6"/>
  <c r="AK172" i="6"/>
  <c r="AI172" i="6"/>
  <c r="AK156" i="6"/>
  <c r="AI156" i="6"/>
  <c r="AH142" i="6"/>
  <c r="AF142" i="6"/>
  <c r="AI161" i="6"/>
  <c r="AK161" i="6"/>
  <c r="AF19" i="6"/>
  <c r="U14" i="13"/>
  <c r="V14" i="13" s="1"/>
  <c r="AF14" i="6"/>
  <c r="S60" i="13"/>
  <c r="T60" i="13" s="1"/>
  <c r="AC60" i="6"/>
  <c r="S29" i="13"/>
  <c r="T29" i="13" s="1"/>
  <c r="AC29" i="6"/>
  <c r="S44" i="13"/>
  <c r="T44" i="13" s="1"/>
  <c r="AC44" i="6"/>
  <c r="AE42" i="6"/>
  <c r="AH104" i="6"/>
  <c r="AF104" i="6"/>
  <c r="AE27" i="6"/>
  <c r="AH89" i="6"/>
  <c r="AF89" i="6"/>
  <c r="AB68" i="6"/>
  <c r="AC68" i="6" s="1"/>
  <c r="AI83" i="6"/>
  <c r="AK83" i="6"/>
  <c r="S27" i="13"/>
  <c r="T27" i="13" s="1"/>
  <c r="AC27" i="6"/>
  <c r="U21" i="13"/>
  <c r="V21" i="13" s="1"/>
  <c r="AF21" i="6"/>
  <c r="S42" i="13"/>
  <c r="T42" i="13" s="1"/>
  <c r="AC42" i="6"/>
  <c r="AF102" i="6"/>
  <c r="AH102" i="6"/>
  <c r="AE40" i="6"/>
  <c r="AE44" i="6"/>
  <c r="AH106" i="6"/>
  <c r="AF106" i="6"/>
  <c r="AI81" i="6"/>
  <c r="AK81" i="6"/>
  <c r="S40" i="13"/>
  <c r="T40" i="13" s="1"/>
  <c r="AC40" i="6"/>
  <c r="AE60" i="6"/>
  <c r="AF122" i="6"/>
  <c r="AH122" i="6"/>
  <c r="AE29" i="6"/>
  <c r="AF91" i="6"/>
  <c r="AH91" i="6"/>
  <c r="AI76" i="6"/>
  <c r="AK76" i="6"/>
  <c r="AE25" i="6"/>
  <c r="AF87" i="6"/>
  <c r="AH87" i="6"/>
  <c r="S49" i="13"/>
  <c r="T49" i="13" s="1"/>
  <c r="AC49" i="6"/>
  <c r="S58" i="13"/>
  <c r="T58" i="13" s="1"/>
  <c r="AC58" i="6"/>
  <c r="AI113" i="6"/>
  <c r="AK113" i="6"/>
  <c r="AI85" i="6"/>
  <c r="AK85" i="6"/>
  <c r="AE52" i="6"/>
  <c r="AF114" i="6"/>
  <c r="AH114" i="6"/>
  <c r="AE41" i="6"/>
  <c r="AH103" i="6"/>
  <c r="AF103" i="6"/>
  <c r="S24" i="13"/>
  <c r="T24" i="13" s="1"/>
  <c r="AC24" i="6"/>
  <c r="S17" i="13"/>
  <c r="T17" i="13" s="1"/>
  <c r="AC17" i="6"/>
  <c r="AE22" i="6"/>
  <c r="AF84" i="6"/>
  <c r="AH84" i="6"/>
  <c r="AE57" i="6"/>
  <c r="AF119" i="6"/>
  <c r="AH119" i="6"/>
  <c r="AE65" i="6"/>
  <c r="AH127" i="6"/>
  <c r="AF127" i="6"/>
  <c r="U45" i="13"/>
  <c r="V45" i="13" s="1"/>
  <c r="AF45" i="6"/>
  <c r="AI77" i="6"/>
  <c r="AK77" i="6"/>
  <c r="S25" i="13"/>
  <c r="T25" i="13" s="1"/>
  <c r="AC25" i="6"/>
  <c r="AE130" i="6"/>
  <c r="AC130" i="6"/>
  <c r="AE17" i="6"/>
  <c r="AF79" i="6"/>
  <c r="AH79" i="6"/>
  <c r="AK117" i="6"/>
  <c r="AI117" i="6"/>
  <c r="S52" i="13"/>
  <c r="T52" i="13" s="1"/>
  <c r="AC52" i="6"/>
  <c r="S41" i="13"/>
  <c r="T41" i="13" s="1"/>
  <c r="AC41" i="6"/>
  <c r="S57" i="13"/>
  <c r="T57" i="13" s="1"/>
  <c r="AC57" i="6"/>
  <c r="S65" i="13"/>
  <c r="T65" i="13" s="1"/>
  <c r="AC65" i="6"/>
  <c r="AE20" i="6"/>
  <c r="AH82" i="6"/>
  <c r="AF82" i="6"/>
  <c r="S37" i="13"/>
  <c r="T37" i="13" s="1"/>
  <c r="AC37" i="6"/>
  <c r="S38" i="13"/>
  <c r="T38" i="13" s="1"/>
  <c r="AC38" i="6"/>
  <c r="U23" i="13"/>
  <c r="V23" i="13" s="1"/>
  <c r="AF23" i="6"/>
  <c r="AE53" i="6"/>
  <c r="AH115" i="6"/>
  <c r="AF115" i="6"/>
  <c r="AH56" i="6"/>
  <c r="AI118" i="6"/>
  <c r="AK118" i="6"/>
  <c r="S22" i="13"/>
  <c r="T22" i="13" s="1"/>
  <c r="AC22" i="6"/>
  <c r="AK93" i="6"/>
  <c r="AI93" i="6"/>
  <c r="S20" i="13"/>
  <c r="T20" i="13" s="1"/>
  <c r="AC20" i="6"/>
  <c r="AE28" i="6"/>
  <c r="AH90" i="6"/>
  <c r="AF90" i="6"/>
  <c r="AE54" i="6"/>
  <c r="AH116" i="6"/>
  <c r="AF116" i="6"/>
  <c r="Q68" i="13"/>
  <c r="R68" i="13" s="1"/>
  <c r="Z68" i="6"/>
  <c r="AE59" i="6"/>
  <c r="AF121" i="6"/>
  <c r="AH121" i="6"/>
  <c r="AE61" i="6"/>
  <c r="AH123" i="6"/>
  <c r="AF123" i="6"/>
  <c r="U56" i="13"/>
  <c r="V56" i="13" s="1"/>
  <c r="AF56" i="6"/>
  <c r="AE43" i="6"/>
  <c r="AH105" i="6"/>
  <c r="AF105" i="6"/>
  <c r="AE50" i="6"/>
  <c r="AF112" i="6"/>
  <c r="AH112" i="6"/>
  <c r="AK101" i="6"/>
  <c r="AE67" i="6"/>
  <c r="AH129" i="6"/>
  <c r="AF129" i="6"/>
  <c r="S28" i="13"/>
  <c r="T28" i="13" s="1"/>
  <c r="AC28" i="6"/>
  <c r="S54" i="13"/>
  <c r="T54" i="13" s="1"/>
  <c r="AC54" i="6"/>
  <c r="AE33" i="6"/>
  <c r="AF95" i="6"/>
  <c r="AH95" i="6"/>
  <c r="AE49" i="6"/>
  <c r="AH111" i="6"/>
  <c r="AF111" i="6"/>
  <c r="S36" i="13"/>
  <c r="T36" i="13" s="1"/>
  <c r="AC36" i="6"/>
  <c r="AH45" i="6"/>
  <c r="AK107" i="6"/>
  <c r="AI107" i="6"/>
  <c r="S59" i="13"/>
  <c r="T59" i="13" s="1"/>
  <c r="AC59" i="6"/>
  <c r="S53" i="13"/>
  <c r="T53" i="13" s="1"/>
  <c r="AC53" i="6"/>
  <c r="S61" i="13"/>
  <c r="T61" i="13" s="1"/>
  <c r="AC61" i="6"/>
  <c r="AH66" i="6"/>
  <c r="AK128" i="6"/>
  <c r="AI128" i="6"/>
  <c r="S43" i="13"/>
  <c r="T43" i="13" s="1"/>
  <c r="AC43" i="6"/>
  <c r="AE30" i="6"/>
  <c r="AH92" i="6"/>
  <c r="AF92" i="6"/>
  <c r="S50" i="13"/>
  <c r="T50" i="13" s="1"/>
  <c r="AC50" i="6"/>
  <c r="AE48" i="6"/>
  <c r="AF110" i="6"/>
  <c r="AH110" i="6"/>
  <c r="AE16" i="6"/>
  <c r="AH78" i="6"/>
  <c r="AF78" i="6"/>
  <c r="U66" i="13"/>
  <c r="V66" i="13" s="1"/>
  <c r="AF66" i="6"/>
  <c r="S30" i="13"/>
  <c r="T30" i="13" s="1"/>
  <c r="AC30" i="6"/>
  <c r="AE58" i="6"/>
  <c r="AH120" i="6"/>
  <c r="AF120" i="6"/>
  <c r="S62" i="13"/>
  <c r="T62" i="13" s="1"/>
  <c r="AC62" i="6"/>
  <c r="AE24" i="6"/>
  <c r="AH86" i="6"/>
  <c r="AF86" i="6"/>
  <c r="U55" i="13"/>
  <c r="V55" i="13" s="1"/>
  <c r="AF55" i="6"/>
  <c r="AE62" i="6"/>
  <c r="AF124" i="6"/>
  <c r="AH124" i="6"/>
  <c r="AE36" i="6"/>
  <c r="AF98" i="6"/>
  <c r="AH98" i="6"/>
  <c r="AE38" i="6"/>
  <c r="AH100" i="6"/>
  <c r="AF100" i="6"/>
  <c r="S48" i="13"/>
  <c r="T48" i="13" s="1"/>
  <c r="AC48" i="6"/>
  <c r="S67" i="13"/>
  <c r="T67" i="13" s="1"/>
  <c r="AC67" i="6"/>
  <c r="AE37" i="6"/>
  <c r="AF99" i="6"/>
  <c r="AH99" i="6"/>
  <c r="S16" i="13"/>
  <c r="T16" i="13" s="1"/>
  <c r="AC16" i="6"/>
  <c r="S33" i="13"/>
  <c r="T33" i="13" s="1"/>
  <c r="AC33" i="6"/>
  <c r="F72" i="30"/>
  <c r="E88" i="30"/>
  <c r="H10" i="2"/>
  <c r="E70" i="30"/>
  <c r="I53" i="1"/>
  <c r="H51" i="1"/>
  <c r="I31" i="2"/>
  <c r="G405" i="13"/>
  <c r="H405" i="13" s="1"/>
  <c r="X208" i="5"/>
  <c r="AC208" i="5" s="1"/>
  <c r="S208" i="5"/>
  <c r="AH103" i="5"/>
  <c r="AI103" i="5" s="1"/>
  <c r="H143" i="18"/>
  <c r="X111" i="5"/>
  <c r="Q111" i="5"/>
  <c r="S111" i="5"/>
  <c r="S80" i="5"/>
  <c r="Q80" i="5"/>
  <c r="X80" i="5"/>
  <c r="I309" i="27"/>
  <c r="Z213" i="4"/>
  <c r="AB213" i="4"/>
  <c r="Z242" i="4"/>
  <c r="AB242" i="4"/>
  <c r="W216" i="4"/>
  <c r="Y216" i="4"/>
  <c r="AE240" i="4"/>
  <c r="AC240" i="4"/>
  <c r="Z243" i="4"/>
  <c r="AB243" i="4"/>
  <c r="S229" i="4"/>
  <c r="Q229" i="4"/>
  <c r="V229" i="4"/>
  <c r="V222" i="4"/>
  <c r="Q222" i="4"/>
  <c r="S222" i="4"/>
  <c r="Y214" i="4"/>
  <c r="W214" i="4"/>
  <c r="Y251" i="4"/>
  <c r="W251" i="4"/>
  <c r="Z207" i="4"/>
  <c r="AB207" i="4"/>
  <c r="AB236" i="4"/>
  <c r="Z236" i="4"/>
  <c r="S244" i="4"/>
  <c r="Q244" i="4"/>
  <c r="V244" i="4"/>
  <c r="AC156" i="4"/>
  <c r="AE156" i="4"/>
  <c r="I249" i="27"/>
  <c r="W164" i="4"/>
  <c r="Y164" i="4"/>
  <c r="Q147" i="4"/>
  <c r="S147" i="4"/>
  <c r="V147" i="4"/>
  <c r="Z144" i="4"/>
  <c r="AB144" i="4"/>
  <c r="V182" i="4"/>
  <c r="Q182" i="4"/>
  <c r="S182" i="4"/>
  <c r="V191" i="4"/>
  <c r="S191" i="4"/>
  <c r="Q191" i="4"/>
  <c r="V155" i="4"/>
  <c r="S155" i="4"/>
  <c r="Q155" i="4"/>
  <c r="O176" i="13"/>
  <c r="P176" i="13" s="1"/>
  <c r="O359" i="13"/>
  <c r="P359" i="13" s="1"/>
  <c r="H83" i="18"/>
  <c r="Y116" i="4"/>
  <c r="Z116" i="4" s="1"/>
  <c r="O115" i="13"/>
  <c r="P115" i="13" s="1"/>
  <c r="S80" i="4"/>
  <c r="Q80" i="4"/>
  <c r="K323" i="13"/>
  <c r="V80" i="4"/>
  <c r="K79" i="13"/>
  <c r="V113" i="4"/>
  <c r="O173" i="13" s="1"/>
  <c r="P173" i="13" s="1"/>
  <c r="Q113" i="4"/>
  <c r="S113" i="4"/>
  <c r="K356" i="13"/>
  <c r="K112" i="13"/>
  <c r="V34" i="4"/>
  <c r="Q34" i="4"/>
  <c r="S34" i="4"/>
  <c r="K156" i="13"/>
  <c r="Q42" i="4"/>
  <c r="S42" i="4"/>
  <c r="V42" i="4"/>
  <c r="K164" i="13"/>
  <c r="Z67" i="4"/>
  <c r="AB67" i="4"/>
  <c r="AB60" i="4"/>
  <c r="Z60" i="4"/>
  <c r="V18" i="4"/>
  <c r="Q18" i="4"/>
  <c r="S18" i="4"/>
  <c r="K140" i="13"/>
  <c r="V53" i="4"/>
  <c r="Q53" i="4"/>
  <c r="I386" i="13"/>
  <c r="J386" i="13" s="1"/>
  <c r="X229" i="5"/>
  <c r="X43" i="5" s="1"/>
  <c r="O227" i="13" s="1"/>
  <c r="Q229" i="5"/>
  <c r="S229" i="5"/>
  <c r="J210" i="13"/>
  <c r="I211" i="13"/>
  <c r="G395" i="13"/>
  <c r="H395" i="13" s="1"/>
  <c r="H211" i="13"/>
  <c r="AC204" i="5"/>
  <c r="Y204" i="5"/>
  <c r="H227" i="13"/>
  <c r="G411" i="13"/>
  <c r="H411" i="13" s="1"/>
  <c r="I227" i="13"/>
  <c r="N185" i="5"/>
  <c r="H23" i="18"/>
  <c r="N146" i="5"/>
  <c r="K14" i="5"/>
  <c r="G198" i="13"/>
  <c r="H198" i="13" s="1"/>
  <c r="X174" i="5"/>
  <c r="X50" i="5" s="1"/>
  <c r="O234" i="13" s="1"/>
  <c r="Q174" i="5"/>
  <c r="S174" i="5"/>
  <c r="K426" i="13"/>
  <c r="N163" i="5"/>
  <c r="X187" i="5"/>
  <c r="S187" i="5"/>
  <c r="Q187" i="5"/>
  <c r="N173" i="5"/>
  <c r="C179" i="18"/>
  <c r="C59" i="18"/>
  <c r="F23" i="18"/>
  <c r="F67" i="18" s="1"/>
  <c r="F143" i="18"/>
  <c r="F127" i="18"/>
  <c r="E35" i="18"/>
  <c r="E155" i="18"/>
  <c r="E167" i="18"/>
  <c r="E47" i="18"/>
  <c r="D23" i="18"/>
  <c r="D143" i="18"/>
  <c r="E59" i="18"/>
  <c r="E179" i="18"/>
  <c r="C47" i="18"/>
  <c r="C167" i="18"/>
  <c r="D155" i="18"/>
  <c r="D35" i="18"/>
  <c r="D47" i="18"/>
  <c r="D167" i="18"/>
  <c r="G127" i="18"/>
  <c r="N153" i="5"/>
  <c r="X25" i="5"/>
  <c r="I189" i="27"/>
  <c r="AH156" i="5"/>
  <c r="AD156" i="5"/>
  <c r="G35" i="18"/>
  <c r="H35" i="18" s="1"/>
  <c r="G155" i="18"/>
  <c r="H155" i="18" s="1"/>
  <c r="H95" i="18"/>
  <c r="G47" i="18"/>
  <c r="G167" i="18"/>
  <c r="G59" i="18"/>
  <c r="G179" i="18"/>
  <c r="H307" i="18"/>
  <c r="K102" i="30"/>
  <c r="K342" i="13"/>
  <c r="K98" i="13"/>
  <c r="S99" i="4"/>
  <c r="Q99" i="4"/>
  <c r="V99" i="4"/>
  <c r="L349" i="13"/>
  <c r="AB211" i="4"/>
  <c r="Z211" i="4"/>
  <c r="AC235" i="4"/>
  <c r="AE235" i="4"/>
  <c r="O349" i="13"/>
  <c r="O105" i="13"/>
  <c r="P105" i="13" s="1"/>
  <c r="W106" i="4"/>
  <c r="Y106" i="4"/>
  <c r="W210" i="4"/>
  <c r="Y210" i="4"/>
  <c r="S140" i="4"/>
  <c r="V140" i="4"/>
  <c r="Q140" i="4"/>
  <c r="M91" i="13"/>
  <c r="L91" i="13"/>
  <c r="V154" i="4"/>
  <c r="S154" i="4"/>
  <c r="Q154" i="4"/>
  <c r="M335" i="13"/>
  <c r="L335" i="13"/>
  <c r="V172" i="4"/>
  <c r="S172" i="4"/>
  <c r="Q172" i="4"/>
  <c r="W202" i="4"/>
  <c r="Y202" i="4"/>
  <c r="V85" i="4"/>
  <c r="O145" i="13" s="1"/>
  <c r="P145" i="13" s="1"/>
  <c r="S85" i="4"/>
  <c r="K328" i="13"/>
  <c r="K84" i="13"/>
  <c r="Y17" i="4"/>
  <c r="W17" i="4"/>
  <c r="AB224" i="4"/>
  <c r="Z224" i="4"/>
  <c r="Q146" i="4"/>
  <c r="S146" i="4"/>
  <c r="V146" i="4"/>
  <c r="Y230" i="4"/>
  <c r="W230" i="4"/>
  <c r="W238" i="4"/>
  <c r="Y238" i="4"/>
  <c r="Y92" i="4"/>
  <c r="W92" i="4"/>
  <c r="O335" i="13"/>
  <c r="P335" i="13" s="1"/>
  <c r="O91" i="13"/>
  <c r="P91" i="13" s="1"/>
  <c r="Y203" i="4"/>
  <c r="W203" i="4"/>
  <c r="L105" i="13"/>
  <c r="V77" i="4"/>
  <c r="S77" i="4"/>
  <c r="Q77" i="4"/>
  <c r="K320" i="13"/>
  <c r="K76" i="13"/>
  <c r="Y226" i="4"/>
  <c r="W226" i="4"/>
  <c r="Q219" i="4"/>
  <c r="V219" i="4"/>
  <c r="S219" i="4"/>
  <c r="AE19" i="4"/>
  <c r="AC19" i="4"/>
  <c r="W142" i="4"/>
  <c r="Y142" i="4"/>
  <c r="W190" i="4"/>
  <c r="Y190" i="4"/>
  <c r="Y254" i="4"/>
  <c r="W254" i="4"/>
  <c r="W128" i="4"/>
  <c r="Y128" i="4"/>
  <c r="Q252" i="4"/>
  <c r="V252" i="4"/>
  <c r="S252" i="4"/>
  <c r="M185" i="13"/>
  <c r="L185" i="13"/>
  <c r="W193" i="4"/>
  <c r="Y193" i="4"/>
  <c r="Q208" i="4"/>
  <c r="V208" i="4"/>
  <c r="S208" i="4"/>
  <c r="Z183" i="4"/>
  <c r="AB183" i="4"/>
  <c r="AE228" i="4"/>
  <c r="AC228" i="4"/>
  <c r="W180" i="4"/>
  <c r="Y180" i="4"/>
  <c r="W217" i="4"/>
  <c r="Y217" i="4"/>
  <c r="AB248" i="4"/>
  <c r="Z248" i="4"/>
  <c r="V150" i="4"/>
  <c r="Q150" i="4"/>
  <c r="S150" i="4"/>
  <c r="V161" i="4"/>
  <c r="S161" i="4"/>
  <c r="Q161" i="4"/>
  <c r="K144" i="13"/>
  <c r="K83" i="13"/>
  <c r="S84" i="4"/>
  <c r="Q84" i="4"/>
  <c r="V84" i="4"/>
  <c r="K327" i="13"/>
  <c r="Q204" i="4"/>
  <c r="S204" i="4"/>
  <c r="V204" i="4"/>
  <c r="I30" i="2"/>
  <c r="I32" i="2"/>
  <c r="L103" i="13"/>
  <c r="M103" i="13"/>
  <c r="W179" i="4"/>
  <c r="Y179" i="4"/>
  <c r="Y25" i="4"/>
  <c r="W25" i="4"/>
  <c r="Y63" i="4"/>
  <c r="W63" i="4"/>
  <c r="Q126" i="4"/>
  <c r="S126" i="4"/>
  <c r="V126" i="4"/>
  <c r="K369" i="13"/>
  <c r="K125" i="13"/>
  <c r="K186" i="13"/>
  <c r="W38" i="4"/>
  <c r="Y38" i="4"/>
  <c r="L347" i="13"/>
  <c r="M347" i="13"/>
  <c r="V26" i="4"/>
  <c r="Q26" i="4"/>
  <c r="S26" i="4"/>
  <c r="K148" i="13"/>
  <c r="Q247" i="4"/>
  <c r="V247" i="4"/>
  <c r="S247" i="4"/>
  <c r="W35" i="4"/>
  <c r="Y35" i="4"/>
  <c r="Z168" i="4"/>
  <c r="AB168" i="4"/>
  <c r="W205" i="4"/>
  <c r="Y205" i="4"/>
  <c r="W225" i="4"/>
  <c r="Y225" i="4"/>
  <c r="Q233" i="4"/>
  <c r="S233" i="4"/>
  <c r="V233" i="4"/>
  <c r="Q239" i="4"/>
  <c r="V239" i="4"/>
  <c r="S239" i="4"/>
  <c r="Y160" i="4"/>
  <c r="W160" i="4"/>
  <c r="Y104" i="4"/>
  <c r="W104" i="4"/>
  <c r="O103" i="13"/>
  <c r="P103" i="13" s="1"/>
  <c r="O347" i="13"/>
  <c r="P347" i="13" s="1"/>
  <c r="V188" i="4"/>
  <c r="Q188" i="4"/>
  <c r="S188" i="4"/>
  <c r="Q212" i="4"/>
  <c r="V212" i="4"/>
  <c r="S212" i="4"/>
  <c r="W51" i="4"/>
  <c r="Y51" i="4"/>
  <c r="Y209" i="4"/>
  <c r="W209" i="4"/>
  <c r="Z22" i="4"/>
  <c r="AB22" i="4"/>
  <c r="W16" i="4"/>
  <c r="Y16" i="4"/>
  <c r="L173" i="13"/>
  <c r="M173" i="13"/>
  <c r="Z28" i="4"/>
  <c r="AB28" i="4"/>
  <c r="K149" i="13"/>
  <c r="V27" i="4"/>
  <c r="S27" i="4"/>
  <c r="Q27" i="4"/>
  <c r="K351" i="13"/>
  <c r="K107" i="13"/>
  <c r="Q108" i="4"/>
  <c r="S108" i="4"/>
  <c r="V108" i="4"/>
  <c r="K330" i="13"/>
  <c r="K86" i="13"/>
  <c r="V87" i="4"/>
  <c r="S87" i="4"/>
  <c r="Q87" i="4"/>
  <c r="K147" i="13"/>
  <c r="AC59" i="4"/>
  <c r="AE59" i="4"/>
  <c r="Q332" i="13"/>
  <c r="R332" i="13" s="1"/>
  <c r="Q88" i="13"/>
  <c r="R88" i="13" s="1"/>
  <c r="Z89" i="4"/>
  <c r="AB89" i="4"/>
  <c r="K321" i="13"/>
  <c r="K77" i="13"/>
  <c r="Q78" i="4"/>
  <c r="V78" i="4"/>
  <c r="S78" i="4"/>
  <c r="K138" i="13"/>
  <c r="O338" i="13"/>
  <c r="P338" i="13" s="1"/>
  <c r="O94" i="13"/>
  <c r="P94" i="13" s="1"/>
  <c r="Y95" i="4"/>
  <c r="W95" i="4"/>
  <c r="M78" i="13"/>
  <c r="L78" i="13"/>
  <c r="H13" i="1"/>
  <c r="F12" i="2"/>
  <c r="K340" i="13"/>
  <c r="K96" i="13"/>
  <c r="V97" i="4"/>
  <c r="S97" i="4"/>
  <c r="Q97" i="4"/>
  <c r="K157" i="13"/>
  <c r="Z232" i="4"/>
  <c r="AB232" i="4"/>
  <c r="M322" i="13"/>
  <c r="L322" i="13"/>
  <c r="K137" i="13"/>
  <c r="V15" i="4"/>
  <c r="Q15" i="4"/>
  <c r="S15" i="4"/>
  <c r="L170" i="13"/>
  <c r="M170" i="13"/>
  <c r="M120" i="13"/>
  <c r="L120" i="13"/>
  <c r="O180" i="13"/>
  <c r="P180" i="13" s="1"/>
  <c r="W58" i="4"/>
  <c r="Y58" i="4"/>
  <c r="M360" i="13"/>
  <c r="L360" i="13"/>
  <c r="M90" i="13"/>
  <c r="L90" i="13"/>
  <c r="Z176" i="4"/>
  <c r="AB176" i="4"/>
  <c r="AE151" i="4"/>
  <c r="AC151" i="4"/>
  <c r="Y57" i="4"/>
  <c r="W57" i="4"/>
  <c r="O166" i="13"/>
  <c r="P166" i="13" s="1"/>
  <c r="Y44" i="4"/>
  <c r="W44" i="4"/>
  <c r="O155" i="13"/>
  <c r="P155" i="13" s="1"/>
  <c r="W33" i="4"/>
  <c r="Y33" i="4"/>
  <c r="O333" i="13"/>
  <c r="P333" i="13" s="1"/>
  <c r="O89" i="13"/>
  <c r="P89" i="13" s="1"/>
  <c r="W90" i="4"/>
  <c r="Y90" i="4"/>
  <c r="O150" i="13"/>
  <c r="P150" i="13" s="1"/>
  <c r="M145" i="13"/>
  <c r="L145" i="13"/>
  <c r="M111" i="13"/>
  <c r="L111" i="13"/>
  <c r="Y184" i="4"/>
  <c r="W184" i="4"/>
  <c r="W55" i="4"/>
  <c r="Y55" i="4"/>
  <c r="S352" i="13"/>
  <c r="T352" i="13" s="1"/>
  <c r="S108" i="13"/>
  <c r="T108" i="13" s="1"/>
  <c r="AE109" i="4"/>
  <c r="AC109" i="4"/>
  <c r="Q263" i="4"/>
  <c r="S263" i="4"/>
  <c r="K365" i="13"/>
  <c r="K121" i="13"/>
  <c r="S122" i="4"/>
  <c r="V122" i="4"/>
  <c r="K182" i="13"/>
  <c r="M364" i="13"/>
  <c r="L364" i="13"/>
  <c r="L123" i="13"/>
  <c r="M123" i="13"/>
  <c r="AH220" i="4"/>
  <c r="AF220" i="4"/>
  <c r="Y52" i="4"/>
  <c r="W52" i="4"/>
  <c r="K345" i="13"/>
  <c r="K101" i="13"/>
  <c r="Q102" i="4"/>
  <c r="V102" i="4"/>
  <c r="S102" i="4"/>
  <c r="K162" i="13"/>
  <c r="K326" i="13"/>
  <c r="K82" i="13"/>
  <c r="S83" i="4"/>
  <c r="V83" i="4"/>
  <c r="Q83" i="4"/>
  <c r="K153" i="13"/>
  <c r="Q31" i="4"/>
  <c r="S31" i="4"/>
  <c r="V31" i="4"/>
  <c r="K337" i="13"/>
  <c r="K93" i="13"/>
  <c r="S94" i="4"/>
  <c r="V94" i="4"/>
  <c r="Q94" i="4"/>
  <c r="L155" i="13"/>
  <c r="M155" i="13"/>
  <c r="W178" i="4"/>
  <c r="Y178" i="4"/>
  <c r="K357" i="13"/>
  <c r="K113" i="13"/>
  <c r="V114" i="4"/>
  <c r="Q114" i="4"/>
  <c r="S114" i="4"/>
  <c r="M89" i="13"/>
  <c r="L89" i="13"/>
  <c r="M167" i="13"/>
  <c r="L167" i="13"/>
  <c r="N69" i="4"/>
  <c r="P69" i="4"/>
  <c r="H11" i="2"/>
  <c r="E15" i="30"/>
  <c r="F15" i="30" s="1"/>
  <c r="H15" i="2"/>
  <c r="M355" i="13"/>
  <c r="L355" i="13"/>
  <c r="W185" i="4"/>
  <c r="Y185" i="4"/>
  <c r="O169" i="13"/>
  <c r="P169" i="13" s="1"/>
  <c r="Y47" i="4"/>
  <c r="W47" i="4"/>
  <c r="M94" i="13"/>
  <c r="L94" i="13"/>
  <c r="V129" i="4"/>
  <c r="Q129" i="4"/>
  <c r="S129" i="4"/>
  <c r="K159" i="13"/>
  <c r="S37" i="4"/>
  <c r="Q37" i="4"/>
  <c r="V37" i="4"/>
  <c r="AB65" i="4"/>
  <c r="Z65" i="4"/>
  <c r="W177" i="4"/>
  <c r="Y177" i="4"/>
  <c r="K341" i="13"/>
  <c r="K97" i="13"/>
  <c r="Q98" i="4"/>
  <c r="V98" i="4"/>
  <c r="S98" i="4"/>
  <c r="M367" i="13"/>
  <c r="L367" i="13"/>
  <c r="L180" i="13"/>
  <c r="M180" i="13"/>
  <c r="K353" i="13"/>
  <c r="K109" i="13"/>
  <c r="Q110" i="4"/>
  <c r="S110" i="4"/>
  <c r="V110" i="4"/>
  <c r="O170" i="13" s="1"/>
  <c r="P170" i="13" s="1"/>
  <c r="L179" i="13"/>
  <c r="M179" i="13"/>
  <c r="L333" i="13"/>
  <c r="M333" i="13"/>
  <c r="Q324" i="13"/>
  <c r="R324" i="13" s="1"/>
  <c r="Q80" i="13"/>
  <c r="R80" i="13" s="1"/>
  <c r="Z81" i="4"/>
  <c r="AB81" i="4"/>
  <c r="Q141" i="13"/>
  <c r="R141" i="13" s="1"/>
  <c r="V166" i="4"/>
  <c r="S166" i="4"/>
  <c r="Q166" i="4"/>
  <c r="K165" i="13"/>
  <c r="V43" i="4"/>
  <c r="Q43" i="4"/>
  <c r="S43" i="4"/>
  <c r="K354" i="13"/>
  <c r="K110" i="13"/>
  <c r="Q111" i="4"/>
  <c r="S111" i="4"/>
  <c r="V111" i="4"/>
  <c r="K143" i="13"/>
  <c r="S21" i="4"/>
  <c r="Q21" i="4"/>
  <c r="V21" i="4"/>
  <c r="K183" i="13"/>
  <c r="V61" i="4"/>
  <c r="Q61" i="4"/>
  <c r="S61" i="4"/>
  <c r="AB246" i="4"/>
  <c r="Z246" i="4"/>
  <c r="K325" i="13"/>
  <c r="K81" i="13"/>
  <c r="V82" i="4"/>
  <c r="S82" i="4"/>
  <c r="Q82" i="4"/>
  <c r="K142" i="13"/>
  <c r="W159" i="4"/>
  <c r="Y159" i="4"/>
  <c r="W162" i="4"/>
  <c r="Y162" i="4"/>
  <c r="L338" i="13"/>
  <c r="M338" i="13"/>
  <c r="M139" i="13"/>
  <c r="L139" i="13"/>
  <c r="K158" i="13"/>
  <c r="V36" i="4"/>
  <c r="S36" i="4"/>
  <c r="Q36" i="4"/>
  <c r="S201" i="4"/>
  <c r="Q201" i="4"/>
  <c r="V201" i="4"/>
  <c r="K329" i="13"/>
  <c r="K85" i="13"/>
  <c r="S86" i="4"/>
  <c r="Q86" i="4"/>
  <c r="V86" i="4"/>
  <c r="W148" i="4"/>
  <c r="Y148" i="4"/>
  <c r="O366" i="13"/>
  <c r="P366" i="13" s="1"/>
  <c r="O122" i="13"/>
  <c r="P122" i="13" s="1"/>
  <c r="W123" i="4"/>
  <c r="Y123" i="4"/>
  <c r="M166" i="13"/>
  <c r="L166" i="13"/>
  <c r="P194" i="4"/>
  <c r="N194" i="4"/>
  <c r="AB41" i="4"/>
  <c r="Z41" i="4"/>
  <c r="K171" i="13"/>
  <c r="Q49" i="4"/>
  <c r="S49" i="4"/>
  <c r="V49" i="4"/>
  <c r="M181" i="13"/>
  <c r="L181" i="13"/>
  <c r="Y29" i="4"/>
  <c r="W29" i="4"/>
  <c r="P255" i="4"/>
  <c r="N255" i="4"/>
  <c r="Y245" i="4"/>
  <c r="W245" i="4"/>
  <c r="K358" i="13"/>
  <c r="K114" i="13"/>
  <c r="V115" i="4"/>
  <c r="Q115" i="4"/>
  <c r="S115" i="4"/>
  <c r="K175" i="13"/>
  <c r="L174" i="13"/>
  <c r="M174" i="13"/>
  <c r="K346" i="13"/>
  <c r="K102" i="13"/>
  <c r="S103" i="4"/>
  <c r="Q103" i="4"/>
  <c r="V103" i="4"/>
  <c r="K163" i="13"/>
  <c r="M122" i="13"/>
  <c r="L122" i="13"/>
  <c r="Q331" i="13"/>
  <c r="R331" i="13" s="1"/>
  <c r="Q87" i="13"/>
  <c r="R87" i="13" s="1"/>
  <c r="Z88" i="4"/>
  <c r="AB88" i="4"/>
  <c r="V145" i="4"/>
  <c r="S145" i="4"/>
  <c r="Q145" i="4"/>
  <c r="W170" i="4"/>
  <c r="Y170" i="4"/>
  <c r="K154" i="13"/>
  <c r="V32" i="4"/>
  <c r="S32" i="4"/>
  <c r="Q32" i="4"/>
  <c r="K168" i="13"/>
  <c r="Q46" i="4"/>
  <c r="V46" i="4"/>
  <c r="S46" i="4"/>
  <c r="O167" i="13"/>
  <c r="P167" i="13" s="1"/>
  <c r="W45" i="4"/>
  <c r="Y45" i="4"/>
  <c r="K152" i="13"/>
  <c r="S30" i="4"/>
  <c r="Q30" i="4"/>
  <c r="V30" i="4"/>
  <c r="M172" i="13"/>
  <c r="L172" i="13"/>
  <c r="W171" i="4"/>
  <c r="Y171" i="4"/>
  <c r="Y68" i="4"/>
  <c r="W68" i="4"/>
  <c r="AB64" i="4"/>
  <c r="Z64" i="4"/>
  <c r="N132" i="4"/>
  <c r="M169" i="13"/>
  <c r="L169" i="13"/>
  <c r="AI131" i="4"/>
  <c r="AK131" i="4"/>
  <c r="AB130" i="4"/>
  <c r="K361" i="13"/>
  <c r="K117" i="13"/>
  <c r="V118" i="4"/>
  <c r="S118" i="4"/>
  <c r="Q118" i="4"/>
  <c r="AF40" i="4"/>
  <c r="AH40" i="4"/>
  <c r="K178" i="13"/>
  <c r="Q56" i="4"/>
  <c r="V56" i="4"/>
  <c r="AC187" i="4"/>
  <c r="AE187" i="4"/>
  <c r="O364" i="13"/>
  <c r="P364" i="13" s="1"/>
  <c r="O120" i="13"/>
  <c r="P120" i="13" s="1"/>
  <c r="Y121" i="4"/>
  <c r="W121" i="4"/>
  <c r="O181" i="13"/>
  <c r="P181" i="13" s="1"/>
  <c r="Z153" i="4"/>
  <c r="AB153" i="4"/>
  <c r="AB54" i="4"/>
  <c r="Z54" i="4"/>
  <c r="AE50" i="4"/>
  <c r="AC50" i="4"/>
  <c r="K362" i="13"/>
  <c r="K118" i="13"/>
  <c r="S119" i="4"/>
  <c r="V119" i="4"/>
  <c r="M366" i="13"/>
  <c r="L366" i="13"/>
  <c r="AC206" i="4"/>
  <c r="AE206" i="4"/>
  <c r="M150" i="13"/>
  <c r="L150" i="13"/>
  <c r="K146" i="13"/>
  <c r="S24" i="4"/>
  <c r="V24" i="4"/>
  <c r="Q24" i="4"/>
  <c r="O355" i="13"/>
  <c r="P355" i="13" s="1"/>
  <c r="O111" i="13"/>
  <c r="P111" i="13" s="1"/>
  <c r="Y112" i="4"/>
  <c r="W112" i="4"/>
  <c r="O172" i="13"/>
  <c r="P172" i="13" s="1"/>
  <c r="Y66" i="4"/>
  <c r="W66" i="4"/>
  <c r="K161" i="13"/>
  <c r="Q39" i="4"/>
  <c r="V39" i="4"/>
  <c r="S39" i="4"/>
  <c r="W262" i="4"/>
  <c r="V263" i="4"/>
  <c r="W263" i="4" s="1"/>
  <c r="Y262" i="4"/>
  <c r="O322" i="13"/>
  <c r="P322" i="13" s="1"/>
  <c r="O78" i="13"/>
  <c r="P78" i="13" s="1"/>
  <c r="W79" i="4"/>
  <c r="Y79" i="4"/>
  <c r="O139" i="13"/>
  <c r="P139" i="13" s="1"/>
  <c r="K344" i="13"/>
  <c r="K100" i="13"/>
  <c r="V101" i="4"/>
  <c r="Q101" i="4"/>
  <c r="S101" i="4"/>
  <c r="W48" i="4"/>
  <c r="Y48" i="4"/>
  <c r="Y127" i="4"/>
  <c r="W127" i="4"/>
  <c r="O367" i="13"/>
  <c r="P367" i="13" s="1"/>
  <c r="O123" i="13"/>
  <c r="P123" i="13" s="1"/>
  <c r="Y124" i="4"/>
  <c r="W124" i="4"/>
  <c r="K184" i="13"/>
  <c r="Q62" i="4"/>
  <c r="V62" i="4"/>
  <c r="O360" i="13"/>
  <c r="P360" i="13" s="1"/>
  <c r="AB250" i="4"/>
  <c r="Z250" i="4"/>
  <c r="AE221" i="4"/>
  <c r="AC221" i="4"/>
  <c r="W23" i="4"/>
  <c r="Y23" i="4"/>
  <c r="AC163" i="4"/>
  <c r="AE163" i="4"/>
  <c r="AI149" i="4"/>
  <c r="AK149" i="4"/>
  <c r="AF189" i="4"/>
  <c r="AH189" i="4"/>
  <c r="AF192" i="4"/>
  <c r="AH192" i="4"/>
  <c r="AF167" i="4"/>
  <c r="AH167" i="4"/>
  <c r="AI169" i="4"/>
  <c r="AK169" i="4"/>
  <c r="AI121" i="5"/>
  <c r="AM121" i="5"/>
  <c r="N207" i="5"/>
  <c r="AH96" i="5"/>
  <c r="AD96" i="5"/>
  <c r="Q98" i="5"/>
  <c r="X98" i="5"/>
  <c r="S98" i="5"/>
  <c r="S77" i="5"/>
  <c r="Q77" i="5"/>
  <c r="X77" i="5"/>
  <c r="G402" i="13"/>
  <c r="H402" i="13" s="1"/>
  <c r="H218" i="13"/>
  <c r="I218" i="13"/>
  <c r="O398" i="13"/>
  <c r="AC228" i="5"/>
  <c r="Y228" i="5"/>
  <c r="Q93" i="5"/>
  <c r="S93" i="5"/>
  <c r="X93" i="5"/>
  <c r="N161" i="5"/>
  <c r="X226" i="5"/>
  <c r="X40" i="5" s="1"/>
  <c r="O224" i="13" s="1"/>
  <c r="X90" i="5"/>
  <c r="S90" i="5"/>
  <c r="Q90" i="5"/>
  <c r="N158" i="5"/>
  <c r="Q226" i="5"/>
  <c r="N182" i="5"/>
  <c r="N231" i="5"/>
  <c r="AR211" i="5"/>
  <c r="AN211" i="5"/>
  <c r="G413" i="13"/>
  <c r="H413" i="13" s="1"/>
  <c r="H229" i="13"/>
  <c r="I229" i="13"/>
  <c r="I419" i="13"/>
  <c r="J419" i="13" s="1"/>
  <c r="K235" i="13"/>
  <c r="L235" i="13" s="1"/>
  <c r="J235" i="13"/>
  <c r="S85" i="5"/>
  <c r="Q85" i="5"/>
  <c r="X85" i="5"/>
  <c r="N172" i="5"/>
  <c r="AI105" i="5"/>
  <c r="AM105" i="5"/>
  <c r="X152" i="5"/>
  <c r="S152" i="5"/>
  <c r="Q152" i="5"/>
  <c r="Q170" i="5"/>
  <c r="X170" i="5"/>
  <c r="S170" i="5"/>
  <c r="S145" i="5"/>
  <c r="X145" i="5"/>
  <c r="Q145" i="5"/>
  <c r="I418" i="13"/>
  <c r="J418" i="13" s="1"/>
  <c r="J234" i="13"/>
  <c r="K234" i="13"/>
  <c r="L234" i="13" s="1"/>
  <c r="G390" i="13"/>
  <c r="H390" i="13" s="1"/>
  <c r="I206" i="13"/>
  <c r="H206" i="13"/>
  <c r="N140" i="5"/>
  <c r="Q232" i="5"/>
  <c r="S232" i="5"/>
  <c r="X232" i="5"/>
  <c r="X185" i="5"/>
  <c r="Q185" i="5"/>
  <c r="S185" i="5"/>
  <c r="N157" i="5"/>
  <c r="Y180" i="5"/>
  <c r="AC180" i="5"/>
  <c r="N176" i="5"/>
  <c r="X118" i="5"/>
  <c r="X56" i="5" s="1"/>
  <c r="O240" i="13" s="1"/>
  <c r="S118" i="5"/>
  <c r="Q118" i="5"/>
  <c r="I398" i="13"/>
  <c r="J398" i="13" s="1"/>
  <c r="K214" i="13"/>
  <c r="L214" i="13" s="1"/>
  <c r="J214" i="13"/>
  <c r="Q89" i="5"/>
  <c r="S89" i="5"/>
  <c r="X89" i="5"/>
  <c r="N165" i="5"/>
  <c r="S223" i="5"/>
  <c r="Q223" i="5"/>
  <c r="X223" i="5"/>
  <c r="X142" i="5"/>
  <c r="S142" i="5"/>
  <c r="Q142" i="5"/>
  <c r="S247" i="5"/>
  <c r="Q247" i="5"/>
  <c r="X247" i="5"/>
  <c r="N178" i="5"/>
  <c r="Q250" i="5"/>
  <c r="S250" i="5"/>
  <c r="X250" i="5"/>
  <c r="H209" i="13"/>
  <c r="AR294" i="5"/>
  <c r="AN294" i="5"/>
  <c r="G392" i="13"/>
  <c r="H392" i="13" s="1"/>
  <c r="H208" i="13"/>
  <c r="I208" i="13"/>
  <c r="X205" i="5"/>
  <c r="S205" i="5"/>
  <c r="Q205" i="5"/>
  <c r="I393" i="13"/>
  <c r="J393" i="13" s="1"/>
  <c r="K209" i="13"/>
  <c r="L209" i="13" s="1"/>
  <c r="J209" i="13"/>
  <c r="X95" i="5"/>
  <c r="S95" i="5"/>
  <c r="Q95" i="5"/>
  <c r="G408" i="13"/>
  <c r="H408" i="13" s="1"/>
  <c r="H224" i="13"/>
  <c r="I224" i="13"/>
  <c r="I238" i="13"/>
  <c r="G422" i="13"/>
  <c r="H422" i="13" s="1"/>
  <c r="H238" i="13"/>
  <c r="X190" i="5"/>
  <c r="S190" i="5"/>
  <c r="Q190" i="5"/>
  <c r="S169" i="5"/>
  <c r="Q169" i="5"/>
  <c r="X169" i="5"/>
  <c r="X144" i="5"/>
  <c r="X20" i="5" s="1"/>
  <c r="O204" i="13" s="1"/>
  <c r="S144" i="5"/>
  <c r="Q144" i="5"/>
  <c r="G414" i="13"/>
  <c r="H414" i="13" s="1"/>
  <c r="I230" i="13"/>
  <c r="H230" i="13"/>
  <c r="X202" i="5"/>
  <c r="S202" i="5"/>
  <c r="Q202" i="5"/>
  <c r="J232" i="13"/>
  <c r="I416" i="13"/>
  <c r="J416" i="13" s="1"/>
  <c r="K232" i="13"/>
  <c r="L232" i="13" s="1"/>
  <c r="S88" i="5"/>
  <c r="X88" i="5"/>
  <c r="Q88" i="5"/>
  <c r="AC149" i="5"/>
  <c r="Y149" i="5"/>
  <c r="AD148" i="5"/>
  <c r="AH148" i="5"/>
  <c r="G403" i="13"/>
  <c r="H403" i="13" s="1"/>
  <c r="H219" i="13"/>
  <c r="I219" i="13"/>
  <c r="N200" i="5"/>
  <c r="AH109" i="5"/>
  <c r="AD109" i="5"/>
  <c r="Q127" i="5"/>
  <c r="S127" i="5"/>
  <c r="X127" i="5"/>
  <c r="Y183" i="5"/>
  <c r="AC183" i="5"/>
  <c r="N159" i="5"/>
  <c r="N143" i="5"/>
  <c r="K245" i="13"/>
  <c r="L245" i="13" s="1"/>
  <c r="I429" i="13"/>
  <c r="J429" i="13" s="1"/>
  <c r="J245" i="13"/>
  <c r="AC177" i="5"/>
  <c r="Y177" i="5"/>
  <c r="S175" i="5"/>
  <c r="X175" i="5"/>
  <c r="Q175" i="5"/>
  <c r="N189" i="5"/>
  <c r="X166" i="5"/>
  <c r="X42" i="5" s="1"/>
  <c r="O226" i="13" s="1"/>
  <c r="Q166" i="5"/>
  <c r="S166" i="5"/>
  <c r="N150" i="5"/>
  <c r="S108" i="5"/>
  <c r="Q108" i="5"/>
  <c r="X108" i="5"/>
  <c r="S191" i="5"/>
  <c r="X191" i="5"/>
  <c r="Q191" i="5"/>
  <c r="AR277" i="5"/>
  <c r="AN277" i="5"/>
  <c r="AS299" i="5"/>
  <c r="AU299" i="5"/>
  <c r="Q203" i="5"/>
  <c r="X203" i="5"/>
  <c r="S203" i="5"/>
  <c r="I226" i="13"/>
  <c r="G410" i="13"/>
  <c r="H410" i="13" s="1"/>
  <c r="S221" i="5"/>
  <c r="Q221" i="5"/>
  <c r="X221" i="5"/>
  <c r="G387" i="13"/>
  <c r="H387" i="13" s="1"/>
  <c r="I203" i="13"/>
  <c r="H203" i="13"/>
  <c r="AS301" i="5"/>
  <c r="AU301" i="5"/>
  <c r="AR291" i="5"/>
  <c r="AN291" i="5"/>
  <c r="S213" i="5"/>
  <c r="X213" i="5"/>
  <c r="Q213" i="5"/>
  <c r="AI215" i="5"/>
  <c r="AM215" i="5"/>
  <c r="N225" i="5"/>
  <c r="G383" i="13"/>
  <c r="H383" i="13" s="1"/>
  <c r="H199" i="13"/>
  <c r="I199" i="13"/>
  <c r="AC91" i="5"/>
  <c r="Y91" i="5"/>
  <c r="Q218" i="5"/>
  <c r="S218" i="5"/>
  <c r="X218" i="5"/>
  <c r="X32" i="5" s="1"/>
  <c r="O216" i="13" s="1"/>
  <c r="AC82" i="5"/>
  <c r="Y82" i="5"/>
  <c r="Y128" i="5"/>
  <c r="AC128" i="5"/>
  <c r="AC116" i="5"/>
  <c r="Y116" i="5"/>
  <c r="G407" i="13"/>
  <c r="H407" i="13" s="1"/>
  <c r="H223" i="13"/>
  <c r="I223" i="13"/>
  <c r="X184" i="5"/>
  <c r="Q184" i="5"/>
  <c r="S184" i="5"/>
  <c r="Q252" i="5"/>
  <c r="X252" i="5"/>
  <c r="X64" i="5" s="1"/>
  <c r="S252" i="5"/>
  <c r="AR298" i="5"/>
  <c r="AN298" i="5"/>
  <c r="AU263" i="5"/>
  <c r="AS263" i="5"/>
  <c r="AN311" i="5"/>
  <c r="AR311" i="5"/>
  <c r="I424" i="13"/>
  <c r="J424" i="13" s="1"/>
  <c r="K240" i="13"/>
  <c r="L240" i="13" s="1"/>
  <c r="J240" i="13"/>
  <c r="M254" i="5"/>
  <c r="H43" i="1" s="1"/>
  <c r="N155" i="5"/>
  <c r="Q239" i="5"/>
  <c r="S239" i="5"/>
  <c r="X239" i="5"/>
  <c r="X53" i="5" s="1"/>
  <c r="O237" i="13" s="1"/>
  <c r="N209" i="5"/>
  <c r="Q251" i="5"/>
  <c r="S251" i="5"/>
  <c r="X251" i="5"/>
  <c r="AH216" i="5"/>
  <c r="AD216" i="5"/>
  <c r="S241" i="5"/>
  <c r="X241" i="5"/>
  <c r="X55" i="5" s="1"/>
  <c r="O239" i="13" s="1"/>
  <c r="Q241" i="5"/>
  <c r="Q84" i="5"/>
  <c r="X84" i="5"/>
  <c r="S84" i="5"/>
  <c r="E16" i="2"/>
  <c r="AD206" i="5"/>
  <c r="AH206" i="5"/>
  <c r="Q234" i="5"/>
  <c r="S234" i="5"/>
  <c r="X234" i="5"/>
  <c r="Y212" i="5"/>
  <c r="AC212" i="5"/>
  <c r="S168" i="5"/>
  <c r="X168" i="5"/>
  <c r="Q168" i="5"/>
  <c r="N181" i="5"/>
  <c r="AC125" i="5"/>
  <c r="Y125" i="5"/>
  <c r="AI164" i="5"/>
  <c r="AM164" i="5"/>
  <c r="Q78" i="5"/>
  <c r="X78" i="5"/>
  <c r="S78" i="5"/>
  <c r="Y167" i="5"/>
  <c r="AC167" i="5"/>
  <c r="S240" i="5"/>
  <c r="Q240" i="5"/>
  <c r="X240" i="5"/>
  <c r="N217" i="5"/>
  <c r="G399" i="13"/>
  <c r="H399" i="13" s="1"/>
  <c r="I215" i="13"/>
  <c r="H215" i="13"/>
  <c r="AS286" i="5"/>
  <c r="AU286" i="5"/>
  <c r="AM309" i="5"/>
  <c r="AI309" i="5"/>
  <c r="Y160" i="5"/>
  <c r="AC160" i="5"/>
  <c r="G425" i="13"/>
  <c r="H425" i="13" s="1"/>
  <c r="I241" i="13"/>
  <c r="H241" i="13"/>
  <c r="AC81" i="5"/>
  <c r="Y81" i="5"/>
  <c r="Y87" i="5"/>
  <c r="AC87" i="5"/>
  <c r="N201" i="5"/>
  <c r="Y115" i="5"/>
  <c r="AC115" i="5"/>
  <c r="Y162" i="5"/>
  <c r="AC162" i="5"/>
  <c r="G423" i="13"/>
  <c r="H423" i="13" s="1"/>
  <c r="I239" i="13"/>
  <c r="H239" i="13"/>
  <c r="N147" i="5"/>
  <c r="Q106" i="5"/>
  <c r="S106" i="5"/>
  <c r="X106" i="5"/>
  <c r="Q220" i="5"/>
  <c r="X220" i="5"/>
  <c r="S220" i="5"/>
  <c r="Y224" i="5"/>
  <c r="AC224" i="5"/>
  <c r="G415" i="13"/>
  <c r="H415" i="13" s="1"/>
  <c r="H231" i="13"/>
  <c r="I231" i="13"/>
  <c r="Y171" i="5"/>
  <c r="AC171" i="5"/>
  <c r="Y154" i="5"/>
  <c r="AC154" i="5"/>
  <c r="AC30" i="5" s="1"/>
  <c r="Q214" i="13" s="1"/>
  <c r="Y110" i="5"/>
  <c r="AC110" i="5"/>
  <c r="N233" i="5"/>
  <c r="AC122" i="5"/>
  <c r="Y122" i="5"/>
  <c r="AC126" i="5"/>
  <c r="Y126" i="5"/>
  <c r="J233" i="13"/>
  <c r="I417" i="13"/>
  <c r="J417" i="13" s="1"/>
  <c r="K233" i="13"/>
  <c r="L233" i="13" s="1"/>
  <c r="K192" i="5"/>
  <c r="G39" i="1"/>
  <c r="Y107" i="5"/>
  <c r="AC107" i="5"/>
  <c r="S124" i="5"/>
  <c r="Q124" i="5"/>
  <c r="X124" i="5"/>
  <c r="X141" i="5"/>
  <c r="Q141" i="5"/>
  <c r="S141" i="5"/>
  <c r="Y179" i="5"/>
  <c r="AC179" i="5"/>
  <c r="Q119" i="5"/>
  <c r="S119" i="5"/>
  <c r="X119" i="5"/>
  <c r="Q210" i="5"/>
  <c r="S210" i="5"/>
  <c r="X210" i="5"/>
  <c r="X24" i="5" s="1"/>
  <c r="O208" i="13" s="1"/>
  <c r="N138" i="5"/>
  <c r="M192" i="5"/>
  <c r="S186" i="5"/>
  <c r="X186" i="5"/>
  <c r="Q186" i="5"/>
  <c r="Q219" i="5"/>
  <c r="S219" i="5"/>
  <c r="X219" i="5"/>
  <c r="N139" i="5"/>
  <c r="AU271" i="5"/>
  <c r="AS271" i="5"/>
  <c r="AN288" i="5"/>
  <c r="AR288" i="5"/>
  <c r="AR292" i="5"/>
  <c r="AN292" i="5"/>
  <c r="S113" i="5"/>
  <c r="Q113" i="5"/>
  <c r="X113" i="5"/>
  <c r="P130" i="5"/>
  <c r="Y227" i="5"/>
  <c r="AC227" i="5"/>
  <c r="AM285" i="5"/>
  <c r="AI285" i="5"/>
  <c r="AR314" i="5"/>
  <c r="AN314" i="5"/>
  <c r="AU307" i="5"/>
  <c r="AS307" i="5"/>
  <c r="AC244" i="5"/>
  <c r="Y244" i="5"/>
  <c r="I420" i="13"/>
  <c r="J420" i="13" s="1"/>
  <c r="J236" i="13"/>
  <c r="K236" i="13"/>
  <c r="L236" i="13" s="1"/>
  <c r="J427" i="13"/>
  <c r="I388" i="13"/>
  <c r="J388" i="13" s="1"/>
  <c r="J204" i="13"/>
  <c r="K204" i="13"/>
  <c r="L204" i="13" s="1"/>
  <c r="N249" i="5"/>
  <c r="I409" i="13"/>
  <c r="J409" i="13" s="1"/>
  <c r="K225" i="13"/>
  <c r="L225" i="13" s="1"/>
  <c r="J225" i="13"/>
  <c r="AI262" i="5"/>
  <c r="AM262" i="5"/>
  <c r="AH315" i="5"/>
  <c r="AI315" i="5" s="1"/>
  <c r="Y248" i="5"/>
  <c r="AC248" i="5"/>
  <c r="K254" i="5"/>
  <c r="G43" i="1"/>
  <c r="I384" i="13"/>
  <c r="J384" i="13" s="1"/>
  <c r="K200" i="13"/>
  <c r="L200" i="13" s="1"/>
  <c r="J200" i="13"/>
  <c r="G404" i="13"/>
  <c r="H404" i="13" s="1"/>
  <c r="H220" i="13"/>
  <c r="I220" i="13"/>
  <c r="X222" i="5"/>
  <c r="S222" i="5"/>
  <c r="Q222" i="5"/>
  <c r="AR270" i="5"/>
  <c r="AN270" i="5"/>
  <c r="AN273" i="5"/>
  <c r="AR273" i="5"/>
  <c r="AI305" i="5"/>
  <c r="AM305" i="5"/>
  <c r="AH242" i="5"/>
  <c r="AD242" i="5"/>
  <c r="AM268" i="5"/>
  <c r="AI268" i="5"/>
  <c r="S214" i="5"/>
  <c r="X214" i="5"/>
  <c r="Q214" i="5"/>
  <c r="AR269" i="5"/>
  <c r="AN269" i="5"/>
  <c r="AS290" i="5"/>
  <c r="AU290" i="5"/>
  <c r="Y243" i="5"/>
  <c r="AC243" i="5"/>
  <c r="S253" i="5"/>
  <c r="X253" i="5"/>
  <c r="Q253" i="5"/>
  <c r="AR282" i="5"/>
  <c r="AN282" i="5"/>
  <c r="M217" i="13"/>
  <c r="AR275" i="5"/>
  <c r="AN275" i="5"/>
  <c r="AN264" i="5"/>
  <c r="AR264" i="5"/>
  <c r="I389" i="13"/>
  <c r="J389" i="13" s="1"/>
  <c r="K205" i="13"/>
  <c r="L205" i="13" s="1"/>
  <c r="J205" i="13"/>
  <c r="Y235" i="5"/>
  <c r="AC235" i="5"/>
  <c r="AR313" i="5"/>
  <c r="AN313" i="5"/>
  <c r="AU297" i="5"/>
  <c r="AS297" i="5"/>
  <c r="AM287" i="5"/>
  <c r="AI287" i="5"/>
  <c r="AU284" i="5"/>
  <c r="AS284" i="5"/>
  <c r="AR306" i="5"/>
  <c r="AN306" i="5"/>
  <c r="Y236" i="5"/>
  <c r="AC236" i="5"/>
  <c r="AN296" i="5"/>
  <c r="AR296" i="5"/>
  <c r="AN267" i="5"/>
  <c r="AR267" i="5"/>
  <c r="AN310" i="5"/>
  <c r="AR310" i="5"/>
  <c r="I397" i="13"/>
  <c r="J397" i="13" s="1"/>
  <c r="J213" i="13"/>
  <c r="K213" i="13"/>
  <c r="L213" i="13" s="1"/>
  <c r="AR278" i="5"/>
  <c r="AN278" i="5"/>
  <c r="AS302" i="5"/>
  <c r="AU302" i="5"/>
  <c r="AR280" i="5"/>
  <c r="AN280" i="5"/>
  <c r="I382" i="13"/>
  <c r="J382" i="13" s="1"/>
  <c r="AU265" i="5"/>
  <c r="AS265" i="5"/>
  <c r="I391" i="13"/>
  <c r="J391" i="13" s="1"/>
  <c r="J207" i="13"/>
  <c r="K207" i="13"/>
  <c r="L207" i="13" s="1"/>
  <c r="AS293" i="5"/>
  <c r="AU293" i="5"/>
  <c r="AU283" i="5"/>
  <c r="AS283" i="5"/>
  <c r="G396" i="13"/>
  <c r="H396" i="13" s="1"/>
  <c r="H212" i="13"/>
  <c r="I212" i="13"/>
  <c r="AN300" i="5"/>
  <c r="AR300" i="5"/>
  <c r="Q245" i="5"/>
  <c r="S245" i="5"/>
  <c r="X245" i="5"/>
  <c r="X59" i="5" s="1"/>
  <c r="O243" i="13" s="1"/>
  <c r="AU261" i="5"/>
  <c r="AS261" i="5"/>
  <c r="AN266" i="5"/>
  <c r="AR266" i="5"/>
  <c r="AR312" i="5"/>
  <c r="AN312" i="5"/>
  <c r="I428" i="13"/>
  <c r="J428" i="13" s="1"/>
  <c r="K244" i="13"/>
  <c r="L244" i="13" s="1"/>
  <c r="J244" i="13"/>
  <c r="H213" i="13"/>
  <c r="AU289" i="5"/>
  <c r="AS289" i="5"/>
  <c r="X230" i="5"/>
  <c r="Q230" i="5"/>
  <c r="S230" i="5"/>
  <c r="AR295" i="5"/>
  <c r="AN295" i="5"/>
  <c r="K427" i="13"/>
  <c r="L427" i="13" s="1"/>
  <c r="AN308" i="5"/>
  <c r="AR308" i="5"/>
  <c r="AU274" i="5"/>
  <c r="AS274" i="5"/>
  <c r="N246" i="5"/>
  <c r="AU272" i="5"/>
  <c r="AS272" i="5"/>
  <c r="AR276" i="5"/>
  <c r="AN276" i="5"/>
  <c r="G412" i="13"/>
  <c r="H412" i="13" s="1"/>
  <c r="H228" i="13"/>
  <c r="I228" i="13"/>
  <c r="I385" i="13"/>
  <c r="J385" i="13" s="1"/>
  <c r="J201" i="13"/>
  <c r="K201" i="13"/>
  <c r="L201" i="13" s="1"/>
  <c r="H35" i="1"/>
  <c r="N130" i="5"/>
  <c r="N238" i="5"/>
  <c r="AI281" i="5"/>
  <c r="AM281" i="5"/>
  <c r="AI97" i="5"/>
  <c r="AM97" i="5"/>
  <c r="AR100" i="5"/>
  <c r="AN100" i="5"/>
  <c r="AI101" i="5"/>
  <c r="AM101" i="5"/>
  <c r="AI117" i="5"/>
  <c r="AM117" i="5"/>
  <c r="AR83" i="5"/>
  <c r="AN83" i="5"/>
  <c r="AM92" i="5"/>
  <c r="AI92" i="5"/>
  <c r="AI129" i="5"/>
  <c r="AM129" i="5"/>
  <c r="Y237" i="4" l="1"/>
  <c r="W237" i="4"/>
  <c r="W175" i="4"/>
  <c r="Y175" i="4"/>
  <c r="Y231" i="4"/>
  <c r="W231" i="4"/>
  <c r="W143" i="4"/>
  <c r="Y143" i="4"/>
  <c r="Y79" i="5"/>
  <c r="AC79" i="5"/>
  <c r="AC102" i="5"/>
  <c r="Y102" i="5"/>
  <c r="AC86" i="5"/>
  <c r="Y86" i="5"/>
  <c r="Y188" i="5"/>
  <c r="AC188" i="5"/>
  <c r="J202" i="13"/>
  <c r="L202" i="13"/>
  <c r="J247" i="13"/>
  <c r="L247" i="13"/>
  <c r="J216" i="13"/>
  <c r="H41" i="22"/>
  <c r="H23" i="22"/>
  <c r="H31" i="22" s="1"/>
  <c r="V132" i="4"/>
  <c r="I68" i="27"/>
  <c r="K431" i="13"/>
  <c r="M431" i="13" s="1"/>
  <c r="P14" i="5"/>
  <c r="K198" i="13" s="1"/>
  <c r="I430" i="13"/>
  <c r="J430" i="13" s="1"/>
  <c r="I400" i="13"/>
  <c r="J400" i="13" s="1"/>
  <c r="K216" i="13"/>
  <c r="L216" i="13" s="1"/>
  <c r="AD99" i="5"/>
  <c r="AH99" i="5"/>
  <c r="K394" i="13"/>
  <c r="M394" i="13" s="1"/>
  <c r="K421" i="13"/>
  <c r="M421" i="13" s="1"/>
  <c r="AF20" i="4"/>
  <c r="AH20" i="4"/>
  <c r="L151" i="13"/>
  <c r="M177" i="13"/>
  <c r="P349" i="13"/>
  <c r="Z130" i="4"/>
  <c r="J246" i="13"/>
  <c r="M401" i="13"/>
  <c r="I198" i="13"/>
  <c r="J198" i="13" s="1"/>
  <c r="P177" i="13"/>
  <c r="AK331" i="6"/>
  <c r="AI331" i="6"/>
  <c r="AK328" i="6"/>
  <c r="AI328" i="6"/>
  <c r="I80" i="30"/>
  <c r="H92" i="30"/>
  <c r="AF39" i="6"/>
  <c r="AI46" i="6"/>
  <c r="K246" i="13"/>
  <c r="L246" i="13" s="1"/>
  <c r="K406" i="13"/>
  <c r="M406" i="13" s="1"/>
  <c r="K386" i="13"/>
  <c r="L386" i="13" s="1"/>
  <c r="I405" i="13"/>
  <c r="J405" i="13" s="1"/>
  <c r="Y38" i="5"/>
  <c r="O406" i="13"/>
  <c r="K221" i="13"/>
  <c r="L221" i="13" s="1"/>
  <c r="Y30" i="5"/>
  <c r="O393" i="13"/>
  <c r="O209" i="13"/>
  <c r="AN112" i="5"/>
  <c r="O116" i="13"/>
  <c r="P116" i="13" s="1"/>
  <c r="W117" i="4"/>
  <c r="Y117" i="4"/>
  <c r="Q177" i="13" s="1"/>
  <c r="R177" i="13" s="1"/>
  <c r="M116" i="13"/>
  <c r="Y215" i="4"/>
  <c r="W215" i="4"/>
  <c r="Y223" i="4"/>
  <c r="W223" i="4"/>
  <c r="Y218" i="4"/>
  <c r="W218" i="4"/>
  <c r="AB241" i="4"/>
  <c r="Z241" i="4"/>
  <c r="AI152" i="4"/>
  <c r="W157" i="4"/>
  <c r="Y157" i="4"/>
  <c r="Z186" i="4"/>
  <c r="AB186" i="4"/>
  <c r="W141" i="4"/>
  <c r="Y141" i="4"/>
  <c r="Y165" i="4"/>
  <c r="W165" i="4"/>
  <c r="Y174" i="4"/>
  <c r="W174" i="4"/>
  <c r="O343" i="13"/>
  <c r="P343" i="13" s="1"/>
  <c r="Q92" i="13"/>
  <c r="R92" i="13" s="1"/>
  <c r="AB93" i="4"/>
  <c r="S336" i="13" s="1"/>
  <c r="Q336" i="13"/>
  <c r="R336" i="13" s="1"/>
  <c r="AB120" i="4"/>
  <c r="AC120" i="4" s="1"/>
  <c r="O334" i="13"/>
  <c r="P334" i="13" s="1"/>
  <c r="L334" i="13"/>
  <c r="O151" i="13"/>
  <c r="P151" i="13" s="1"/>
  <c r="Y91" i="4"/>
  <c r="Q334" i="13" s="1"/>
  <c r="W91" i="4"/>
  <c r="M99" i="13"/>
  <c r="Z120" i="4"/>
  <c r="Q119" i="13"/>
  <c r="R119" i="13" s="1"/>
  <c r="P99" i="13"/>
  <c r="R339" i="13"/>
  <c r="O160" i="13"/>
  <c r="P160" i="13" s="1"/>
  <c r="M343" i="13"/>
  <c r="Z96" i="4"/>
  <c r="AB96" i="4"/>
  <c r="S339" i="13" s="1"/>
  <c r="T339" i="13" s="1"/>
  <c r="Q95" i="13"/>
  <c r="R95" i="13" s="1"/>
  <c r="W100" i="4"/>
  <c r="Y100" i="4"/>
  <c r="Q343" i="13" s="1"/>
  <c r="M160" i="13"/>
  <c r="M124" i="13"/>
  <c r="L124" i="13"/>
  <c r="W125" i="4"/>
  <c r="Y125" i="4"/>
  <c r="Q185" i="13" s="1"/>
  <c r="R185" i="13" s="1"/>
  <c r="O368" i="13"/>
  <c r="P368" i="13" s="1"/>
  <c r="O124" i="13"/>
  <c r="P124" i="13" s="1"/>
  <c r="M368" i="13"/>
  <c r="L368" i="13"/>
  <c r="Z105" i="4"/>
  <c r="Q359" i="13"/>
  <c r="R359" i="13" s="1"/>
  <c r="AB105" i="4"/>
  <c r="S348" i="13" s="1"/>
  <c r="T348" i="13" s="1"/>
  <c r="Q104" i="13"/>
  <c r="R104" i="13" s="1"/>
  <c r="AK46" i="6"/>
  <c r="AI344" i="6"/>
  <c r="AK344" i="6"/>
  <c r="AH321" i="6"/>
  <c r="AK321" i="6" s="1"/>
  <c r="AI284" i="6"/>
  <c r="AK284" i="6"/>
  <c r="AI314" i="6"/>
  <c r="AK314" i="6"/>
  <c r="AI18" i="6"/>
  <c r="AK18" i="6"/>
  <c r="AI215" i="6"/>
  <c r="AK215" i="6"/>
  <c r="U51" i="13"/>
  <c r="V51" i="13" s="1"/>
  <c r="AK188" i="6"/>
  <c r="AI188" i="6"/>
  <c r="U31" i="13"/>
  <c r="V31" i="13" s="1"/>
  <c r="Y26" i="13"/>
  <c r="R348" i="13"/>
  <c r="Y208" i="5"/>
  <c r="AH94" i="5"/>
  <c r="AD94" i="5"/>
  <c r="AC151" i="5"/>
  <c r="Y151" i="5"/>
  <c r="AM103" i="5"/>
  <c r="AN103" i="5" s="1"/>
  <c r="J221" i="13"/>
  <c r="Y237" i="5"/>
  <c r="AC237" i="5"/>
  <c r="Y123" i="5"/>
  <c r="AC123" i="5"/>
  <c r="AC120" i="5"/>
  <c r="Y120" i="5"/>
  <c r="AC114" i="5"/>
  <c r="Y114" i="5"/>
  <c r="AD76" i="5"/>
  <c r="AH76" i="5"/>
  <c r="AC104" i="5"/>
  <c r="Y104" i="5"/>
  <c r="L431" i="13"/>
  <c r="AB116" i="4"/>
  <c r="S115" i="13" s="1"/>
  <c r="Q115" i="13"/>
  <c r="R115" i="13" s="1"/>
  <c r="Z181" i="4"/>
  <c r="AB181" i="4"/>
  <c r="AB253" i="4"/>
  <c r="Z253" i="4"/>
  <c r="AB249" i="4"/>
  <c r="Z249" i="4"/>
  <c r="W173" i="4"/>
  <c r="Y173" i="4"/>
  <c r="AB227" i="4"/>
  <c r="Z227" i="4"/>
  <c r="AB234" i="4"/>
  <c r="Z234" i="4"/>
  <c r="W158" i="4"/>
  <c r="Y158" i="4"/>
  <c r="Q176" i="13"/>
  <c r="R176" i="13" s="1"/>
  <c r="AI26" i="6"/>
  <c r="AK26" i="6"/>
  <c r="AH14" i="6"/>
  <c r="W14" i="13" s="1"/>
  <c r="AK371" i="6"/>
  <c r="AI371" i="6"/>
  <c r="AI377" i="6"/>
  <c r="AK377" i="6"/>
  <c r="AK336" i="6"/>
  <c r="AI336" i="6"/>
  <c r="AK345" i="6"/>
  <c r="AI345" i="6"/>
  <c r="AK357" i="6"/>
  <c r="AI357" i="6"/>
  <c r="AK382" i="6"/>
  <c r="AI382" i="6"/>
  <c r="AI330" i="6"/>
  <c r="AK330" i="6"/>
  <c r="AK361" i="6"/>
  <c r="AI361" i="6"/>
  <c r="AI365" i="6"/>
  <c r="AK365" i="6"/>
  <c r="AH31" i="6"/>
  <c r="W31" i="13" s="1"/>
  <c r="V19" i="13"/>
  <c r="AK381" i="6"/>
  <c r="AI381" i="6"/>
  <c r="AK375" i="6"/>
  <c r="AI375" i="6"/>
  <c r="AK353" i="6"/>
  <c r="AI353" i="6"/>
  <c r="AH51" i="6"/>
  <c r="W51" i="13" s="1"/>
  <c r="U15" i="13"/>
  <c r="V15" i="13" s="1"/>
  <c r="AI318" i="6"/>
  <c r="AK318" i="6"/>
  <c r="AI313" i="6"/>
  <c r="AK313" i="6"/>
  <c r="AK274" i="6"/>
  <c r="AI274" i="6"/>
  <c r="AK315" i="6"/>
  <c r="AI315" i="6"/>
  <c r="AK296" i="6"/>
  <c r="AI296" i="6"/>
  <c r="AH19" i="6"/>
  <c r="AK19" i="6" s="1"/>
  <c r="AI301" i="6"/>
  <c r="AK301" i="6"/>
  <c r="AK308" i="6"/>
  <c r="AI308" i="6"/>
  <c r="AK277" i="6"/>
  <c r="AI277" i="6"/>
  <c r="AI281" i="6"/>
  <c r="AK281" i="6"/>
  <c r="AK304" i="6"/>
  <c r="AI304" i="6"/>
  <c r="AK269" i="6"/>
  <c r="AI269" i="6"/>
  <c r="AI319" i="6"/>
  <c r="AK319" i="6"/>
  <c r="AK312" i="6"/>
  <c r="AI312" i="6"/>
  <c r="AI272" i="6"/>
  <c r="AK272" i="6"/>
  <c r="AK276" i="6"/>
  <c r="AI276" i="6"/>
  <c r="AK297" i="6"/>
  <c r="AI297" i="6"/>
  <c r="AI295" i="6"/>
  <c r="AK295" i="6"/>
  <c r="AH15" i="6"/>
  <c r="AK15" i="6" s="1"/>
  <c r="AK204" i="6"/>
  <c r="AI204" i="6"/>
  <c r="AK208" i="6"/>
  <c r="AI208" i="6"/>
  <c r="U32" i="13"/>
  <c r="V32" i="13" s="1"/>
  <c r="AF32" i="6"/>
  <c r="AH32" i="6"/>
  <c r="AK216" i="6"/>
  <c r="AI216" i="6"/>
  <c r="AK232" i="6"/>
  <c r="AI232" i="6"/>
  <c r="AH252" i="6"/>
  <c r="AI252" i="6" s="1"/>
  <c r="AK245" i="6"/>
  <c r="AI245" i="6"/>
  <c r="AK251" i="6"/>
  <c r="AI251" i="6"/>
  <c r="S68" i="13"/>
  <c r="T68" i="13" s="1"/>
  <c r="AK63" i="6"/>
  <c r="W64" i="13"/>
  <c r="AK64" i="6"/>
  <c r="AI64" i="6"/>
  <c r="AI63" i="6"/>
  <c r="AI226" i="6"/>
  <c r="AK226" i="6"/>
  <c r="AK228" i="6"/>
  <c r="AI228" i="6"/>
  <c r="AF34" i="6"/>
  <c r="U34" i="13"/>
  <c r="V34" i="13" s="1"/>
  <c r="AK239" i="6"/>
  <c r="AI239" i="6"/>
  <c r="AI224" i="6"/>
  <c r="AK224" i="6"/>
  <c r="AI235" i="6"/>
  <c r="AK235" i="6"/>
  <c r="AI237" i="6"/>
  <c r="AK237" i="6"/>
  <c r="AK218" i="6"/>
  <c r="AI218" i="6"/>
  <c r="AH34" i="6"/>
  <c r="AK199" i="6"/>
  <c r="AI199" i="6"/>
  <c r="AK171" i="6"/>
  <c r="AI171" i="6"/>
  <c r="AH191" i="6"/>
  <c r="AF191" i="6"/>
  <c r="U35" i="13"/>
  <c r="V35" i="13" s="1"/>
  <c r="AF35" i="6"/>
  <c r="U47" i="13"/>
  <c r="V47" i="13" s="1"/>
  <c r="AF47" i="6"/>
  <c r="AK167" i="6"/>
  <c r="AI167" i="6"/>
  <c r="AK142" i="6"/>
  <c r="AI142" i="6"/>
  <c r="AI176" i="6"/>
  <c r="AK176" i="6"/>
  <c r="AK154" i="6"/>
  <c r="AI154" i="6"/>
  <c r="AK158" i="6"/>
  <c r="AI158" i="6"/>
  <c r="AH35" i="6"/>
  <c r="AK180" i="6"/>
  <c r="AI180" i="6"/>
  <c r="AK170" i="6"/>
  <c r="AI170" i="6"/>
  <c r="AH47" i="6"/>
  <c r="AK166" i="6"/>
  <c r="AI166" i="6"/>
  <c r="AK151" i="6"/>
  <c r="AI151" i="6"/>
  <c r="AK138" i="6"/>
  <c r="AI138" i="6"/>
  <c r="AK163" i="6"/>
  <c r="AI163" i="6"/>
  <c r="U60" i="13"/>
  <c r="V60" i="13" s="1"/>
  <c r="AF60" i="6"/>
  <c r="AH44" i="6"/>
  <c r="AK106" i="6"/>
  <c r="AI106" i="6"/>
  <c r="W21" i="13"/>
  <c r="AI21" i="6"/>
  <c r="AK21" i="6"/>
  <c r="U44" i="13"/>
  <c r="V44" i="13" s="1"/>
  <c r="AF44" i="6"/>
  <c r="AH27" i="6"/>
  <c r="AI89" i="6"/>
  <c r="AK89" i="6"/>
  <c r="U40" i="13"/>
  <c r="V40" i="13" s="1"/>
  <c r="AF40" i="6"/>
  <c r="U27" i="13"/>
  <c r="V27" i="13" s="1"/>
  <c r="AF27" i="6"/>
  <c r="AH60" i="6"/>
  <c r="AK122" i="6"/>
  <c r="AI122" i="6"/>
  <c r="AH29" i="6"/>
  <c r="AK91" i="6"/>
  <c r="AI91" i="6"/>
  <c r="AH40" i="6"/>
  <c r="AI102" i="6"/>
  <c r="AK102" i="6"/>
  <c r="AH42" i="6"/>
  <c r="AK104" i="6"/>
  <c r="AI104" i="6"/>
  <c r="U29" i="13"/>
  <c r="V29" i="13" s="1"/>
  <c r="AF29" i="6"/>
  <c r="U42" i="13"/>
  <c r="V42" i="13" s="1"/>
  <c r="AF42" i="6"/>
  <c r="U36" i="13"/>
  <c r="V36" i="13" s="1"/>
  <c r="AF36" i="6"/>
  <c r="AH62" i="6"/>
  <c r="AK124" i="6"/>
  <c r="AI124" i="6"/>
  <c r="AH37" i="6"/>
  <c r="AK99" i="6"/>
  <c r="AI99" i="6"/>
  <c r="AH49" i="6"/>
  <c r="AI111" i="6"/>
  <c r="AK111" i="6"/>
  <c r="AH61" i="6"/>
  <c r="AK123" i="6"/>
  <c r="AI123" i="6"/>
  <c r="AH54" i="6"/>
  <c r="AI116" i="6"/>
  <c r="AK116" i="6"/>
  <c r="AH20" i="6"/>
  <c r="AI82" i="6"/>
  <c r="AK82" i="6"/>
  <c r="W39" i="13"/>
  <c r="AK39" i="6"/>
  <c r="AI39" i="6"/>
  <c r="U52" i="13"/>
  <c r="V52" i="13" s="1"/>
  <c r="AF52" i="6"/>
  <c r="AH50" i="6"/>
  <c r="AI112" i="6"/>
  <c r="AK112" i="6"/>
  <c r="U62" i="13"/>
  <c r="V62" i="13" s="1"/>
  <c r="AF62" i="6"/>
  <c r="AH16" i="6"/>
  <c r="AK78" i="6"/>
  <c r="AI78" i="6"/>
  <c r="U49" i="13"/>
  <c r="V49" i="13" s="1"/>
  <c r="AF49" i="6"/>
  <c r="U50" i="13"/>
  <c r="V50" i="13" s="1"/>
  <c r="AF50" i="6"/>
  <c r="U61" i="13"/>
  <c r="V61" i="13" s="1"/>
  <c r="AF61" i="6"/>
  <c r="U54" i="13"/>
  <c r="V54" i="13" s="1"/>
  <c r="AF54" i="6"/>
  <c r="W56" i="13"/>
  <c r="AK56" i="6"/>
  <c r="AI56" i="6"/>
  <c r="U20" i="13"/>
  <c r="V20" i="13" s="1"/>
  <c r="AF20" i="6"/>
  <c r="AF130" i="6"/>
  <c r="AH130" i="6"/>
  <c r="U57" i="13"/>
  <c r="V57" i="13" s="1"/>
  <c r="AF57" i="6"/>
  <c r="W23" i="13"/>
  <c r="AK23" i="6"/>
  <c r="AI23" i="6"/>
  <c r="AH25" i="6"/>
  <c r="AI87" i="6"/>
  <c r="AK87" i="6"/>
  <c r="AH57" i="6"/>
  <c r="AK119" i="6"/>
  <c r="AI119" i="6"/>
  <c r="U37" i="13"/>
  <c r="V37" i="13" s="1"/>
  <c r="AF37" i="6"/>
  <c r="AH38" i="6"/>
  <c r="AK100" i="6"/>
  <c r="AI100" i="6"/>
  <c r="AH58" i="6"/>
  <c r="AK120" i="6"/>
  <c r="AI120" i="6"/>
  <c r="U16" i="13"/>
  <c r="V16" i="13" s="1"/>
  <c r="AF16" i="6"/>
  <c r="AE68" i="6"/>
  <c r="AH33" i="6"/>
  <c r="AK95" i="6"/>
  <c r="AI95" i="6"/>
  <c r="AH67" i="6"/>
  <c r="AI129" i="6"/>
  <c r="AK129" i="6"/>
  <c r="AH59" i="6"/>
  <c r="AI121" i="6"/>
  <c r="AK121" i="6"/>
  <c r="AH22" i="6"/>
  <c r="AI84" i="6"/>
  <c r="AK84" i="6"/>
  <c r="AH41" i="6"/>
  <c r="AK103" i="6"/>
  <c r="AI103" i="6"/>
  <c r="U38" i="13"/>
  <c r="V38" i="13" s="1"/>
  <c r="AF38" i="6"/>
  <c r="U58" i="13"/>
  <c r="V58" i="13" s="1"/>
  <c r="AF58" i="6"/>
  <c r="AH48" i="6"/>
  <c r="AK110" i="6"/>
  <c r="AI110" i="6"/>
  <c r="W66" i="13"/>
  <c r="AI66" i="6"/>
  <c r="AK66" i="6"/>
  <c r="U67" i="13"/>
  <c r="V67" i="13" s="1"/>
  <c r="AF67" i="6"/>
  <c r="AH43" i="6"/>
  <c r="AI105" i="6"/>
  <c r="AK105" i="6"/>
  <c r="AH28" i="6"/>
  <c r="AK90" i="6"/>
  <c r="AI90" i="6"/>
  <c r="AH53" i="6"/>
  <c r="AK115" i="6"/>
  <c r="AI115" i="6"/>
  <c r="U41" i="13"/>
  <c r="V41" i="13" s="1"/>
  <c r="AF41" i="6"/>
  <c r="U25" i="13"/>
  <c r="V25" i="13" s="1"/>
  <c r="AF25" i="6"/>
  <c r="U30" i="13"/>
  <c r="V30" i="13" s="1"/>
  <c r="AF30" i="6"/>
  <c r="U65" i="13"/>
  <c r="V65" i="13" s="1"/>
  <c r="AF65" i="6"/>
  <c r="U17" i="13"/>
  <c r="V17" i="13" s="1"/>
  <c r="AF17" i="6"/>
  <c r="AH36" i="6"/>
  <c r="AI98" i="6"/>
  <c r="AK98" i="6"/>
  <c r="W45" i="13"/>
  <c r="AK45" i="6"/>
  <c r="AI45" i="6"/>
  <c r="U33" i="13"/>
  <c r="V33" i="13" s="1"/>
  <c r="AF33" i="6"/>
  <c r="U43" i="13"/>
  <c r="V43" i="13" s="1"/>
  <c r="AF43" i="6"/>
  <c r="U59" i="13"/>
  <c r="V59" i="13" s="1"/>
  <c r="AF59" i="6"/>
  <c r="U28" i="13"/>
  <c r="V28" i="13" s="1"/>
  <c r="AF28" i="6"/>
  <c r="U53" i="13"/>
  <c r="V53" i="13" s="1"/>
  <c r="AF53" i="6"/>
  <c r="W55" i="13"/>
  <c r="AI55" i="6"/>
  <c r="AK55" i="6"/>
  <c r="X46" i="13"/>
  <c r="Y46" i="13"/>
  <c r="U22" i="13"/>
  <c r="V22" i="13" s="1"/>
  <c r="AF22" i="6"/>
  <c r="AH52" i="6"/>
  <c r="AI114" i="6"/>
  <c r="AK114" i="6"/>
  <c r="U24" i="13"/>
  <c r="V24" i="13" s="1"/>
  <c r="AF24" i="6"/>
  <c r="AH24" i="6"/>
  <c r="AI86" i="6"/>
  <c r="AK86" i="6"/>
  <c r="U48" i="13"/>
  <c r="V48" i="13" s="1"/>
  <c r="AF48" i="6"/>
  <c r="AH30" i="6"/>
  <c r="AI92" i="6"/>
  <c r="AK92" i="6"/>
  <c r="AH17" i="6"/>
  <c r="AK79" i="6"/>
  <c r="AI79" i="6"/>
  <c r="AH65" i="6"/>
  <c r="AK127" i="6"/>
  <c r="AI127" i="6"/>
  <c r="F70" i="30"/>
  <c r="D22" i="2" s="1"/>
  <c r="G72" i="30"/>
  <c r="F88" i="30"/>
  <c r="I51" i="1"/>
  <c r="E52" i="30" s="1"/>
  <c r="E54" i="30"/>
  <c r="F54" i="30" s="1"/>
  <c r="Y226" i="5"/>
  <c r="AC226" i="5"/>
  <c r="AC40" i="5" s="1"/>
  <c r="Q224" i="13" s="1"/>
  <c r="O411" i="13"/>
  <c r="X62" i="5"/>
  <c r="X18" i="5"/>
  <c r="AC80" i="5"/>
  <c r="Y80" i="5"/>
  <c r="AC111" i="5"/>
  <c r="Y111" i="5"/>
  <c r="H119" i="18"/>
  <c r="AC213" i="4"/>
  <c r="AE213" i="4"/>
  <c r="AE243" i="4"/>
  <c r="AC243" i="4"/>
  <c r="AF240" i="4"/>
  <c r="AH240" i="4"/>
  <c r="AB216" i="4"/>
  <c r="Z216" i="4"/>
  <c r="AC242" i="4"/>
  <c r="AE242" i="4"/>
  <c r="AC207" i="4"/>
  <c r="AE207" i="4"/>
  <c r="W222" i="4"/>
  <c r="Y222" i="4"/>
  <c r="AC236" i="4"/>
  <c r="AE236" i="4"/>
  <c r="W229" i="4"/>
  <c r="Y229" i="4"/>
  <c r="W244" i="4"/>
  <c r="Y244" i="4"/>
  <c r="AB251" i="4"/>
  <c r="Z251" i="4"/>
  <c r="Z214" i="4"/>
  <c r="AB214" i="4"/>
  <c r="AH156" i="4"/>
  <c r="AF156" i="4"/>
  <c r="Z164" i="4"/>
  <c r="AB164" i="4"/>
  <c r="W155" i="4"/>
  <c r="Y155" i="4"/>
  <c r="AC144" i="4"/>
  <c r="AE144" i="4"/>
  <c r="Y182" i="4"/>
  <c r="W182" i="4"/>
  <c r="W147" i="4"/>
  <c r="Y147" i="4"/>
  <c r="W191" i="4"/>
  <c r="Y191" i="4"/>
  <c r="H179" i="18"/>
  <c r="M79" i="13"/>
  <c r="L79" i="13"/>
  <c r="O79" i="13"/>
  <c r="P79" i="13" s="1"/>
  <c r="Y80" i="4"/>
  <c r="O323" i="13"/>
  <c r="P323" i="13" s="1"/>
  <c r="W80" i="4"/>
  <c r="L323" i="13"/>
  <c r="M323" i="13"/>
  <c r="M112" i="13"/>
  <c r="L112" i="13"/>
  <c r="M356" i="13"/>
  <c r="L356" i="13"/>
  <c r="W113" i="4"/>
  <c r="Y113" i="4"/>
  <c r="Q173" i="13" s="1"/>
  <c r="R173" i="13" s="1"/>
  <c r="O356" i="13"/>
  <c r="P356" i="13" s="1"/>
  <c r="O112" i="13"/>
  <c r="P112" i="13" s="1"/>
  <c r="L164" i="13"/>
  <c r="M164" i="13"/>
  <c r="O164" i="13"/>
  <c r="P164" i="13" s="1"/>
  <c r="W42" i="4"/>
  <c r="Y42" i="4"/>
  <c r="Q164" i="13" s="1"/>
  <c r="M156" i="13"/>
  <c r="L156" i="13"/>
  <c r="Y34" i="4"/>
  <c r="O156" i="13"/>
  <c r="P156" i="13" s="1"/>
  <c r="W34" i="4"/>
  <c r="O140" i="13"/>
  <c r="P140" i="13" s="1"/>
  <c r="Y18" i="4"/>
  <c r="W18" i="4"/>
  <c r="AE60" i="4"/>
  <c r="AC60" i="4"/>
  <c r="AC67" i="4"/>
  <c r="AE67" i="4"/>
  <c r="L140" i="13"/>
  <c r="M140" i="13"/>
  <c r="W53" i="4"/>
  <c r="Y53" i="4"/>
  <c r="J211" i="13"/>
  <c r="I395" i="13"/>
  <c r="J395" i="13" s="1"/>
  <c r="K211" i="13"/>
  <c r="L211" i="13" s="1"/>
  <c r="X66" i="5"/>
  <c r="X17" i="5"/>
  <c r="AD204" i="5"/>
  <c r="AH204" i="5"/>
  <c r="Y229" i="5"/>
  <c r="AC229" i="5"/>
  <c r="AC43" i="5" s="1"/>
  <c r="I411" i="13"/>
  <c r="J411" i="13" s="1"/>
  <c r="K227" i="13"/>
  <c r="L227" i="13" s="1"/>
  <c r="J227" i="13"/>
  <c r="D67" i="18"/>
  <c r="E67" i="18"/>
  <c r="H59" i="18"/>
  <c r="C67" i="18"/>
  <c r="Y18" i="13"/>
  <c r="X18" i="13"/>
  <c r="Y63" i="13"/>
  <c r="X63" i="13"/>
  <c r="Y25" i="5"/>
  <c r="S146" i="5"/>
  <c r="X146" i="5"/>
  <c r="Q146" i="5"/>
  <c r="M247" i="13"/>
  <c r="L426" i="13"/>
  <c r="M426" i="13"/>
  <c r="M242" i="13"/>
  <c r="O418" i="13"/>
  <c r="Y187" i="5"/>
  <c r="AC187" i="5"/>
  <c r="Q173" i="5"/>
  <c r="S173" i="5"/>
  <c r="X173" i="5"/>
  <c r="X163" i="5"/>
  <c r="Q163" i="5"/>
  <c r="S163" i="5"/>
  <c r="AC174" i="5"/>
  <c r="Y174" i="5"/>
  <c r="H107" i="18"/>
  <c r="E187" i="18"/>
  <c r="H167" i="18"/>
  <c r="D187" i="18"/>
  <c r="H47" i="18"/>
  <c r="C187" i="18"/>
  <c r="H127" i="18"/>
  <c r="F187" i="18"/>
  <c r="G187" i="18"/>
  <c r="X46" i="5"/>
  <c r="S153" i="5"/>
  <c r="X153" i="5"/>
  <c r="Q153" i="5"/>
  <c r="G67" i="18"/>
  <c r="AM156" i="5"/>
  <c r="AI156" i="5"/>
  <c r="Y140" i="4"/>
  <c r="W140" i="4"/>
  <c r="Z17" i="4"/>
  <c r="AB17" i="4"/>
  <c r="Q349" i="13"/>
  <c r="R349" i="13" s="1"/>
  <c r="Q105" i="13"/>
  <c r="R105" i="13" s="1"/>
  <c r="Z106" i="4"/>
  <c r="AB106" i="4"/>
  <c r="Z203" i="4"/>
  <c r="AB203" i="4"/>
  <c r="AB230" i="4"/>
  <c r="Z230" i="4"/>
  <c r="M84" i="13"/>
  <c r="L84" i="13"/>
  <c r="W172" i="4"/>
  <c r="Y172" i="4"/>
  <c r="W146" i="4"/>
  <c r="Y146" i="4"/>
  <c r="L328" i="13"/>
  <c r="M328" i="13"/>
  <c r="Y85" i="4"/>
  <c r="Q145" i="13" s="1"/>
  <c r="R145" i="13" s="1"/>
  <c r="O328" i="13"/>
  <c r="P328" i="13" s="1"/>
  <c r="O84" i="13"/>
  <c r="P84" i="13" s="1"/>
  <c r="W85" i="4"/>
  <c r="W154" i="4"/>
  <c r="Y154" i="4"/>
  <c r="AH235" i="4"/>
  <c r="AF235" i="4"/>
  <c r="Z92" i="4"/>
  <c r="AB92" i="4"/>
  <c r="Q335" i="13"/>
  <c r="R335" i="13" s="1"/>
  <c r="Q91" i="13"/>
  <c r="R91" i="13" s="1"/>
  <c r="Z202" i="4"/>
  <c r="AB202" i="4"/>
  <c r="L98" i="13"/>
  <c r="M98" i="13"/>
  <c r="Z238" i="4"/>
  <c r="AB238" i="4"/>
  <c r="AC224" i="4"/>
  <c r="AE224" i="4"/>
  <c r="AB210" i="4"/>
  <c r="Z210" i="4"/>
  <c r="L342" i="13"/>
  <c r="M342" i="13"/>
  <c r="Y99" i="4"/>
  <c r="W99" i="4"/>
  <c r="O342" i="13"/>
  <c r="P342" i="13" s="1"/>
  <c r="O98" i="13"/>
  <c r="P98" i="13" s="1"/>
  <c r="AE211" i="4"/>
  <c r="AC211" i="4"/>
  <c r="Z104" i="4"/>
  <c r="AB104" i="4"/>
  <c r="Q347" i="13"/>
  <c r="R347" i="13" s="1"/>
  <c r="Q103" i="13"/>
  <c r="R103" i="13" s="1"/>
  <c r="W247" i="4"/>
  <c r="Y247" i="4"/>
  <c r="O327" i="13"/>
  <c r="P327" i="13" s="1"/>
  <c r="O83" i="13"/>
  <c r="P83" i="13" s="1"/>
  <c r="W84" i="4"/>
  <c r="Y84" i="4"/>
  <c r="O144" i="13"/>
  <c r="P144" i="13" s="1"/>
  <c r="AB193" i="4"/>
  <c r="Z193" i="4"/>
  <c r="Z142" i="4"/>
  <c r="AB142" i="4"/>
  <c r="Z209" i="4"/>
  <c r="AB209" i="4"/>
  <c r="Z225" i="4"/>
  <c r="AB225" i="4"/>
  <c r="AB38" i="4"/>
  <c r="Z38" i="4"/>
  <c r="Z51" i="4"/>
  <c r="AB51" i="4"/>
  <c r="Z160" i="4"/>
  <c r="AB160" i="4"/>
  <c r="M148" i="13"/>
  <c r="L148" i="13"/>
  <c r="Y150" i="4"/>
  <c r="W150" i="4"/>
  <c r="AF228" i="4"/>
  <c r="AH228" i="4"/>
  <c r="AB226" i="4"/>
  <c r="Z226" i="4"/>
  <c r="Z205" i="4"/>
  <c r="AB205" i="4"/>
  <c r="M186" i="13"/>
  <c r="L186" i="13"/>
  <c r="Z63" i="4"/>
  <c r="AB63" i="4"/>
  <c r="L83" i="13"/>
  <c r="M83" i="13"/>
  <c r="AC183" i="4"/>
  <c r="AE183" i="4"/>
  <c r="Z128" i="4"/>
  <c r="AB128" i="4"/>
  <c r="M76" i="13"/>
  <c r="L76" i="13"/>
  <c r="AE22" i="4"/>
  <c r="AC22" i="4"/>
  <c r="W188" i="4"/>
  <c r="Y188" i="4"/>
  <c r="W239" i="4"/>
  <c r="Y239" i="4"/>
  <c r="M125" i="13"/>
  <c r="L125" i="13"/>
  <c r="Y204" i="4"/>
  <c r="W204" i="4"/>
  <c r="M144" i="13"/>
  <c r="L144" i="13"/>
  <c r="AC248" i="4"/>
  <c r="AE248" i="4"/>
  <c r="L320" i="13"/>
  <c r="M320" i="13"/>
  <c r="AC28" i="4"/>
  <c r="AE28" i="4"/>
  <c r="AB16" i="4"/>
  <c r="Z16" i="4"/>
  <c r="AC168" i="4"/>
  <c r="AE168" i="4"/>
  <c r="Y26" i="4"/>
  <c r="W26" i="4"/>
  <c r="O148" i="13"/>
  <c r="P148" i="13" s="1"/>
  <c r="M369" i="13"/>
  <c r="L369" i="13"/>
  <c r="Z25" i="4"/>
  <c r="AB25" i="4"/>
  <c r="AB217" i="4"/>
  <c r="Z217" i="4"/>
  <c r="AH19" i="4"/>
  <c r="AF19" i="4"/>
  <c r="W212" i="4"/>
  <c r="Y212" i="4"/>
  <c r="Y233" i="4"/>
  <c r="W233" i="4"/>
  <c r="Y126" i="4"/>
  <c r="O369" i="13"/>
  <c r="P369" i="13" s="1"/>
  <c r="O125" i="13"/>
  <c r="P125" i="13" s="1"/>
  <c r="W126" i="4"/>
  <c r="O186" i="13"/>
  <c r="P186" i="13" s="1"/>
  <c r="Z179" i="4"/>
  <c r="AB179" i="4"/>
  <c r="Y208" i="4"/>
  <c r="W208" i="4"/>
  <c r="Z254" i="4"/>
  <c r="AB254" i="4"/>
  <c r="Z190" i="4"/>
  <c r="AB190" i="4"/>
  <c r="AB35" i="4"/>
  <c r="Z35" i="4"/>
  <c r="L327" i="13"/>
  <c r="M327" i="13"/>
  <c r="W161" i="4"/>
  <c r="Y161" i="4"/>
  <c r="Z180" i="4"/>
  <c r="AB180" i="4"/>
  <c r="Y252" i="4"/>
  <c r="W252" i="4"/>
  <c r="Y219" i="4"/>
  <c r="W219" i="4"/>
  <c r="Y77" i="4"/>
  <c r="W77" i="4"/>
  <c r="O76" i="13"/>
  <c r="P76" i="13" s="1"/>
  <c r="O320" i="13"/>
  <c r="P320" i="13" s="1"/>
  <c r="L168" i="13"/>
  <c r="M168" i="13"/>
  <c r="M114" i="13"/>
  <c r="L114" i="13"/>
  <c r="AC176" i="4"/>
  <c r="AE176" i="4"/>
  <c r="M321" i="13"/>
  <c r="L321" i="13"/>
  <c r="AF163" i="4"/>
  <c r="AH163" i="4"/>
  <c r="Q367" i="13"/>
  <c r="R367" i="13" s="1"/>
  <c r="Q123" i="13"/>
  <c r="R123" i="13" s="1"/>
  <c r="Z124" i="4"/>
  <c r="AB124" i="4"/>
  <c r="AH50" i="4"/>
  <c r="AF50" i="4"/>
  <c r="L178" i="13"/>
  <c r="M178" i="13"/>
  <c r="AB68" i="4"/>
  <c r="Z68" i="4"/>
  <c r="O168" i="13"/>
  <c r="P168" i="13" s="1"/>
  <c r="Y46" i="4"/>
  <c r="W46" i="4"/>
  <c r="M171" i="13"/>
  <c r="L171" i="13"/>
  <c r="S194" i="4"/>
  <c r="Q194" i="4"/>
  <c r="M85" i="13"/>
  <c r="L85" i="13"/>
  <c r="L165" i="13"/>
  <c r="M165" i="13"/>
  <c r="L109" i="13"/>
  <c r="M109" i="13"/>
  <c r="M97" i="13"/>
  <c r="L97" i="13"/>
  <c r="O357" i="13"/>
  <c r="P357" i="13" s="1"/>
  <c r="O113" i="13"/>
  <c r="P113" i="13" s="1"/>
  <c r="Y114" i="4"/>
  <c r="Q174" i="13" s="1"/>
  <c r="W114" i="4"/>
  <c r="O337" i="13"/>
  <c r="P337" i="13" s="1"/>
  <c r="O93" i="13"/>
  <c r="P93" i="13" s="1"/>
  <c r="W94" i="4"/>
  <c r="Y94" i="4"/>
  <c r="L121" i="13"/>
  <c r="M121" i="13"/>
  <c r="Z55" i="4"/>
  <c r="AB55" i="4"/>
  <c r="O330" i="13"/>
  <c r="P330" i="13" s="1"/>
  <c r="O86" i="13"/>
  <c r="P86" i="13" s="1"/>
  <c r="Y87" i="4"/>
  <c r="W87" i="4"/>
  <c r="O147" i="13"/>
  <c r="P147" i="13" s="1"/>
  <c r="M142" i="13"/>
  <c r="L142" i="13"/>
  <c r="L330" i="13"/>
  <c r="M330" i="13"/>
  <c r="M161" i="13"/>
  <c r="L161" i="13"/>
  <c r="Q132" i="4"/>
  <c r="S132" i="4"/>
  <c r="M152" i="13"/>
  <c r="L152" i="13"/>
  <c r="L102" i="13"/>
  <c r="M102" i="13"/>
  <c r="O358" i="13"/>
  <c r="P358" i="13" s="1"/>
  <c r="O114" i="13"/>
  <c r="P114" i="13" s="1"/>
  <c r="Y115" i="4"/>
  <c r="W115" i="4"/>
  <c r="O175" i="13"/>
  <c r="P175" i="13" s="1"/>
  <c r="Z148" i="4"/>
  <c r="AB148" i="4"/>
  <c r="M329" i="13"/>
  <c r="L329" i="13"/>
  <c r="AC246" i="4"/>
  <c r="AE246" i="4"/>
  <c r="M143" i="13"/>
  <c r="L143" i="13"/>
  <c r="L353" i="13"/>
  <c r="M353" i="13"/>
  <c r="M341" i="13"/>
  <c r="L341" i="13"/>
  <c r="L113" i="13"/>
  <c r="M113" i="13"/>
  <c r="O345" i="13"/>
  <c r="P345" i="13" s="1"/>
  <c r="O101" i="13"/>
  <c r="P101" i="13" s="1"/>
  <c r="Y102" i="4"/>
  <c r="W102" i="4"/>
  <c r="O162" i="13"/>
  <c r="P162" i="13" s="1"/>
  <c r="L365" i="13"/>
  <c r="M365" i="13"/>
  <c r="Q166" i="13"/>
  <c r="R166" i="13" s="1"/>
  <c r="Z44" i="4"/>
  <c r="AB44" i="4"/>
  <c r="AF151" i="4"/>
  <c r="AH151" i="4"/>
  <c r="O137" i="13"/>
  <c r="P137" i="13" s="1"/>
  <c r="W15" i="4"/>
  <c r="Y15" i="4"/>
  <c r="V69" i="4"/>
  <c r="M157" i="13"/>
  <c r="L157" i="13"/>
  <c r="M77" i="13"/>
  <c r="L77" i="13"/>
  <c r="S332" i="13"/>
  <c r="T332" i="13" s="1"/>
  <c r="S88" i="13"/>
  <c r="T88" i="13" s="1"/>
  <c r="AE89" i="4"/>
  <c r="AC89" i="4"/>
  <c r="L86" i="13"/>
  <c r="M86" i="13"/>
  <c r="Q338" i="13"/>
  <c r="R338" i="13" s="1"/>
  <c r="Q94" i="13"/>
  <c r="R94" i="13" s="1"/>
  <c r="AB95" i="4"/>
  <c r="Z95" i="4"/>
  <c r="O344" i="13"/>
  <c r="P344" i="13" s="1"/>
  <c r="O100" i="13"/>
  <c r="P100" i="13" s="1"/>
  <c r="Y101" i="4"/>
  <c r="W101" i="4"/>
  <c r="AB262" i="4"/>
  <c r="Y263" i="4"/>
  <c r="Z263" i="4" s="1"/>
  <c r="Z262" i="4"/>
  <c r="AB66" i="4"/>
  <c r="Z66" i="4"/>
  <c r="O146" i="13"/>
  <c r="P146" i="13" s="1"/>
  <c r="Y24" i="4"/>
  <c r="W24" i="4"/>
  <c r="AF206" i="4"/>
  <c r="AH206" i="4"/>
  <c r="O362" i="13"/>
  <c r="P362" i="13" s="1"/>
  <c r="O118" i="13"/>
  <c r="P118" i="13" s="1"/>
  <c r="W119" i="4"/>
  <c r="Y119" i="4"/>
  <c r="Q179" i="13" s="1"/>
  <c r="AC54" i="4"/>
  <c r="AE54" i="4"/>
  <c r="AK40" i="4"/>
  <c r="AI40" i="4"/>
  <c r="O361" i="13"/>
  <c r="P361" i="13" s="1"/>
  <c r="O117" i="13"/>
  <c r="P117" i="13" s="1"/>
  <c r="W118" i="4"/>
  <c r="Y118" i="4"/>
  <c r="W145" i="4"/>
  <c r="Y145" i="4"/>
  <c r="V194" i="4"/>
  <c r="W194" i="4" s="1"/>
  <c r="M358" i="13"/>
  <c r="L358" i="13"/>
  <c r="Q255" i="4"/>
  <c r="S255" i="4"/>
  <c r="Q366" i="13"/>
  <c r="R366" i="13" s="1"/>
  <c r="Q122" i="13"/>
  <c r="R122" i="13" s="1"/>
  <c r="Z123" i="4"/>
  <c r="AB123" i="4"/>
  <c r="W166" i="4"/>
  <c r="Y166" i="4"/>
  <c r="Y129" i="4"/>
  <c r="W129" i="4"/>
  <c r="Z178" i="4"/>
  <c r="AB178" i="4"/>
  <c r="M337" i="13"/>
  <c r="L337" i="13"/>
  <c r="O326" i="13"/>
  <c r="P326" i="13" s="1"/>
  <c r="O82" i="13"/>
  <c r="P82" i="13" s="1"/>
  <c r="W83" i="4"/>
  <c r="Y83" i="4"/>
  <c r="L101" i="13"/>
  <c r="M101" i="13"/>
  <c r="AK220" i="4"/>
  <c r="AI220" i="4"/>
  <c r="Q155" i="13"/>
  <c r="R155" i="13" s="1"/>
  <c r="AB33" i="4"/>
  <c r="Z33" i="4"/>
  <c r="Q180" i="13"/>
  <c r="R180" i="13" s="1"/>
  <c r="AB58" i="4"/>
  <c r="Z58" i="4"/>
  <c r="M351" i="13"/>
  <c r="L351" i="13"/>
  <c r="L137" i="13"/>
  <c r="M137" i="13"/>
  <c r="L107" i="13"/>
  <c r="M107" i="13"/>
  <c r="O184" i="13"/>
  <c r="P184" i="13" s="1"/>
  <c r="Y62" i="4"/>
  <c r="W62" i="4"/>
  <c r="Z127" i="4"/>
  <c r="AB127" i="4"/>
  <c r="L100" i="13"/>
  <c r="M100" i="13"/>
  <c r="Q364" i="13"/>
  <c r="R364" i="13" s="1"/>
  <c r="Q120" i="13"/>
  <c r="R120" i="13" s="1"/>
  <c r="AB121" i="4"/>
  <c r="Z121" i="4"/>
  <c r="Q181" i="13"/>
  <c r="R181" i="13" s="1"/>
  <c r="L117" i="13"/>
  <c r="M117" i="13"/>
  <c r="O158" i="13"/>
  <c r="P158" i="13" s="1"/>
  <c r="W36" i="4"/>
  <c r="Y36" i="4"/>
  <c r="Z162" i="4"/>
  <c r="AB162" i="4"/>
  <c r="O183" i="13"/>
  <c r="P183" i="13" s="1"/>
  <c r="Y61" i="4"/>
  <c r="W61" i="4"/>
  <c r="AB177" i="4"/>
  <c r="Z177" i="4"/>
  <c r="O159" i="13"/>
  <c r="P159" i="13" s="1"/>
  <c r="W37" i="4"/>
  <c r="Y37" i="4"/>
  <c r="O153" i="13"/>
  <c r="P153" i="13" s="1"/>
  <c r="W31" i="4"/>
  <c r="Y31" i="4"/>
  <c r="L345" i="13"/>
  <c r="M345" i="13"/>
  <c r="Z184" i="4"/>
  <c r="AB184" i="4"/>
  <c r="Q333" i="13"/>
  <c r="R333" i="13" s="1"/>
  <c r="Q89" i="13"/>
  <c r="R89" i="13" s="1"/>
  <c r="AB90" i="4"/>
  <c r="Z90" i="4"/>
  <c r="Q150" i="13"/>
  <c r="R150" i="13" s="1"/>
  <c r="AB57" i="4"/>
  <c r="Z57" i="4"/>
  <c r="O340" i="13"/>
  <c r="P340" i="13" s="1"/>
  <c r="O96" i="13"/>
  <c r="P96" i="13" s="1"/>
  <c r="W97" i="4"/>
  <c r="Y97" i="4"/>
  <c r="O157" i="13"/>
  <c r="P157" i="13" s="1"/>
  <c r="Z23" i="4"/>
  <c r="AB23" i="4"/>
  <c r="M346" i="13"/>
  <c r="L346" i="13"/>
  <c r="L357" i="13"/>
  <c r="M357" i="13"/>
  <c r="I13" i="1"/>
  <c r="G12" i="2"/>
  <c r="AH59" i="4"/>
  <c r="AF59" i="4"/>
  <c r="AH221" i="4"/>
  <c r="AF221" i="4"/>
  <c r="M344" i="13"/>
  <c r="L344" i="13"/>
  <c r="M146" i="13"/>
  <c r="L146" i="13"/>
  <c r="M118" i="13"/>
  <c r="L118" i="13"/>
  <c r="AC153" i="4"/>
  <c r="AE153" i="4"/>
  <c r="L361" i="13"/>
  <c r="M361" i="13"/>
  <c r="AE64" i="4"/>
  <c r="AC64" i="4"/>
  <c r="O154" i="13"/>
  <c r="P154" i="13" s="1"/>
  <c r="Y32" i="4"/>
  <c r="W32" i="4"/>
  <c r="L163" i="13"/>
  <c r="M163" i="13"/>
  <c r="Z29" i="4"/>
  <c r="AB29" i="4"/>
  <c r="O171" i="13"/>
  <c r="P171" i="13" s="1"/>
  <c r="Y49" i="4"/>
  <c r="W49" i="4"/>
  <c r="AC41" i="4"/>
  <c r="AE41" i="4"/>
  <c r="O329" i="13"/>
  <c r="P329" i="13" s="1"/>
  <c r="O85" i="13"/>
  <c r="P85" i="13" s="1"/>
  <c r="W86" i="4"/>
  <c r="Y86" i="4"/>
  <c r="L158" i="13"/>
  <c r="M158" i="13"/>
  <c r="O325" i="13"/>
  <c r="P325" i="13" s="1"/>
  <c r="O81" i="13"/>
  <c r="P81" i="13" s="1"/>
  <c r="W82" i="4"/>
  <c r="Y82" i="4"/>
  <c r="O142" i="13"/>
  <c r="P142" i="13" s="1"/>
  <c r="M183" i="13"/>
  <c r="L183" i="13"/>
  <c r="L110" i="13"/>
  <c r="M110" i="13"/>
  <c r="S324" i="13"/>
  <c r="T324" i="13" s="1"/>
  <c r="S80" i="13"/>
  <c r="T80" i="13" s="1"/>
  <c r="AC81" i="4"/>
  <c r="AE81" i="4"/>
  <c r="S141" i="13"/>
  <c r="T141" i="13" s="1"/>
  <c r="O353" i="13"/>
  <c r="P353" i="13" s="1"/>
  <c r="O109" i="13"/>
  <c r="P109" i="13" s="1"/>
  <c r="W110" i="4"/>
  <c r="Y110" i="4"/>
  <c r="Q169" i="13"/>
  <c r="R169" i="13" s="1"/>
  <c r="Z47" i="4"/>
  <c r="AB47" i="4"/>
  <c r="D25" i="2"/>
  <c r="D23" i="2"/>
  <c r="G15" i="30"/>
  <c r="L82" i="13"/>
  <c r="M82" i="13"/>
  <c r="L182" i="13"/>
  <c r="M182" i="13"/>
  <c r="U352" i="13"/>
  <c r="V352" i="13" s="1"/>
  <c r="U108" i="13"/>
  <c r="V108" i="13" s="1"/>
  <c r="AH109" i="4"/>
  <c r="W352" i="13" s="1"/>
  <c r="AF109" i="4"/>
  <c r="O179" i="13"/>
  <c r="P179" i="13" s="1"/>
  <c r="AC232" i="4"/>
  <c r="AE232" i="4"/>
  <c r="M96" i="13"/>
  <c r="L96" i="13"/>
  <c r="M138" i="13"/>
  <c r="L138" i="13"/>
  <c r="M147" i="13"/>
  <c r="L147" i="13"/>
  <c r="Q167" i="13"/>
  <c r="R167" i="13" s="1"/>
  <c r="AB45" i="4"/>
  <c r="Z45" i="4"/>
  <c r="AC65" i="4"/>
  <c r="AE65" i="4"/>
  <c r="M93" i="13"/>
  <c r="L93" i="13"/>
  <c r="L184" i="13"/>
  <c r="M184" i="13"/>
  <c r="Z48" i="4"/>
  <c r="AB48" i="4"/>
  <c r="M362" i="13"/>
  <c r="L362" i="13"/>
  <c r="O178" i="13"/>
  <c r="P178" i="13" s="1"/>
  <c r="W56" i="4"/>
  <c r="Y56" i="4"/>
  <c r="O152" i="13"/>
  <c r="P152" i="13" s="1"/>
  <c r="Y30" i="4"/>
  <c r="W30" i="4"/>
  <c r="L154" i="13"/>
  <c r="M154" i="13"/>
  <c r="O346" i="13"/>
  <c r="P346" i="13" s="1"/>
  <c r="O102" i="13"/>
  <c r="P102" i="13" s="1"/>
  <c r="W103" i="4"/>
  <c r="Y103" i="4"/>
  <c r="O163" i="13"/>
  <c r="P163" i="13" s="1"/>
  <c r="M175" i="13"/>
  <c r="L175" i="13"/>
  <c r="AB159" i="4"/>
  <c r="Z159" i="4"/>
  <c r="M81" i="13"/>
  <c r="L81" i="13"/>
  <c r="O143" i="13"/>
  <c r="P143" i="13" s="1"/>
  <c r="Y21" i="4"/>
  <c r="W21" i="4"/>
  <c r="L354" i="13"/>
  <c r="M354" i="13"/>
  <c r="O341" i="13"/>
  <c r="P341" i="13" s="1"/>
  <c r="O97" i="13"/>
  <c r="P97" i="13" s="1"/>
  <c r="W98" i="4"/>
  <c r="Y98" i="4"/>
  <c r="L326" i="13"/>
  <c r="M326" i="13"/>
  <c r="AB52" i="4"/>
  <c r="Z52" i="4"/>
  <c r="O365" i="13"/>
  <c r="P365" i="13" s="1"/>
  <c r="O121" i="13"/>
  <c r="P121" i="13" s="1"/>
  <c r="W122" i="4"/>
  <c r="Y122" i="4"/>
  <c r="O182" i="13"/>
  <c r="P182" i="13" s="1"/>
  <c r="M340" i="13"/>
  <c r="L340" i="13"/>
  <c r="O149" i="13"/>
  <c r="P149" i="13" s="1"/>
  <c r="W27" i="4"/>
  <c r="Y27" i="4"/>
  <c r="Z171" i="4"/>
  <c r="AB171" i="4"/>
  <c r="O354" i="13"/>
  <c r="P354" i="13" s="1"/>
  <c r="O110" i="13"/>
  <c r="P110" i="13" s="1"/>
  <c r="W111" i="4"/>
  <c r="Y111" i="4"/>
  <c r="AC250" i="4"/>
  <c r="AE250" i="4"/>
  <c r="Q322" i="13"/>
  <c r="R322" i="13" s="1"/>
  <c r="Q78" i="13"/>
  <c r="R78" i="13" s="1"/>
  <c r="Z79" i="4"/>
  <c r="AB79" i="4"/>
  <c r="Q139" i="13"/>
  <c r="R139" i="13" s="1"/>
  <c r="O161" i="13"/>
  <c r="P161" i="13" s="1"/>
  <c r="Y39" i="4"/>
  <c r="W39" i="4"/>
  <c r="Q355" i="13"/>
  <c r="R355" i="13" s="1"/>
  <c r="Q111" i="13"/>
  <c r="R111" i="13" s="1"/>
  <c r="AB112" i="4"/>
  <c r="Z112" i="4"/>
  <c r="Q172" i="13"/>
  <c r="R172" i="13" s="1"/>
  <c r="AF187" i="4"/>
  <c r="AH187" i="4"/>
  <c r="AE130" i="4"/>
  <c r="AC130" i="4"/>
  <c r="Z170" i="4"/>
  <c r="AB170" i="4"/>
  <c r="S331" i="13"/>
  <c r="T331" i="13" s="1"/>
  <c r="S87" i="13"/>
  <c r="T87" i="13" s="1"/>
  <c r="AE88" i="4"/>
  <c r="AC88" i="4"/>
  <c r="AB245" i="4"/>
  <c r="Z245" i="4"/>
  <c r="V255" i="4"/>
  <c r="W255" i="4" s="1"/>
  <c r="Y201" i="4"/>
  <c r="W201" i="4"/>
  <c r="L325" i="13"/>
  <c r="M325" i="13"/>
  <c r="O165" i="13"/>
  <c r="P165" i="13" s="1"/>
  <c r="Y43" i="4"/>
  <c r="W43" i="4"/>
  <c r="M159" i="13"/>
  <c r="L159" i="13"/>
  <c r="Z185" i="4"/>
  <c r="AB185" i="4"/>
  <c r="S69" i="4"/>
  <c r="Q69" i="4"/>
  <c r="L153" i="13"/>
  <c r="M153" i="13"/>
  <c r="L162" i="13"/>
  <c r="M162" i="13"/>
  <c r="O174" i="13"/>
  <c r="P174" i="13" s="1"/>
  <c r="O321" i="13"/>
  <c r="P321" i="13" s="1"/>
  <c r="O77" i="13"/>
  <c r="P77" i="13" s="1"/>
  <c r="Y78" i="4"/>
  <c r="W78" i="4"/>
  <c r="D247" i="18"/>
  <c r="O138" i="13"/>
  <c r="P138" i="13" s="1"/>
  <c r="O351" i="13"/>
  <c r="P351" i="13" s="1"/>
  <c r="O107" i="13"/>
  <c r="P107" i="13" s="1"/>
  <c r="W108" i="4"/>
  <c r="Y108" i="4"/>
  <c r="M149" i="13"/>
  <c r="L149" i="13"/>
  <c r="AI189" i="4"/>
  <c r="AK189" i="4"/>
  <c r="AI167" i="4"/>
  <c r="AK167" i="4"/>
  <c r="AI192" i="4"/>
  <c r="AK192" i="4"/>
  <c r="Y59" i="5"/>
  <c r="P243" i="13"/>
  <c r="O427" i="13"/>
  <c r="P427" i="13" s="1"/>
  <c r="Y53" i="5"/>
  <c r="O421" i="13"/>
  <c r="O423" i="13"/>
  <c r="Q398" i="13"/>
  <c r="R398" i="13" s="1"/>
  <c r="AD30" i="5"/>
  <c r="R214" i="13"/>
  <c r="AN105" i="5"/>
  <c r="AR105" i="5"/>
  <c r="M237" i="13"/>
  <c r="AU211" i="5"/>
  <c r="AS211" i="5"/>
  <c r="X51" i="5"/>
  <c r="O235" i="13" s="1"/>
  <c r="X27" i="5"/>
  <c r="O211" i="13" s="1"/>
  <c r="K419" i="13"/>
  <c r="X28" i="5"/>
  <c r="O212" i="13" s="1"/>
  <c r="AC90" i="5"/>
  <c r="Y90" i="5"/>
  <c r="X207" i="5"/>
  <c r="S207" i="5"/>
  <c r="Q207" i="5"/>
  <c r="S231" i="5"/>
  <c r="X231" i="5"/>
  <c r="Q231" i="5"/>
  <c r="X61" i="5"/>
  <c r="O245" i="13" s="1"/>
  <c r="X172" i="5"/>
  <c r="Q172" i="5"/>
  <c r="S172" i="5"/>
  <c r="I413" i="13"/>
  <c r="J413" i="13" s="1"/>
  <c r="J229" i="13"/>
  <c r="K229" i="13"/>
  <c r="L229" i="13" s="1"/>
  <c r="AH228" i="5"/>
  <c r="AD228" i="5"/>
  <c r="AC77" i="5"/>
  <c r="Y77" i="5"/>
  <c r="AM96" i="5"/>
  <c r="AI96" i="5"/>
  <c r="AN121" i="5"/>
  <c r="AR121" i="5"/>
  <c r="O392" i="13"/>
  <c r="Y145" i="5"/>
  <c r="AC145" i="5"/>
  <c r="Q182" i="5"/>
  <c r="X182" i="5"/>
  <c r="S182" i="5"/>
  <c r="X158" i="5"/>
  <c r="S158" i="5"/>
  <c r="Q158" i="5"/>
  <c r="O408" i="13"/>
  <c r="AC38" i="5"/>
  <c r="Q222" i="13" s="1"/>
  <c r="Y56" i="5"/>
  <c r="O424" i="13"/>
  <c r="X67" i="5"/>
  <c r="AC85" i="5"/>
  <c r="Y85" i="5"/>
  <c r="Q161" i="5"/>
  <c r="X161" i="5"/>
  <c r="S161" i="5"/>
  <c r="O410" i="13"/>
  <c r="AC25" i="5"/>
  <c r="Q209" i="13" s="1"/>
  <c r="O400" i="13"/>
  <c r="Y20" i="5"/>
  <c r="O388" i="13"/>
  <c r="X44" i="5"/>
  <c r="O228" i="13" s="1"/>
  <c r="K418" i="13"/>
  <c r="P234" i="13"/>
  <c r="Y170" i="5"/>
  <c r="AC170" i="5"/>
  <c r="Y152" i="5"/>
  <c r="AC152" i="5"/>
  <c r="AC93" i="5"/>
  <c r="Y93" i="5"/>
  <c r="I402" i="13"/>
  <c r="J402" i="13" s="1"/>
  <c r="J218" i="13"/>
  <c r="K218" i="13"/>
  <c r="L218" i="13" s="1"/>
  <c r="X36" i="5"/>
  <c r="O220" i="13" s="1"/>
  <c r="Y98" i="5"/>
  <c r="AC98" i="5"/>
  <c r="Y50" i="5"/>
  <c r="X165" i="5"/>
  <c r="X41" i="5" s="1"/>
  <c r="O225" i="13" s="1"/>
  <c r="Q165" i="5"/>
  <c r="S165" i="5"/>
  <c r="X157" i="5"/>
  <c r="X33" i="5" s="1"/>
  <c r="O217" i="13" s="1"/>
  <c r="S157" i="5"/>
  <c r="Q157" i="5"/>
  <c r="S140" i="5"/>
  <c r="Q140" i="5"/>
  <c r="X140" i="5"/>
  <c r="X16" i="5" s="1"/>
  <c r="O200" i="13" s="1"/>
  <c r="AC89" i="5"/>
  <c r="Y89" i="5"/>
  <c r="AC118" i="5"/>
  <c r="AC56" i="5" s="1"/>
  <c r="Q240" i="13" s="1"/>
  <c r="Y118" i="5"/>
  <c r="M68" i="5"/>
  <c r="X176" i="5"/>
  <c r="Q176" i="5"/>
  <c r="S176" i="5"/>
  <c r="AC185" i="5"/>
  <c r="Y185" i="5"/>
  <c r="I390" i="13"/>
  <c r="J390" i="13" s="1"/>
  <c r="K206" i="13"/>
  <c r="L206" i="13" s="1"/>
  <c r="J206" i="13"/>
  <c r="Y223" i="5"/>
  <c r="AC223" i="5"/>
  <c r="Y232" i="5"/>
  <c r="AC232" i="5"/>
  <c r="AD180" i="5"/>
  <c r="AH180" i="5"/>
  <c r="K398" i="13"/>
  <c r="Y144" i="5"/>
  <c r="AC144" i="5"/>
  <c r="AC20" i="5" s="1"/>
  <c r="Q204" i="13" s="1"/>
  <c r="Y190" i="5"/>
  <c r="AC190" i="5"/>
  <c r="I408" i="13"/>
  <c r="J408" i="13" s="1"/>
  <c r="K224" i="13"/>
  <c r="L224" i="13" s="1"/>
  <c r="J224" i="13"/>
  <c r="K416" i="13"/>
  <c r="Y169" i="5"/>
  <c r="AC169" i="5"/>
  <c r="AC250" i="5"/>
  <c r="Y250" i="5"/>
  <c r="AC247" i="5"/>
  <c r="Y247" i="5"/>
  <c r="I422" i="13"/>
  <c r="J422" i="13" s="1"/>
  <c r="J238" i="13"/>
  <c r="K238" i="13"/>
  <c r="L238" i="13" s="1"/>
  <c r="K230" i="13"/>
  <c r="L230" i="13" s="1"/>
  <c r="J230" i="13"/>
  <c r="I414" i="13"/>
  <c r="J414" i="13" s="1"/>
  <c r="Y95" i="5"/>
  <c r="AC95" i="5"/>
  <c r="Y205" i="5"/>
  <c r="AC205" i="5"/>
  <c r="Q178" i="5"/>
  <c r="S178" i="5"/>
  <c r="X178" i="5"/>
  <c r="X54" i="5" s="1"/>
  <c r="O238" i="13" s="1"/>
  <c r="AC88" i="5"/>
  <c r="Y88" i="5"/>
  <c r="Y202" i="5"/>
  <c r="AC202" i="5"/>
  <c r="K393" i="13"/>
  <c r="I392" i="13"/>
  <c r="J392" i="13" s="1"/>
  <c r="K208" i="13"/>
  <c r="L208" i="13" s="1"/>
  <c r="J208" i="13"/>
  <c r="AS294" i="5"/>
  <c r="AU294" i="5"/>
  <c r="Y142" i="5"/>
  <c r="AC142" i="5"/>
  <c r="AD208" i="5"/>
  <c r="AH208" i="5"/>
  <c r="X189" i="5"/>
  <c r="X65" i="5" s="1"/>
  <c r="S189" i="5"/>
  <c r="Q189" i="5"/>
  <c r="P254" i="5"/>
  <c r="S254" i="5" s="1"/>
  <c r="X150" i="5"/>
  <c r="X26" i="5" s="1"/>
  <c r="O210" i="13" s="1"/>
  <c r="S150" i="5"/>
  <c r="Q150" i="5"/>
  <c r="X159" i="5"/>
  <c r="X35" i="5" s="1"/>
  <c r="O219" i="13" s="1"/>
  <c r="Q159" i="5"/>
  <c r="S159" i="5"/>
  <c r="AI109" i="5"/>
  <c r="AM109" i="5"/>
  <c r="J219" i="13"/>
  <c r="K219" i="13"/>
  <c r="L219" i="13" s="1"/>
  <c r="I403" i="13"/>
  <c r="J403" i="13" s="1"/>
  <c r="H226" i="13"/>
  <c r="AC108" i="5"/>
  <c r="Y108" i="5"/>
  <c r="AD177" i="5"/>
  <c r="AH177" i="5"/>
  <c r="N254" i="5"/>
  <c r="G33" i="1"/>
  <c r="F13" i="2" s="1"/>
  <c r="AD183" i="5"/>
  <c r="AH183" i="5"/>
  <c r="AU277" i="5"/>
  <c r="AS277" i="5"/>
  <c r="M202" i="13"/>
  <c r="AI148" i="5"/>
  <c r="AM148" i="5"/>
  <c r="I387" i="13"/>
  <c r="J387" i="13" s="1"/>
  <c r="K203" i="13"/>
  <c r="L203" i="13" s="1"/>
  <c r="J203" i="13"/>
  <c r="I410" i="13"/>
  <c r="J410" i="13" s="1"/>
  <c r="K226" i="13"/>
  <c r="L226" i="13" s="1"/>
  <c r="J226" i="13"/>
  <c r="AC127" i="5"/>
  <c r="Y127" i="5"/>
  <c r="AU291" i="5"/>
  <c r="AS291" i="5"/>
  <c r="Y191" i="5"/>
  <c r="AC191" i="5"/>
  <c r="K429" i="13"/>
  <c r="Q200" i="5"/>
  <c r="X200" i="5"/>
  <c r="S200" i="5"/>
  <c r="Y221" i="5"/>
  <c r="AC221" i="5"/>
  <c r="AC203" i="5"/>
  <c r="Y203" i="5"/>
  <c r="Y166" i="5"/>
  <c r="AC166" i="5"/>
  <c r="Y175" i="5"/>
  <c r="AC175" i="5"/>
  <c r="Q143" i="5"/>
  <c r="X143" i="5"/>
  <c r="X19" i="5" s="1"/>
  <c r="O203" i="13" s="1"/>
  <c r="S143" i="5"/>
  <c r="AD149" i="5"/>
  <c r="AH149" i="5"/>
  <c r="AC210" i="5"/>
  <c r="AC24" i="5" s="1"/>
  <c r="Q208" i="13" s="1"/>
  <c r="Y210" i="5"/>
  <c r="Y141" i="5"/>
  <c r="AC141" i="5"/>
  <c r="I425" i="13"/>
  <c r="J425" i="13" s="1"/>
  <c r="J241" i="13"/>
  <c r="K241" i="13"/>
  <c r="L241" i="13" s="1"/>
  <c r="AC78" i="5"/>
  <c r="Y78" i="5"/>
  <c r="AC219" i="5"/>
  <c r="Y219" i="5"/>
  <c r="Y186" i="5"/>
  <c r="AC186" i="5"/>
  <c r="Y124" i="5"/>
  <c r="AC124" i="5"/>
  <c r="AH122" i="5"/>
  <c r="AD122" i="5"/>
  <c r="AH81" i="5"/>
  <c r="AD81" i="5"/>
  <c r="AR309" i="5"/>
  <c r="AN309" i="5"/>
  <c r="X217" i="5"/>
  <c r="S217" i="5"/>
  <c r="Q217" i="5"/>
  <c r="Y168" i="5"/>
  <c r="AC168" i="5"/>
  <c r="Y251" i="5"/>
  <c r="AC251" i="5"/>
  <c r="X155" i="5"/>
  <c r="Q155" i="5"/>
  <c r="S155" i="5"/>
  <c r="AH82" i="5"/>
  <c r="AD82" i="5"/>
  <c r="K417" i="13"/>
  <c r="AH110" i="5"/>
  <c r="AD110" i="5"/>
  <c r="AD171" i="5"/>
  <c r="AH171" i="5"/>
  <c r="AH224" i="5"/>
  <c r="AD224" i="5"/>
  <c r="AH115" i="5"/>
  <c r="AD115" i="5"/>
  <c r="M210" i="13"/>
  <c r="AH160" i="5"/>
  <c r="AD160" i="5"/>
  <c r="Y240" i="5"/>
  <c r="AC240" i="5"/>
  <c r="AR164" i="5"/>
  <c r="AN164" i="5"/>
  <c r="AC84" i="5"/>
  <c r="Y84" i="5"/>
  <c r="K424" i="13"/>
  <c r="I407" i="13"/>
  <c r="J407" i="13" s="1"/>
  <c r="K223" i="13"/>
  <c r="L223" i="13" s="1"/>
  <c r="J223" i="13"/>
  <c r="Y218" i="5"/>
  <c r="AC218" i="5"/>
  <c r="AC32" i="5" s="1"/>
  <c r="Q216" i="13" s="1"/>
  <c r="H39" i="1"/>
  <c r="H33" i="1" s="1"/>
  <c r="N192" i="5"/>
  <c r="S201" i="5"/>
  <c r="X201" i="5"/>
  <c r="Q201" i="5"/>
  <c r="AD212" i="5"/>
  <c r="AH212" i="5"/>
  <c r="AC252" i="5"/>
  <c r="AC64" i="5" s="1"/>
  <c r="Y252" i="5"/>
  <c r="AD116" i="5"/>
  <c r="AH116" i="5"/>
  <c r="X225" i="5"/>
  <c r="S225" i="5"/>
  <c r="Q225" i="5"/>
  <c r="AD179" i="5"/>
  <c r="AH179" i="5"/>
  <c r="AH107" i="5"/>
  <c r="AD107" i="5"/>
  <c r="AH154" i="5"/>
  <c r="AH30" i="5" s="1"/>
  <c r="S214" i="13" s="1"/>
  <c r="AD154" i="5"/>
  <c r="I415" i="13"/>
  <c r="J415" i="13" s="1"/>
  <c r="J231" i="13"/>
  <c r="K231" i="13"/>
  <c r="L231" i="13" s="1"/>
  <c r="AH87" i="5"/>
  <c r="AD87" i="5"/>
  <c r="AM216" i="5"/>
  <c r="AI216" i="5"/>
  <c r="S209" i="5"/>
  <c r="Q209" i="5"/>
  <c r="X209" i="5"/>
  <c r="AH128" i="5"/>
  <c r="AD128" i="5"/>
  <c r="AC213" i="5"/>
  <c r="Y213" i="5"/>
  <c r="X138" i="5"/>
  <c r="X14" i="5" s="1"/>
  <c r="Q138" i="5"/>
  <c r="S138" i="5"/>
  <c r="P192" i="5"/>
  <c r="AC119" i="5"/>
  <c r="Y119" i="5"/>
  <c r="Q233" i="5"/>
  <c r="X233" i="5"/>
  <c r="X47" i="5" s="1"/>
  <c r="O231" i="13" s="1"/>
  <c r="S233" i="5"/>
  <c r="Y220" i="5"/>
  <c r="AC220" i="5"/>
  <c r="S147" i="5"/>
  <c r="Q147" i="5"/>
  <c r="X147" i="5"/>
  <c r="AD167" i="5"/>
  <c r="AH167" i="5"/>
  <c r="AH125" i="5"/>
  <c r="AD125" i="5"/>
  <c r="Y234" i="5"/>
  <c r="AC234" i="5"/>
  <c r="Y241" i="5"/>
  <c r="AC241" i="5"/>
  <c r="AC55" i="5" s="1"/>
  <c r="Q239" i="13" s="1"/>
  <c r="AU298" i="5"/>
  <c r="AS298" i="5"/>
  <c r="AD162" i="5"/>
  <c r="AH162" i="5"/>
  <c r="I399" i="13"/>
  <c r="J399" i="13" s="1"/>
  <c r="K215" i="13"/>
  <c r="L215" i="13" s="1"/>
  <c r="J215" i="13"/>
  <c r="AI206" i="5"/>
  <c r="AM206" i="5"/>
  <c r="Y239" i="5"/>
  <c r="AC239" i="5"/>
  <c r="AC53" i="5" s="1"/>
  <c r="Q237" i="13" s="1"/>
  <c r="AU311" i="5"/>
  <c r="AS311" i="5"/>
  <c r="AH91" i="5"/>
  <c r="AD91" i="5"/>
  <c r="Q139" i="5"/>
  <c r="X139" i="5"/>
  <c r="S139" i="5"/>
  <c r="AD126" i="5"/>
  <c r="AH126" i="5"/>
  <c r="AC106" i="5"/>
  <c r="Y106" i="5"/>
  <c r="I423" i="13"/>
  <c r="J423" i="13" s="1"/>
  <c r="J239" i="13"/>
  <c r="K239" i="13"/>
  <c r="L239" i="13" s="1"/>
  <c r="K405" i="13"/>
  <c r="X181" i="5"/>
  <c r="X57" i="5" s="1"/>
  <c r="O241" i="13" s="1"/>
  <c r="Q181" i="5"/>
  <c r="S181" i="5"/>
  <c r="Y184" i="5"/>
  <c r="AC184" i="5"/>
  <c r="I383" i="13"/>
  <c r="J383" i="13" s="1"/>
  <c r="K199" i="13"/>
  <c r="L199" i="13" s="1"/>
  <c r="J199" i="13"/>
  <c r="AN215" i="5"/>
  <c r="AR215" i="5"/>
  <c r="Q130" i="5"/>
  <c r="S130" i="5"/>
  <c r="I35" i="1"/>
  <c r="X130" i="5"/>
  <c r="I412" i="13"/>
  <c r="J412" i="13" s="1"/>
  <c r="J228" i="13"/>
  <c r="K228" i="13"/>
  <c r="L228" i="13" s="1"/>
  <c r="S246" i="5"/>
  <c r="Q246" i="5"/>
  <c r="X246" i="5"/>
  <c r="X60" i="5" s="1"/>
  <c r="O244" i="13" s="1"/>
  <c r="M427" i="13"/>
  <c r="Y245" i="5"/>
  <c r="AC245" i="5"/>
  <c r="AC59" i="5" s="1"/>
  <c r="Q243" i="13" s="1"/>
  <c r="K397" i="13"/>
  <c r="AU282" i="5"/>
  <c r="AS282" i="5"/>
  <c r="AD248" i="5"/>
  <c r="AH248" i="5"/>
  <c r="Y222" i="5"/>
  <c r="AC222" i="5"/>
  <c r="AC230" i="5"/>
  <c r="Y230" i="5"/>
  <c r="I396" i="13"/>
  <c r="J396" i="13" s="1"/>
  <c r="K212" i="13"/>
  <c r="L212" i="13" s="1"/>
  <c r="J212" i="13"/>
  <c r="K391" i="13"/>
  <c r="AH236" i="5"/>
  <c r="AD236" i="5"/>
  <c r="AS264" i="5"/>
  <c r="AU264" i="5"/>
  <c r="K388" i="13"/>
  <c r="M243" i="13"/>
  <c r="AU295" i="5"/>
  <c r="AS295" i="5"/>
  <c r="AU312" i="5"/>
  <c r="AS312" i="5"/>
  <c r="K382" i="13"/>
  <c r="Q14" i="5"/>
  <c r="S14" i="5"/>
  <c r="AS313" i="5"/>
  <c r="AU313" i="5"/>
  <c r="Y253" i="5"/>
  <c r="AC253" i="5"/>
  <c r="AM242" i="5"/>
  <c r="AI242" i="5"/>
  <c r="AS270" i="5"/>
  <c r="AU270" i="5"/>
  <c r="K420" i="13"/>
  <c r="AD226" i="5"/>
  <c r="AH226" i="5"/>
  <c r="AS292" i="5"/>
  <c r="AU292" i="5"/>
  <c r="AN268" i="5"/>
  <c r="AR268" i="5"/>
  <c r="AN281" i="5"/>
  <c r="AR281" i="5"/>
  <c r="K385" i="13"/>
  <c r="AU308" i="5"/>
  <c r="AS308" i="5"/>
  <c r="AU266" i="5"/>
  <c r="AS266" i="5"/>
  <c r="AS300" i="5"/>
  <c r="AU300" i="5"/>
  <c r="AS310" i="5"/>
  <c r="AU310" i="5"/>
  <c r="P222" i="13"/>
  <c r="M222" i="13"/>
  <c r="AN287" i="5"/>
  <c r="AR287" i="5"/>
  <c r="AD235" i="5"/>
  <c r="AH235" i="5"/>
  <c r="AU275" i="5"/>
  <c r="AS275" i="5"/>
  <c r="AN305" i="5"/>
  <c r="AR305" i="5"/>
  <c r="AR262" i="5"/>
  <c r="AN262" i="5"/>
  <c r="AM315" i="5"/>
  <c r="AN315" i="5" s="1"/>
  <c r="AH227" i="5"/>
  <c r="AD227" i="5"/>
  <c r="AU276" i="5"/>
  <c r="AS276" i="5"/>
  <c r="AS306" i="5"/>
  <c r="AU306" i="5"/>
  <c r="AU269" i="5"/>
  <c r="AS269" i="5"/>
  <c r="K384" i="13"/>
  <c r="AS314" i="5"/>
  <c r="AU314" i="5"/>
  <c r="S249" i="5"/>
  <c r="Q249" i="5"/>
  <c r="X249" i="5"/>
  <c r="X63" i="5" s="1"/>
  <c r="O247" i="13" s="1"/>
  <c r="S238" i="5"/>
  <c r="Q238" i="5"/>
  <c r="X238" i="5"/>
  <c r="AU280" i="5"/>
  <c r="AS280" i="5"/>
  <c r="AS278" i="5"/>
  <c r="AU278" i="5"/>
  <c r="AD244" i="5"/>
  <c r="AH244" i="5"/>
  <c r="AN285" i="5"/>
  <c r="AR285" i="5"/>
  <c r="AC113" i="5"/>
  <c r="Y113" i="5"/>
  <c r="AU288" i="5"/>
  <c r="AS288" i="5"/>
  <c r="AU267" i="5"/>
  <c r="AS267" i="5"/>
  <c r="K428" i="13"/>
  <c r="AU296" i="5"/>
  <c r="AS296" i="5"/>
  <c r="K389" i="13"/>
  <c r="AD243" i="5"/>
  <c r="AH243" i="5"/>
  <c r="AC214" i="5"/>
  <c r="Y214" i="5"/>
  <c r="AU273" i="5"/>
  <c r="AS273" i="5"/>
  <c r="I404" i="13"/>
  <c r="J404" i="13" s="1"/>
  <c r="J220" i="13"/>
  <c r="K220" i="13"/>
  <c r="L220" i="13" s="1"/>
  <c r="K409" i="13"/>
  <c r="AR92" i="5"/>
  <c r="AN92" i="5"/>
  <c r="AR117" i="5"/>
  <c r="AN117" i="5"/>
  <c r="AR101" i="5"/>
  <c r="AN101" i="5"/>
  <c r="AR97" i="5"/>
  <c r="AN97" i="5"/>
  <c r="AU83" i="5"/>
  <c r="AS83" i="5"/>
  <c r="AS100" i="5"/>
  <c r="AU100" i="5"/>
  <c r="AR129" i="5"/>
  <c r="AN129" i="5"/>
  <c r="AU112" i="5"/>
  <c r="AS112" i="5"/>
  <c r="AB143" i="4" l="1"/>
  <c r="Z143" i="4"/>
  <c r="Z231" i="4"/>
  <c r="AB231" i="4"/>
  <c r="AB175" i="4"/>
  <c r="Z175" i="4"/>
  <c r="Z237" i="4"/>
  <c r="AB237" i="4"/>
  <c r="AD188" i="5"/>
  <c r="AH188" i="5"/>
  <c r="AH86" i="5"/>
  <c r="AD86" i="5"/>
  <c r="AH102" i="5"/>
  <c r="AD102" i="5"/>
  <c r="AH79" i="5"/>
  <c r="AD79" i="5"/>
  <c r="H40" i="22"/>
  <c r="H42" i="22" s="1"/>
  <c r="I42" i="22" s="1"/>
  <c r="J42" i="22" s="1"/>
  <c r="K42" i="22" s="1"/>
  <c r="L42" i="22" s="1"/>
  <c r="M42" i="22" s="1"/>
  <c r="N42" i="22" s="1"/>
  <c r="O42" i="22" s="1"/>
  <c r="P42" i="22" s="1"/>
  <c r="Q42" i="22" s="1"/>
  <c r="R42" i="22" s="1"/>
  <c r="S42" i="22" s="1"/>
  <c r="T42" i="22" s="1"/>
  <c r="U42" i="22" s="1"/>
  <c r="V42" i="22" s="1"/>
  <c r="W42" i="22" s="1"/>
  <c r="X42" i="22" s="1"/>
  <c r="Y42" i="22" s="1"/>
  <c r="Z42" i="22" s="1"/>
  <c r="AA42" i="22" s="1"/>
  <c r="AB42" i="22" s="1"/>
  <c r="H32" i="22"/>
  <c r="D34" i="22" s="1"/>
  <c r="C12" i="24" s="1"/>
  <c r="D36" i="22"/>
  <c r="D12" i="24" s="1"/>
  <c r="Y132" i="4"/>
  <c r="AC42" i="5"/>
  <c r="Q226" i="13" s="1"/>
  <c r="L394" i="13"/>
  <c r="L421" i="13"/>
  <c r="K400" i="13"/>
  <c r="M400" i="13" s="1"/>
  <c r="Y32" i="5"/>
  <c r="AM99" i="5"/>
  <c r="AI99" i="5"/>
  <c r="AI20" i="4"/>
  <c r="AK20" i="4"/>
  <c r="L406" i="13"/>
  <c r="AB117" i="4"/>
  <c r="AE117" i="4" s="1"/>
  <c r="AE93" i="4"/>
  <c r="AH93" i="4" s="1"/>
  <c r="W336" i="13" s="1"/>
  <c r="S119" i="13"/>
  <c r="T119" i="13" s="1"/>
  <c r="Z117" i="4"/>
  <c r="Q116" i="13"/>
  <c r="R116" i="13" s="1"/>
  <c r="Q360" i="13"/>
  <c r="R360" i="13" s="1"/>
  <c r="P406" i="13"/>
  <c r="M386" i="13"/>
  <c r="R334" i="13"/>
  <c r="J80" i="30"/>
  <c r="J92" i="30" s="1"/>
  <c r="I92" i="30"/>
  <c r="K430" i="13"/>
  <c r="AD43" i="5"/>
  <c r="Q227" i="13"/>
  <c r="R227" i="13" s="1"/>
  <c r="Y24" i="5"/>
  <c r="Y42" i="5"/>
  <c r="Y14" i="5"/>
  <c r="O198" i="13"/>
  <c r="Y17" i="5"/>
  <c r="O201" i="13"/>
  <c r="P201" i="13" s="1"/>
  <c r="Y18" i="5"/>
  <c r="O202" i="13"/>
  <c r="P202" i="13" s="1"/>
  <c r="Y40" i="5"/>
  <c r="Y62" i="5"/>
  <c r="O246" i="13"/>
  <c r="Y64" i="5"/>
  <c r="Y55" i="5"/>
  <c r="O414" i="13"/>
  <c r="O230" i="13"/>
  <c r="S363" i="13"/>
  <c r="T363" i="13" s="1"/>
  <c r="S92" i="13"/>
  <c r="T92" i="13" s="1"/>
  <c r="AE120" i="4"/>
  <c r="U119" i="13" s="1"/>
  <c r="Z223" i="4"/>
  <c r="AB223" i="4"/>
  <c r="AB215" i="4"/>
  <c r="Z215" i="4"/>
  <c r="AE241" i="4"/>
  <c r="AC241" i="4"/>
  <c r="AB218" i="4"/>
  <c r="Z218" i="4"/>
  <c r="AB165" i="4"/>
  <c r="Z165" i="4"/>
  <c r="AB141" i="4"/>
  <c r="Z141" i="4"/>
  <c r="AC186" i="4"/>
  <c r="AE186" i="4"/>
  <c r="Z157" i="4"/>
  <c r="AB157" i="4"/>
  <c r="AB174" i="4"/>
  <c r="Z174" i="4"/>
  <c r="T336" i="13"/>
  <c r="R343" i="13"/>
  <c r="AC93" i="4"/>
  <c r="Z91" i="4"/>
  <c r="AB91" i="4"/>
  <c r="S151" i="13" s="1"/>
  <c r="Q90" i="13"/>
  <c r="R90" i="13" s="1"/>
  <c r="Q151" i="13"/>
  <c r="R151" i="13" s="1"/>
  <c r="S104" i="13"/>
  <c r="T104" i="13" s="1"/>
  <c r="AE96" i="4"/>
  <c r="U95" i="13" s="1"/>
  <c r="AC96" i="4"/>
  <c r="S95" i="13"/>
  <c r="T95" i="13" s="1"/>
  <c r="Q160" i="13"/>
  <c r="R160" i="13" s="1"/>
  <c r="AB100" i="4"/>
  <c r="AC100" i="4" s="1"/>
  <c r="Z100" i="4"/>
  <c r="Q99" i="13"/>
  <c r="R99" i="13" s="1"/>
  <c r="S359" i="13"/>
  <c r="T359" i="13" s="1"/>
  <c r="AE116" i="4"/>
  <c r="U359" i="13" s="1"/>
  <c r="AC105" i="4"/>
  <c r="AE105" i="4"/>
  <c r="U348" i="13" s="1"/>
  <c r="V348" i="13" s="1"/>
  <c r="S176" i="13"/>
  <c r="T176" i="13" s="1"/>
  <c r="Z125" i="4"/>
  <c r="AB125" i="4"/>
  <c r="S185" i="13" s="1"/>
  <c r="T185" i="13" s="1"/>
  <c r="Q368" i="13"/>
  <c r="R368" i="13" s="1"/>
  <c r="Q124" i="13"/>
  <c r="R124" i="13" s="1"/>
  <c r="AC116" i="4"/>
  <c r="T115" i="13"/>
  <c r="AI321" i="6"/>
  <c r="AR103" i="5"/>
  <c r="AU103" i="5" s="1"/>
  <c r="Y66" i="5"/>
  <c r="AD151" i="5"/>
  <c r="AH151" i="5"/>
  <c r="AI94" i="5"/>
  <c r="AM94" i="5"/>
  <c r="O430" i="13"/>
  <c r="AD237" i="5"/>
  <c r="AH237" i="5"/>
  <c r="AM76" i="5"/>
  <c r="AI76" i="5"/>
  <c r="AH114" i="5"/>
  <c r="AD114" i="5"/>
  <c r="AD120" i="5"/>
  <c r="AH120" i="5"/>
  <c r="AH123" i="5"/>
  <c r="AD123" i="5"/>
  <c r="AD104" i="5"/>
  <c r="AH104" i="5"/>
  <c r="AC18" i="5"/>
  <c r="AD40" i="5"/>
  <c r="Z173" i="4"/>
  <c r="AB173" i="4"/>
  <c r="Z158" i="4"/>
  <c r="AB158" i="4"/>
  <c r="AE249" i="4"/>
  <c r="AC249" i="4"/>
  <c r="AC234" i="4"/>
  <c r="AE234" i="4"/>
  <c r="AC253" i="4"/>
  <c r="AE253" i="4"/>
  <c r="AC181" i="4"/>
  <c r="AE181" i="4"/>
  <c r="AC227" i="4"/>
  <c r="AE227" i="4"/>
  <c r="AI31" i="6"/>
  <c r="AI51" i="6"/>
  <c r="AK31" i="6"/>
  <c r="AK51" i="6"/>
  <c r="AK14" i="6"/>
  <c r="AI14" i="6"/>
  <c r="W15" i="13"/>
  <c r="Y15" i="13" s="1"/>
  <c r="AI19" i="6"/>
  <c r="W19" i="13"/>
  <c r="Y19" i="13" s="1"/>
  <c r="AK252" i="6"/>
  <c r="AI15" i="6"/>
  <c r="W32" i="13"/>
  <c r="AK32" i="6"/>
  <c r="AI32" i="6"/>
  <c r="W34" i="13"/>
  <c r="AI34" i="6"/>
  <c r="AK34" i="6"/>
  <c r="Y64" i="13"/>
  <c r="X64" i="13"/>
  <c r="W35" i="13"/>
  <c r="AI35" i="6"/>
  <c r="AK35" i="6"/>
  <c r="AK191" i="6"/>
  <c r="AI191" i="6"/>
  <c r="W47" i="13"/>
  <c r="AK47" i="6"/>
  <c r="AI47" i="6"/>
  <c r="W29" i="13"/>
  <c r="AK29" i="6"/>
  <c r="AI29" i="6"/>
  <c r="W42" i="13"/>
  <c r="AK42" i="6"/>
  <c r="AI42" i="6"/>
  <c r="Y14" i="13"/>
  <c r="X14" i="13"/>
  <c r="X21" i="13"/>
  <c r="Y21" i="13"/>
  <c r="W60" i="13"/>
  <c r="AK60" i="6"/>
  <c r="AI60" i="6"/>
  <c r="AI40" i="6"/>
  <c r="W40" i="13"/>
  <c r="AK40" i="6"/>
  <c r="W27" i="13"/>
  <c r="AI27" i="6"/>
  <c r="AK27" i="6"/>
  <c r="W44" i="13"/>
  <c r="AI44" i="6"/>
  <c r="AK44" i="6"/>
  <c r="Y31" i="13"/>
  <c r="X31" i="13"/>
  <c r="Y23" i="13"/>
  <c r="X23" i="13"/>
  <c r="W37" i="13"/>
  <c r="AI37" i="6"/>
  <c r="AK37" i="6"/>
  <c r="W65" i="13"/>
  <c r="AK65" i="6"/>
  <c r="AI65" i="6"/>
  <c r="X51" i="13"/>
  <c r="Y51" i="13"/>
  <c r="W43" i="13"/>
  <c r="AI43" i="6"/>
  <c r="AK43" i="6"/>
  <c r="W48" i="13"/>
  <c r="AK48" i="6"/>
  <c r="AI48" i="6"/>
  <c r="W67" i="13"/>
  <c r="AI67" i="6"/>
  <c r="AK67" i="6"/>
  <c r="Y39" i="13"/>
  <c r="X39" i="13"/>
  <c r="W58" i="13"/>
  <c r="AK58" i="6"/>
  <c r="AI58" i="6"/>
  <c r="W57" i="13"/>
  <c r="AK57" i="6"/>
  <c r="AI57" i="6"/>
  <c r="W61" i="13"/>
  <c r="AI61" i="6"/>
  <c r="AK61" i="6"/>
  <c r="Y55" i="13"/>
  <c r="X55" i="13"/>
  <c r="W22" i="13"/>
  <c r="AK22" i="6"/>
  <c r="AI22" i="6"/>
  <c r="W53" i="13"/>
  <c r="AK53" i="6"/>
  <c r="AI53" i="6"/>
  <c r="W17" i="13"/>
  <c r="AK17" i="6"/>
  <c r="AI17" i="6"/>
  <c r="W24" i="13"/>
  <c r="AI24" i="6"/>
  <c r="AK24" i="6"/>
  <c r="W52" i="13"/>
  <c r="AI52" i="6"/>
  <c r="AK52" i="6"/>
  <c r="W33" i="13"/>
  <c r="AI33" i="6"/>
  <c r="AK33" i="6"/>
  <c r="X56" i="13"/>
  <c r="Y56" i="13"/>
  <c r="W50" i="13"/>
  <c r="AK50" i="6"/>
  <c r="AI50" i="6"/>
  <c r="W20" i="13"/>
  <c r="AI20" i="6"/>
  <c r="AK20" i="6"/>
  <c r="U68" i="13"/>
  <c r="V68" i="13" s="1"/>
  <c r="AF68" i="6"/>
  <c r="W38" i="13"/>
  <c r="AK38" i="6"/>
  <c r="AI38" i="6"/>
  <c r="W25" i="13"/>
  <c r="AI25" i="6"/>
  <c r="AK25" i="6"/>
  <c r="W49" i="13"/>
  <c r="AI49" i="6"/>
  <c r="AK49" i="6"/>
  <c r="W62" i="13"/>
  <c r="AI62" i="6"/>
  <c r="AK62" i="6"/>
  <c r="W41" i="13"/>
  <c r="AK41" i="6"/>
  <c r="AI41" i="6"/>
  <c r="Y45" i="13"/>
  <c r="X45" i="13"/>
  <c r="W36" i="13"/>
  <c r="AK36" i="6"/>
  <c r="AI36" i="6"/>
  <c r="W28" i="13"/>
  <c r="AK28" i="6"/>
  <c r="AI28" i="6"/>
  <c r="Y66" i="13"/>
  <c r="X66" i="13"/>
  <c r="W59" i="13"/>
  <c r="AK59" i="6"/>
  <c r="AI59" i="6"/>
  <c r="AI130" i="6"/>
  <c r="AK130" i="6"/>
  <c r="W30" i="13"/>
  <c r="AK30" i="6"/>
  <c r="AI30" i="6"/>
  <c r="W16" i="13"/>
  <c r="AI16" i="6"/>
  <c r="AK16" i="6"/>
  <c r="AH68" i="6"/>
  <c r="W54" i="13"/>
  <c r="AI54" i="6"/>
  <c r="AK54" i="6"/>
  <c r="G70" i="30"/>
  <c r="E22" i="2" s="1"/>
  <c r="H72" i="30"/>
  <c r="G88" i="30"/>
  <c r="G54" i="30"/>
  <c r="F52" i="30"/>
  <c r="Q408" i="13"/>
  <c r="R408" i="13" s="1"/>
  <c r="AH38" i="5"/>
  <c r="O386" i="13"/>
  <c r="P386" i="13" s="1"/>
  <c r="X31" i="5"/>
  <c r="O215" i="13" s="1"/>
  <c r="AC66" i="5"/>
  <c r="X254" i="5"/>
  <c r="Y254" i="5" s="1"/>
  <c r="X39" i="5"/>
  <c r="O223" i="13" s="1"/>
  <c r="AC62" i="5"/>
  <c r="Q246" i="13" s="1"/>
  <c r="AH111" i="5"/>
  <c r="AD111" i="5"/>
  <c r="AD80" i="5"/>
  <c r="AH80" i="5"/>
  <c r="AF213" i="4"/>
  <c r="AH213" i="4"/>
  <c r="AH242" i="4"/>
  <c r="AF242" i="4"/>
  <c r="AC216" i="4"/>
  <c r="AE216" i="4"/>
  <c r="AK240" i="4"/>
  <c r="AI240" i="4"/>
  <c r="AF243" i="4"/>
  <c r="AH243" i="4"/>
  <c r="AC214" i="4"/>
  <c r="AE214" i="4"/>
  <c r="AF236" i="4"/>
  <c r="AH236" i="4"/>
  <c r="AB222" i="4"/>
  <c r="Z222" i="4"/>
  <c r="AE251" i="4"/>
  <c r="AC251" i="4"/>
  <c r="AB244" i="4"/>
  <c r="Z244" i="4"/>
  <c r="AF207" i="4"/>
  <c r="AH207" i="4"/>
  <c r="AB229" i="4"/>
  <c r="Z229" i="4"/>
  <c r="AK156" i="4"/>
  <c r="AI156" i="4"/>
  <c r="AC164" i="4"/>
  <c r="AE164" i="4"/>
  <c r="AB182" i="4"/>
  <c r="Z182" i="4"/>
  <c r="AB191" i="4"/>
  <c r="Z191" i="4"/>
  <c r="AF144" i="4"/>
  <c r="AH144" i="4"/>
  <c r="Z147" i="4"/>
  <c r="AB147" i="4"/>
  <c r="Z155" i="4"/>
  <c r="AB155" i="4"/>
  <c r="Q79" i="13"/>
  <c r="R79" i="13" s="1"/>
  <c r="Z80" i="4"/>
  <c r="AB80" i="4"/>
  <c r="Q323" i="13"/>
  <c r="R323" i="13" s="1"/>
  <c r="AB113" i="4"/>
  <c r="S173" i="13" s="1"/>
  <c r="T173" i="13" s="1"/>
  <c r="Q356" i="13"/>
  <c r="R356" i="13" s="1"/>
  <c r="Q112" i="13"/>
  <c r="R112" i="13" s="1"/>
  <c r="Z113" i="4"/>
  <c r="R164" i="13"/>
  <c r="Z34" i="4"/>
  <c r="AB34" i="4"/>
  <c r="Q156" i="13"/>
  <c r="R156" i="13" s="1"/>
  <c r="Z42" i="4"/>
  <c r="AB42" i="4"/>
  <c r="AH67" i="4"/>
  <c r="AF67" i="4"/>
  <c r="E13" i="30"/>
  <c r="F13" i="30" s="1"/>
  <c r="G13" i="30" s="1"/>
  <c r="H13" i="30" s="1"/>
  <c r="I13" i="30" s="1"/>
  <c r="J13" i="30" s="1"/>
  <c r="H12" i="2"/>
  <c r="AF60" i="4"/>
  <c r="AH60" i="4"/>
  <c r="Z53" i="4"/>
  <c r="AB53" i="4"/>
  <c r="Q140" i="13"/>
  <c r="R140" i="13" s="1"/>
  <c r="Z18" i="4"/>
  <c r="AB18" i="4"/>
  <c r="O385" i="13"/>
  <c r="P385" i="13" s="1"/>
  <c r="AD229" i="5"/>
  <c r="AH229" i="5"/>
  <c r="I43" i="1"/>
  <c r="E44" i="30" s="1"/>
  <c r="F44" i="30" s="1"/>
  <c r="G44" i="30" s="1"/>
  <c r="H44" i="30" s="1"/>
  <c r="I44" i="30" s="1"/>
  <c r="J44" i="30" s="1"/>
  <c r="X15" i="5"/>
  <c r="O199" i="13" s="1"/>
  <c r="Q254" i="5"/>
  <c r="AM204" i="5"/>
  <c r="AI204" i="5"/>
  <c r="K395" i="13"/>
  <c r="Q411" i="13"/>
  <c r="R411" i="13" s="1"/>
  <c r="K411" i="13"/>
  <c r="Y43" i="5"/>
  <c r="AC44" i="5"/>
  <c r="X23" i="5"/>
  <c r="H67" i="18"/>
  <c r="AC146" i="5"/>
  <c r="AC22" i="5" s="1"/>
  <c r="Q206" i="13" s="1"/>
  <c r="Y146" i="5"/>
  <c r="X22" i="5"/>
  <c r="O206" i="13" s="1"/>
  <c r="Y46" i="5"/>
  <c r="P418" i="13"/>
  <c r="AH174" i="5"/>
  <c r="AH50" i="5" s="1"/>
  <c r="S234" i="13" s="1"/>
  <c r="AD174" i="5"/>
  <c r="AC50" i="5"/>
  <c r="Q234" i="13" s="1"/>
  <c r="AD187" i="5"/>
  <c r="AH187" i="5"/>
  <c r="Y163" i="5"/>
  <c r="AC163" i="5"/>
  <c r="X49" i="5"/>
  <c r="O233" i="13" s="1"/>
  <c r="AC173" i="5"/>
  <c r="Y173" i="5"/>
  <c r="H187" i="18"/>
  <c r="AC51" i="5"/>
  <c r="X29" i="5"/>
  <c r="O213" i="13" s="1"/>
  <c r="Y153" i="5"/>
  <c r="AC153" i="5"/>
  <c r="AH25" i="5"/>
  <c r="AC46" i="5"/>
  <c r="AN156" i="5"/>
  <c r="AR156" i="5"/>
  <c r="R224" i="13"/>
  <c r="F16" i="2"/>
  <c r="N68" i="5"/>
  <c r="AK235" i="4"/>
  <c r="AI235" i="4"/>
  <c r="AC230" i="4"/>
  <c r="AE230" i="4"/>
  <c r="AF224" i="4"/>
  <c r="AH224" i="4"/>
  <c r="AC202" i="4"/>
  <c r="AE202" i="4"/>
  <c r="Z154" i="4"/>
  <c r="AB154" i="4"/>
  <c r="Z146" i="4"/>
  <c r="AB146" i="4"/>
  <c r="AC203" i="4"/>
  <c r="AE203" i="4"/>
  <c r="Q98" i="13"/>
  <c r="R98" i="13" s="1"/>
  <c r="AB99" i="4"/>
  <c r="Z99" i="4"/>
  <c r="Q342" i="13"/>
  <c r="R342" i="13" s="1"/>
  <c r="AC238" i="4"/>
  <c r="AE238" i="4"/>
  <c r="Z172" i="4"/>
  <c r="AB172" i="4"/>
  <c r="S105" i="13"/>
  <c r="T105" i="13" s="1"/>
  <c r="AE106" i="4"/>
  <c r="AF106" i="4" s="1"/>
  <c r="AC106" i="4"/>
  <c r="S349" i="13"/>
  <c r="T349" i="13" s="1"/>
  <c r="AE17" i="4"/>
  <c r="AC17" i="4"/>
  <c r="S91" i="13"/>
  <c r="T91" i="13" s="1"/>
  <c r="S335" i="13"/>
  <c r="T335" i="13" s="1"/>
  <c r="AC92" i="4"/>
  <c r="AE92" i="4"/>
  <c r="AH211" i="4"/>
  <c r="AF211" i="4"/>
  <c r="AC210" i="4"/>
  <c r="AE210" i="4"/>
  <c r="AB85" i="4"/>
  <c r="S145" i="13" s="1"/>
  <c r="T145" i="13" s="1"/>
  <c r="Q84" i="13"/>
  <c r="R84" i="13" s="1"/>
  <c r="Z85" i="4"/>
  <c r="Q328" i="13"/>
  <c r="R328" i="13" s="1"/>
  <c r="AB140" i="4"/>
  <c r="Z140" i="4"/>
  <c r="Z126" i="4"/>
  <c r="Q369" i="13"/>
  <c r="R369" i="13" s="1"/>
  <c r="Q125" i="13"/>
  <c r="R125" i="13" s="1"/>
  <c r="AB126" i="4"/>
  <c r="Q186" i="13"/>
  <c r="R186" i="13" s="1"/>
  <c r="AC35" i="4"/>
  <c r="AE35" i="4"/>
  <c r="AB208" i="4"/>
  <c r="Z208" i="4"/>
  <c r="AI19" i="4"/>
  <c r="AK19" i="4"/>
  <c r="AF183" i="4"/>
  <c r="AH183" i="4"/>
  <c r="AC193" i="4"/>
  <c r="AE193" i="4"/>
  <c r="Z161" i="4"/>
  <c r="AB161" i="4"/>
  <c r="AC179" i="4"/>
  <c r="AE179" i="4"/>
  <c r="AB233" i="4"/>
  <c r="Z233" i="4"/>
  <c r="AB26" i="4"/>
  <c r="Z26" i="4"/>
  <c r="Q148" i="13"/>
  <c r="R148" i="13" s="1"/>
  <c r="Z204" i="4"/>
  <c r="AB204" i="4"/>
  <c r="AH22" i="4"/>
  <c r="AF22" i="4"/>
  <c r="AC226" i="4"/>
  <c r="AE226" i="4"/>
  <c r="AE209" i="4"/>
  <c r="AC209" i="4"/>
  <c r="Q83" i="13"/>
  <c r="R83" i="13" s="1"/>
  <c r="Q327" i="13"/>
  <c r="R327" i="13" s="1"/>
  <c r="Z84" i="4"/>
  <c r="AB84" i="4"/>
  <c r="Q144" i="13"/>
  <c r="R144" i="13" s="1"/>
  <c r="Z247" i="4"/>
  <c r="AB247" i="4"/>
  <c r="AE225" i="4"/>
  <c r="AC225" i="4"/>
  <c r="AB77" i="4"/>
  <c r="Q320" i="13"/>
  <c r="R320" i="13" s="1"/>
  <c r="Z77" i="4"/>
  <c r="Q76" i="13"/>
  <c r="R76" i="13" s="1"/>
  <c r="Z212" i="4"/>
  <c r="AB212" i="4"/>
  <c r="AE217" i="4"/>
  <c r="AC217" i="4"/>
  <c r="AH168" i="4"/>
  <c r="AF168" i="4"/>
  <c r="Z150" i="4"/>
  <c r="AB150" i="4"/>
  <c r="AK228" i="4"/>
  <c r="AI228" i="4"/>
  <c r="AC190" i="4"/>
  <c r="AE190" i="4"/>
  <c r="AE25" i="4"/>
  <c r="AC25" i="4"/>
  <c r="AC180" i="4"/>
  <c r="AE180" i="4"/>
  <c r="AC51" i="4"/>
  <c r="AE51" i="4"/>
  <c r="Z219" i="4"/>
  <c r="AB219" i="4"/>
  <c r="AF248" i="4"/>
  <c r="AH248" i="4"/>
  <c r="Z239" i="4"/>
  <c r="AB239" i="4"/>
  <c r="AE128" i="4"/>
  <c r="AC128" i="4"/>
  <c r="AC63" i="4"/>
  <c r="AE63" i="4"/>
  <c r="AC142" i="4"/>
  <c r="AE142" i="4"/>
  <c r="AC254" i="4"/>
  <c r="AE254" i="4"/>
  <c r="AC16" i="4"/>
  <c r="AE16" i="4"/>
  <c r="AC160" i="4"/>
  <c r="AE160" i="4"/>
  <c r="AC104" i="4"/>
  <c r="AE104" i="4"/>
  <c r="S347" i="13"/>
  <c r="T347" i="13" s="1"/>
  <c r="S103" i="13"/>
  <c r="T103" i="13" s="1"/>
  <c r="Z252" i="4"/>
  <c r="AB252" i="4"/>
  <c r="AH28" i="4"/>
  <c r="AF28" i="4"/>
  <c r="Z188" i="4"/>
  <c r="AB188" i="4"/>
  <c r="AC205" i="4"/>
  <c r="AE205" i="4"/>
  <c r="AC38" i="4"/>
  <c r="AE38" i="4"/>
  <c r="Q321" i="13"/>
  <c r="R321" i="13" s="1"/>
  <c r="Q77" i="13"/>
  <c r="R77" i="13" s="1"/>
  <c r="Z78" i="4"/>
  <c r="AB78" i="4"/>
  <c r="Q138" i="13"/>
  <c r="R138" i="13" s="1"/>
  <c r="AF130" i="4"/>
  <c r="AH130" i="4"/>
  <c r="S322" i="13"/>
  <c r="T322" i="13" s="1"/>
  <c r="S78" i="13"/>
  <c r="T78" i="13" s="1"/>
  <c r="AE79" i="4"/>
  <c r="AC79" i="4"/>
  <c r="S139" i="13"/>
  <c r="T139" i="13" s="1"/>
  <c r="R174" i="13"/>
  <c r="Q178" i="13"/>
  <c r="R178" i="13" s="1"/>
  <c r="AB56" i="4"/>
  <c r="Z56" i="4"/>
  <c r="S167" i="13"/>
  <c r="T167" i="13" s="1"/>
  <c r="AE45" i="4"/>
  <c r="AC45" i="4"/>
  <c r="Q184" i="13"/>
  <c r="R184" i="13" s="1"/>
  <c r="Z62" i="4"/>
  <c r="AB62" i="4"/>
  <c r="AE66" i="4"/>
  <c r="AC66" i="4"/>
  <c r="U332" i="13"/>
  <c r="V332" i="13" s="1"/>
  <c r="U88" i="13"/>
  <c r="V88" i="13" s="1"/>
  <c r="AF89" i="4"/>
  <c r="AH89" i="4"/>
  <c r="W332" i="13" s="1"/>
  <c r="Q345" i="13"/>
  <c r="R345" i="13" s="1"/>
  <c r="Q101" i="13"/>
  <c r="R101" i="13" s="1"/>
  <c r="AB102" i="4"/>
  <c r="Z102" i="4"/>
  <c r="Q162" i="13"/>
  <c r="R162" i="13" s="1"/>
  <c r="S355" i="13"/>
  <c r="T355" i="13" s="1"/>
  <c r="S111" i="13"/>
  <c r="T111" i="13" s="1"/>
  <c r="AE112" i="4"/>
  <c r="AC112" i="4"/>
  <c r="S172" i="13"/>
  <c r="T172" i="13" s="1"/>
  <c r="Q354" i="13"/>
  <c r="R354" i="13" s="1"/>
  <c r="Q110" i="13"/>
  <c r="R110" i="13" s="1"/>
  <c r="AB111" i="4"/>
  <c r="Z111" i="4"/>
  <c r="AK109" i="4"/>
  <c r="AI109" i="4"/>
  <c r="W108" i="13"/>
  <c r="E23" i="2"/>
  <c r="E25" i="2"/>
  <c r="H15" i="30"/>
  <c r="Q353" i="13"/>
  <c r="R353" i="13" s="1"/>
  <c r="Q109" i="13"/>
  <c r="R109" i="13" s="1"/>
  <c r="Z110" i="4"/>
  <c r="AB110" i="4"/>
  <c r="S170" i="13" s="1"/>
  <c r="AF41" i="4"/>
  <c r="AH41" i="4"/>
  <c r="AE29" i="4"/>
  <c r="AC29" i="4"/>
  <c r="AI221" i="4"/>
  <c r="AK221" i="4"/>
  <c r="AC184" i="4"/>
  <c r="AE184" i="4"/>
  <c r="Q326" i="13"/>
  <c r="R326" i="13" s="1"/>
  <c r="Q82" i="13"/>
  <c r="R82" i="13" s="1"/>
  <c r="Z83" i="4"/>
  <c r="AB83" i="4"/>
  <c r="S366" i="13"/>
  <c r="T366" i="13" s="1"/>
  <c r="S122" i="13"/>
  <c r="T122" i="13" s="1"/>
  <c r="AE123" i="4"/>
  <c r="AC123" i="4"/>
  <c r="S166" i="13"/>
  <c r="T166" i="13" s="1"/>
  <c r="AE44" i="4"/>
  <c r="AC44" i="4"/>
  <c r="Q358" i="13"/>
  <c r="R358" i="13" s="1"/>
  <c r="Q114" i="13"/>
  <c r="R114" i="13" s="1"/>
  <c r="AB115" i="4"/>
  <c r="Z115" i="4"/>
  <c r="Q175" i="13"/>
  <c r="R175" i="13" s="1"/>
  <c r="Q330" i="13"/>
  <c r="R330" i="13" s="1"/>
  <c r="Q86" i="13"/>
  <c r="R86" i="13" s="1"/>
  <c r="Z87" i="4"/>
  <c r="AB87" i="4"/>
  <c r="Q147" i="13"/>
  <c r="R147" i="13" s="1"/>
  <c r="Z201" i="4"/>
  <c r="Y255" i="4"/>
  <c r="Z255" i="4" s="1"/>
  <c r="AB201" i="4"/>
  <c r="U331" i="13"/>
  <c r="V331" i="13" s="1"/>
  <c r="U87" i="13"/>
  <c r="V87" i="13" s="1"/>
  <c r="AF88" i="4"/>
  <c r="AH88" i="4"/>
  <c r="W331" i="13" s="1"/>
  <c r="Q149" i="13"/>
  <c r="R149" i="13" s="1"/>
  <c r="Z27" i="4"/>
  <c r="AB27" i="4"/>
  <c r="Q365" i="13"/>
  <c r="R365" i="13" s="1"/>
  <c r="Q121" i="13"/>
  <c r="R121" i="13" s="1"/>
  <c r="Z122" i="4"/>
  <c r="AB122" i="4"/>
  <c r="Q182" i="13"/>
  <c r="R182" i="13" s="1"/>
  <c r="AC159" i="4"/>
  <c r="AE159" i="4"/>
  <c r="Q346" i="13"/>
  <c r="R346" i="13" s="1"/>
  <c r="Q102" i="13"/>
  <c r="R102" i="13" s="1"/>
  <c r="Z103" i="4"/>
  <c r="AB103" i="4"/>
  <c r="Q163" i="13"/>
  <c r="R163" i="13" s="1"/>
  <c r="AF64" i="4"/>
  <c r="AH64" i="4"/>
  <c r="AH153" i="4"/>
  <c r="AF153" i="4"/>
  <c r="AE57" i="4"/>
  <c r="AC57" i="4"/>
  <c r="Q159" i="13"/>
  <c r="R159" i="13" s="1"/>
  <c r="Z37" i="4"/>
  <c r="AB37" i="4"/>
  <c r="Q183" i="13"/>
  <c r="R183" i="13" s="1"/>
  <c r="AB61" i="4"/>
  <c r="Z61" i="4"/>
  <c r="AI206" i="4"/>
  <c r="AK206" i="4"/>
  <c r="S338" i="13"/>
  <c r="T338" i="13" s="1"/>
  <c r="S94" i="13"/>
  <c r="T94" i="13" s="1"/>
  <c r="AC95" i="4"/>
  <c r="AE95" i="4"/>
  <c r="AE68" i="4"/>
  <c r="AC68" i="4"/>
  <c r="AK50" i="4"/>
  <c r="AI50" i="4"/>
  <c r="AK163" i="4"/>
  <c r="AI163" i="4"/>
  <c r="AE185" i="4"/>
  <c r="AC185" i="4"/>
  <c r="Q152" i="13"/>
  <c r="R152" i="13" s="1"/>
  <c r="AB30" i="4"/>
  <c r="Z30" i="4"/>
  <c r="R179" i="13"/>
  <c r="S155" i="13"/>
  <c r="T155" i="13" s="1"/>
  <c r="AE33" i="4"/>
  <c r="AC33" i="4"/>
  <c r="AB129" i="4"/>
  <c r="Z129" i="4"/>
  <c r="AF54" i="4"/>
  <c r="AH54" i="4"/>
  <c r="W69" i="4"/>
  <c r="AC148" i="4"/>
  <c r="AE148" i="4"/>
  <c r="Q357" i="13"/>
  <c r="R357" i="13" s="1"/>
  <c r="Q113" i="13"/>
  <c r="R113" i="13" s="1"/>
  <c r="AB114" i="4"/>
  <c r="S174" i="13" s="1"/>
  <c r="T174" i="13" s="1"/>
  <c r="Z114" i="4"/>
  <c r="AF250" i="4"/>
  <c r="AH250" i="4"/>
  <c r="AF65" i="4"/>
  <c r="AH65" i="4"/>
  <c r="S169" i="13"/>
  <c r="T169" i="13" s="1"/>
  <c r="AC47" i="4"/>
  <c r="AE47" i="4"/>
  <c r="AC162" i="4"/>
  <c r="AE162" i="4"/>
  <c r="AE127" i="4"/>
  <c r="AC127" i="4"/>
  <c r="AB263" i="4"/>
  <c r="AC263" i="4" s="1"/>
  <c r="AE262" i="4"/>
  <c r="AC262" i="4"/>
  <c r="Q137" i="13"/>
  <c r="R137" i="13" s="1"/>
  <c r="AB15" i="4"/>
  <c r="Z15" i="4"/>
  <c r="Y69" i="4"/>
  <c r="Q165" i="13"/>
  <c r="R165" i="13" s="1"/>
  <c r="AB43" i="4"/>
  <c r="Z43" i="4"/>
  <c r="AC170" i="4"/>
  <c r="AE170" i="4"/>
  <c r="AI187" i="4"/>
  <c r="AK187" i="4"/>
  <c r="Q161" i="13"/>
  <c r="R161" i="13" s="1"/>
  <c r="Z39" i="4"/>
  <c r="AB39" i="4"/>
  <c r="AC171" i="4"/>
  <c r="AE171" i="4"/>
  <c r="Q143" i="13"/>
  <c r="R143" i="13" s="1"/>
  <c r="AB21" i="4"/>
  <c r="Z21" i="4"/>
  <c r="AC48" i="4"/>
  <c r="AE48" i="4"/>
  <c r="Q329" i="13"/>
  <c r="R329" i="13" s="1"/>
  <c r="Q85" i="13"/>
  <c r="R85" i="13" s="1"/>
  <c r="AB86" i="4"/>
  <c r="Z86" i="4"/>
  <c r="Q171" i="13"/>
  <c r="R171" i="13" s="1"/>
  <c r="AB49" i="4"/>
  <c r="Z49" i="4"/>
  <c r="AE23" i="4"/>
  <c r="AC23" i="4"/>
  <c r="Q340" i="13"/>
  <c r="R340" i="13" s="1"/>
  <c r="Q96" i="13"/>
  <c r="R96" i="13" s="1"/>
  <c r="AB97" i="4"/>
  <c r="Z97" i="4"/>
  <c r="Q157" i="13"/>
  <c r="R157" i="13" s="1"/>
  <c r="Q153" i="13"/>
  <c r="R153" i="13" s="1"/>
  <c r="Z31" i="4"/>
  <c r="AB31" i="4"/>
  <c r="S180" i="13"/>
  <c r="T180" i="13" s="1"/>
  <c r="AC58" i="4"/>
  <c r="AE58" i="4"/>
  <c r="Y194" i="4"/>
  <c r="Z194" i="4" s="1"/>
  <c r="Z145" i="4"/>
  <c r="AB145" i="4"/>
  <c r="Q146" i="13"/>
  <c r="R146" i="13" s="1"/>
  <c r="AB24" i="4"/>
  <c r="Z24" i="4"/>
  <c r="W132" i="4"/>
  <c r="Q341" i="13"/>
  <c r="R341" i="13" s="1"/>
  <c r="Q97" i="13"/>
  <c r="R97" i="13" s="1"/>
  <c r="Z98" i="4"/>
  <c r="AB98" i="4"/>
  <c r="U80" i="13"/>
  <c r="V80" i="13" s="1"/>
  <c r="U324" i="13"/>
  <c r="AH81" i="4"/>
  <c r="AF81" i="4"/>
  <c r="U141" i="13"/>
  <c r="V141" i="13" s="1"/>
  <c r="AK59" i="4"/>
  <c r="AI59" i="4"/>
  <c r="S333" i="13"/>
  <c r="T333" i="13" s="1"/>
  <c r="S89" i="13"/>
  <c r="T89" i="13" s="1"/>
  <c r="AE90" i="4"/>
  <c r="AC90" i="4"/>
  <c r="S150" i="13"/>
  <c r="T150" i="13" s="1"/>
  <c r="AC177" i="4"/>
  <c r="AE177" i="4"/>
  <c r="Q158" i="13"/>
  <c r="R158" i="13" s="1"/>
  <c r="Z36" i="4"/>
  <c r="AB36" i="4"/>
  <c r="Q362" i="13"/>
  <c r="R362" i="13" s="1"/>
  <c r="Q118" i="13"/>
  <c r="R118" i="13" s="1"/>
  <c r="AB119" i="4"/>
  <c r="Z119" i="4"/>
  <c r="Q344" i="13"/>
  <c r="R344" i="13" s="1"/>
  <c r="Q100" i="13"/>
  <c r="R100" i="13" s="1"/>
  <c r="AB101" i="4"/>
  <c r="Z101" i="4"/>
  <c r="Q337" i="13"/>
  <c r="R337" i="13" s="1"/>
  <c r="Q93" i="13"/>
  <c r="R93" i="13" s="1"/>
  <c r="Z94" i="4"/>
  <c r="AB94" i="4"/>
  <c r="S367" i="13"/>
  <c r="T367" i="13" s="1"/>
  <c r="S123" i="13"/>
  <c r="T123" i="13" s="1"/>
  <c r="AC124" i="4"/>
  <c r="AE124" i="4"/>
  <c r="Q351" i="13"/>
  <c r="R351" i="13" s="1"/>
  <c r="Q107" i="13"/>
  <c r="R107" i="13" s="1"/>
  <c r="Z108" i="4"/>
  <c r="AB108" i="4"/>
  <c r="AC245" i="4"/>
  <c r="AE245" i="4"/>
  <c r="AE52" i="4"/>
  <c r="AC52" i="4"/>
  <c r="Q170" i="13"/>
  <c r="R170" i="13" s="1"/>
  <c r="AH232" i="4"/>
  <c r="AF232" i="4"/>
  <c r="Q325" i="13"/>
  <c r="R325" i="13" s="1"/>
  <c r="Q81" i="13"/>
  <c r="R81" i="13" s="1"/>
  <c r="AB82" i="4"/>
  <c r="Z82" i="4"/>
  <c r="Q142" i="13"/>
  <c r="R142" i="13" s="1"/>
  <c r="Q154" i="13"/>
  <c r="R154" i="13" s="1"/>
  <c r="AB32" i="4"/>
  <c r="Z32" i="4"/>
  <c r="S364" i="13"/>
  <c r="T364" i="13" s="1"/>
  <c r="S120" i="13"/>
  <c r="T120" i="13" s="1"/>
  <c r="AC121" i="4"/>
  <c r="AE121" i="4"/>
  <c r="S181" i="13"/>
  <c r="T181" i="13" s="1"/>
  <c r="AC178" i="4"/>
  <c r="AE178" i="4"/>
  <c r="Z166" i="4"/>
  <c r="AB166" i="4"/>
  <c r="Q361" i="13"/>
  <c r="R361" i="13" s="1"/>
  <c r="Q117" i="13"/>
  <c r="R117" i="13" s="1"/>
  <c r="AB118" i="4"/>
  <c r="Z118" i="4"/>
  <c r="AI151" i="4"/>
  <c r="AK151" i="4"/>
  <c r="AH246" i="4"/>
  <c r="AF246" i="4"/>
  <c r="AC55" i="4"/>
  <c r="AE55" i="4"/>
  <c r="Q168" i="13"/>
  <c r="R168" i="13" s="1"/>
  <c r="AB46" i="4"/>
  <c r="Z46" i="4"/>
  <c r="AF176" i="4"/>
  <c r="AH176" i="4"/>
  <c r="Y16" i="5"/>
  <c r="O384" i="13"/>
  <c r="P384" i="13" s="1"/>
  <c r="P200" i="13"/>
  <c r="AD53" i="5"/>
  <c r="Q421" i="13"/>
  <c r="R421" i="13" s="1"/>
  <c r="R237" i="13"/>
  <c r="AD64" i="5"/>
  <c r="AD20" i="5"/>
  <c r="Q388" i="13"/>
  <c r="R388" i="13" s="1"/>
  <c r="R204" i="13"/>
  <c r="Y57" i="5"/>
  <c r="O425" i="13"/>
  <c r="Y65" i="5"/>
  <c r="AD59" i="5"/>
  <c r="R243" i="13"/>
  <c r="Q427" i="13"/>
  <c r="Y33" i="5"/>
  <c r="O401" i="13"/>
  <c r="AD55" i="5"/>
  <c r="Q423" i="13"/>
  <c r="R423" i="13" s="1"/>
  <c r="O428" i="13"/>
  <c r="P428" i="13" s="1"/>
  <c r="Y60" i="5"/>
  <c r="P244" i="13"/>
  <c r="S398" i="13"/>
  <c r="AI30" i="5"/>
  <c r="AD24" i="5"/>
  <c r="R208" i="13"/>
  <c r="Q392" i="13"/>
  <c r="R392" i="13" s="1"/>
  <c r="AD42" i="5"/>
  <c r="R226" i="13"/>
  <c r="Q410" i="13"/>
  <c r="R410" i="13" s="1"/>
  <c r="O422" i="13"/>
  <c r="Y54" i="5"/>
  <c r="AD56" i="5"/>
  <c r="R240" i="13"/>
  <c r="Q424" i="13"/>
  <c r="R424" i="13" s="1"/>
  <c r="K402" i="13"/>
  <c r="Y44" i="5"/>
  <c r="O412" i="13"/>
  <c r="AH85" i="5"/>
  <c r="AD85" i="5"/>
  <c r="Y26" i="5"/>
  <c r="O394" i="13"/>
  <c r="AM228" i="5"/>
  <c r="AI228" i="5"/>
  <c r="Y61" i="5"/>
  <c r="O429" i="13"/>
  <c r="P429" i="13" s="1"/>
  <c r="P245" i="13"/>
  <c r="AC28" i="5"/>
  <c r="Q212" i="13" s="1"/>
  <c r="AH90" i="5"/>
  <c r="AD90" i="5"/>
  <c r="Y27" i="5"/>
  <c r="O395" i="13"/>
  <c r="AS105" i="5"/>
  <c r="AU105" i="5"/>
  <c r="AH170" i="5"/>
  <c r="AD170" i="5"/>
  <c r="AC158" i="5"/>
  <c r="Y158" i="5"/>
  <c r="X34" i="5"/>
  <c r="O218" i="13" s="1"/>
  <c r="O396" i="13"/>
  <c r="Y28" i="5"/>
  <c r="Y47" i="5"/>
  <c r="O415" i="13"/>
  <c r="AD32" i="5"/>
  <c r="R216" i="13"/>
  <c r="Q400" i="13"/>
  <c r="R400" i="13" s="1"/>
  <c r="AC61" i="5"/>
  <c r="Q245" i="13" s="1"/>
  <c r="AC27" i="5"/>
  <c r="Q211" i="13" s="1"/>
  <c r="Y67" i="5"/>
  <c r="AN96" i="5"/>
  <c r="AR96" i="5"/>
  <c r="K413" i="13"/>
  <c r="M419" i="13"/>
  <c r="L419" i="13"/>
  <c r="Y51" i="5"/>
  <c r="O419" i="13"/>
  <c r="Y41" i="5"/>
  <c r="P225" i="13"/>
  <c r="O409" i="13"/>
  <c r="Y161" i="5"/>
  <c r="AC161" i="5"/>
  <c r="X37" i="5"/>
  <c r="O221" i="13" s="1"/>
  <c r="AD38" i="5"/>
  <c r="R222" i="13"/>
  <c r="Q406" i="13"/>
  <c r="R406" i="13" s="1"/>
  <c r="Y182" i="5"/>
  <c r="AC182" i="5"/>
  <c r="X58" i="5"/>
  <c r="O242" i="13" s="1"/>
  <c r="M235" i="13"/>
  <c r="Y19" i="5"/>
  <c r="O387" i="13"/>
  <c r="M234" i="13"/>
  <c r="AD25" i="5"/>
  <c r="Q393" i="13"/>
  <c r="R393" i="13" s="1"/>
  <c r="R209" i="13"/>
  <c r="Y63" i="5"/>
  <c r="O431" i="13"/>
  <c r="AC17" i="5"/>
  <c r="Q201" i="13" s="1"/>
  <c r="AC67" i="5"/>
  <c r="X52" i="5"/>
  <c r="O236" i="13" s="1"/>
  <c r="AC36" i="5"/>
  <c r="Q220" i="13" s="1"/>
  <c r="AH98" i="5"/>
  <c r="AD98" i="5"/>
  <c r="M418" i="13"/>
  <c r="L418" i="13"/>
  <c r="AD145" i="5"/>
  <c r="AH145" i="5"/>
  <c r="Y35" i="5"/>
  <c r="O403" i="13"/>
  <c r="AH93" i="5"/>
  <c r="AD93" i="5"/>
  <c r="AH77" i="5"/>
  <c r="AD77" i="5"/>
  <c r="AC231" i="5"/>
  <c r="Y231" i="5"/>
  <c r="AC207" i="5"/>
  <c r="AC21" i="5" s="1"/>
  <c r="Q205" i="13" s="1"/>
  <c r="Y207" i="5"/>
  <c r="X45" i="5"/>
  <c r="O229" i="13" s="1"/>
  <c r="O404" i="13"/>
  <c r="Y36" i="5"/>
  <c r="AD152" i="5"/>
  <c r="AH152" i="5"/>
  <c r="X21" i="5"/>
  <c r="O205" i="13" s="1"/>
  <c r="AU121" i="5"/>
  <c r="AS121" i="5"/>
  <c r="X48" i="5"/>
  <c r="O232" i="13" s="1"/>
  <c r="Y172" i="5"/>
  <c r="AC172" i="5"/>
  <c r="P237" i="13"/>
  <c r="P421" i="13"/>
  <c r="Y176" i="5"/>
  <c r="AC176" i="5"/>
  <c r="K390" i="13"/>
  <c r="AI180" i="5"/>
  <c r="AM180" i="5"/>
  <c r="AH118" i="5"/>
  <c r="AH56" i="5" s="1"/>
  <c r="S240" i="13" s="1"/>
  <c r="AD118" i="5"/>
  <c r="Y157" i="5"/>
  <c r="AC157" i="5"/>
  <c r="AC33" i="5" s="1"/>
  <c r="Q217" i="13" s="1"/>
  <c r="M398" i="13"/>
  <c r="P398" i="13"/>
  <c r="L398" i="13"/>
  <c r="AD232" i="5"/>
  <c r="AH232" i="5"/>
  <c r="AD185" i="5"/>
  <c r="AH185" i="5"/>
  <c r="AD89" i="5"/>
  <c r="AH89" i="5"/>
  <c r="P214" i="13"/>
  <c r="M214" i="13"/>
  <c r="AH223" i="5"/>
  <c r="AD223" i="5"/>
  <c r="Y140" i="5"/>
  <c r="AC140" i="5"/>
  <c r="AC16" i="5" s="1"/>
  <c r="Q200" i="13" s="1"/>
  <c r="AC165" i="5"/>
  <c r="AC41" i="5" s="1"/>
  <c r="Q225" i="13" s="1"/>
  <c r="Y165" i="5"/>
  <c r="AH169" i="5"/>
  <c r="AD169" i="5"/>
  <c r="K408" i="13"/>
  <c r="L393" i="13"/>
  <c r="P393" i="13"/>
  <c r="M393" i="13"/>
  <c r="AD205" i="5"/>
  <c r="AH205" i="5"/>
  <c r="M232" i="13"/>
  <c r="AD190" i="5"/>
  <c r="AH190" i="5"/>
  <c r="AH202" i="5"/>
  <c r="AD202" i="5"/>
  <c r="AH247" i="5"/>
  <c r="AD247" i="5"/>
  <c r="M416" i="13"/>
  <c r="L416" i="13"/>
  <c r="K392" i="13"/>
  <c r="AD95" i="5"/>
  <c r="AH95" i="5"/>
  <c r="AD144" i="5"/>
  <c r="AH144" i="5"/>
  <c r="AH20" i="5" s="1"/>
  <c r="S204" i="13" s="1"/>
  <c r="K414" i="13"/>
  <c r="AD250" i="5"/>
  <c r="AH250" i="5"/>
  <c r="AD88" i="5"/>
  <c r="AH88" i="5"/>
  <c r="AH142" i="5"/>
  <c r="AD142" i="5"/>
  <c r="M209" i="13"/>
  <c r="P209" i="13"/>
  <c r="Y178" i="5"/>
  <c r="AC178" i="5"/>
  <c r="AC54" i="5" s="1"/>
  <c r="Q238" i="13" s="1"/>
  <c r="K422" i="13"/>
  <c r="AD203" i="5"/>
  <c r="AH203" i="5"/>
  <c r="AM177" i="5"/>
  <c r="AI177" i="5"/>
  <c r="AD175" i="5"/>
  <c r="AH175" i="5"/>
  <c r="AH221" i="5"/>
  <c r="AD221" i="5"/>
  <c r="M245" i="13"/>
  <c r="AH127" i="5"/>
  <c r="AD127" i="5"/>
  <c r="Y150" i="5"/>
  <c r="AC150" i="5"/>
  <c r="AC26" i="5" s="1"/>
  <c r="Q210" i="13" s="1"/>
  <c r="L429" i="13"/>
  <c r="M429" i="13"/>
  <c r="K387" i="13"/>
  <c r="AR109" i="5"/>
  <c r="AN109" i="5"/>
  <c r="AH166" i="5"/>
  <c r="AD166" i="5"/>
  <c r="AD108" i="5"/>
  <c r="AH108" i="5"/>
  <c r="AM149" i="5"/>
  <c r="AI149" i="5"/>
  <c r="AD191" i="5"/>
  <c r="AH191" i="5"/>
  <c r="AN148" i="5"/>
  <c r="AR148" i="5"/>
  <c r="Y189" i="5"/>
  <c r="AC189" i="5"/>
  <c r="AC65" i="5" s="1"/>
  <c r="Y200" i="5"/>
  <c r="AC200" i="5"/>
  <c r="K410" i="13"/>
  <c r="Y159" i="5"/>
  <c r="AC159" i="5"/>
  <c r="AC35" i="5" s="1"/>
  <c r="Q219" i="13" s="1"/>
  <c r="AM208" i="5"/>
  <c r="AI208" i="5"/>
  <c r="Y143" i="5"/>
  <c r="AC143" i="5"/>
  <c r="AC19" i="5" s="1"/>
  <c r="Q203" i="13" s="1"/>
  <c r="AI183" i="5"/>
  <c r="AM183" i="5"/>
  <c r="K403" i="13"/>
  <c r="AS215" i="5"/>
  <c r="AU215" i="5"/>
  <c r="L405" i="13"/>
  <c r="M405" i="13"/>
  <c r="Y139" i="5"/>
  <c r="AC139" i="5"/>
  <c r="AR206" i="5"/>
  <c r="AN206" i="5"/>
  <c r="AI167" i="5"/>
  <c r="AM167" i="5"/>
  <c r="K407" i="13"/>
  <c r="AM115" i="5"/>
  <c r="AI115" i="5"/>
  <c r="AI110" i="5"/>
  <c r="AM110" i="5"/>
  <c r="AH168" i="5"/>
  <c r="AD168" i="5"/>
  <c r="AI81" i="5"/>
  <c r="AM81" i="5"/>
  <c r="M221" i="13"/>
  <c r="AC138" i="5"/>
  <c r="Y138" i="5"/>
  <c r="Y225" i="5"/>
  <c r="AC225" i="5"/>
  <c r="AD84" i="5"/>
  <c r="AH84" i="5"/>
  <c r="M233" i="13"/>
  <c r="AH141" i="5"/>
  <c r="AD141" i="5"/>
  <c r="AH186" i="5"/>
  <c r="AD186" i="5"/>
  <c r="AH106" i="5"/>
  <c r="AD106" i="5"/>
  <c r="AH241" i="5"/>
  <c r="AH55" i="5" s="1"/>
  <c r="S239" i="13" s="1"/>
  <c r="AD241" i="5"/>
  <c r="Y233" i="5"/>
  <c r="AC233" i="5"/>
  <c r="AC47" i="5" s="1"/>
  <c r="Q231" i="13" s="1"/>
  <c r="Y209" i="5"/>
  <c r="AC209" i="5"/>
  <c r="AI87" i="5"/>
  <c r="AM87" i="5"/>
  <c r="AI154" i="5"/>
  <c r="AM154" i="5"/>
  <c r="AM30" i="5" s="1"/>
  <c r="U214" i="13" s="1"/>
  <c r="AM116" i="5"/>
  <c r="AI116" i="5"/>
  <c r="Y201" i="5"/>
  <c r="AC201" i="5"/>
  <c r="P240" i="13"/>
  <c r="M240" i="13"/>
  <c r="AI82" i="5"/>
  <c r="AM82" i="5"/>
  <c r="AH219" i="5"/>
  <c r="AD219" i="5"/>
  <c r="AH78" i="5"/>
  <c r="AD78" i="5"/>
  <c r="AD220" i="5"/>
  <c r="AH220" i="5"/>
  <c r="AM128" i="5"/>
  <c r="AI128" i="5"/>
  <c r="K383" i="13"/>
  <c r="AM91" i="5"/>
  <c r="AI91" i="5"/>
  <c r="AS164" i="5"/>
  <c r="AU164" i="5"/>
  <c r="AI160" i="5"/>
  <c r="AM160" i="5"/>
  <c r="AI125" i="5"/>
  <c r="AM125" i="5"/>
  <c r="K399" i="13"/>
  <c r="AM162" i="5"/>
  <c r="AI162" i="5"/>
  <c r="AD234" i="5"/>
  <c r="AH234" i="5"/>
  <c r="Y147" i="5"/>
  <c r="AC147" i="5"/>
  <c r="AI107" i="5"/>
  <c r="AM107" i="5"/>
  <c r="AI212" i="5"/>
  <c r="AM212" i="5"/>
  <c r="AD218" i="5"/>
  <c r="AH218" i="5"/>
  <c r="AH32" i="5" s="1"/>
  <c r="S216" i="13" s="1"/>
  <c r="AD240" i="5"/>
  <c r="AH240" i="5"/>
  <c r="AI224" i="5"/>
  <c r="AM224" i="5"/>
  <c r="L417" i="13"/>
  <c r="M417" i="13"/>
  <c r="Y217" i="5"/>
  <c r="AC217" i="5"/>
  <c r="AM122" i="5"/>
  <c r="AI122" i="5"/>
  <c r="K425" i="13"/>
  <c r="AI126" i="5"/>
  <c r="AM126" i="5"/>
  <c r="AH119" i="5"/>
  <c r="AD119" i="5"/>
  <c r="AD213" i="5"/>
  <c r="AH213" i="5"/>
  <c r="AI179" i="5"/>
  <c r="AM179" i="5"/>
  <c r="AD252" i="5"/>
  <c r="AH252" i="5"/>
  <c r="AH64" i="5" s="1"/>
  <c r="P424" i="13"/>
  <c r="L424" i="13"/>
  <c r="M424" i="13"/>
  <c r="AI171" i="5"/>
  <c r="AM171" i="5"/>
  <c r="Y155" i="5"/>
  <c r="AC155" i="5"/>
  <c r="AD124" i="5"/>
  <c r="AH124" i="5"/>
  <c r="AH184" i="5"/>
  <c r="AD184" i="5"/>
  <c r="Y181" i="5"/>
  <c r="AC181" i="5"/>
  <c r="AC57" i="5" s="1"/>
  <c r="Q241" i="13" s="1"/>
  <c r="K423" i="13"/>
  <c r="AD239" i="5"/>
  <c r="AH239" i="5"/>
  <c r="AH53" i="5" s="1"/>
  <c r="S237" i="13" s="1"/>
  <c r="P216" i="13"/>
  <c r="M216" i="13"/>
  <c r="X192" i="5"/>
  <c r="AC192" i="5" s="1"/>
  <c r="S192" i="5"/>
  <c r="I39" i="1"/>
  <c r="E40" i="30" s="1"/>
  <c r="F40" i="30" s="1"/>
  <c r="G40" i="30" s="1"/>
  <c r="H40" i="30" s="1"/>
  <c r="I40" i="30" s="1"/>
  <c r="J40" i="30" s="1"/>
  <c r="Q192" i="5"/>
  <c r="AN216" i="5"/>
  <c r="AR216" i="5"/>
  <c r="K415" i="13"/>
  <c r="AH251" i="5"/>
  <c r="AD251" i="5"/>
  <c r="AU309" i="5"/>
  <c r="AS309" i="5"/>
  <c r="AD210" i="5"/>
  <c r="AH210" i="5"/>
  <c r="AH24" i="5" s="1"/>
  <c r="S208" i="13" s="1"/>
  <c r="K404" i="13"/>
  <c r="AH214" i="5"/>
  <c r="AD214" i="5"/>
  <c r="AI244" i="5"/>
  <c r="AM244" i="5"/>
  <c r="AS281" i="5"/>
  <c r="AU281" i="5"/>
  <c r="AD253" i="5"/>
  <c r="AH253" i="5"/>
  <c r="L198" i="13"/>
  <c r="M198" i="13"/>
  <c r="K396" i="13"/>
  <c r="AI243" i="5"/>
  <c r="AM243" i="5"/>
  <c r="L382" i="13"/>
  <c r="M382" i="13"/>
  <c r="AC130" i="5"/>
  <c r="Y130" i="5"/>
  <c r="M244" i="13"/>
  <c r="AH113" i="5"/>
  <c r="AD113" i="5"/>
  <c r="M200" i="13"/>
  <c r="AU262" i="5"/>
  <c r="AS262" i="5"/>
  <c r="AR315" i="5"/>
  <c r="AU268" i="5"/>
  <c r="AS268" i="5"/>
  <c r="M236" i="13"/>
  <c r="AI236" i="5"/>
  <c r="AM236" i="5"/>
  <c r="AC246" i="5"/>
  <c r="AC60" i="5" s="1"/>
  <c r="Q244" i="13" s="1"/>
  <c r="Y246" i="5"/>
  <c r="E36" i="30"/>
  <c r="F36" i="30" s="1"/>
  <c r="G13" i="2"/>
  <c r="G16" i="2"/>
  <c r="M428" i="13"/>
  <c r="L428" i="13"/>
  <c r="AS285" i="5"/>
  <c r="AU285" i="5"/>
  <c r="AU305" i="5"/>
  <c r="AS305" i="5"/>
  <c r="AI235" i="5"/>
  <c r="AM235" i="5"/>
  <c r="L420" i="13"/>
  <c r="M420" i="13"/>
  <c r="AI248" i="5"/>
  <c r="AM248" i="5"/>
  <c r="M205" i="13"/>
  <c r="L384" i="13"/>
  <c r="M384" i="13"/>
  <c r="AM227" i="5"/>
  <c r="AI227" i="5"/>
  <c r="P204" i="13"/>
  <c r="M204" i="13"/>
  <c r="M213" i="13"/>
  <c r="M225" i="13"/>
  <c r="Y238" i="5"/>
  <c r="AC238" i="5"/>
  <c r="Y249" i="5"/>
  <c r="AC249" i="5"/>
  <c r="AC63" i="5" s="1"/>
  <c r="Q247" i="13" s="1"/>
  <c r="AU287" i="5"/>
  <c r="AS287" i="5"/>
  <c r="M207" i="13"/>
  <c r="M397" i="13"/>
  <c r="L397" i="13"/>
  <c r="K412" i="13"/>
  <c r="L389" i="13"/>
  <c r="M389" i="13"/>
  <c r="M201" i="13"/>
  <c r="AI226" i="5"/>
  <c r="AM226" i="5"/>
  <c r="P68" i="5"/>
  <c r="P388" i="13"/>
  <c r="L388" i="13"/>
  <c r="M388" i="13"/>
  <c r="L391" i="13"/>
  <c r="M391" i="13"/>
  <c r="AH230" i="5"/>
  <c r="AD230" i="5"/>
  <c r="AH245" i="5"/>
  <c r="AH59" i="5" s="1"/>
  <c r="S243" i="13" s="1"/>
  <c r="AD245" i="5"/>
  <c r="L409" i="13"/>
  <c r="M409" i="13"/>
  <c r="L385" i="13"/>
  <c r="M385" i="13"/>
  <c r="AN242" i="5"/>
  <c r="AR242" i="5"/>
  <c r="AD222" i="5"/>
  <c r="AH222" i="5"/>
  <c r="AS101" i="5"/>
  <c r="AU101" i="5"/>
  <c r="AS117" i="5"/>
  <c r="AU117" i="5"/>
  <c r="AU129" i="5"/>
  <c r="AS129" i="5"/>
  <c r="AU97" i="5"/>
  <c r="AS97" i="5"/>
  <c r="AS92" i="5"/>
  <c r="AU92" i="5"/>
  <c r="AE237" i="4" l="1"/>
  <c r="AC237" i="4"/>
  <c r="AC175" i="4"/>
  <c r="AE175" i="4"/>
  <c r="AC231" i="4"/>
  <c r="AE231" i="4"/>
  <c r="AC143" i="4"/>
  <c r="AE143" i="4"/>
  <c r="AM79" i="5"/>
  <c r="AI79" i="5"/>
  <c r="AM102" i="5"/>
  <c r="AI102" i="5"/>
  <c r="AH40" i="5"/>
  <c r="AM86" i="5"/>
  <c r="AI86" i="5"/>
  <c r="AM188" i="5"/>
  <c r="AI188" i="5"/>
  <c r="S360" i="13"/>
  <c r="S177" i="13"/>
  <c r="T177" i="13" s="1"/>
  <c r="P400" i="13"/>
  <c r="AB132" i="4"/>
  <c r="W324" i="13"/>
  <c r="X324" i="13" s="1"/>
  <c r="L400" i="13"/>
  <c r="P246" i="13"/>
  <c r="AN99" i="5"/>
  <c r="AR99" i="5"/>
  <c r="T360" i="13"/>
  <c r="AC117" i="4"/>
  <c r="S116" i="13"/>
  <c r="T116" i="13" s="1"/>
  <c r="U92" i="13"/>
  <c r="V92" i="13" s="1"/>
  <c r="U336" i="13"/>
  <c r="V336" i="13" s="1"/>
  <c r="AF93" i="4"/>
  <c r="AH120" i="4"/>
  <c r="W363" i="13" s="1"/>
  <c r="AE91" i="4"/>
  <c r="AH91" i="4" s="1"/>
  <c r="W334" i="13" s="1"/>
  <c r="AF120" i="4"/>
  <c r="U363" i="13"/>
  <c r="V363" i="13" s="1"/>
  <c r="AC91" i="4"/>
  <c r="V119" i="13"/>
  <c r="P430" i="13"/>
  <c r="K92" i="30"/>
  <c r="L430" i="13"/>
  <c r="M430" i="13"/>
  <c r="M246" i="13"/>
  <c r="AH62" i="5"/>
  <c r="S246" i="13" s="1"/>
  <c r="Y31" i="5"/>
  <c r="AD18" i="5"/>
  <c r="Q202" i="13"/>
  <c r="R202" i="13" s="1"/>
  <c r="AI38" i="5"/>
  <c r="S222" i="13"/>
  <c r="T222" i="13" s="1"/>
  <c r="Q419" i="13"/>
  <c r="R419" i="13" s="1"/>
  <c r="Q235" i="13"/>
  <c r="R235" i="13" s="1"/>
  <c r="Y23" i="5"/>
  <c r="O207" i="13"/>
  <c r="P207" i="13" s="1"/>
  <c r="Q414" i="13"/>
  <c r="R414" i="13" s="1"/>
  <c r="Q230" i="13"/>
  <c r="R230" i="13" s="1"/>
  <c r="AD44" i="5"/>
  <c r="Q228" i="13"/>
  <c r="R228" i="13" s="1"/>
  <c r="AI25" i="5"/>
  <c r="S209" i="13"/>
  <c r="T209" i="13" s="1"/>
  <c r="AD66" i="5"/>
  <c r="T151" i="13"/>
  <c r="S90" i="13"/>
  <c r="T90" i="13" s="1"/>
  <c r="AC215" i="4"/>
  <c r="AE215" i="4"/>
  <c r="AC223" i="4"/>
  <c r="AE223" i="4"/>
  <c r="AH241" i="4"/>
  <c r="AF241" i="4"/>
  <c r="AC218" i="4"/>
  <c r="AE218" i="4"/>
  <c r="AF186" i="4"/>
  <c r="AH186" i="4"/>
  <c r="AC141" i="4"/>
  <c r="AE141" i="4"/>
  <c r="AC157" i="4"/>
  <c r="AE157" i="4"/>
  <c r="AC174" i="4"/>
  <c r="AE174" i="4"/>
  <c r="AC165" i="4"/>
  <c r="AE165" i="4"/>
  <c r="S334" i="13"/>
  <c r="T334" i="13" s="1"/>
  <c r="AH96" i="4"/>
  <c r="W339" i="13" s="1"/>
  <c r="AF96" i="4"/>
  <c r="U339" i="13"/>
  <c r="V339" i="13" s="1"/>
  <c r="V95" i="13"/>
  <c r="S99" i="13"/>
  <c r="T99" i="13" s="1"/>
  <c r="U104" i="13"/>
  <c r="V104" i="13" s="1"/>
  <c r="S160" i="13"/>
  <c r="T160" i="13" s="1"/>
  <c r="AE100" i="4"/>
  <c r="AF100" i="4" s="1"/>
  <c r="AF116" i="4"/>
  <c r="AF105" i="4"/>
  <c r="AH105" i="4"/>
  <c r="W348" i="13" s="1"/>
  <c r="S343" i="13"/>
  <c r="T343" i="13" s="1"/>
  <c r="U115" i="13"/>
  <c r="V115" i="13" s="1"/>
  <c r="U176" i="13"/>
  <c r="V176" i="13" s="1"/>
  <c r="AH116" i="4"/>
  <c r="W359" i="13" s="1"/>
  <c r="V359" i="13"/>
  <c r="S368" i="13"/>
  <c r="T368" i="13" s="1"/>
  <c r="S124" i="13"/>
  <c r="T124" i="13" s="1"/>
  <c r="AC125" i="4"/>
  <c r="AE125" i="4"/>
  <c r="U185" i="13" s="1"/>
  <c r="V185" i="13" s="1"/>
  <c r="X15" i="13"/>
  <c r="V324" i="13"/>
  <c r="AS103" i="5"/>
  <c r="X68" i="5"/>
  <c r="Y68" i="5" s="1"/>
  <c r="AN94" i="5"/>
  <c r="AR94" i="5"/>
  <c r="AM151" i="5"/>
  <c r="AI151" i="5"/>
  <c r="AH42" i="5"/>
  <c r="S226" i="13" s="1"/>
  <c r="R246" i="13"/>
  <c r="AI237" i="5"/>
  <c r="AM237" i="5"/>
  <c r="AC14" i="5"/>
  <c r="Q386" i="13"/>
  <c r="R386" i="13" s="1"/>
  <c r="AM123" i="5"/>
  <c r="AI123" i="5"/>
  <c r="AM120" i="5"/>
  <c r="AI120" i="5"/>
  <c r="AM114" i="5"/>
  <c r="AI114" i="5"/>
  <c r="AM104" i="5"/>
  <c r="AI104" i="5"/>
  <c r="AR76" i="5"/>
  <c r="AN76" i="5"/>
  <c r="O399" i="13"/>
  <c r="P399" i="13" s="1"/>
  <c r="AF234" i="4"/>
  <c r="AH234" i="4"/>
  <c r="AF227" i="4"/>
  <c r="AH227" i="4"/>
  <c r="AH249" i="4"/>
  <c r="AF249" i="4"/>
  <c r="AH181" i="4"/>
  <c r="AF181" i="4"/>
  <c r="AC158" i="4"/>
  <c r="AE158" i="4"/>
  <c r="AF253" i="4"/>
  <c r="AH253" i="4"/>
  <c r="AE173" i="4"/>
  <c r="AC173" i="4"/>
  <c r="X19" i="13"/>
  <c r="X32" i="13"/>
  <c r="Y32" i="13"/>
  <c r="X34" i="13"/>
  <c r="Y34" i="13"/>
  <c r="Y47" i="13"/>
  <c r="X47" i="13"/>
  <c r="Y35" i="13"/>
  <c r="X35" i="13"/>
  <c r="X40" i="13"/>
  <c r="Y40" i="13"/>
  <c r="Y44" i="13"/>
  <c r="X44" i="13"/>
  <c r="X42" i="13"/>
  <c r="Y42" i="13"/>
  <c r="X60" i="13"/>
  <c r="Y60" i="13"/>
  <c r="X27" i="13"/>
  <c r="Y27" i="13"/>
  <c r="X29" i="13"/>
  <c r="Y29" i="13"/>
  <c r="Y48" i="13"/>
  <c r="X48" i="13"/>
  <c r="X49" i="13"/>
  <c r="Y49" i="13"/>
  <c r="Y50" i="13"/>
  <c r="X50" i="13"/>
  <c r="X54" i="13"/>
  <c r="Y54" i="13"/>
  <c r="Y53" i="13"/>
  <c r="X53" i="13"/>
  <c r="X61" i="13"/>
  <c r="Y61" i="13"/>
  <c r="Y65" i="13"/>
  <c r="X65" i="13"/>
  <c r="X30" i="13"/>
  <c r="Y30" i="13"/>
  <c r="X38" i="13"/>
  <c r="Y38" i="13"/>
  <c r="X52" i="13"/>
  <c r="Y52" i="13"/>
  <c r="W68" i="13"/>
  <c r="AK68" i="6"/>
  <c r="AI68" i="6"/>
  <c r="Y28" i="13"/>
  <c r="X28" i="13"/>
  <c r="Y41" i="13"/>
  <c r="X41" i="13"/>
  <c r="Y43" i="13"/>
  <c r="X43" i="13"/>
  <c r="Y37" i="13"/>
  <c r="X37" i="13"/>
  <c r="Y24" i="13"/>
  <c r="X24" i="13"/>
  <c r="Y22" i="13"/>
  <c r="X22" i="13"/>
  <c r="X57" i="13"/>
  <c r="Y57" i="13"/>
  <c r="X67" i="13"/>
  <c r="Y67" i="13"/>
  <c r="Y16" i="13"/>
  <c r="X16" i="13"/>
  <c r="X59" i="13"/>
  <c r="Y59" i="13"/>
  <c r="X36" i="13"/>
  <c r="Y36" i="13"/>
  <c r="Y62" i="13"/>
  <c r="X62" i="13"/>
  <c r="X25" i="13"/>
  <c r="Y25" i="13"/>
  <c r="X20" i="13"/>
  <c r="Y20" i="13"/>
  <c r="Y33" i="13"/>
  <c r="X33" i="13"/>
  <c r="Y58" i="13"/>
  <c r="X58" i="13"/>
  <c r="Y17" i="13"/>
  <c r="X17" i="13"/>
  <c r="H70" i="30"/>
  <c r="F22" i="2" s="1"/>
  <c r="I72" i="30"/>
  <c r="H88" i="30"/>
  <c r="S406" i="13"/>
  <c r="T406" i="13" s="1"/>
  <c r="H54" i="30"/>
  <c r="G52" i="30"/>
  <c r="O407" i="13"/>
  <c r="P407" i="13" s="1"/>
  <c r="Y39" i="5"/>
  <c r="AD62" i="5"/>
  <c r="O383" i="13"/>
  <c r="P383" i="13" s="1"/>
  <c r="Y15" i="5"/>
  <c r="V214" i="13"/>
  <c r="AN30" i="5"/>
  <c r="U398" i="13"/>
  <c r="V398" i="13" s="1"/>
  <c r="Q430" i="13"/>
  <c r="R430" i="13" s="1"/>
  <c r="Q412" i="13"/>
  <c r="R412" i="13" s="1"/>
  <c r="O391" i="13"/>
  <c r="P391" i="13" s="1"/>
  <c r="AM25" i="5"/>
  <c r="AM80" i="5"/>
  <c r="AI80" i="5"/>
  <c r="AH18" i="5"/>
  <c r="AM111" i="5"/>
  <c r="AI111" i="5"/>
  <c r="AI213" i="4"/>
  <c r="AK213" i="4"/>
  <c r="AK243" i="4"/>
  <c r="AI243" i="4"/>
  <c r="AH216" i="4"/>
  <c r="AF216" i="4"/>
  <c r="AK242" i="4"/>
  <c r="AI242" i="4"/>
  <c r="AE229" i="4"/>
  <c r="AC229" i="4"/>
  <c r="AC222" i="4"/>
  <c r="AE222" i="4"/>
  <c r="AK207" i="4"/>
  <c r="AI207" i="4"/>
  <c r="AK236" i="4"/>
  <c r="AI236" i="4"/>
  <c r="AF251" i="4"/>
  <c r="AH251" i="4"/>
  <c r="AF214" i="4"/>
  <c r="AH214" i="4"/>
  <c r="AE244" i="4"/>
  <c r="AC244" i="4"/>
  <c r="AH164" i="4"/>
  <c r="AF164" i="4"/>
  <c r="AC191" i="4"/>
  <c r="AE191" i="4"/>
  <c r="AI144" i="4"/>
  <c r="AK144" i="4"/>
  <c r="AC155" i="4"/>
  <c r="AE155" i="4"/>
  <c r="AE182" i="4"/>
  <c r="AC182" i="4"/>
  <c r="AC147" i="4"/>
  <c r="AE147" i="4"/>
  <c r="S323" i="13"/>
  <c r="T323" i="13" s="1"/>
  <c r="AC80" i="4"/>
  <c r="S79" i="13"/>
  <c r="T79" i="13" s="1"/>
  <c r="AE80" i="4"/>
  <c r="AE113" i="4"/>
  <c r="U173" i="13" s="1"/>
  <c r="V173" i="13" s="1"/>
  <c r="S112" i="13"/>
  <c r="T112" i="13" s="1"/>
  <c r="AC113" i="4"/>
  <c r="S356" i="13"/>
  <c r="S164" i="13"/>
  <c r="T164" i="13" s="1"/>
  <c r="AE42" i="4"/>
  <c r="AC42" i="4"/>
  <c r="S156" i="13"/>
  <c r="T156" i="13" s="1"/>
  <c r="AC34" i="4"/>
  <c r="AE34" i="4"/>
  <c r="AE53" i="4"/>
  <c r="AC53" i="4"/>
  <c r="AI60" i="4"/>
  <c r="AK60" i="4"/>
  <c r="AC18" i="4"/>
  <c r="S140" i="13"/>
  <c r="T140" i="13" s="1"/>
  <c r="AE18" i="4"/>
  <c r="AI67" i="4"/>
  <c r="AK67" i="4"/>
  <c r="AH67" i="5"/>
  <c r="L411" i="13"/>
  <c r="M411" i="13"/>
  <c r="P411" i="13"/>
  <c r="AC23" i="5"/>
  <c r="Q207" i="13" s="1"/>
  <c r="AH66" i="5"/>
  <c r="M227" i="13"/>
  <c r="P227" i="13"/>
  <c r="M211" i="13"/>
  <c r="L395" i="13"/>
  <c r="M395" i="13"/>
  <c r="AC15" i="5"/>
  <c r="AI229" i="5"/>
  <c r="AM229" i="5"/>
  <c r="AM38" i="5"/>
  <c r="U222" i="13" s="1"/>
  <c r="AC39" i="5"/>
  <c r="AC52" i="5"/>
  <c r="AH43" i="5"/>
  <c r="S227" i="13" s="1"/>
  <c r="AR204" i="5"/>
  <c r="AN204" i="5"/>
  <c r="AD22" i="5"/>
  <c r="Q390" i="13"/>
  <c r="O390" i="13"/>
  <c r="P390" i="13" s="1"/>
  <c r="P206" i="13"/>
  <c r="AH146" i="5"/>
  <c r="AD146" i="5"/>
  <c r="Y22" i="5"/>
  <c r="S418" i="13"/>
  <c r="AI50" i="5"/>
  <c r="AD51" i="5"/>
  <c r="S393" i="13"/>
  <c r="T393" i="13" s="1"/>
  <c r="P233" i="13"/>
  <c r="O417" i="13"/>
  <c r="P417" i="13" s="1"/>
  <c r="Y49" i="5"/>
  <c r="AD163" i="5"/>
  <c r="AH163" i="5"/>
  <c r="AM187" i="5"/>
  <c r="AI187" i="5"/>
  <c r="R234" i="13"/>
  <c r="Q418" i="13"/>
  <c r="R418" i="13" s="1"/>
  <c r="AD50" i="5"/>
  <c r="AC49" i="5"/>
  <c r="Q233" i="13" s="1"/>
  <c r="AH173" i="5"/>
  <c r="AD173" i="5"/>
  <c r="AI174" i="5"/>
  <c r="AM174" i="5"/>
  <c r="AD46" i="5"/>
  <c r="AC29" i="5"/>
  <c r="Q213" i="13" s="1"/>
  <c r="AH153" i="5"/>
  <c r="AD153" i="5"/>
  <c r="O397" i="13"/>
  <c r="P397" i="13" s="1"/>
  <c r="P213" i="13"/>
  <c r="Y29" i="5"/>
  <c r="AS156" i="5"/>
  <c r="AU156" i="5"/>
  <c r="AC31" i="5"/>
  <c r="AE85" i="4"/>
  <c r="U145" i="13" s="1"/>
  <c r="V145" i="13" s="1"/>
  <c r="AC85" i="4"/>
  <c r="S328" i="13"/>
  <c r="T328" i="13" s="1"/>
  <c r="S84" i="13"/>
  <c r="T84" i="13" s="1"/>
  <c r="AC172" i="4"/>
  <c r="AE172" i="4"/>
  <c r="AE99" i="4"/>
  <c r="AC99" i="4"/>
  <c r="S342" i="13"/>
  <c r="T342" i="13" s="1"/>
  <c r="S98" i="13"/>
  <c r="T98" i="13" s="1"/>
  <c r="AF202" i="4"/>
  <c r="AH202" i="4"/>
  <c r="AF210" i="4"/>
  <c r="AH210" i="4"/>
  <c r="U349" i="13"/>
  <c r="V349" i="13" s="1"/>
  <c r="U105" i="13"/>
  <c r="V105" i="13" s="1"/>
  <c r="AH106" i="4"/>
  <c r="AF238" i="4"/>
  <c r="AH238" i="4"/>
  <c r="AH203" i="4"/>
  <c r="AF203" i="4"/>
  <c r="AI224" i="4"/>
  <c r="AK224" i="4"/>
  <c r="AH17" i="4"/>
  <c r="AF17" i="4"/>
  <c r="AC140" i="4"/>
  <c r="AE140" i="4"/>
  <c r="AK211" i="4"/>
  <c r="AI211" i="4"/>
  <c r="AC146" i="4"/>
  <c r="AE146" i="4"/>
  <c r="AH230" i="4"/>
  <c r="AF230" i="4"/>
  <c r="AC154" i="4"/>
  <c r="AE154" i="4"/>
  <c r="U335" i="13"/>
  <c r="V335" i="13" s="1"/>
  <c r="AF92" i="4"/>
  <c r="AH92" i="4"/>
  <c r="W335" i="13" s="1"/>
  <c r="U91" i="13"/>
  <c r="V91" i="13" s="1"/>
  <c r="AE208" i="4"/>
  <c r="AC208" i="4"/>
  <c r="AE188" i="4"/>
  <c r="AC188" i="4"/>
  <c r="AF104" i="4"/>
  <c r="AH104" i="4"/>
  <c r="W347" i="13" s="1"/>
  <c r="U347" i="13"/>
  <c r="V347" i="13" s="1"/>
  <c r="U103" i="13"/>
  <c r="V103" i="13" s="1"/>
  <c r="AI168" i="4"/>
  <c r="AK168" i="4"/>
  <c r="S320" i="13"/>
  <c r="T320" i="13" s="1"/>
  <c r="AE77" i="4"/>
  <c r="AC77" i="4"/>
  <c r="S76" i="13"/>
  <c r="T76" i="13" s="1"/>
  <c r="AE204" i="4"/>
  <c r="AC204" i="4"/>
  <c r="AF35" i="4"/>
  <c r="AH35" i="4"/>
  <c r="AH16" i="4"/>
  <c r="AF16" i="4"/>
  <c r="AC239" i="4"/>
  <c r="AE239" i="4"/>
  <c r="AC161" i="4"/>
  <c r="AE161" i="4"/>
  <c r="AF179" i="4"/>
  <c r="AH179" i="4"/>
  <c r="AF160" i="4"/>
  <c r="AH160" i="4"/>
  <c r="AH63" i="4"/>
  <c r="AF63" i="4"/>
  <c r="AH180" i="4"/>
  <c r="AF180" i="4"/>
  <c r="AF217" i="4"/>
  <c r="AH217" i="4"/>
  <c r="AF225" i="4"/>
  <c r="AH225" i="4"/>
  <c r="AI183" i="4"/>
  <c r="AK183" i="4"/>
  <c r="AK22" i="4"/>
  <c r="AI22" i="4"/>
  <c r="AK28" i="4"/>
  <c r="AI28" i="4"/>
  <c r="AH254" i="4"/>
  <c r="AF254" i="4"/>
  <c r="AK248" i="4"/>
  <c r="AI248" i="4"/>
  <c r="AC150" i="4"/>
  <c r="AE150" i="4"/>
  <c r="AC212" i="4"/>
  <c r="AE212" i="4"/>
  <c r="AC247" i="4"/>
  <c r="AE247" i="4"/>
  <c r="AF209" i="4"/>
  <c r="AH209" i="4"/>
  <c r="AF193" i="4"/>
  <c r="AH193" i="4"/>
  <c r="AE126" i="4"/>
  <c r="S369" i="13"/>
  <c r="T369" i="13" s="1"/>
  <c r="S125" i="13"/>
  <c r="T125" i="13" s="1"/>
  <c r="AC126" i="4"/>
  <c r="S186" i="13"/>
  <c r="T186" i="13" s="1"/>
  <c r="AH51" i="4"/>
  <c r="AF51" i="4"/>
  <c r="AF190" i="4"/>
  <c r="AH190" i="4"/>
  <c r="AF38" i="4"/>
  <c r="AH38" i="4"/>
  <c r="AE252" i="4"/>
  <c r="AC252" i="4"/>
  <c r="AH226" i="4"/>
  <c r="AF226" i="4"/>
  <c r="AC26" i="4"/>
  <c r="AE26" i="4"/>
  <c r="S148" i="13"/>
  <c r="T148" i="13" s="1"/>
  <c r="AC219" i="4"/>
  <c r="AE219" i="4"/>
  <c r="AF205" i="4"/>
  <c r="AH205" i="4"/>
  <c r="AF142" i="4"/>
  <c r="AH142" i="4"/>
  <c r="AF128" i="4"/>
  <c r="AH128" i="4"/>
  <c r="AF25" i="4"/>
  <c r="AH25" i="4"/>
  <c r="AE84" i="4"/>
  <c r="S144" i="13"/>
  <c r="T144" i="13" s="1"/>
  <c r="AC84" i="4"/>
  <c r="S327" i="13"/>
  <c r="T327" i="13" s="1"/>
  <c r="S83" i="13"/>
  <c r="T83" i="13" s="1"/>
  <c r="AC233" i="4"/>
  <c r="AE233" i="4"/>
  <c r="AC166" i="4"/>
  <c r="AE166" i="4"/>
  <c r="S351" i="13"/>
  <c r="T351" i="13" s="1"/>
  <c r="S107" i="13"/>
  <c r="T107" i="13" s="1"/>
  <c r="AE108" i="4"/>
  <c r="AC108" i="4"/>
  <c r="S337" i="13"/>
  <c r="T337" i="13" s="1"/>
  <c r="S93" i="13"/>
  <c r="T93" i="13" s="1"/>
  <c r="AC94" i="4"/>
  <c r="AE94" i="4"/>
  <c r="S171" i="13"/>
  <c r="T171" i="13" s="1"/>
  <c r="AC49" i="4"/>
  <c r="AE49" i="4"/>
  <c r="AF48" i="4"/>
  <c r="AH48" i="4"/>
  <c r="S161" i="13"/>
  <c r="T161" i="13" s="1"/>
  <c r="AE39" i="4"/>
  <c r="AC39" i="4"/>
  <c r="S165" i="13"/>
  <c r="T165" i="13" s="1"/>
  <c r="AE43" i="4"/>
  <c r="AC43" i="4"/>
  <c r="AH262" i="4"/>
  <c r="AF262" i="4"/>
  <c r="AE263" i="4"/>
  <c r="AF263" i="4" s="1"/>
  <c r="U169" i="13"/>
  <c r="V169" i="13" s="1"/>
  <c r="AF47" i="4"/>
  <c r="AH47" i="4"/>
  <c r="AE129" i="4"/>
  <c r="AC129" i="4"/>
  <c r="S183" i="13"/>
  <c r="T183" i="13" s="1"/>
  <c r="AC61" i="4"/>
  <c r="AE61" i="4"/>
  <c r="U166" i="13"/>
  <c r="V166" i="13" s="1"/>
  <c r="AH44" i="4"/>
  <c r="AF44" i="4"/>
  <c r="S353" i="13"/>
  <c r="T353" i="13" s="1"/>
  <c r="S109" i="13"/>
  <c r="T109" i="13" s="1"/>
  <c r="AE110" i="4"/>
  <c r="AC110" i="4"/>
  <c r="S354" i="13"/>
  <c r="T354" i="13" s="1"/>
  <c r="S110" i="13"/>
  <c r="T110" i="13" s="1"/>
  <c r="AE111" i="4"/>
  <c r="AC111" i="4"/>
  <c r="AK130" i="4"/>
  <c r="AI130" i="4"/>
  <c r="S154" i="13"/>
  <c r="T154" i="13" s="1"/>
  <c r="AE32" i="4"/>
  <c r="AC32" i="4"/>
  <c r="AK232" i="4"/>
  <c r="AI232" i="4"/>
  <c r="S362" i="13"/>
  <c r="T362" i="13" s="1"/>
  <c r="S118" i="13"/>
  <c r="T118" i="13" s="1"/>
  <c r="AC119" i="4"/>
  <c r="AE119" i="4"/>
  <c r="U179" i="13" s="1"/>
  <c r="AF177" i="4"/>
  <c r="AH177" i="4"/>
  <c r="S341" i="13"/>
  <c r="T341" i="13" s="1"/>
  <c r="S97" i="13"/>
  <c r="T97" i="13" s="1"/>
  <c r="AC98" i="4"/>
  <c r="AE98" i="4"/>
  <c r="U180" i="13"/>
  <c r="V180" i="13" s="1"/>
  <c r="AH58" i="4"/>
  <c r="AF58" i="4"/>
  <c r="S340" i="13"/>
  <c r="T340" i="13" s="1"/>
  <c r="S96" i="13"/>
  <c r="T96" i="13" s="1"/>
  <c r="AC97" i="4"/>
  <c r="AE97" i="4"/>
  <c r="S157" i="13"/>
  <c r="T157" i="13" s="1"/>
  <c r="S149" i="13"/>
  <c r="T149" i="13" s="1"/>
  <c r="AC27" i="4"/>
  <c r="AE27" i="4"/>
  <c r="U360" i="13"/>
  <c r="V360" i="13" s="1"/>
  <c r="U116" i="13"/>
  <c r="AF117" i="4"/>
  <c r="AH117" i="4"/>
  <c r="W360" i="13" s="1"/>
  <c r="S184" i="13"/>
  <c r="T184" i="13" s="1"/>
  <c r="AE62" i="4"/>
  <c r="AC62" i="4"/>
  <c r="U364" i="13"/>
  <c r="V364" i="13" s="1"/>
  <c r="U120" i="13"/>
  <c r="V120" i="13" s="1"/>
  <c r="AF121" i="4"/>
  <c r="AH121" i="4"/>
  <c r="W364" i="13" s="1"/>
  <c r="U181" i="13"/>
  <c r="V181" i="13" s="1"/>
  <c r="T170" i="13"/>
  <c r="S152" i="13"/>
  <c r="T152" i="13" s="1"/>
  <c r="AE30" i="4"/>
  <c r="AC30" i="4"/>
  <c r="AF185" i="4"/>
  <c r="AH185" i="4"/>
  <c r="S159" i="13"/>
  <c r="T159" i="13" s="1"/>
  <c r="AE37" i="4"/>
  <c r="AC37" i="4"/>
  <c r="AF159" i="4"/>
  <c r="AH159" i="4"/>
  <c r="AB255" i="4"/>
  <c r="AC255" i="4" s="1"/>
  <c r="AC201" i="4"/>
  <c r="AE201" i="4"/>
  <c r="AF184" i="4"/>
  <c r="AH184" i="4"/>
  <c r="X352" i="13"/>
  <c r="Y352" i="13"/>
  <c r="S178" i="13"/>
  <c r="T178" i="13" s="1"/>
  <c r="AE56" i="4"/>
  <c r="AC56" i="4"/>
  <c r="AI246" i="4"/>
  <c r="AK246" i="4"/>
  <c r="S329" i="13"/>
  <c r="T329" i="13" s="1"/>
  <c r="S85" i="13"/>
  <c r="T85" i="13" s="1"/>
  <c r="AE86" i="4"/>
  <c r="AC86" i="4"/>
  <c r="Z69" i="4"/>
  <c r="AH127" i="4"/>
  <c r="AF127" i="4"/>
  <c r="AK65" i="4"/>
  <c r="AI65" i="4"/>
  <c r="AI54" i="4"/>
  <c r="AK54" i="4"/>
  <c r="AF68" i="4"/>
  <c r="AH68" i="4"/>
  <c r="AI153" i="4"/>
  <c r="AK153" i="4"/>
  <c r="U366" i="13"/>
  <c r="V366" i="13" s="1"/>
  <c r="U122" i="13"/>
  <c r="V122" i="13" s="1"/>
  <c r="AF123" i="4"/>
  <c r="AH123" i="4"/>
  <c r="W366" i="13" s="1"/>
  <c r="AF29" i="4"/>
  <c r="AH29" i="4"/>
  <c r="S345" i="13"/>
  <c r="T345" i="13" s="1"/>
  <c r="S101" i="13"/>
  <c r="T101" i="13" s="1"/>
  <c r="AC102" i="4"/>
  <c r="AE102" i="4"/>
  <c r="S162" i="13"/>
  <c r="T162" i="13" s="1"/>
  <c r="AF52" i="4"/>
  <c r="AH52" i="4"/>
  <c r="U367" i="13"/>
  <c r="V367" i="13" s="1"/>
  <c r="U123" i="13"/>
  <c r="V123" i="13" s="1"/>
  <c r="AF124" i="4"/>
  <c r="AH124" i="4"/>
  <c r="W367" i="13" s="1"/>
  <c r="S146" i="13"/>
  <c r="T146" i="13" s="1"/>
  <c r="AE24" i="4"/>
  <c r="AC24" i="4"/>
  <c r="S153" i="13"/>
  <c r="T153" i="13" s="1"/>
  <c r="AC31" i="4"/>
  <c r="AE31" i="4"/>
  <c r="S143" i="13"/>
  <c r="T143" i="13" s="1"/>
  <c r="AC21" i="4"/>
  <c r="AE21" i="4"/>
  <c r="U155" i="13"/>
  <c r="V155" i="13" s="1"/>
  <c r="AH33" i="4"/>
  <c r="AF33" i="4"/>
  <c r="AI64" i="4"/>
  <c r="AK64" i="4"/>
  <c r="F23" i="2"/>
  <c r="F25" i="2"/>
  <c r="I15" i="30"/>
  <c r="AF66" i="4"/>
  <c r="AH66" i="4"/>
  <c r="S168" i="13"/>
  <c r="T168" i="13" s="1"/>
  <c r="AE46" i="4"/>
  <c r="AC46" i="4"/>
  <c r="S361" i="13"/>
  <c r="T361" i="13" s="1"/>
  <c r="S117" i="13"/>
  <c r="T117" i="13" s="1"/>
  <c r="AE118" i="4"/>
  <c r="AC118" i="4"/>
  <c r="S325" i="13"/>
  <c r="T325" i="13" s="1"/>
  <c r="S81" i="13"/>
  <c r="T81" i="13" s="1"/>
  <c r="AE82" i="4"/>
  <c r="AC82" i="4"/>
  <c r="S142" i="13"/>
  <c r="T142" i="13" s="1"/>
  <c r="S344" i="13"/>
  <c r="T344" i="13" s="1"/>
  <c r="S100" i="13"/>
  <c r="T100" i="13" s="1"/>
  <c r="AE101" i="4"/>
  <c r="AC101" i="4"/>
  <c r="U333" i="13"/>
  <c r="V333" i="13" s="1"/>
  <c r="U89" i="13"/>
  <c r="V89" i="13" s="1"/>
  <c r="AH90" i="4"/>
  <c r="W333" i="13" s="1"/>
  <c r="AF90" i="4"/>
  <c r="U150" i="13"/>
  <c r="V150" i="13" s="1"/>
  <c r="AF23" i="4"/>
  <c r="AH23" i="4"/>
  <c r="AH170" i="4"/>
  <c r="AF170" i="4"/>
  <c r="S137" i="13"/>
  <c r="T137" i="13" s="1"/>
  <c r="AC15" i="4"/>
  <c r="AB69" i="4"/>
  <c r="AE15" i="4"/>
  <c r="S357" i="13"/>
  <c r="T357" i="13" s="1"/>
  <c r="S113" i="13"/>
  <c r="T113" i="13" s="1"/>
  <c r="AC114" i="4"/>
  <c r="AE114" i="4"/>
  <c r="U174" i="13" s="1"/>
  <c r="V174" i="13" s="1"/>
  <c r="S365" i="13"/>
  <c r="T365" i="13" s="1"/>
  <c r="S121" i="13"/>
  <c r="T121" i="13" s="1"/>
  <c r="AE122" i="4"/>
  <c r="AC122" i="4"/>
  <c r="S182" i="13"/>
  <c r="T182" i="13" s="1"/>
  <c r="W87" i="13"/>
  <c r="AI88" i="4"/>
  <c r="AK88" i="4"/>
  <c r="S330" i="13"/>
  <c r="T330" i="13" s="1"/>
  <c r="S86" i="13"/>
  <c r="T86" i="13" s="1"/>
  <c r="AC87" i="4"/>
  <c r="AE87" i="4"/>
  <c r="S147" i="13"/>
  <c r="T147" i="13" s="1"/>
  <c r="AK41" i="4"/>
  <c r="AI41" i="4"/>
  <c r="U355" i="13"/>
  <c r="V355" i="13" s="1"/>
  <c r="U111" i="13"/>
  <c r="V111" i="13" s="1"/>
  <c r="AH112" i="4"/>
  <c r="W355" i="13" s="1"/>
  <c r="AF112" i="4"/>
  <c r="U172" i="13"/>
  <c r="V172" i="13" s="1"/>
  <c r="U322" i="13"/>
  <c r="U78" i="13"/>
  <c r="V78" i="13" s="1"/>
  <c r="AF79" i="4"/>
  <c r="AH79" i="4"/>
  <c r="W322" i="13" s="1"/>
  <c r="U139" i="13"/>
  <c r="V139" i="13" s="1"/>
  <c r="AF245" i="4"/>
  <c r="AH245" i="4"/>
  <c r="S158" i="13"/>
  <c r="T158" i="13" s="1"/>
  <c r="AE36" i="4"/>
  <c r="AC36" i="4"/>
  <c r="AI81" i="4"/>
  <c r="W80" i="13"/>
  <c r="AK81" i="4"/>
  <c r="W141" i="13"/>
  <c r="AE145" i="4"/>
  <c r="AC145" i="4"/>
  <c r="AB194" i="4"/>
  <c r="AC194" i="4" s="1"/>
  <c r="AF171" i="4"/>
  <c r="AH171" i="4"/>
  <c r="AF162" i="4"/>
  <c r="AH162" i="4"/>
  <c r="AI250" i="4"/>
  <c r="AK250" i="4"/>
  <c r="AF57" i="4"/>
  <c r="AH57" i="4"/>
  <c r="S346" i="13"/>
  <c r="T346" i="13" s="1"/>
  <c r="S102" i="13"/>
  <c r="T102" i="13" s="1"/>
  <c r="AE103" i="4"/>
  <c r="AC103" i="4"/>
  <c r="S163" i="13"/>
  <c r="T163" i="13" s="1"/>
  <c r="S326" i="13"/>
  <c r="T326" i="13" s="1"/>
  <c r="S82" i="13"/>
  <c r="T82" i="13" s="1"/>
  <c r="AE83" i="4"/>
  <c r="AC83" i="4"/>
  <c r="Z132" i="4"/>
  <c r="AI176" i="4"/>
  <c r="AK176" i="4"/>
  <c r="U177" i="13"/>
  <c r="V177" i="13" s="1"/>
  <c r="AF55" i="4"/>
  <c r="AH55" i="4"/>
  <c r="AF178" i="4"/>
  <c r="AH178" i="4"/>
  <c r="AK93" i="4"/>
  <c r="W92" i="13"/>
  <c r="AI93" i="4"/>
  <c r="AH148" i="4"/>
  <c r="AF148" i="4"/>
  <c r="U338" i="13"/>
  <c r="V338" i="13" s="1"/>
  <c r="U94" i="13"/>
  <c r="V94" i="13" s="1"/>
  <c r="AH95" i="4"/>
  <c r="W338" i="13" s="1"/>
  <c r="AF95" i="4"/>
  <c r="S179" i="13"/>
  <c r="T179" i="13" s="1"/>
  <c r="S358" i="13"/>
  <c r="T358" i="13" s="1"/>
  <c r="S114" i="13"/>
  <c r="T114" i="13" s="1"/>
  <c r="AE115" i="4"/>
  <c r="AC115" i="4"/>
  <c r="S175" i="13"/>
  <c r="T175" i="13" s="1"/>
  <c r="X108" i="13"/>
  <c r="Y108" i="13"/>
  <c r="AK89" i="4"/>
  <c r="AI89" i="4"/>
  <c r="W88" i="13"/>
  <c r="U167" i="13"/>
  <c r="V167" i="13" s="1"/>
  <c r="AH45" i="4"/>
  <c r="AF45" i="4"/>
  <c r="S321" i="13"/>
  <c r="T321" i="13" s="1"/>
  <c r="S77" i="13"/>
  <c r="T77" i="13" s="1"/>
  <c r="AE78" i="4"/>
  <c r="AC78" i="4"/>
  <c r="S138" i="13"/>
  <c r="T138" i="13" s="1"/>
  <c r="AD65" i="5"/>
  <c r="AD60" i="5"/>
  <c r="R244" i="13"/>
  <c r="Q428" i="13"/>
  <c r="R428" i="13" s="1"/>
  <c r="S421" i="13"/>
  <c r="AI53" i="5"/>
  <c r="AI55" i="5"/>
  <c r="S423" i="13"/>
  <c r="AD26" i="5"/>
  <c r="R210" i="13"/>
  <c r="Q394" i="13"/>
  <c r="R394" i="13" s="1"/>
  <c r="S400" i="13"/>
  <c r="AI32" i="5"/>
  <c r="AD33" i="5"/>
  <c r="Q401" i="13"/>
  <c r="R401" i="13" s="1"/>
  <c r="R217" i="13"/>
  <c r="P409" i="13"/>
  <c r="AH44" i="5"/>
  <c r="S228" i="13" s="1"/>
  <c r="AD17" i="5"/>
  <c r="Q385" i="13"/>
  <c r="R385" i="13" s="1"/>
  <c r="R201" i="13"/>
  <c r="M229" i="13"/>
  <c r="P395" i="13"/>
  <c r="R427" i="13"/>
  <c r="AD35" i="5"/>
  <c r="Q403" i="13"/>
  <c r="R219" i="13"/>
  <c r="AH46" i="5"/>
  <c r="S230" i="13" s="1"/>
  <c r="Y34" i="5"/>
  <c r="O402" i="13"/>
  <c r="P211" i="13"/>
  <c r="AI59" i="5"/>
  <c r="S427" i="13"/>
  <c r="AD47" i="5"/>
  <c r="R231" i="13"/>
  <c r="Q415" i="13"/>
  <c r="R415" i="13" s="1"/>
  <c r="AD41" i="5"/>
  <c r="R225" i="13"/>
  <c r="Q409" i="13"/>
  <c r="R409" i="13" s="1"/>
  <c r="AH27" i="5"/>
  <c r="S211" i="13" s="1"/>
  <c r="Y21" i="5"/>
  <c r="O389" i="13"/>
  <c r="AR228" i="5"/>
  <c r="AN228" i="5"/>
  <c r="T214" i="13"/>
  <c r="S392" i="13"/>
  <c r="AI24" i="5"/>
  <c r="AH51" i="5"/>
  <c r="S235" i="13" s="1"/>
  <c r="AH17" i="5"/>
  <c r="S201" i="13" s="1"/>
  <c r="AI152" i="5"/>
  <c r="AM152" i="5"/>
  <c r="AD207" i="5"/>
  <c r="AH207" i="5"/>
  <c r="AH21" i="5" s="1"/>
  <c r="S205" i="13" s="1"/>
  <c r="AI93" i="5"/>
  <c r="AM93" i="5"/>
  <c r="AH36" i="5"/>
  <c r="S220" i="13" s="1"/>
  <c r="AM98" i="5"/>
  <c r="AI98" i="5"/>
  <c r="Y37" i="5"/>
  <c r="O405" i="13"/>
  <c r="P235" i="13"/>
  <c r="L413" i="13"/>
  <c r="M413" i="13"/>
  <c r="AD27" i="5"/>
  <c r="Q395" i="13"/>
  <c r="R211" i="13"/>
  <c r="AD158" i="5"/>
  <c r="AH158" i="5"/>
  <c r="AC34" i="5"/>
  <c r="Q218" i="13" s="1"/>
  <c r="P394" i="13"/>
  <c r="AD63" i="5"/>
  <c r="Q431" i="13"/>
  <c r="R431" i="13" s="1"/>
  <c r="AH61" i="5"/>
  <c r="S245" i="13" s="1"/>
  <c r="AI145" i="5"/>
  <c r="AM145" i="5"/>
  <c r="AD36" i="5"/>
  <c r="Q404" i="13"/>
  <c r="R404" i="13" s="1"/>
  <c r="R220" i="13"/>
  <c r="AC37" i="5"/>
  <c r="Q221" i="13" s="1"/>
  <c r="AD161" i="5"/>
  <c r="AH161" i="5"/>
  <c r="P419" i="13"/>
  <c r="AS96" i="5"/>
  <c r="AU96" i="5"/>
  <c r="AD61" i="5"/>
  <c r="Q429" i="13"/>
  <c r="R429" i="13" s="1"/>
  <c r="R245" i="13"/>
  <c r="AH28" i="5"/>
  <c r="S212" i="13" s="1"/>
  <c r="AM90" i="5"/>
  <c r="AI90" i="5"/>
  <c r="P210" i="13"/>
  <c r="T398" i="13"/>
  <c r="P217" i="13"/>
  <c r="AD19" i="5"/>
  <c r="Q387" i="13"/>
  <c r="R203" i="13"/>
  <c r="AD54" i="5"/>
  <c r="R238" i="13"/>
  <c r="Q422" i="13"/>
  <c r="R422" i="13" s="1"/>
  <c r="AC48" i="5"/>
  <c r="Q232" i="13" s="1"/>
  <c r="AH172" i="5"/>
  <c r="AD172" i="5"/>
  <c r="AD231" i="5"/>
  <c r="AH231" i="5"/>
  <c r="AH45" i="5" s="1"/>
  <c r="S229" i="13" s="1"/>
  <c r="Y52" i="5"/>
  <c r="O420" i="13"/>
  <c r="AD57" i="5"/>
  <c r="R241" i="13"/>
  <c r="Q425" i="13"/>
  <c r="R425" i="13" s="1"/>
  <c r="P431" i="13"/>
  <c r="Y58" i="5"/>
  <c r="O426" i="13"/>
  <c r="AM170" i="5"/>
  <c r="AI170" i="5"/>
  <c r="AD28" i="5"/>
  <c r="Q396" i="13"/>
  <c r="R396" i="13" s="1"/>
  <c r="R212" i="13"/>
  <c r="R239" i="13"/>
  <c r="P401" i="13"/>
  <c r="S424" i="13"/>
  <c r="AI56" i="5"/>
  <c r="AD21" i="5"/>
  <c r="Q389" i="13"/>
  <c r="AI64" i="5"/>
  <c r="P247" i="13"/>
  <c r="AD16" i="5"/>
  <c r="R200" i="13"/>
  <c r="Q384" i="13"/>
  <c r="R384" i="13" s="1"/>
  <c r="AC58" i="5"/>
  <c r="Q242" i="13" s="1"/>
  <c r="AH182" i="5"/>
  <c r="AD182" i="5"/>
  <c r="M402" i="13"/>
  <c r="L402" i="13"/>
  <c r="Y48" i="5"/>
  <c r="O416" i="13"/>
  <c r="Y45" i="5"/>
  <c r="O413" i="13"/>
  <c r="AI77" i="5"/>
  <c r="AM77" i="5"/>
  <c r="AD67" i="5"/>
  <c r="S388" i="13"/>
  <c r="AI20" i="5"/>
  <c r="AI85" i="5"/>
  <c r="AM85" i="5"/>
  <c r="M218" i="13"/>
  <c r="AC45" i="5"/>
  <c r="Q229" i="13" s="1"/>
  <c r="M206" i="13"/>
  <c r="AD165" i="5"/>
  <c r="AH165" i="5"/>
  <c r="AH41" i="5" s="1"/>
  <c r="S225" i="13" s="1"/>
  <c r="AI89" i="5"/>
  <c r="AM89" i="5"/>
  <c r="AH140" i="5"/>
  <c r="AH16" i="5" s="1"/>
  <c r="S200" i="13" s="1"/>
  <c r="AD140" i="5"/>
  <c r="AH157" i="5"/>
  <c r="AH33" i="5" s="1"/>
  <c r="S217" i="13" s="1"/>
  <c r="AD157" i="5"/>
  <c r="L390" i="13"/>
  <c r="M390" i="13"/>
  <c r="AI185" i="5"/>
  <c r="AM185" i="5"/>
  <c r="AD176" i="5"/>
  <c r="AH176" i="5"/>
  <c r="AI223" i="5"/>
  <c r="AM223" i="5"/>
  <c r="AI232" i="5"/>
  <c r="AM232" i="5"/>
  <c r="AM118" i="5"/>
  <c r="AM56" i="5" s="1"/>
  <c r="U240" i="13" s="1"/>
  <c r="AI118" i="5"/>
  <c r="AR180" i="5"/>
  <c r="AN180" i="5"/>
  <c r="AI88" i="5"/>
  <c r="AM88" i="5"/>
  <c r="AI144" i="5"/>
  <c r="AM144" i="5"/>
  <c r="AM20" i="5" s="1"/>
  <c r="U204" i="13" s="1"/>
  <c r="L422" i="13"/>
  <c r="M422" i="13"/>
  <c r="P422" i="13"/>
  <c r="AM250" i="5"/>
  <c r="AI250" i="5"/>
  <c r="AM95" i="5"/>
  <c r="AI95" i="5"/>
  <c r="P238" i="13"/>
  <c r="M238" i="13"/>
  <c r="AM142" i="5"/>
  <c r="AI142" i="5"/>
  <c r="M224" i="13"/>
  <c r="P224" i="13"/>
  <c r="AM247" i="5"/>
  <c r="AI247" i="5"/>
  <c r="AM205" i="5"/>
  <c r="AI205" i="5"/>
  <c r="L408" i="13"/>
  <c r="P408" i="13"/>
  <c r="M408" i="13"/>
  <c r="AD178" i="5"/>
  <c r="AH178" i="5"/>
  <c r="AH54" i="5" s="1"/>
  <c r="S238" i="13" s="1"/>
  <c r="P208" i="13"/>
  <c r="M208" i="13"/>
  <c r="P230" i="13"/>
  <c r="M230" i="13"/>
  <c r="P392" i="13"/>
  <c r="L392" i="13"/>
  <c r="M392" i="13"/>
  <c r="AM202" i="5"/>
  <c r="AI202" i="5"/>
  <c r="AI169" i="5"/>
  <c r="AM169" i="5"/>
  <c r="P414" i="13"/>
  <c r="L414" i="13"/>
  <c r="M414" i="13"/>
  <c r="AI190" i="5"/>
  <c r="AM190" i="5"/>
  <c r="AU109" i="5"/>
  <c r="AS109" i="5"/>
  <c r="AN183" i="5"/>
  <c r="AR183" i="5"/>
  <c r="P226" i="13"/>
  <c r="M226" i="13"/>
  <c r="AS148" i="5"/>
  <c r="AU148" i="5"/>
  <c r="AM108" i="5"/>
  <c r="AI108" i="5"/>
  <c r="M410" i="13"/>
  <c r="L410" i="13"/>
  <c r="P410" i="13"/>
  <c r="AI221" i="5"/>
  <c r="AM221" i="5"/>
  <c r="AD143" i="5"/>
  <c r="AH143" i="5"/>
  <c r="AH19" i="5" s="1"/>
  <c r="S203" i="13" s="1"/>
  <c r="M387" i="13"/>
  <c r="P387" i="13"/>
  <c r="L387" i="13"/>
  <c r="AI175" i="5"/>
  <c r="AM175" i="5"/>
  <c r="P203" i="13"/>
  <c r="M203" i="13"/>
  <c r="I33" i="1"/>
  <c r="H13" i="2" s="1"/>
  <c r="AH200" i="5"/>
  <c r="AD200" i="5"/>
  <c r="AM191" i="5"/>
  <c r="AI191" i="5"/>
  <c r="AM127" i="5"/>
  <c r="AI127" i="5"/>
  <c r="M403" i="13"/>
  <c r="P403" i="13"/>
  <c r="L403" i="13"/>
  <c r="AN208" i="5"/>
  <c r="AR208" i="5"/>
  <c r="AI166" i="5"/>
  <c r="AM166" i="5"/>
  <c r="AN177" i="5"/>
  <c r="AR177" i="5"/>
  <c r="AH159" i="5"/>
  <c r="AH35" i="5" s="1"/>
  <c r="S219" i="13" s="1"/>
  <c r="AD159" i="5"/>
  <c r="AH189" i="5"/>
  <c r="AH65" i="5" s="1"/>
  <c r="AD189" i="5"/>
  <c r="AM203" i="5"/>
  <c r="AI203" i="5"/>
  <c r="M219" i="13"/>
  <c r="P219" i="13"/>
  <c r="AN149" i="5"/>
  <c r="AR149" i="5"/>
  <c r="AH150" i="5"/>
  <c r="AH26" i="5" s="1"/>
  <c r="S210" i="13" s="1"/>
  <c r="AD150" i="5"/>
  <c r="AS216" i="5"/>
  <c r="AU216" i="5"/>
  <c r="AD147" i="5"/>
  <c r="AH147" i="5"/>
  <c r="AI239" i="5"/>
  <c r="AM239" i="5"/>
  <c r="AM53" i="5" s="1"/>
  <c r="U237" i="13" s="1"/>
  <c r="AD181" i="5"/>
  <c r="AH181" i="5"/>
  <c r="AH57" i="5" s="1"/>
  <c r="S241" i="13" s="1"/>
  <c r="AN171" i="5"/>
  <c r="AR171" i="5"/>
  <c r="AD217" i="5"/>
  <c r="AH217" i="5"/>
  <c r="L399" i="13"/>
  <c r="M399" i="13"/>
  <c r="AI241" i="5"/>
  <c r="AM241" i="5"/>
  <c r="AM55" i="5" s="1"/>
  <c r="U239" i="13" s="1"/>
  <c r="O382" i="13"/>
  <c r="P382" i="13" s="1"/>
  <c r="P198" i="13"/>
  <c r="AR81" i="5"/>
  <c r="AN81" i="5"/>
  <c r="AN110" i="5"/>
  <c r="AR110" i="5"/>
  <c r="M423" i="13"/>
  <c r="L423" i="13"/>
  <c r="P423" i="13"/>
  <c r="AN179" i="5"/>
  <c r="AR179" i="5"/>
  <c r="AI240" i="5"/>
  <c r="AM240" i="5"/>
  <c r="AN160" i="5"/>
  <c r="AR160" i="5"/>
  <c r="AI210" i="5"/>
  <c r="AM210" i="5"/>
  <c r="AM24" i="5" s="1"/>
  <c r="U208" i="13" s="1"/>
  <c r="AI213" i="5"/>
  <c r="AM213" i="5"/>
  <c r="AI218" i="5"/>
  <c r="AM218" i="5"/>
  <c r="AM32" i="5" s="1"/>
  <c r="U216" i="13" s="1"/>
  <c r="AI234" i="5"/>
  <c r="AM234" i="5"/>
  <c r="AM78" i="5"/>
  <c r="AI78" i="5"/>
  <c r="AN87" i="5"/>
  <c r="AR87" i="5"/>
  <c r="L407" i="13"/>
  <c r="M407" i="13"/>
  <c r="AM124" i="5"/>
  <c r="AI124" i="5"/>
  <c r="P241" i="13"/>
  <c r="M241" i="13"/>
  <c r="AR91" i="5"/>
  <c r="AN91" i="5"/>
  <c r="AM106" i="5"/>
  <c r="AI106" i="5"/>
  <c r="AM84" i="5"/>
  <c r="AI84" i="5"/>
  <c r="AD138" i="5"/>
  <c r="AH138" i="5"/>
  <c r="AR122" i="5"/>
  <c r="AN122" i="5"/>
  <c r="AR154" i="5"/>
  <c r="AR30" i="5" s="1"/>
  <c r="W214" i="13" s="1"/>
  <c r="AN154" i="5"/>
  <c r="AI184" i="5"/>
  <c r="AM184" i="5"/>
  <c r="AN212" i="5"/>
  <c r="AR212" i="5"/>
  <c r="AR125" i="5"/>
  <c r="AN125" i="5"/>
  <c r="AM219" i="5"/>
  <c r="AI219" i="5"/>
  <c r="AH201" i="5"/>
  <c r="AD201" i="5"/>
  <c r="AD209" i="5"/>
  <c r="AH209" i="5"/>
  <c r="AI168" i="5"/>
  <c r="AM168" i="5"/>
  <c r="AN115" i="5"/>
  <c r="AR115" i="5"/>
  <c r="AS206" i="5"/>
  <c r="AU206" i="5"/>
  <c r="Y192" i="5"/>
  <c r="AD155" i="5"/>
  <c r="AH155" i="5"/>
  <c r="AM119" i="5"/>
  <c r="AI119" i="5"/>
  <c r="AN162" i="5"/>
  <c r="AR162" i="5"/>
  <c r="AI186" i="5"/>
  <c r="AM186" i="5"/>
  <c r="AN167" i="5"/>
  <c r="AR167" i="5"/>
  <c r="AD139" i="5"/>
  <c r="AH139" i="5"/>
  <c r="M231" i="13"/>
  <c r="P231" i="13"/>
  <c r="AI252" i="5"/>
  <c r="AM252" i="5"/>
  <c r="AM64" i="5" s="1"/>
  <c r="AR126" i="5"/>
  <c r="AN126" i="5"/>
  <c r="P425" i="13"/>
  <c r="M425" i="13"/>
  <c r="L425" i="13"/>
  <c r="AN224" i="5"/>
  <c r="AR224" i="5"/>
  <c r="AR107" i="5"/>
  <c r="AN107" i="5"/>
  <c r="P199" i="13"/>
  <c r="M199" i="13"/>
  <c r="AR128" i="5"/>
  <c r="AN128" i="5"/>
  <c r="AH233" i="5"/>
  <c r="AH47" i="5" s="1"/>
  <c r="S231" i="13" s="1"/>
  <c r="AD233" i="5"/>
  <c r="AI251" i="5"/>
  <c r="AM251" i="5"/>
  <c r="P415" i="13"/>
  <c r="L415" i="13"/>
  <c r="M415" i="13"/>
  <c r="M239" i="13"/>
  <c r="P239" i="13"/>
  <c r="M215" i="13"/>
  <c r="P215" i="13"/>
  <c r="L383" i="13"/>
  <c r="M383" i="13"/>
  <c r="AI220" i="5"/>
  <c r="AM220" i="5"/>
  <c r="AN82" i="5"/>
  <c r="AR82" i="5"/>
  <c r="AN116" i="5"/>
  <c r="AR116" i="5"/>
  <c r="AI141" i="5"/>
  <c r="AM141" i="5"/>
  <c r="AH225" i="5"/>
  <c r="AH39" i="5" s="1"/>
  <c r="S223" i="13" s="1"/>
  <c r="AD225" i="5"/>
  <c r="M223" i="13"/>
  <c r="P223" i="13"/>
  <c r="P228" i="13"/>
  <c r="M228" i="13"/>
  <c r="P212" i="13"/>
  <c r="M212" i="13"/>
  <c r="AU315" i="5"/>
  <c r="AS315" i="5"/>
  <c r="P404" i="13"/>
  <c r="L404" i="13"/>
  <c r="M404" i="13"/>
  <c r="AN236" i="5"/>
  <c r="AR236" i="5"/>
  <c r="AM113" i="5"/>
  <c r="AI113" i="5"/>
  <c r="AI245" i="5"/>
  <c r="AM245" i="5"/>
  <c r="AM59" i="5" s="1"/>
  <c r="U243" i="13" s="1"/>
  <c r="AD238" i="5"/>
  <c r="AH238" i="5"/>
  <c r="AN227" i="5"/>
  <c r="AR227" i="5"/>
  <c r="AN235" i="5"/>
  <c r="AR235" i="5"/>
  <c r="AN243" i="5"/>
  <c r="AR243" i="5"/>
  <c r="AC254" i="5"/>
  <c r="AD254" i="5" s="1"/>
  <c r="AM222" i="5"/>
  <c r="AI222" i="5"/>
  <c r="S68" i="5"/>
  <c r="Q68" i="5"/>
  <c r="AI253" i="5"/>
  <c r="AM253" i="5"/>
  <c r="AR248" i="5"/>
  <c r="AN248" i="5"/>
  <c r="AI230" i="5"/>
  <c r="AM230" i="5"/>
  <c r="AN226" i="5"/>
  <c r="AR226" i="5"/>
  <c r="AI214" i="5"/>
  <c r="AM214" i="5"/>
  <c r="AS242" i="5"/>
  <c r="AU242" i="5"/>
  <c r="G36" i="30"/>
  <c r="F34" i="30"/>
  <c r="P412" i="13"/>
  <c r="L412" i="13"/>
  <c r="M412" i="13"/>
  <c r="P396" i="13"/>
  <c r="L396" i="13"/>
  <c r="M396" i="13"/>
  <c r="P220" i="13"/>
  <c r="M220" i="13"/>
  <c r="AH130" i="5"/>
  <c r="AD130" i="5"/>
  <c r="AD249" i="5"/>
  <c r="AH249" i="5"/>
  <c r="AH63" i="5" s="1"/>
  <c r="S247" i="13" s="1"/>
  <c r="AH246" i="5"/>
  <c r="AH60" i="5" s="1"/>
  <c r="S244" i="13" s="1"/>
  <c r="AD246" i="5"/>
  <c r="AR244" i="5"/>
  <c r="AN244" i="5"/>
  <c r="AF143" i="4" l="1"/>
  <c r="AH143" i="4"/>
  <c r="AF231" i="4"/>
  <c r="AH231" i="4"/>
  <c r="AF175" i="4"/>
  <c r="AH175" i="4"/>
  <c r="AH237" i="4"/>
  <c r="AF237" i="4"/>
  <c r="AR188" i="5"/>
  <c r="AN188" i="5"/>
  <c r="AN86" i="5"/>
  <c r="AR86" i="5"/>
  <c r="S224" i="13"/>
  <c r="T224" i="13" s="1"/>
  <c r="AI40" i="5"/>
  <c r="S408" i="13"/>
  <c r="T408" i="13" s="1"/>
  <c r="AN102" i="5"/>
  <c r="AR102" i="5"/>
  <c r="AM40" i="5"/>
  <c r="AR79" i="5"/>
  <c r="AN79" i="5"/>
  <c r="W349" i="13"/>
  <c r="AI106" i="4"/>
  <c r="AE132" i="4"/>
  <c r="AU99" i="5"/>
  <c r="AS99" i="5"/>
  <c r="U334" i="13"/>
  <c r="V334" i="13" s="1"/>
  <c r="V116" i="13"/>
  <c r="AK120" i="4"/>
  <c r="AI120" i="4"/>
  <c r="U90" i="13"/>
  <c r="V90" i="13" s="1"/>
  <c r="U151" i="13"/>
  <c r="V151" i="13" s="1"/>
  <c r="AF91" i="4"/>
  <c r="W119" i="13"/>
  <c r="X119" i="13" s="1"/>
  <c r="S430" i="13"/>
  <c r="T430" i="13" s="1"/>
  <c r="AI62" i="5"/>
  <c r="Q407" i="13"/>
  <c r="R407" i="13" s="1"/>
  <c r="Q223" i="13"/>
  <c r="R223" i="13" s="1"/>
  <c r="AN25" i="5"/>
  <c r="U209" i="13"/>
  <c r="V209" i="13" s="1"/>
  <c r="AD14" i="5"/>
  <c r="Q198" i="13"/>
  <c r="R198" i="13" s="1"/>
  <c r="AI66" i="5"/>
  <c r="Q383" i="13"/>
  <c r="R383" i="13" s="1"/>
  <c r="Q199" i="13"/>
  <c r="R199" i="13" s="1"/>
  <c r="S386" i="13"/>
  <c r="T386" i="13" s="1"/>
  <c r="S202" i="13"/>
  <c r="T202" i="13" s="1"/>
  <c r="AD31" i="5"/>
  <c r="Q215" i="13"/>
  <c r="R215" i="13" s="1"/>
  <c r="Q420" i="13"/>
  <c r="R420" i="13" s="1"/>
  <c r="Q236" i="13"/>
  <c r="R236" i="13" s="1"/>
  <c r="AK96" i="4"/>
  <c r="W95" i="13"/>
  <c r="Y95" i="13" s="1"/>
  <c r="AH223" i="4"/>
  <c r="AF223" i="4"/>
  <c r="AH215" i="4"/>
  <c r="AF215" i="4"/>
  <c r="AI241" i="4"/>
  <c r="AK241" i="4"/>
  <c r="AF218" i="4"/>
  <c r="AH218" i="4"/>
  <c r="AH174" i="4"/>
  <c r="AF174" i="4"/>
  <c r="AF157" i="4"/>
  <c r="AH157" i="4"/>
  <c r="AF141" i="4"/>
  <c r="AH141" i="4"/>
  <c r="AF165" i="4"/>
  <c r="AH165" i="4"/>
  <c r="AI186" i="4"/>
  <c r="AK186" i="4"/>
  <c r="AI96" i="4"/>
  <c r="U343" i="13"/>
  <c r="V343" i="13" s="1"/>
  <c r="U99" i="13"/>
  <c r="V99" i="13" s="1"/>
  <c r="U160" i="13"/>
  <c r="V160" i="13" s="1"/>
  <c r="AI105" i="4"/>
  <c r="AK105" i="4"/>
  <c r="W104" i="13"/>
  <c r="X104" i="13" s="1"/>
  <c r="AH100" i="4"/>
  <c r="W343" i="13" s="1"/>
  <c r="AK116" i="4"/>
  <c r="AI116" i="4"/>
  <c r="W176" i="13"/>
  <c r="X176" i="13" s="1"/>
  <c r="W115" i="13"/>
  <c r="X115" i="13" s="1"/>
  <c r="U368" i="13"/>
  <c r="V368" i="13" s="1"/>
  <c r="U124" i="13"/>
  <c r="V124" i="13" s="1"/>
  <c r="AH125" i="4"/>
  <c r="W185" i="13" s="1"/>
  <c r="AF125" i="4"/>
  <c r="V322" i="13"/>
  <c r="X322" i="13"/>
  <c r="AM18" i="5"/>
  <c r="U202" i="13" s="1"/>
  <c r="AI42" i="5"/>
  <c r="S410" i="13"/>
  <c r="T410" i="13" s="1"/>
  <c r="AM42" i="5"/>
  <c r="AN151" i="5"/>
  <c r="AR151" i="5"/>
  <c r="AS94" i="5"/>
  <c r="AU94" i="5"/>
  <c r="AR237" i="5"/>
  <c r="AN237" i="5"/>
  <c r="AR104" i="5"/>
  <c r="AN104" i="5"/>
  <c r="AN114" i="5"/>
  <c r="AR114" i="5"/>
  <c r="AR120" i="5"/>
  <c r="AN120" i="5"/>
  <c r="AU76" i="5"/>
  <c r="AS76" i="5"/>
  <c r="AR123" i="5"/>
  <c r="AN123" i="5"/>
  <c r="V222" i="13"/>
  <c r="AI181" i="4"/>
  <c r="AK181" i="4"/>
  <c r="AF173" i="4"/>
  <c r="AH173" i="4"/>
  <c r="AK249" i="4"/>
  <c r="AI249" i="4"/>
  <c r="AK253" i="4"/>
  <c r="AI253" i="4"/>
  <c r="AI227" i="4"/>
  <c r="AK227" i="4"/>
  <c r="AH158" i="4"/>
  <c r="AF158" i="4"/>
  <c r="AI234" i="4"/>
  <c r="AK234" i="4"/>
  <c r="Y68" i="13"/>
  <c r="X68" i="13"/>
  <c r="J72" i="30"/>
  <c r="I70" i="30"/>
  <c r="G22" i="2" s="1"/>
  <c r="I88" i="30"/>
  <c r="AM67" i="5"/>
  <c r="I54" i="30"/>
  <c r="H52" i="30"/>
  <c r="AM61" i="5"/>
  <c r="U245" i="13" s="1"/>
  <c r="AR38" i="5"/>
  <c r="W222" i="13" s="1"/>
  <c r="AM66" i="5"/>
  <c r="AC68" i="5"/>
  <c r="AD68" i="5" s="1"/>
  <c r="AD52" i="5"/>
  <c r="AD15" i="5"/>
  <c r="W398" i="13"/>
  <c r="Y398" i="13" s="1"/>
  <c r="AS30" i="5"/>
  <c r="X214" i="13"/>
  <c r="AU30" i="5"/>
  <c r="AM62" i="5"/>
  <c r="AI67" i="5"/>
  <c r="AI18" i="5"/>
  <c r="R207" i="13"/>
  <c r="R205" i="13"/>
  <c r="AD39" i="5"/>
  <c r="AR25" i="5"/>
  <c r="W209" i="13" s="1"/>
  <c r="AM44" i="5"/>
  <c r="U228" i="13" s="1"/>
  <c r="V240" i="13"/>
  <c r="AN56" i="5"/>
  <c r="AM46" i="5"/>
  <c r="Q391" i="13"/>
  <c r="R391" i="13" s="1"/>
  <c r="AR111" i="5"/>
  <c r="AN111" i="5"/>
  <c r="AD23" i="5"/>
  <c r="U393" i="13"/>
  <c r="V393" i="13" s="1"/>
  <c r="AM51" i="5"/>
  <c r="AM36" i="5"/>
  <c r="U220" i="13" s="1"/>
  <c r="AM27" i="5"/>
  <c r="U211" i="13" s="1"/>
  <c r="AN80" i="5"/>
  <c r="AR80" i="5"/>
  <c r="AI216" i="4"/>
  <c r="AK216" i="4"/>
  <c r="AH244" i="4"/>
  <c r="AF244" i="4"/>
  <c r="AK214" i="4"/>
  <c r="AI214" i="4"/>
  <c r="AH222" i="4"/>
  <c r="AF222" i="4"/>
  <c r="AI251" i="4"/>
  <c r="AK251" i="4"/>
  <c r="AH229" i="4"/>
  <c r="AF229" i="4"/>
  <c r="AI164" i="4"/>
  <c r="AK164" i="4"/>
  <c r="AF155" i="4"/>
  <c r="AH155" i="4"/>
  <c r="AF182" i="4"/>
  <c r="AH182" i="4"/>
  <c r="AF147" i="4"/>
  <c r="AH147" i="4"/>
  <c r="AH191" i="4"/>
  <c r="AF191" i="4"/>
  <c r="U323" i="13"/>
  <c r="AH80" i="4"/>
  <c r="W323" i="13" s="1"/>
  <c r="U79" i="13"/>
  <c r="V79" i="13" s="1"/>
  <c r="AF80" i="4"/>
  <c r="T356" i="13"/>
  <c r="U356" i="13"/>
  <c r="V356" i="13" s="1"/>
  <c r="U112" i="13"/>
  <c r="V112" i="13" s="1"/>
  <c r="AH113" i="4"/>
  <c r="AF113" i="4"/>
  <c r="AF34" i="4"/>
  <c r="AH34" i="4"/>
  <c r="U156" i="13"/>
  <c r="V156" i="13" s="1"/>
  <c r="U164" i="13"/>
  <c r="V164" i="13" s="1"/>
  <c r="AF42" i="4"/>
  <c r="AH42" i="4"/>
  <c r="U140" i="13"/>
  <c r="V140" i="13" s="1"/>
  <c r="AH18" i="4"/>
  <c r="AF18" i="4"/>
  <c r="AF53" i="4"/>
  <c r="AH53" i="4"/>
  <c r="AN38" i="5"/>
  <c r="AN53" i="5"/>
  <c r="V237" i="13"/>
  <c r="U421" i="13"/>
  <c r="V421" i="13" s="1"/>
  <c r="AN32" i="5"/>
  <c r="AN59" i="5"/>
  <c r="V243" i="13"/>
  <c r="AM17" i="5"/>
  <c r="AH23" i="5"/>
  <c r="AS204" i="5"/>
  <c r="AU204" i="5"/>
  <c r="AI43" i="5"/>
  <c r="S411" i="13"/>
  <c r="T411" i="13" s="1"/>
  <c r="T227" i="13"/>
  <c r="AM43" i="5"/>
  <c r="U227" i="13" s="1"/>
  <c r="AN229" i="5"/>
  <c r="AR229" i="5"/>
  <c r="AN55" i="5"/>
  <c r="V239" i="13"/>
  <c r="AM28" i="5"/>
  <c r="U400" i="13"/>
  <c r="V400" i="13" s="1"/>
  <c r="AN64" i="5"/>
  <c r="AN24" i="5"/>
  <c r="T234" i="13"/>
  <c r="AI146" i="5"/>
  <c r="AM146" i="5"/>
  <c r="T418" i="13"/>
  <c r="AH22" i="5"/>
  <c r="S206" i="13" s="1"/>
  <c r="R390" i="13"/>
  <c r="R206" i="13"/>
  <c r="Q399" i="13"/>
  <c r="R399" i="13" s="1"/>
  <c r="AM50" i="5"/>
  <c r="U234" i="13" s="1"/>
  <c r="AN174" i="5"/>
  <c r="AR174" i="5"/>
  <c r="AN187" i="5"/>
  <c r="AR187" i="5"/>
  <c r="AH49" i="5"/>
  <c r="S233" i="13" s="1"/>
  <c r="AM173" i="5"/>
  <c r="AI173" i="5"/>
  <c r="AM163" i="5"/>
  <c r="AI163" i="5"/>
  <c r="AD49" i="5"/>
  <c r="R233" i="13"/>
  <c r="Q417" i="13"/>
  <c r="R417" i="13" s="1"/>
  <c r="AH29" i="5"/>
  <c r="S213" i="13" s="1"/>
  <c r="AI153" i="5"/>
  <c r="AM153" i="5"/>
  <c r="R213" i="13"/>
  <c r="Q397" i="13"/>
  <c r="R397" i="13" s="1"/>
  <c r="AD29" i="5"/>
  <c r="AH31" i="5"/>
  <c r="AH15" i="5"/>
  <c r="S199" i="13" s="1"/>
  <c r="V204" i="13"/>
  <c r="AN20" i="5"/>
  <c r="AI203" i="4"/>
  <c r="AK203" i="4"/>
  <c r="AK210" i="4"/>
  <c r="AI210" i="4"/>
  <c r="U342" i="13"/>
  <c r="V342" i="13" s="1"/>
  <c r="U98" i="13"/>
  <c r="V98" i="13" s="1"/>
  <c r="AF99" i="4"/>
  <c r="AH99" i="4"/>
  <c r="W342" i="13" s="1"/>
  <c r="AH140" i="4"/>
  <c r="AF140" i="4"/>
  <c r="AI238" i="4"/>
  <c r="AK238" i="4"/>
  <c r="AF172" i="4"/>
  <c r="AH172" i="4"/>
  <c r="V179" i="13"/>
  <c r="AK92" i="4"/>
  <c r="AI92" i="4"/>
  <c r="W91" i="13"/>
  <c r="AK106" i="4"/>
  <c r="W105" i="13"/>
  <c r="AI202" i="4"/>
  <c r="AK202" i="4"/>
  <c r="AF154" i="4"/>
  <c r="AH154" i="4"/>
  <c r="AI230" i="4"/>
  <c r="AK230" i="4"/>
  <c r="AI17" i="4"/>
  <c r="AK17" i="4"/>
  <c r="AF146" i="4"/>
  <c r="AH146" i="4"/>
  <c r="U328" i="13"/>
  <c r="V328" i="13" s="1"/>
  <c r="U84" i="13"/>
  <c r="V84" i="13" s="1"/>
  <c r="AF85" i="4"/>
  <c r="AH85" i="4"/>
  <c r="AF219" i="4"/>
  <c r="AH219" i="4"/>
  <c r="U369" i="13"/>
  <c r="V369" i="13" s="1"/>
  <c r="AF126" i="4"/>
  <c r="AH126" i="4"/>
  <c r="W369" i="13" s="1"/>
  <c r="U125" i="13"/>
  <c r="V125" i="13" s="1"/>
  <c r="U186" i="13"/>
  <c r="V186" i="13" s="1"/>
  <c r="AK217" i="4"/>
  <c r="AI217" i="4"/>
  <c r="AK16" i="4"/>
  <c r="AI16" i="4"/>
  <c r="AI104" i="4"/>
  <c r="AK104" i="4"/>
  <c r="W103" i="13"/>
  <c r="AI160" i="4"/>
  <c r="AK160" i="4"/>
  <c r="AI226" i="4"/>
  <c r="AK226" i="4"/>
  <c r="AK193" i="4"/>
  <c r="AI193" i="4"/>
  <c r="AF150" i="4"/>
  <c r="AH150" i="4"/>
  <c r="AK179" i="4"/>
  <c r="AI179" i="4"/>
  <c r="U320" i="13"/>
  <c r="V320" i="13" s="1"/>
  <c r="U76" i="13"/>
  <c r="V76" i="13" s="1"/>
  <c r="AF77" i="4"/>
  <c r="AH77" i="4"/>
  <c r="W320" i="13" s="1"/>
  <c r="U144" i="13"/>
  <c r="V144" i="13" s="1"/>
  <c r="AF84" i="4"/>
  <c r="U327" i="13"/>
  <c r="V327" i="13" s="1"/>
  <c r="U83" i="13"/>
  <c r="V83" i="13" s="1"/>
  <c r="AH84" i="4"/>
  <c r="W327" i="13" s="1"/>
  <c r="AI142" i="4"/>
  <c r="AK142" i="4"/>
  <c r="AI51" i="4"/>
  <c r="AK51" i="4"/>
  <c r="AK25" i="4"/>
  <c r="AI25" i="4"/>
  <c r="AH252" i="4"/>
  <c r="AF252" i="4"/>
  <c r="AK209" i="4"/>
  <c r="AI209" i="4"/>
  <c r="AI180" i="4"/>
  <c r="AK180" i="4"/>
  <c r="AH161" i="4"/>
  <c r="AF161" i="4"/>
  <c r="AK35" i="4"/>
  <c r="AI35" i="4"/>
  <c r="AH188" i="4"/>
  <c r="AF188" i="4"/>
  <c r="AI190" i="4"/>
  <c r="AK190" i="4"/>
  <c r="AF233" i="4"/>
  <c r="AH233" i="4"/>
  <c r="AI128" i="4"/>
  <c r="AK128" i="4"/>
  <c r="AK38" i="4"/>
  <c r="AI38" i="4"/>
  <c r="AH247" i="4"/>
  <c r="AF247" i="4"/>
  <c r="AF239" i="4"/>
  <c r="AH239" i="4"/>
  <c r="AF212" i="4"/>
  <c r="AH212" i="4"/>
  <c r="AI205" i="4"/>
  <c r="AK205" i="4"/>
  <c r="AH26" i="4"/>
  <c r="AF26" i="4"/>
  <c r="U148" i="13"/>
  <c r="V148" i="13" s="1"/>
  <c r="AI254" i="4"/>
  <c r="AK254" i="4"/>
  <c r="AK225" i="4"/>
  <c r="AI225" i="4"/>
  <c r="AI63" i="4"/>
  <c r="AK63" i="4"/>
  <c r="AF204" i="4"/>
  <c r="AH204" i="4"/>
  <c r="AF208" i="4"/>
  <c r="AH208" i="4"/>
  <c r="AI170" i="4"/>
  <c r="AK170" i="4"/>
  <c r="U159" i="13"/>
  <c r="V159" i="13" s="1"/>
  <c r="AH37" i="4"/>
  <c r="AF37" i="4"/>
  <c r="U321" i="13"/>
  <c r="U77" i="13"/>
  <c r="V77" i="13" s="1"/>
  <c r="AH78" i="4"/>
  <c r="AF78" i="4"/>
  <c r="U138" i="13"/>
  <c r="V138" i="13" s="1"/>
  <c r="AI148" i="4"/>
  <c r="AK148" i="4"/>
  <c r="W177" i="13"/>
  <c r="AI55" i="4"/>
  <c r="AK55" i="4"/>
  <c r="X87" i="13"/>
  <c r="Y87" i="13"/>
  <c r="AI23" i="4"/>
  <c r="AK23" i="4"/>
  <c r="W155" i="13"/>
  <c r="AK33" i="4"/>
  <c r="AI33" i="4"/>
  <c r="X348" i="13"/>
  <c r="Y348" i="13"/>
  <c r="AI184" i="4"/>
  <c r="AK184" i="4"/>
  <c r="AI121" i="4"/>
  <c r="AK121" i="4"/>
  <c r="W120" i="13"/>
  <c r="W181" i="13"/>
  <c r="W116" i="13"/>
  <c r="AK117" i="4"/>
  <c r="AI117" i="4"/>
  <c r="AI177" i="4"/>
  <c r="AK177" i="4"/>
  <c r="U353" i="13"/>
  <c r="V353" i="13" s="1"/>
  <c r="U109" i="13"/>
  <c r="V109" i="13" s="1"/>
  <c r="AF110" i="4"/>
  <c r="AH110" i="4"/>
  <c r="U183" i="13"/>
  <c r="V183" i="13" s="1"/>
  <c r="AF61" i="4"/>
  <c r="AH61" i="4"/>
  <c r="AF129" i="4"/>
  <c r="AH129" i="4"/>
  <c r="W169" i="13"/>
  <c r="AK47" i="4"/>
  <c r="AI47" i="4"/>
  <c r="W167" i="13"/>
  <c r="AK45" i="4"/>
  <c r="AI45" i="4"/>
  <c r="U346" i="13"/>
  <c r="V346" i="13" s="1"/>
  <c r="U102" i="13"/>
  <c r="V102" i="13" s="1"/>
  <c r="AF103" i="4"/>
  <c r="AH103" i="4"/>
  <c r="W346" i="13" s="1"/>
  <c r="U408" i="13"/>
  <c r="V408" i="13" s="1"/>
  <c r="U163" i="13"/>
  <c r="V163" i="13" s="1"/>
  <c r="AI162" i="4"/>
  <c r="AK162" i="4"/>
  <c r="AF145" i="4"/>
  <c r="AH145" i="4"/>
  <c r="AE194" i="4"/>
  <c r="AF194" i="4" s="1"/>
  <c r="U158" i="13"/>
  <c r="V158" i="13" s="1"/>
  <c r="AH36" i="4"/>
  <c r="AF36" i="4"/>
  <c r="AI79" i="4"/>
  <c r="AK79" i="4"/>
  <c r="W78" i="13"/>
  <c r="W139" i="13"/>
  <c r="AI112" i="4"/>
  <c r="W111" i="13"/>
  <c r="AK112" i="4"/>
  <c r="W172" i="13"/>
  <c r="AK90" i="4"/>
  <c r="W89" i="13"/>
  <c r="AI90" i="4"/>
  <c r="W150" i="13"/>
  <c r="G25" i="2"/>
  <c r="J15" i="30"/>
  <c r="G23" i="2"/>
  <c r="U146" i="13"/>
  <c r="V146" i="13" s="1"/>
  <c r="AH24" i="4"/>
  <c r="AF24" i="4"/>
  <c r="W151" i="13"/>
  <c r="AI29" i="4"/>
  <c r="AK29" i="4"/>
  <c r="AK185" i="4"/>
  <c r="AI185" i="4"/>
  <c r="W180" i="13"/>
  <c r="AK58" i="4"/>
  <c r="AI58" i="4"/>
  <c r="U154" i="13"/>
  <c r="V154" i="13" s="1"/>
  <c r="AH32" i="4"/>
  <c r="AF32" i="4"/>
  <c r="U161" i="13"/>
  <c r="V161" i="13" s="1"/>
  <c r="AF39" i="4"/>
  <c r="AH39" i="4"/>
  <c r="U351" i="13"/>
  <c r="V351" i="13" s="1"/>
  <c r="U107" i="13"/>
  <c r="V107" i="13" s="1"/>
  <c r="AH108" i="4"/>
  <c r="W351" i="13" s="1"/>
  <c r="AF108" i="4"/>
  <c r="AH201" i="4"/>
  <c r="AE255" i="4"/>
  <c r="AF255" i="4" s="1"/>
  <c r="AF201" i="4"/>
  <c r="Y92" i="13"/>
  <c r="X92" i="13"/>
  <c r="Y141" i="13"/>
  <c r="X141" i="13"/>
  <c r="Y331" i="13"/>
  <c r="X331" i="13"/>
  <c r="U137" i="13"/>
  <c r="V137" i="13" s="1"/>
  <c r="AF15" i="4"/>
  <c r="AE69" i="4"/>
  <c r="AH15" i="4"/>
  <c r="U143" i="13"/>
  <c r="V143" i="13" s="1"/>
  <c r="AH21" i="4"/>
  <c r="AF21" i="4"/>
  <c r="AK52" i="4"/>
  <c r="AI52" i="4"/>
  <c r="AI159" i="4"/>
  <c r="AK159" i="4"/>
  <c r="U362" i="13"/>
  <c r="V362" i="13" s="1"/>
  <c r="U118" i="13"/>
  <c r="V118" i="13" s="1"/>
  <c r="AH119" i="4"/>
  <c r="AF119" i="4"/>
  <c r="U424" i="13"/>
  <c r="V424" i="13" s="1"/>
  <c r="U361" i="13"/>
  <c r="V361" i="13" s="1"/>
  <c r="U423" i="13"/>
  <c r="V423" i="13" s="1"/>
  <c r="U117" i="13"/>
  <c r="V117" i="13" s="1"/>
  <c r="AF118" i="4"/>
  <c r="AH118" i="4"/>
  <c r="W361" i="13" s="1"/>
  <c r="X88" i="13"/>
  <c r="Y88" i="13"/>
  <c r="AI245" i="4"/>
  <c r="AK245" i="4"/>
  <c r="X359" i="13"/>
  <c r="Y359" i="13"/>
  <c r="AC69" i="4"/>
  <c r="U325" i="13"/>
  <c r="U81" i="13"/>
  <c r="V81" i="13" s="1"/>
  <c r="AF82" i="4"/>
  <c r="AH82" i="4"/>
  <c r="W325" i="13" s="1"/>
  <c r="U142" i="13"/>
  <c r="V142" i="13" s="1"/>
  <c r="U168" i="13"/>
  <c r="V168" i="13" s="1"/>
  <c r="AF46" i="4"/>
  <c r="AH46" i="4"/>
  <c r="AI68" i="4"/>
  <c r="AK68" i="4"/>
  <c r="AK48" i="4"/>
  <c r="AI48" i="4"/>
  <c r="U358" i="13"/>
  <c r="V358" i="13" s="1"/>
  <c r="U114" i="13"/>
  <c r="V114" i="13" s="1"/>
  <c r="AF115" i="4"/>
  <c r="AH115" i="4"/>
  <c r="W358" i="13" s="1"/>
  <c r="U175" i="13"/>
  <c r="V175" i="13" s="1"/>
  <c r="AI95" i="4"/>
  <c r="AK95" i="4"/>
  <c r="W94" i="13"/>
  <c r="U326" i="13"/>
  <c r="U82" i="13"/>
  <c r="V82" i="13" s="1"/>
  <c r="AH83" i="4"/>
  <c r="W326" i="13" s="1"/>
  <c r="AF83" i="4"/>
  <c r="U388" i="13"/>
  <c r="V388" i="13" s="1"/>
  <c r="AK57" i="4"/>
  <c r="AI57" i="4"/>
  <c r="Y80" i="13"/>
  <c r="X80" i="13"/>
  <c r="U329" i="13"/>
  <c r="V329" i="13" s="1"/>
  <c r="U85" i="13"/>
  <c r="V85" i="13" s="1"/>
  <c r="AH86" i="4"/>
  <c r="W329" i="13" s="1"/>
  <c r="AF86" i="4"/>
  <c r="U178" i="13"/>
  <c r="V178" i="13" s="1"/>
  <c r="AF56" i="4"/>
  <c r="AH56" i="4"/>
  <c r="U152" i="13"/>
  <c r="V152" i="13" s="1"/>
  <c r="AH30" i="4"/>
  <c r="AF30" i="4"/>
  <c r="U340" i="13"/>
  <c r="V340" i="13" s="1"/>
  <c r="U96" i="13"/>
  <c r="V96" i="13" s="1"/>
  <c r="AH97" i="4"/>
  <c r="W340" i="13" s="1"/>
  <c r="AF97" i="4"/>
  <c r="U157" i="13"/>
  <c r="V157" i="13" s="1"/>
  <c r="U341" i="13"/>
  <c r="V341" i="13" s="1"/>
  <c r="U97" i="13"/>
  <c r="V97" i="13" s="1"/>
  <c r="AF98" i="4"/>
  <c r="AH98" i="4"/>
  <c r="W341" i="13" s="1"/>
  <c r="U354" i="13"/>
  <c r="V354" i="13" s="1"/>
  <c r="U110" i="13"/>
  <c r="V110" i="13" s="1"/>
  <c r="AH111" i="4"/>
  <c r="W354" i="13" s="1"/>
  <c r="AF111" i="4"/>
  <c r="W166" i="13"/>
  <c r="AI44" i="4"/>
  <c r="AK44" i="4"/>
  <c r="AH263" i="4"/>
  <c r="AI262" i="4"/>
  <c r="AK262" i="4"/>
  <c r="U337" i="13"/>
  <c r="V337" i="13" s="1"/>
  <c r="U93" i="13"/>
  <c r="V93" i="13" s="1"/>
  <c r="AH94" i="4"/>
  <c r="W337" i="13" s="1"/>
  <c r="AF94" i="4"/>
  <c r="AF166" i="4"/>
  <c r="AH166" i="4"/>
  <c r="AI91" i="4"/>
  <c r="AK91" i="4"/>
  <c r="W90" i="13"/>
  <c r="X336" i="13"/>
  <c r="Y336" i="13"/>
  <c r="AI171" i="4"/>
  <c r="AK171" i="4"/>
  <c r="U365" i="13"/>
  <c r="V365" i="13" s="1"/>
  <c r="U121" i="13"/>
  <c r="V121" i="13" s="1"/>
  <c r="U427" i="13"/>
  <c r="V427" i="13" s="1"/>
  <c r="AH122" i="4"/>
  <c r="W365" i="13" s="1"/>
  <c r="AF122" i="4"/>
  <c r="U182" i="13"/>
  <c r="V182" i="13" s="1"/>
  <c r="U357" i="13"/>
  <c r="V357" i="13" s="1"/>
  <c r="U113" i="13"/>
  <c r="V113" i="13" s="1"/>
  <c r="AF114" i="4"/>
  <c r="AH114" i="4"/>
  <c r="U153" i="13"/>
  <c r="V153" i="13" s="1"/>
  <c r="AH31" i="4"/>
  <c r="AF31" i="4"/>
  <c r="W123" i="13"/>
  <c r="AI124" i="4"/>
  <c r="AK124" i="4"/>
  <c r="U345" i="13"/>
  <c r="V345" i="13" s="1"/>
  <c r="U101" i="13"/>
  <c r="V101" i="13" s="1"/>
  <c r="AH102" i="4"/>
  <c r="W345" i="13" s="1"/>
  <c r="AF102" i="4"/>
  <c r="U162" i="13"/>
  <c r="V162" i="13" s="1"/>
  <c r="AK123" i="4"/>
  <c r="W122" i="13"/>
  <c r="AI123" i="4"/>
  <c r="U149" i="13"/>
  <c r="V149" i="13" s="1"/>
  <c r="AF27" i="4"/>
  <c r="AH27" i="4"/>
  <c r="U170" i="13"/>
  <c r="V170" i="13" s="1"/>
  <c r="AC132" i="4"/>
  <c r="X332" i="13"/>
  <c r="Y332" i="13"/>
  <c r="AI178" i="4"/>
  <c r="AK178" i="4"/>
  <c r="Y324" i="13"/>
  <c r="U330" i="13"/>
  <c r="V330" i="13" s="1"/>
  <c r="U86" i="13"/>
  <c r="V86" i="13" s="1"/>
  <c r="AF87" i="4"/>
  <c r="AH87" i="4"/>
  <c r="W330" i="13" s="1"/>
  <c r="U392" i="13"/>
  <c r="V392" i="13" s="1"/>
  <c r="U147" i="13"/>
  <c r="V147" i="13" s="1"/>
  <c r="U406" i="13"/>
  <c r="V406" i="13" s="1"/>
  <c r="U344" i="13"/>
  <c r="V344" i="13" s="1"/>
  <c r="U100" i="13"/>
  <c r="V100" i="13" s="1"/>
  <c r="AH101" i="4"/>
  <c r="W344" i="13" s="1"/>
  <c r="AF101" i="4"/>
  <c r="AK66" i="4"/>
  <c r="AI66" i="4"/>
  <c r="X339" i="13"/>
  <c r="Y339" i="13"/>
  <c r="AK127" i="4"/>
  <c r="AI127" i="4"/>
  <c r="X363" i="13"/>
  <c r="Y363" i="13"/>
  <c r="U184" i="13"/>
  <c r="V184" i="13" s="1"/>
  <c r="AF62" i="4"/>
  <c r="AH62" i="4"/>
  <c r="U165" i="13"/>
  <c r="V165" i="13" s="1"/>
  <c r="AF43" i="4"/>
  <c r="AH43" i="4"/>
  <c r="U171" i="13"/>
  <c r="V171" i="13" s="1"/>
  <c r="AH49" i="4"/>
  <c r="AF49" i="4"/>
  <c r="AI33" i="5"/>
  <c r="S401" i="13"/>
  <c r="AI16" i="5"/>
  <c r="S384" i="13"/>
  <c r="AI57" i="5"/>
  <c r="S425" i="13"/>
  <c r="S428" i="13"/>
  <c r="AI60" i="5"/>
  <c r="S413" i="13"/>
  <c r="AI45" i="5"/>
  <c r="AI65" i="5"/>
  <c r="S387" i="13"/>
  <c r="AI19" i="5"/>
  <c r="AH52" i="5"/>
  <c r="S236" i="13" s="1"/>
  <c r="P229" i="13"/>
  <c r="T239" i="13"/>
  <c r="S396" i="13"/>
  <c r="AI28" i="5"/>
  <c r="AH37" i="5"/>
  <c r="S221" i="13" s="1"/>
  <c r="AI161" i="5"/>
  <c r="AM161" i="5"/>
  <c r="AM37" i="5" s="1"/>
  <c r="U221" i="13" s="1"/>
  <c r="AN98" i="5"/>
  <c r="AR98" i="5"/>
  <c r="AI27" i="5"/>
  <c r="S395" i="13"/>
  <c r="T216" i="13"/>
  <c r="V216" i="13"/>
  <c r="T423" i="13"/>
  <c r="S404" i="13"/>
  <c r="AI36" i="5"/>
  <c r="AR152" i="5"/>
  <c r="AN152" i="5"/>
  <c r="S422" i="13"/>
  <c r="AI54" i="5"/>
  <c r="AD45" i="5"/>
  <c r="Q413" i="13"/>
  <c r="R413" i="13" s="1"/>
  <c r="R229" i="13"/>
  <c r="P416" i="13"/>
  <c r="T240" i="13"/>
  <c r="P426" i="13"/>
  <c r="P236" i="13"/>
  <c r="AH48" i="5"/>
  <c r="S232" i="13" s="1"/>
  <c r="AI172" i="5"/>
  <c r="AM172" i="5"/>
  <c r="AM48" i="5" s="1"/>
  <c r="AD37" i="5"/>
  <c r="Q405" i="13"/>
  <c r="R405" i="13" s="1"/>
  <c r="R221" i="13"/>
  <c r="AD34" i="5"/>
  <c r="Q402" i="13"/>
  <c r="R402" i="13" s="1"/>
  <c r="R218" i="13"/>
  <c r="AI17" i="5"/>
  <c r="S385" i="13"/>
  <c r="AU228" i="5"/>
  <c r="AS228" i="5"/>
  <c r="T243" i="13"/>
  <c r="T427" i="13"/>
  <c r="S412" i="13"/>
  <c r="AI44" i="5"/>
  <c r="T400" i="13"/>
  <c r="T237" i="13"/>
  <c r="P242" i="13"/>
  <c r="P420" i="13"/>
  <c r="AD48" i="5"/>
  <c r="R232" i="13"/>
  <c r="Q416" i="13"/>
  <c r="R416" i="13" s="1"/>
  <c r="AR145" i="5"/>
  <c r="AN145" i="5"/>
  <c r="T246" i="13"/>
  <c r="AI158" i="5"/>
  <c r="AM158" i="5"/>
  <c r="AM34" i="5" s="1"/>
  <c r="U218" i="13" s="1"/>
  <c r="AH34" i="5"/>
  <c r="S218" i="13" s="1"/>
  <c r="S419" i="13"/>
  <c r="AI51" i="5"/>
  <c r="P232" i="13"/>
  <c r="AI39" i="5"/>
  <c r="S407" i="13"/>
  <c r="AI47" i="5"/>
  <c r="S415" i="13"/>
  <c r="AH14" i="5"/>
  <c r="S198" i="13" s="1"/>
  <c r="T204" i="13"/>
  <c r="AR77" i="5"/>
  <c r="AN77" i="5"/>
  <c r="T424" i="13"/>
  <c r="P405" i="13"/>
  <c r="AR93" i="5"/>
  <c r="AN93" i="5"/>
  <c r="T208" i="13"/>
  <c r="V208" i="13"/>
  <c r="T421" i="13"/>
  <c r="AI41" i="5"/>
  <c r="S409" i="13"/>
  <c r="AR85" i="5"/>
  <c r="AN85" i="5"/>
  <c r="AH58" i="5"/>
  <c r="S242" i="13" s="1"/>
  <c r="AI182" i="5"/>
  <c r="AM182" i="5"/>
  <c r="AM58" i="5" s="1"/>
  <c r="U242" i="13" s="1"/>
  <c r="S389" i="13"/>
  <c r="AI21" i="5"/>
  <c r="P221" i="13"/>
  <c r="R389" i="13"/>
  <c r="P389" i="13"/>
  <c r="S414" i="13"/>
  <c r="AI46" i="5"/>
  <c r="AI63" i="5"/>
  <c r="S431" i="13"/>
  <c r="T388" i="13"/>
  <c r="AD58" i="5"/>
  <c r="R242" i="13"/>
  <c r="Q426" i="13"/>
  <c r="R426" i="13" s="1"/>
  <c r="R387" i="13"/>
  <c r="S429" i="13"/>
  <c r="AI61" i="5"/>
  <c r="R247" i="13"/>
  <c r="R395" i="13"/>
  <c r="T392" i="13"/>
  <c r="P205" i="13"/>
  <c r="P218" i="13"/>
  <c r="S403" i="13"/>
  <c r="AI35" i="5"/>
  <c r="P413" i="13"/>
  <c r="AN170" i="5"/>
  <c r="AR170" i="5"/>
  <c r="AI231" i="5"/>
  <c r="AM231" i="5"/>
  <c r="AM45" i="5" s="1"/>
  <c r="U229" i="13" s="1"/>
  <c r="AR90" i="5"/>
  <c r="AN90" i="5"/>
  <c r="T226" i="13"/>
  <c r="AI207" i="5"/>
  <c r="AM207" i="5"/>
  <c r="AM21" i="5" s="1"/>
  <c r="U205" i="13" s="1"/>
  <c r="P402" i="13"/>
  <c r="R403" i="13"/>
  <c r="S394" i="13"/>
  <c r="AI26" i="5"/>
  <c r="H16" i="2"/>
  <c r="AM140" i="5"/>
  <c r="AM16" i="5" s="1"/>
  <c r="U200" i="13" s="1"/>
  <c r="AI140" i="5"/>
  <c r="AN118" i="5"/>
  <c r="AR118" i="5"/>
  <c r="AR56" i="5" s="1"/>
  <c r="W240" i="13" s="1"/>
  <c r="AN89" i="5"/>
  <c r="AR89" i="5"/>
  <c r="AN232" i="5"/>
  <c r="AR232" i="5"/>
  <c r="AN185" i="5"/>
  <c r="AR185" i="5"/>
  <c r="AI165" i="5"/>
  <c r="AM165" i="5"/>
  <c r="AM41" i="5" s="1"/>
  <c r="U225" i="13" s="1"/>
  <c r="AN223" i="5"/>
  <c r="AR223" i="5"/>
  <c r="AI176" i="5"/>
  <c r="AM176" i="5"/>
  <c r="AI157" i="5"/>
  <c r="AM157" i="5"/>
  <c r="AM33" i="5" s="1"/>
  <c r="U217" i="13" s="1"/>
  <c r="AS180" i="5"/>
  <c r="AU180" i="5"/>
  <c r="AN250" i="5"/>
  <c r="AR250" i="5"/>
  <c r="AN142" i="5"/>
  <c r="AR142" i="5"/>
  <c r="AN202" i="5"/>
  <c r="AR202" i="5"/>
  <c r="AR205" i="5"/>
  <c r="AN205" i="5"/>
  <c r="AI178" i="5"/>
  <c r="AM178" i="5"/>
  <c r="AM54" i="5" s="1"/>
  <c r="U238" i="13" s="1"/>
  <c r="AR247" i="5"/>
  <c r="AN247" i="5"/>
  <c r="AR144" i="5"/>
  <c r="AR20" i="5" s="1"/>
  <c r="W204" i="13" s="1"/>
  <c r="AN144" i="5"/>
  <c r="AR190" i="5"/>
  <c r="AN190" i="5"/>
  <c r="AR95" i="5"/>
  <c r="AN95" i="5"/>
  <c r="AR88" i="5"/>
  <c r="AN88" i="5"/>
  <c r="AN169" i="5"/>
  <c r="AR169" i="5"/>
  <c r="AI150" i="5"/>
  <c r="AM150" i="5"/>
  <c r="AM26" i="5" s="1"/>
  <c r="U210" i="13" s="1"/>
  <c r="AS208" i="5"/>
  <c r="AU208" i="5"/>
  <c r="AN191" i="5"/>
  <c r="AR191" i="5"/>
  <c r="AR221" i="5"/>
  <c r="AN221" i="5"/>
  <c r="AR108" i="5"/>
  <c r="AN108" i="5"/>
  <c r="E34" i="30"/>
  <c r="AU149" i="5"/>
  <c r="AS149" i="5"/>
  <c r="AM189" i="5"/>
  <c r="AM65" i="5" s="1"/>
  <c r="AI189" i="5"/>
  <c r="AI200" i="5"/>
  <c r="AM200" i="5"/>
  <c r="AI159" i="5"/>
  <c r="AM159" i="5"/>
  <c r="AM35" i="5" s="1"/>
  <c r="AS177" i="5"/>
  <c r="AU177" i="5"/>
  <c r="AN166" i="5"/>
  <c r="AR166" i="5"/>
  <c r="AN127" i="5"/>
  <c r="AR127" i="5"/>
  <c r="AI143" i="5"/>
  <c r="AM143" i="5"/>
  <c r="AM19" i="5" s="1"/>
  <c r="AS183" i="5"/>
  <c r="AU183" i="5"/>
  <c r="AR203" i="5"/>
  <c r="AN203" i="5"/>
  <c r="AN175" i="5"/>
  <c r="AR175" i="5"/>
  <c r="AU128" i="5"/>
  <c r="AS128" i="5"/>
  <c r="AI155" i="5"/>
  <c r="AM155" i="5"/>
  <c r="AI209" i="5"/>
  <c r="AM209" i="5"/>
  <c r="AR184" i="5"/>
  <c r="AN184" i="5"/>
  <c r="AR239" i="5"/>
  <c r="AR53" i="5" s="1"/>
  <c r="W237" i="13" s="1"/>
  <c r="AN239" i="5"/>
  <c r="AS116" i="5"/>
  <c r="AU116" i="5"/>
  <c r="AN240" i="5"/>
  <c r="AR240" i="5"/>
  <c r="AI139" i="5"/>
  <c r="AM139" i="5"/>
  <c r="AU115" i="5"/>
  <c r="AS115" i="5"/>
  <c r="AN78" i="5"/>
  <c r="AR78" i="5"/>
  <c r="AI217" i="5"/>
  <c r="AM217" i="5"/>
  <c r="AR186" i="5"/>
  <c r="AN186" i="5"/>
  <c r="AU82" i="5"/>
  <c r="AS82" i="5"/>
  <c r="AN251" i="5"/>
  <c r="AR251" i="5"/>
  <c r="AM201" i="5"/>
  <c r="AI201" i="5"/>
  <c r="AS154" i="5"/>
  <c r="AU154" i="5"/>
  <c r="AN234" i="5"/>
  <c r="AR234" i="5"/>
  <c r="AS179" i="5"/>
  <c r="AU179" i="5"/>
  <c r="AU110" i="5"/>
  <c r="AS110" i="5"/>
  <c r="AN241" i="5"/>
  <c r="AR241" i="5"/>
  <c r="AR55" i="5" s="1"/>
  <c r="W239" i="13" s="1"/>
  <c r="AR84" i="5"/>
  <c r="AN84" i="5"/>
  <c r="AU126" i="5"/>
  <c r="AS126" i="5"/>
  <c r="AS167" i="5"/>
  <c r="AU167" i="5"/>
  <c r="AS162" i="5"/>
  <c r="AU162" i="5"/>
  <c r="AH192" i="5"/>
  <c r="AD192" i="5"/>
  <c r="AR168" i="5"/>
  <c r="AN168" i="5"/>
  <c r="AN106" i="5"/>
  <c r="AR106" i="5"/>
  <c r="AS171" i="5"/>
  <c r="AU171" i="5"/>
  <c r="AI147" i="5"/>
  <c r="AM147" i="5"/>
  <c r="AN220" i="5"/>
  <c r="AR220" i="5"/>
  <c r="AU107" i="5"/>
  <c r="AS107" i="5"/>
  <c r="AN252" i="5"/>
  <c r="AR252" i="5"/>
  <c r="AR64" i="5" s="1"/>
  <c r="AN219" i="5"/>
  <c r="AR219" i="5"/>
  <c r="AU125" i="5"/>
  <c r="AS125" i="5"/>
  <c r="AU122" i="5"/>
  <c r="AS122" i="5"/>
  <c r="AR124" i="5"/>
  <c r="AN124" i="5"/>
  <c r="AR218" i="5"/>
  <c r="AR32" i="5" s="1"/>
  <c r="W216" i="13" s="1"/>
  <c r="AN218" i="5"/>
  <c r="AN210" i="5"/>
  <c r="AR210" i="5"/>
  <c r="AR24" i="5" s="1"/>
  <c r="W208" i="13" s="1"/>
  <c r="AI225" i="5"/>
  <c r="AM225" i="5"/>
  <c r="AM233" i="5"/>
  <c r="AM47" i="5" s="1"/>
  <c r="U231" i="13" s="1"/>
  <c r="AI233" i="5"/>
  <c r="AS224" i="5"/>
  <c r="AU224" i="5"/>
  <c r="AS212" i="5"/>
  <c r="AU212" i="5"/>
  <c r="Q382" i="13"/>
  <c r="R382" i="13" s="1"/>
  <c r="AU91" i="5"/>
  <c r="AS91" i="5"/>
  <c r="AS81" i="5"/>
  <c r="AU81" i="5"/>
  <c r="AI181" i="5"/>
  <c r="AM181" i="5"/>
  <c r="AM57" i="5" s="1"/>
  <c r="U241" i="13" s="1"/>
  <c r="AR141" i="5"/>
  <c r="AN141" i="5"/>
  <c r="AN119" i="5"/>
  <c r="AR119" i="5"/>
  <c r="AI138" i="5"/>
  <c r="AM138" i="5"/>
  <c r="AU87" i="5"/>
  <c r="AS87" i="5"/>
  <c r="AR213" i="5"/>
  <c r="AN213" i="5"/>
  <c r="AS160" i="5"/>
  <c r="AU160" i="5"/>
  <c r="AS226" i="5"/>
  <c r="AU226" i="5"/>
  <c r="AM246" i="5"/>
  <c r="AM60" i="5" s="1"/>
  <c r="U244" i="13" s="1"/>
  <c r="AI246" i="5"/>
  <c r="AI238" i="5"/>
  <c r="AM238" i="5"/>
  <c r="AM249" i="5"/>
  <c r="AM63" i="5" s="1"/>
  <c r="U247" i="13" s="1"/>
  <c r="AI249" i="5"/>
  <c r="AH254" i="5"/>
  <c r="AI254" i="5" s="1"/>
  <c r="AR230" i="5"/>
  <c r="AN230" i="5"/>
  <c r="AN214" i="5"/>
  <c r="AR214" i="5"/>
  <c r="AS243" i="5"/>
  <c r="AU243" i="5"/>
  <c r="AN245" i="5"/>
  <c r="AR245" i="5"/>
  <c r="AR59" i="5" s="1"/>
  <c r="W243" i="13" s="1"/>
  <c r="AR113" i="5"/>
  <c r="AN113" i="5"/>
  <c r="D26" i="2"/>
  <c r="D24" i="2"/>
  <c r="AS236" i="5"/>
  <c r="AU236" i="5"/>
  <c r="AS244" i="5"/>
  <c r="AU244" i="5"/>
  <c r="AM130" i="5"/>
  <c r="AI130" i="5"/>
  <c r="H36" i="30"/>
  <c r="G34" i="30"/>
  <c r="AS248" i="5"/>
  <c r="AU248" i="5"/>
  <c r="AS235" i="5"/>
  <c r="AU235" i="5"/>
  <c r="AN253" i="5"/>
  <c r="AR253" i="5"/>
  <c r="AR222" i="5"/>
  <c r="AN222" i="5"/>
  <c r="AS227" i="5"/>
  <c r="AU227" i="5"/>
  <c r="AI237" i="4" l="1"/>
  <c r="AK237" i="4"/>
  <c r="AI175" i="4"/>
  <c r="AK175" i="4"/>
  <c r="AI231" i="4"/>
  <c r="AK231" i="4"/>
  <c r="AI143" i="4"/>
  <c r="AK143" i="4"/>
  <c r="AU79" i="5"/>
  <c r="AS79" i="5"/>
  <c r="U224" i="13"/>
  <c r="V224" i="13" s="1"/>
  <c r="AN40" i="5"/>
  <c r="AS102" i="5"/>
  <c r="AU102" i="5"/>
  <c r="AR40" i="5"/>
  <c r="AS86" i="5"/>
  <c r="AU86" i="5"/>
  <c r="AS188" i="5"/>
  <c r="AU188" i="5"/>
  <c r="W321" i="13"/>
  <c r="AH132" i="4"/>
  <c r="Y119" i="13"/>
  <c r="X95" i="13"/>
  <c r="AR62" i="5"/>
  <c r="W246" i="13" s="1"/>
  <c r="U387" i="13"/>
  <c r="V387" i="13" s="1"/>
  <c r="U203" i="13"/>
  <c r="V203" i="13" s="1"/>
  <c r="U403" i="13"/>
  <c r="V403" i="13" s="1"/>
  <c r="U219" i="13"/>
  <c r="V219" i="13" s="1"/>
  <c r="AN66" i="5"/>
  <c r="AI31" i="5"/>
  <c r="S215" i="13"/>
  <c r="T215" i="13" s="1"/>
  <c r="U396" i="13"/>
  <c r="V396" i="13" s="1"/>
  <c r="U212" i="13"/>
  <c r="V212" i="13" s="1"/>
  <c r="U226" i="13"/>
  <c r="V226" i="13" s="1"/>
  <c r="U416" i="13"/>
  <c r="U232" i="13"/>
  <c r="AI23" i="5"/>
  <c r="S207" i="13"/>
  <c r="T207" i="13" s="1"/>
  <c r="U414" i="13"/>
  <c r="V414" i="13" s="1"/>
  <c r="U230" i="13"/>
  <c r="V230" i="13" s="1"/>
  <c r="AN17" i="5"/>
  <c r="U201" i="13"/>
  <c r="U246" i="13"/>
  <c r="V246" i="13" s="1"/>
  <c r="AN67" i="5"/>
  <c r="U419" i="13"/>
  <c r="V419" i="13" s="1"/>
  <c r="U235" i="13"/>
  <c r="V235" i="13" s="1"/>
  <c r="AK215" i="4"/>
  <c r="AI215" i="4"/>
  <c r="AI223" i="4"/>
  <c r="AK223" i="4"/>
  <c r="AK218" i="4"/>
  <c r="AI218" i="4"/>
  <c r="AH194" i="4"/>
  <c r="AI194" i="4" s="1"/>
  <c r="AK174" i="4"/>
  <c r="AI174" i="4"/>
  <c r="AK165" i="4"/>
  <c r="AI165" i="4"/>
  <c r="AI141" i="4"/>
  <c r="AK141" i="4"/>
  <c r="AK157" i="4"/>
  <c r="AI157" i="4"/>
  <c r="Y176" i="13"/>
  <c r="Y104" i="13"/>
  <c r="W99" i="13"/>
  <c r="Y99" i="13" s="1"/>
  <c r="AI100" i="4"/>
  <c r="W160" i="13"/>
  <c r="X160" i="13" s="1"/>
  <c r="Y115" i="13"/>
  <c r="AK100" i="4"/>
  <c r="W368" i="13"/>
  <c r="AI125" i="4"/>
  <c r="W124" i="13"/>
  <c r="AK125" i="4"/>
  <c r="W179" i="13"/>
  <c r="X179" i="13" s="1"/>
  <c r="W362" i="13"/>
  <c r="W174" i="13"/>
  <c r="X174" i="13" s="1"/>
  <c r="W357" i="13"/>
  <c r="W170" i="13"/>
  <c r="X170" i="13" s="1"/>
  <c r="W353" i="13"/>
  <c r="W145" i="13"/>
  <c r="Y145" i="13" s="1"/>
  <c r="W328" i="13"/>
  <c r="W173" i="13"/>
  <c r="X173" i="13" s="1"/>
  <c r="W356" i="13"/>
  <c r="V323" i="13"/>
  <c r="X323" i="13"/>
  <c r="V325" i="13"/>
  <c r="X325" i="13"/>
  <c r="V326" i="13"/>
  <c r="X326" i="13"/>
  <c r="V321" i="13"/>
  <c r="X321" i="13"/>
  <c r="U386" i="13"/>
  <c r="V386" i="13" s="1"/>
  <c r="AN18" i="5"/>
  <c r="AN42" i="5"/>
  <c r="U410" i="13"/>
  <c r="V410" i="13" s="1"/>
  <c r="AR42" i="5"/>
  <c r="W226" i="13" s="1"/>
  <c r="AS151" i="5"/>
  <c r="AU151" i="5"/>
  <c r="AS237" i="5"/>
  <c r="AU237" i="5"/>
  <c r="AS120" i="5"/>
  <c r="AU120" i="5"/>
  <c r="AU114" i="5"/>
  <c r="AS114" i="5"/>
  <c r="AS123" i="5"/>
  <c r="AU123" i="5"/>
  <c r="AS104" i="5"/>
  <c r="AU104" i="5"/>
  <c r="AR18" i="5"/>
  <c r="AI173" i="4"/>
  <c r="AK173" i="4"/>
  <c r="AI158" i="4"/>
  <c r="AK158" i="4"/>
  <c r="J70" i="30"/>
  <c r="H22" i="2" s="1"/>
  <c r="J88" i="30"/>
  <c r="K88" i="30" s="1"/>
  <c r="AM254" i="5"/>
  <c r="AN254" i="5" s="1"/>
  <c r="I52" i="30"/>
  <c r="J54" i="30"/>
  <c r="J52" i="30" s="1"/>
  <c r="U429" i="13"/>
  <c r="V429" i="13" s="1"/>
  <c r="AN61" i="5"/>
  <c r="AU38" i="5"/>
  <c r="AS38" i="5"/>
  <c r="AM52" i="5"/>
  <c r="AM14" i="5"/>
  <c r="U198" i="13" s="1"/>
  <c r="AM23" i="5"/>
  <c r="AM31" i="5"/>
  <c r="AM15" i="5"/>
  <c r="X398" i="13"/>
  <c r="Y214" i="13"/>
  <c r="AN62" i="5"/>
  <c r="AR67" i="5"/>
  <c r="U430" i="13"/>
  <c r="V430" i="13" s="1"/>
  <c r="AS25" i="5"/>
  <c r="AR36" i="5"/>
  <c r="U404" i="13"/>
  <c r="V404" i="13" s="1"/>
  <c r="V202" i="13"/>
  <c r="AU25" i="5"/>
  <c r="U412" i="13"/>
  <c r="V412" i="13" s="1"/>
  <c r="AN36" i="5"/>
  <c r="AR27" i="5"/>
  <c r="U385" i="13"/>
  <c r="V385" i="13" s="1"/>
  <c r="W393" i="13"/>
  <c r="Y393" i="13" s="1"/>
  <c r="V201" i="13"/>
  <c r="U395" i="13"/>
  <c r="V395" i="13" s="1"/>
  <c r="AN51" i="5"/>
  <c r="AN44" i="5"/>
  <c r="AN27" i="5"/>
  <c r="AR44" i="5"/>
  <c r="AN46" i="5"/>
  <c r="AS56" i="5"/>
  <c r="Y240" i="13"/>
  <c r="AU56" i="5"/>
  <c r="AR51" i="5"/>
  <c r="AU111" i="5"/>
  <c r="AS111" i="5"/>
  <c r="AU80" i="5"/>
  <c r="AS80" i="5"/>
  <c r="AK222" i="4"/>
  <c r="AI222" i="4"/>
  <c r="AK229" i="4"/>
  <c r="AI229" i="4"/>
  <c r="AK244" i="4"/>
  <c r="AI244" i="4"/>
  <c r="AK191" i="4"/>
  <c r="AI191" i="4"/>
  <c r="AI147" i="4"/>
  <c r="AK147" i="4"/>
  <c r="AK182" i="4"/>
  <c r="AI182" i="4"/>
  <c r="AI155" i="4"/>
  <c r="AK155" i="4"/>
  <c r="AK80" i="4"/>
  <c r="AI80" i="4"/>
  <c r="W79" i="13"/>
  <c r="X343" i="13"/>
  <c r="Y343" i="13"/>
  <c r="W112" i="13"/>
  <c r="AK113" i="4"/>
  <c r="AI113" i="4"/>
  <c r="W164" i="13"/>
  <c r="AI42" i="4"/>
  <c r="AK42" i="4"/>
  <c r="W156" i="13"/>
  <c r="AK34" i="4"/>
  <c r="AI34" i="4"/>
  <c r="AK53" i="4"/>
  <c r="AI53" i="4"/>
  <c r="W140" i="13"/>
  <c r="AI18" i="4"/>
  <c r="AK18" i="4"/>
  <c r="V205" i="13"/>
  <c r="AN21" i="5"/>
  <c r="U389" i="13"/>
  <c r="V389" i="13" s="1"/>
  <c r="U428" i="13"/>
  <c r="V428" i="13" s="1"/>
  <c r="AN60" i="5"/>
  <c r="V244" i="13"/>
  <c r="AS53" i="5"/>
  <c r="AU53" i="5"/>
  <c r="W421" i="13"/>
  <c r="W400" i="13"/>
  <c r="Y400" i="13" s="1"/>
  <c r="AU32" i="5"/>
  <c r="AR66" i="5"/>
  <c r="S391" i="13"/>
  <c r="T391" i="13" s="1"/>
  <c r="AN28" i="5"/>
  <c r="AS32" i="5"/>
  <c r="AR17" i="5"/>
  <c r="AR61" i="5"/>
  <c r="AR46" i="5"/>
  <c r="V247" i="13"/>
  <c r="AS24" i="5"/>
  <c r="AU24" i="5"/>
  <c r="U415" i="13"/>
  <c r="V415" i="13" s="1"/>
  <c r="AR43" i="5"/>
  <c r="W227" i="13" s="1"/>
  <c r="AS229" i="5"/>
  <c r="AU229" i="5"/>
  <c r="AN47" i="5"/>
  <c r="AS59" i="5"/>
  <c r="AU59" i="5"/>
  <c r="AN43" i="5"/>
  <c r="V227" i="13"/>
  <c r="U411" i="13"/>
  <c r="V411" i="13" s="1"/>
  <c r="AN45" i="5"/>
  <c r="V229" i="13"/>
  <c r="AR28" i="5"/>
  <c r="AH68" i="5"/>
  <c r="AI68" i="5" s="1"/>
  <c r="AS64" i="5"/>
  <c r="AU64" i="5"/>
  <c r="AU55" i="5"/>
  <c r="AS55" i="5"/>
  <c r="Y239" i="13"/>
  <c r="U413" i="13"/>
  <c r="V413" i="13" s="1"/>
  <c r="T206" i="13"/>
  <c r="S390" i="13"/>
  <c r="T390" i="13" s="1"/>
  <c r="AI22" i="5"/>
  <c r="AM22" i="5"/>
  <c r="AN146" i="5"/>
  <c r="AR146" i="5"/>
  <c r="U431" i="13"/>
  <c r="V431" i="13" s="1"/>
  <c r="S399" i="13"/>
  <c r="T399" i="13" s="1"/>
  <c r="AS187" i="5"/>
  <c r="AU187" i="5"/>
  <c r="AN63" i="5"/>
  <c r="AM39" i="5"/>
  <c r="U223" i="13" s="1"/>
  <c r="AR163" i="5"/>
  <c r="AN163" i="5"/>
  <c r="AR50" i="5"/>
  <c r="W234" i="13" s="1"/>
  <c r="AS174" i="5"/>
  <c r="AU174" i="5"/>
  <c r="S383" i="13"/>
  <c r="T383" i="13" s="1"/>
  <c r="AM49" i="5"/>
  <c r="U233" i="13" s="1"/>
  <c r="AR173" i="5"/>
  <c r="AN173" i="5"/>
  <c r="V234" i="13"/>
  <c r="U418" i="13"/>
  <c r="V418" i="13" s="1"/>
  <c r="AN50" i="5"/>
  <c r="AI49" i="5"/>
  <c r="S417" i="13"/>
  <c r="T417" i="13" s="1"/>
  <c r="T233" i="13"/>
  <c r="AI15" i="5"/>
  <c r="AM29" i="5"/>
  <c r="U213" i="13" s="1"/>
  <c r="AN153" i="5"/>
  <c r="AR153" i="5"/>
  <c r="AI29" i="5"/>
  <c r="S397" i="13"/>
  <c r="T397" i="13" s="1"/>
  <c r="T213" i="13"/>
  <c r="T395" i="13"/>
  <c r="X216" i="13"/>
  <c r="Y216" i="13"/>
  <c r="AN57" i="5"/>
  <c r="V241" i="13"/>
  <c r="U425" i="13"/>
  <c r="V425" i="13" s="1"/>
  <c r="X222" i="13"/>
  <c r="Y222" i="13"/>
  <c r="V238" i="13"/>
  <c r="AN54" i="5"/>
  <c r="U422" i="13"/>
  <c r="V422" i="13" s="1"/>
  <c r="AN41" i="5"/>
  <c r="V225" i="13"/>
  <c r="U409" i="13"/>
  <c r="V409" i="13" s="1"/>
  <c r="AN34" i="5"/>
  <c r="AN65" i="5"/>
  <c r="AN37" i="5"/>
  <c r="U405" i="13"/>
  <c r="V210" i="13"/>
  <c r="AN26" i="5"/>
  <c r="U394" i="13"/>
  <c r="V394" i="13" s="1"/>
  <c r="AN33" i="5"/>
  <c r="V217" i="13"/>
  <c r="U401" i="13"/>
  <c r="V401" i="13" s="1"/>
  <c r="AS20" i="5"/>
  <c r="AU20" i="5"/>
  <c r="V200" i="13"/>
  <c r="AN16" i="5"/>
  <c r="U384" i="13"/>
  <c r="V384" i="13" s="1"/>
  <c r="AN58" i="5"/>
  <c r="U426" i="13"/>
  <c r="AN48" i="5"/>
  <c r="U402" i="13"/>
  <c r="AN19" i="5"/>
  <c r="AN35" i="5"/>
  <c r="T247" i="13"/>
  <c r="X209" i="13"/>
  <c r="Y209" i="13"/>
  <c r="X349" i="13"/>
  <c r="Y349" i="13"/>
  <c r="W98" i="13"/>
  <c r="AK99" i="4"/>
  <c r="AI99" i="4"/>
  <c r="T387" i="13"/>
  <c r="AK172" i="4"/>
  <c r="AI172" i="4"/>
  <c r="AI154" i="4"/>
  <c r="AK154" i="4"/>
  <c r="X91" i="13"/>
  <c r="Y91" i="13"/>
  <c r="AK146" i="4"/>
  <c r="AI146" i="4"/>
  <c r="Y335" i="13"/>
  <c r="X335" i="13"/>
  <c r="Y105" i="13"/>
  <c r="X105" i="13"/>
  <c r="AK140" i="4"/>
  <c r="AI140" i="4"/>
  <c r="AK85" i="4"/>
  <c r="AI85" i="4"/>
  <c r="W84" i="13"/>
  <c r="AI126" i="4"/>
  <c r="W125" i="13"/>
  <c r="AK126" i="4"/>
  <c r="W186" i="13"/>
  <c r="AK208" i="4"/>
  <c r="AI208" i="4"/>
  <c r="AK212" i="4"/>
  <c r="AI212" i="4"/>
  <c r="AI204" i="4"/>
  <c r="AK204" i="4"/>
  <c r="AI239" i="4"/>
  <c r="AK239" i="4"/>
  <c r="Y347" i="13"/>
  <c r="X347" i="13"/>
  <c r="AI188" i="4"/>
  <c r="AK188" i="4"/>
  <c r="W83" i="13"/>
  <c r="AI84" i="4"/>
  <c r="AK84" i="4"/>
  <c r="W144" i="13"/>
  <c r="X185" i="13"/>
  <c r="Y185" i="13"/>
  <c r="AI150" i="4"/>
  <c r="AK150" i="4"/>
  <c r="AI26" i="4"/>
  <c r="AK26" i="4"/>
  <c r="W148" i="13"/>
  <c r="AK247" i="4"/>
  <c r="AI247" i="4"/>
  <c r="AK252" i="4"/>
  <c r="AI252" i="4"/>
  <c r="AI219" i="4"/>
  <c r="AK219" i="4"/>
  <c r="AI233" i="4"/>
  <c r="AK233" i="4"/>
  <c r="W76" i="13"/>
  <c r="AK77" i="4"/>
  <c r="AI77" i="4"/>
  <c r="X103" i="13"/>
  <c r="Y103" i="13"/>
  <c r="AI161" i="4"/>
  <c r="AK161" i="4"/>
  <c r="W137" i="13"/>
  <c r="AI15" i="4"/>
  <c r="AH69" i="4"/>
  <c r="AK15" i="4"/>
  <c r="X150" i="13"/>
  <c r="Y150" i="13"/>
  <c r="AI145" i="4"/>
  <c r="AK145" i="4"/>
  <c r="X360" i="13"/>
  <c r="Y360" i="13"/>
  <c r="X155" i="13"/>
  <c r="Y155" i="13"/>
  <c r="AK78" i="4"/>
  <c r="W77" i="13"/>
  <c r="AI78" i="4"/>
  <c r="W138" i="13"/>
  <c r="AI263" i="4"/>
  <c r="AK263" i="4"/>
  <c r="W184" i="13"/>
  <c r="AK62" i="4"/>
  <c r="AI62" i="4"/>
  <c r="W149" i="13"/>
  <c r="AK27" i="4"/>
  <c r="AI27" i="4"/>
  <c r="Y123" i="13"/>
  <c r="X123" i="13"/>
  <c r="Y172" i="13"/>
  <c r="X172" i="13"/>
  <c r="W171" i="13"/>
  <c r="AI49" i="4"/>
  <c r="AK49" i="4"/>
  <c r="Y367" i="13"/>
  <c r="X367" i="13"/>
  <c r="Y90" i="13"/>
  <c r="X90" i="13"/>
  <c r="AK94" i="4"/>
  <c r="AI94" i="4"/>
  <c r="W93" i="13"/>
  <c r="W152" i="13"/>
  <c r="AI30" i="4"/>
  <c r="AK30" i="4"/>
  <c r="AI86" i="4"/>
  <c r="W85" i="13"/>
  <c r="AK86" i="4"/>
  <c r="W424" i="13"/>
  <c r="W118" i="13"/>
  <c r="AK119" i="4"/>
  <c r="AI119" i="4"/>
  <c r="AF69" i="4"/>
  <c r="W146" i="13"/>
  <c r="AK24" i="4"/>
  <c r="AI24" i="4"/>
  <c r="W406" i="13"/>
  <c r="W100" i="13"/>
  <c r="AK101" i="4"/>
  <c r="AI101" i="4"/>
  <c r="AK102" i="4"/>
  <c r="AI102" i="4"/>
  <c r="W101" i="13"/>
  <c r="W162" i="13"/>
  <c r="Y338" i="13"/>
  <c r="X338" i="13"/>
  <c r="W423" i="13"/>
  <c r="W117" i="13"/>
  <c r="AI118" i="4"/>
  <c r="AK118" i="4"/>
  <c r="W107" i="13"/>
  <c r="AI108" i="4"/>
  <c r="AK108" i="4"/>
  <c r="W154" i="13"/>
  <c r="AI32" i="4"/>
  <c r="AK32" i="4"/>
  <c r="X89" i="13"/>
  <c r="Y89" i="13"/>
  <c r="X111" i="13"/>
  <c r="Y111" i="13"/>
  <c r="Y181" i="13"/>
  <c r="X181" i="13"/>
  <c r="Y177" i="13"/>
  <c r="X177" i="13"/>
  <c r="W392" i="13"/>
  <c r="AK87" i="4"/>
  <c r="AI87" i="4"/>
  <c r="W86" i="13"/>
  <c r="W147" i="13"/>
  <c r="W110" i="13"/>
  <c r="AI111" i="4"/>
  <c r="AK111" i="4"/>
  <c r="W165" i="13"/>
  <c r="AI43" i="4"/>
  <c r="AK43" i="4"/>
  <c r="AK98" i="4"/>
  <c r="W97" i="13"/>
  <c r="AI98" i="4"/>
  <c r="W96" i="13"/>
  <c r="AK97" i="4"/>
  <c r="AI97" i="4"/>
  <c r="W157" i="13"/>
  <c r="W388" i="13"/>
  <c r="AK83" i="4"/>
  <c r="W82" i="13"/>
  <c r="AI83" i="4"/>
  <c r="W81" i="13"/>
  <c r="AK82" i="4"/>
  <c r="AI82" i="4"/>
  <c r="W142" i="13"/>
  <c r="Y322" i="13"/>
  <c r="W183" i="13"/>
  <c r="AK61" i="4"/>
  <c r="AI61" i="4"/>
  <c r="X120" i="13"/>
  <c r="Y120" i="13"/>
  <c r="X122" i="13"/>
  <c r="Y122" i="13"/>
  <c r="W153" i="13"/>
  <c r="AI31" i="4"/>
  <c r="AK31" i="4"/>
  <c r="X333" i="13"/>
  <c r="Y333" i="13"/>
  <c r="Y167" i="13"/>
  <c r="X167" i="13"/>
  <c r="Y334" i="13"/>
  <c r="X334" i="13"/>
  <c r="X166" i="13"/>
  <c r="Y166" i="13"/>
  <c r="W178" i="13"/>
  <c r="AI56" i="4"/>
  <c r="AK56" i="4"/>
  <c r="W114" i="13"/>
  <c r="AI115" i="4"/>
  <c r="AK115" i="4"/>
  <c r="W175" i="13"/>
  <c r="X151" i="13"/>
  <c r="Y151" i="13"/>
  <c r="X355" i="13"/>
  <c r="Y355" i="13"/>
  <c r="W158" i="13"/>
  <c r="AK36" i="4"/>
  <c r="AI36" i="4"/>
  <c r="AF132" i="4"/>
  <c r="X366" i="13"/>
  <c r="Y366" i="13"/>
  <c r="W427" i="13"/>
  <c r="W121" i="13"/>
  <c r="AI122" i="4"/>
  <c r="AK122" i="4"/>
  <c r="W182" i="13"/>
  <c r="AK166" i="4"/>
  <c r="AI166" i="4"/>
  <c r="Y94" i="13"/>
  <c r="X94" i="13"/>
  <c r="W143" i="13"/>
  <c r="AK21" i="4"/>
  <c r="AI21" i="4"/>
  <c r="AK201" i="4"/>
  <c r="AI201" i="4"/>
  <c r="AH255" i="4"/>
  <c r="W161" i="13"/>
  <c r="AI39" i="4"/>
  <c r="AK39" i="4"/>
  <c r="Y180" i="13"/>
  <c r="X180" i="13"/>
  <c r="H25" i="2"/>
  <c r="H23" i="2"/>
  <c r="Y139" i="13"/>
  <c r="X139" i="13"/>
  <c r="W408" i="13"/>
  <c r="AK103" i="4"/>
  <c r="AI103" i="4"/>
  <c r="W102" i="13"/>
  <c r="W163" i="13"/>
  <c r="AK129" i="4"/>
  <c r="AI129" i="4"/>
  <c r="W109" i="13"/>
  <c r="AI110" i="4"/>
  <c r="AK110" i="4"/>
  <c r="X364" i="13"/>
  <c r="Y364" i="13"/>
  <c r="W159" i="13"/>
  <c r="AK37" i="4"/>
  <c r="AI37" i="4"/>
  <c r="AK114" i="4"/>
  <c r="W113" i="13"/>
  <c r="AI114" i="4"/>
  <c r="W168" i="13"/>
  <c r="AI46" i="4"/>
  <c r="AK46" i="4"/>
  <c r="X78" i="13"/>
  <c r="Y78" i="13"/>
  <c r="Y169" i="13"/>
  <c r="X169" i="13"/>
  <c r="X116" i="13"/>
  <c r="Y116" i="13"/>
  <c r="T403" i="13"/>
  <c r="AU90" i="5"/>
  <c r="AS90" i="5"/>
  <c r="V245" i="13"/>
  <c r="T245" i="13"/>
  <c r="T409" i="13"/>
  <c r="AR158" i="5"/>
  <c r="AR34" i="5" s="1"/>
  <c r="AN158" i="5"/>
  <c r="S405" i="13"/>
  <c r="AI37" i="5"/>
  <c r="AN231" i="5"/>
  <c r="AR231" i="5"/>
  <c r="AR45" i="5" s="1"/>
  <c r="T230" i="13"/>
  <c r="T231" i="13"/>
  <c r="V231" i="13"/>
  <c r="T212" i="13"/>
  <c r="T413" i="13"/>
  <c r="T384" i="13"/>
  <c r="T429" i="13"/>
  <c r="S426" i="13"/>
  <c r="AI58" i="5"/>
  <c r="T415" i="13"/>
  <c r="T235" i="13"/>
  <c r="T228" i="13"/>
  <c r="V228" i="13"/>
  <c r="T201" i="13"/>
  <c r="T404" i="13"/>
  <c r="V211" i="13"/>
  <c r="T211" i="13"/>
  <c r="T244" i="13"/>
  <c r="T414" i="13"/>
  <c r="T385" i="13"/>
  <c r="T396" i="13"/>
  <c r="T199" i="13"/>
  <c r="AR207" i="5"/>
  <c r="AR21" i="5" s="1"/>
  <c r="W205" i="13" s="1"/>
  <c r="AN207" i="5"/>
  <c r="T205" i="13"/>
  <c r="T419" i="13"/>
  <c r="T412" i="13"/>
  <c r="T238" i="13"/>
  <c r="AS98" i="5"/>
  <c r="AU98" i="5"/>
  <c r="T428" i="13"/>
  <c r="AS170" i="5"/>
  <c r="AU170" i="5"/>
  <c r="T210" i="13"/>
  <c r="T407" i="13"/>
  <c r="T389" i="13"/>
  <c r="AU77" i="5"/>
  <c r="AS77" i="5"/>
  <c r="T223" i="13"/>
  <c r="AS145" i="5"/>
  <c r="AU145" i="5"/>
  <c r="AR172" i="5"/>
  <c r="AR48" i="5" s="1"/>
  <c r="W232" i="13" s="1"/>
  <c r="AN172" i="5"/>
  <c r="T422" i="13"/>
  <c r="T241" i="13"/>
  <c r="T394" i="13"/>
  <c r="AU85" i="5"/>
  <c r="AS85" i="5"/>
  <c r="AN161" i="5"/>
  <c r="AR161" i="5"/>
  <c r="AR37" i="5" s="1"/>
  <c r="W221" i="13" s="1"/>
  <c r="T425" i="13"/>
  <c r="T217" i="13"/>
  <c r="T431" i="13"/>
  <c r="T225" i="13"/>
  <c r="AU93" i="5"/>
  <c r="AS93" i="5"/>
  <c r="S402" i="13"/>
  <c r="AI34" i="5"/>
  <c r="S416" i="13"/>
  <c r="AI48" i="5"/>
  <c r="AS152" i="5"/>
  <c r="AU152" i="5"/>
  <c r="S420" i="13"/>
  <c r="AI52" i="5"/>
  <c r="T229" i="13"/>
  <c r="T401" i="13"/>
  <c r="T219" i="13"/>
  <c r="AR182" i="5"/>
  <c r="AR58" i="5" s="1"/>
  <c r="W242" i="13" s="1"/>
  <c r="AN182" i="5"/>
  <c r="V220" i="13"/>
  <c r="T220" i="13"/>
  <c r="T203" i="13"/>
  <c r="T200" i="13"/>
  <c r="AR176" i="5"/>
  <c r="AN176" i="5"/>
  <c r="AU232" i="5"/>
  <c r="AS232" i="5"/>
  <c r="AS223" i="5"/>
  <c r="AU223" i="5"/>
  <c r="AS89" i="5"/>
  <c r="AU89" i="5"/>
  <c r="AN165" i="5"/>
  <c r="AR165" i="5"/>
  <c r="AR41" i="5" s="1"/>
  <c r="W225" i="13" s="1"/>
  <c r="AS118" i="5"/>
  <c r="AU118" i="5"/>
  <c r="AR157" i="5"/>
  <c r="AR33" i="5" s="1"/>
  <c r="W217" i="13" s="1"/>
  <c r="AN157" i="5"/>
  <c r="AU185" i="5"/>
  <c r="AS185" i="5"/>
  <c r="AR140" i="5"/>
  <c r="AR16" i="5" s="1"/>
  <c r="W200" i="13" s="1"/>
  <c r="AN140" i="5"/>
  <c r="AU169" i="5"/>
  <c r="AS169" i="5"/>
  <c r="AS190" i="5"/>
  <c r="AU190" i="5"/>
  <c r="AU205" i="5"/>
  <c r="AS205" i="5"/>
  <c r="AS202" i="5"/>
  <c r="AU202" i="5"/>
  <c r="AS88" i="5"/>
  <c r="AU88" i="5"/>
  <c r="AU144" i="5"/>
  <c r="AS144" i="5"/>
  <c r="AS142" i="5"/>
  <c r="AU142" i="5"/>
  <c r="AS95" i="5"/>
  <c r="AU95" i="5"/>
  <c r="AS247" i="5"/>
  <c r="AU247" i="5"/>
  <c r="AN178" i="5"/>
  <c r="AR178" i="5"/>
  <c r="AR54" i="5" s="1"/>
  <c r="W238" i="13" s="1"/>
  <c r="AU250" i="5"/>
  <c r="AS250" i="5"/>
  <c r="AS175" i="5"/>
  <c r="AU175" i="5"/>
  <c r="AU127" i="5"/>
  <c r="AS127" i="5"/>
  <c r="AN159" i="5"/>
  <c r="AR159" i="5"/>
  <c r="AR35" i="5" s="1"/>
  <c r="W219" i="13" s="1"/>
  <c r="AR150" i="5"/>
  <c r="AR26" i="5" s="1"/>
  <c r="W210" i="13" s="1"/>
  <c r="AN150" i="5"/>
  <c r="AU166" i="5"/>
  <c r="AS166" i="5"/>
  <c r="AN200" i="5"/>
  <c r="AR200" i="5"/>
  <c r="AS108" i="5"/>
  <c r="AU108" i="5"/>
  <c r="AS203" i="5"/>
  <c r="AU203" i="5"/>
  <c r="AU221" i="5"/>
  <c r="AS221" i="5"/>
  <c r="AN189" i="5"/>
  <c r="AR189" i="5"/>
  <c r="AR65" i="5" s="1"/>
  <c r="AS191" i="5"/>
  <c r="AU191" i="5"/>
  <c r="AN143" i="5"/>
  <c r="AR143" i="5"/>
  <c r="AR19" i="5" s="1"/>
  <c r="W203" i="13" s="1"/>
  <c r="AN201" i="5"/>
  <c r="AR201" i="5"/>
  <c r="AS210" i="5"/>
  <c r="AU210" i="5"/>
  <c r="AS220" i="5"/>
  <c r="AU220" i="5"/>
  <c r="AS251" i="5"/>
  <c r="AU251" i="5"/>
  <c r="AS78" i="5"/>
  <c r="AU78" i="5"/>
  <c r="AU240" i="5"/>
  <c r="AS240" i="5"/>
  <c r="AS168" i="5"/>
  <c r="AU168" i="5"/>
  <c r="AS184" i="5"/>
  <c r="AU184" i="5"/>
  <c r="AS213" i="5"/>
  <c r="AU213" i="5"/>
  <c r="AS234" i="5"/>
  <c r="AU234" i="5"/>
  <c r="AN209" i="5"/>
  <c r="AR209" i="5"/>
  <c r="AS218" i="5"/>
  <c r="AU218" i="5"/>
  <c r="AI192" i="5"/>
  <c r="AM192" i="5"/>
  <c r="AS84" i="5"/>
  <c r="AU84" i="5"/>
  <c r="AN181" i="5"/>
  <c r="AR181" i="5"/>
  <c r="AR57" i="5" s="1"/>
  <c r="W241" i="13" s="1"/>
  <c r="AS106" i="5"/>
  <c r="AU106" i="5"/>
  <c r="AS239" i="5"/>
  <c r="AU239" i="5"/>
  <c r="AU119" i="5"/>
  <c r="AS119" i="5"/>
  <c r="AS219" i="5"/>
  <c r="AU219" i="5"/>
  <c r="AN147" i="5"/>
  <c r="AR147" i="5"/>
  <c r="AS252" i="5"/>
  <c r="AU252" i="5"/>
  <c r="AU241" i="5"/>
  <c r="AS241" i="5"/>
  <c r="AN139" i="5"/>
  <c r="AR139" i="5"/>
  <c r="AN155" i="5"/>
  <c r="AR155" i="5"/>
  <c r="S382" i="13"/>
  <c r="T382" i="13" s="1"/>
  <c r="T198" i="13"/>
  <c r="AI14" i="5"/>
  <c r="AU141" i="5"/>
  <c r="AS141" i="5"/>
  <c r="AN233" i="5"/>
  <c r="AR233" i="5"/>
  <c r="AR47" i="5" s="1"/>
  <c r="W231" i="13" s="1"/>
  <c r="AS124" i="5"/>
  <c r="AU124" i="5"/>
  <c r="AS186" i="5"/>
  <c r="AU186" i="5"/>
  <c r="AN138" i="5"/>
  <c r="AR138" i="5"/>
  <c r="AR225" i="5"/>
  <c r="AN225" i="5"/>
  <c r="AR217" i="5"/>
  <c r="AN217" i="5"/>
  <c r="AN130" i="5"/>
  <c r="AR130" i="5"/>
  <c r="AN246" i="5"/>
  <c r="AR246" i="5"/>
  <c r="AR60" i="5" s="1"/>
  <c r="W244" i="13" s="1"/>
  <c r="AU214" i="5"/>
  <c r="AS214" i="5"/>
  <c r="AN249" i="5"/>
  <c r="AR249" i="5"/>
  <c r="AR63" i="5" s="1"/>
  <c r="AU113" i="5"/>
  <c r="AS113" i="5"/>
  <c r="AS222" i="5"/>
  <c r="AU222" i="5"/>
  <c r="AS245" i="5"/>
  <c r="AU245" i="5"/>
  <c r="AU253" i="5"/>
  <c r="AS253" i="5"/>
  <c r="E26" i="2"/>
  <c r="E24" i="2"/>
  <c r="AR238" i="5"/>
  <c r="AN238" i="5"/>
  <c r="I36" i="30"/>
  <c r="H34" i="30"/>
  <c r="AS230" i="5"/>
  <c r="AU230" i="5"/>
  <c r="W224" i="13" l="1"/>
  <c r="AS40" i="5"/>
  <c r="AU40" i="5"/>
  <c r="W430" i="13"/>
  <c r="Y430" i="13" s="1"/>
  <c r="AS62" i="5"/>
  <c r="AU62" i="5"/>
  <c r="X246" i="13"/>
  <c r="AS46" i="5"/>
  <c r="W230" i="13"/>
  <c r="X230" i="13" s="1"/>
  <c r="U199" i="13"/>
  <c r="V199" i="13" s="1"/>
  <c r="AS61" i="5"/>
  <c r="W245" i="13"/>
  <c r="X245" i="13" s="1"/>
  <c r="AS36" i="5"/>
  <c r="W220" i="13"/>
  <c r="X220" i="13" s="1"/>
  <c r="U399" i="13"/>
  <c r="V399" i="13" s="1"/>
  <c r="U215" i="13"/>
  <c r="V215" i="13" s="1"/>
  <c r="AN22" i="5"/>
  <c r="U206" i="13"/>
  <c r="V206" i="13" s="1"/>
  <c r="W385" i="13"/>
  <c r="Y385" i="13" s="1"/>
  <c r="W201" i="13"/>
  <c r="Y201" i="13" s="1"/>
  <c r="U391" i="13"/>
  <c r="V391" i="13" s="1"/>
  <c r="U207" i="13"/>
  <c r="V207" i="13" s="1"/>
  <c r="AS44" i="5"/>
  <c r="W228" i="13"/>
  <c r="X228" i="13" s="1"/>
  <c r="AS27" i="5"/>
  <c r="W211" i="13"/>
  <c r="X211" i="13" s="1"/>
  <c r="W402" i="13"/>
  <c r="Y402" i="13" s="1"/>
  <c r="W218" i="13"/>
  <c r="AS67" i="5"/>
  <c r="U420" i="13"/>
  <c r="V420" i="13" s="1"/>
  <c r="U236" i="13"/>
  <c r="V236" i="13" s="1"/>
  <c r="W396" i="13"/>
  <c r="X396" i="13" s="1"/>
  <c r="W212" i="13"/>
  <c r="Y212" i="13" s="1"/>
  <c r="AU18" i="5"/>
  <c r="W202" i="13"/>
  <c r="X202" i="13" s="1"/>
  <c r="AS66" i="5"/>
  <c r="W431" i="13"/>
  <c r="X431" i="13" s="1"/>
  <c r="W247" i="13"/>
  <c r="W413" i="13"/>
  <c r="Y413" i="13" s="1"/>
  <c r="W229" i="13"/>
  <c r="W419" i="13"/>
  <c r="X419" i="13" s="1"/>
  <c r="W235" i="13"/>
  <c r="X235" i="13" s="1"/>
  <c r="AK194" i="4"/>
  <c r="Y160" i="13"/>
  <c r="X99" i="13"/>
  <c r="Y174" i="13"/>
  <c r="Y124" i="13"/>
  <c r="X124" i="13"/>
  <c r="Y368" i="13"/>
  <c r="X368" i="13"/>
  <c r="Y170" i="13"/>
  <c r="X145" i="13"/>
  <c r="Y179" i="13"/>
  <c r="Y173" i="13"/>
  <c r="W410" i="13"/>
  <c r="X410" i="13" s="1"/>
  <c r="AS42" i="5"/>
  <c r="W386" i="13"/>
  <c r="X386" i="13" s="1"/>
  <c r="AS18" i="5"/>
  <c r="AU42" i="5"/>
  <c r="AN31" i="5"/>
  <c r="AN23" i="5"/>
  <c r="U383" i="13"/>
  <c r="V383" i="13" s="1"/>
  <c r="AN15" i="5"/>
  <c r="AM68" i="5"/>
  <c r="AN68" i="5" s="1"/>
  <c r="AR23" i="5"/>
  <c r="AN52" i="5"/>
  <c r="W404" i="13"/>
  <c r="Y404" i="13" s="1"/>
  <c r="AU28" i="5"/>
  <c r="AU67" i="5"/>
  <c r="AS17" i="5"/>
  <c r="AU36" i="5"/>
  <c r="X240" i="13"/>
  <c r="AU66" i="5"/>
  <c r="AU17" i="5"/>
  <c r="Y246" i="13"/>
  <c r="W429" i="13"/>
  <c r="X429" i="13" s="1"/>
  <c r="AS28" i="5"/>
  <c r="W395" i="13"/>
  <c r="X393" i="13"/>
  <c r="W412" i="13"/>
  <c r="Y412" i="13" s="1"/>
  <c r="W414" i="13"/>
  <c r="X414" i="13" s="1"/>
  <c r="AU44" i="5"/>
  <c r="AU27" i="5"/>
  <c r="AU46" i="5"/>
  <c r="AU51" i="5"/>
  <c r="AS51" i="5"/>
  <c r="X239" i="13"/>
  <c r="X400" i="13"/>
  <c r="Y79" i="13"/>
  <c r="X79" i="13"/>
  <c r="Y323" i="13"/>
  <c r="Y356" i="13"/>
  <c r="X356" i="13"/>
  <c r="X112" i="13"/>
  <c r="Y112" i="13"/>
  <c r="X156" i="13"/>
  <c r="Y156" i="13"/>
  <c r="X164" i="13"/>
  <c r="Y164" i="13"/>
  <c r="Y140" i="13"/>
  <c r="X140" i="13"/>
  <c r="AS60" i="5"/>
  <c r="W428" i="13"/>
  <c r="X244" i="13"/>
  <c r="AU60" i="5"/>
  <c r="AS21" i="5"/>
  <c r="X205" i="13"/>
  <c r="W389" i="13"/>
  <c r="X389" i="13" s="1"/>
  <c r="AU21" i="5"/>
  <c r="X237" i="13"/>
  <c r="Y237" i="13"/>
  <c r="AR15" i="5"/>
  <c r="AR52" i="5"/>
  <c r="X208" i="13"/>
  <c r="Y208" i="13"/>
  <c r="AU47" i="5"/>
  <c r="AS47" i="5"/>
  <c r="AR14" i="5"/>
  <c r="W198" i="13" s="1"/>
  <c r="W415" i="13"/>
  <c r="X415" i="13" s="1"/>
  <c r="AU61" i="5"/>
  <c r="AS43" i="5"/>
  <c r="AU43" i="5"/>
  <c r="W411" i="13"/>
  <c r="AS45" i="5"/>
  <c r="AU45" i="5"/>
  <c r="AR31" i="5"/>
  <c r="X243" i="13"/>
  <c r="Y243" i="13"/>
  <c r="Y421" i="13"/>
  <c r="X421" i="13"/>
  <c r="AR22" i="5"/>
  <c r="W206" i="13" s="1"/>
  <c r="AS146" i="5"/>
  <c r="AU146" i="5"/>
  <c r="U390" i="13"/>
  <c r="V390" i="13" s="1"/>
  <c r="AS50" i="5"/>
  <c r="AU50" i="5"/>
  <c r="W418" i="13"/>
  <c r="AR39" i="5"/>
  <c r="W223" i="13" s="1"/>
  <c r="AS163" i="5"/>
  <c r="AU163" i="5"/>
  <c r="AR49" i="5"/>
  <c r="W233" i="13" s="1"/>
  <c r="AU173" i="5"/>
  <c r="AS173" i="5"/>
  <c r="V223" i="13"/>
  <c r="AN39" i="5"/>
  <c r="U407" i="13"/>
  <c r="V407" i="13" s="1"/>
  <c r="AN49" i="5"/>
  <c r="V233" i="13"/>
  <c r="U417" i="13"/>
  <c r="V417" i="13" s="1"/>
  <c r="AS63" i="5"/>
  <c r="AU63" i="5"/>
  <c r="AR29" i="5"/>
  <c r="W213" i="13" s="1"/>
  <c r="AU153" i="5"/>
  <c r="AS153" i="5"/>
  <c r="V213" i="13"/>
  <c r="AN29" i="5"/>
  <c r="U397" i="13"/>
  <c r="V397" i="13" s="1"/>
  <c r="AS57" i="5"/>
  <c r="AU57" i="5"/>
  <c r="W425" i="13"/>
  <c r="AS19" i="5"/>
  <c r="AU19" i="5"/>
  <c r="X204" i="13"/>
  <c r="Y204" i="13"/>
  <c r="AS16" i="5"/>
  <c r="AU16" i="5"/>
  <c r="W384" i="13"/>
  <c r="AS26" i="5"/>
  <c r="AU26" i="5"/>
  <c r="W394" i="13"/>
  <c r="AS37" i="5"/>
  <c r="AU37" i="5"/>
  <c r="W405" i="13"/>
  <c r="AS35" i="5"/>
  <c r="AU35" i="5"/>
  <c r="AS58" i="5"/>
  <c r="AU58" i="5"/>
  <c r="W426" i="13"/>
  <c r="AU54" i="5"/>
  <c r="AS54" i="5"/>
  <c r="W422" i="13"/>
  <c r="AS33" i="5"/>
  <c r="AU33" i="5"/>
  <c r="W401" i="13"/>
  <c r="AS65" i="5"/>
  <c r="AU65" i="5"/>
  <c r="AS48" i="5"/>
  <c r="AU48" i="5"/>
  <c r="AS34" i="5"/>
  <c r="AU34" i="5"/>
  <c r="W387" i="13"/>
  <c r="X387" i="13" s="1"/>
  <c r="W403" i="13"/>
  <c r="X403" i="13" s="1"/>
  <c r="X226" i="13"/>
  <c r="Y226" i="13"/>
  <c r="W416" i="13"/>
  <c r="X416" i="13" s="1"/>
  <c r="AS41" i="5"/>
  <c r="AU41" i="5"/>
  <c r="W409" i="13"/>
  <c r="X84" i="13"/>
  <c r="Y84" i="13"/>
  <c r="X98" i="13"/>
  <c r="Y98" i="13"/>
  <c r="X328" i="13"/>
  <c r="Y328" i="13"/>
  <c r="X342" i="13"/>
  <c r="Y342" i="13"/>
  <c r="X186" i="13"/>
  <c r="Y186" i="13"/>
  <c r="X320" i="13"/>
  <c r="Y320" i="13"/>
  <c r="Y144" i="13"/>
  <c r="X144" i="13"/>
  <c r="X125" i="13"/>
  <c r="Y125" i="13"/>
  <c r="X76" i="13"/>
  <c r="Y76" i="13"/>
  <c r="X148" i="13"/>
  <c r="Y148" i="13"/>
  <c r="X369" i="13"/>
  <c r="Y369" i="13"/>
  <c r="Y83" i="13"/>
  <c r="X83" i="13"/>
  <c r="Y327" i="13"/>
  <c r="X327" i="13"/>
  <c r="Y341" i="13"/>
  <c r="X341" i="13"/>
  <c r="Y330" i="13"/>
  <c r="X330" i="13"/>
  <c r="X171" i="13"/>
  <c r="Y171" i="13"/>
  <c r="Y168" i="13"/>
  <c r="X168" i="13"/>
  <c r="X161" i="13"/>
  <c r="Y161" i="13"/>
  <c r="Y183" i="13"/>
  <c r="X183" i="13"/>
  <c r="X354" i="13"/>
  <c r="Y354" i="13"/>
  <c r="X351" i="13"/>
  <c r="Y351" i="13"/>
  <c r="X345" i="13"/>
  <c r="Y345" i="13"/>
  <c r="X85" i="13"/>
  <c r="Y85" i="13"/>
  <c r="X346" i="13"/>
  <c r="Y346" i="13"/>
  <c r="AI255" i="4"/>
  <c r="AK255" i="4"/>
  <c r="Y114" i="13"/>
  <c r="X114" i="13"/>
  <c r="Y96" i="13"/>
  <c r="X96" i="13"/>
  <c r="Y149" i="13"/>
  <c r="X149" i="13"/>
  <c r="AK132" i="4"/>
  <c r="AI132" i="4"/>
  <c r="Y325" i="13"/>
  <c r="X107" i="13"/>
  <c r="Y107" i="13"/>
  <c r="Y109" i="13"/>
  <c r="X109" i="13"/>
  <c r="Y182" i="13"/>
  <c r="X182" i="13"/>
  <c r="X353" i="13"/>
  <c r="Y353" i="13"/>
  <c r="X163" i="13"/>
  <c r="Y163" i="13"/>
  <c r="X358" i="13"/>
  <c r="Y358" i="13"/>
  <c r="X82" i="13"/>
  <c r="Y82" i="13"/>
  <c r="X340" i="13"/>
  <c r="Y340" i="13"/>
  <c r="Y147" i="13"/>
  <c r="X147" i="13"/>
  <c r="Y118" i="13"/>
  <c r="X118" i="13"/>
  <c r="Y93" i="13"/>
  <c r="X93" i="13"/>
  <c r="Y138" i="13"/>
  <c r="X138" i="13"/>
  <c r="AK69" i="4"/>
  <c r="AI69" i="4"/>
  <c r="Y158" i="13"/>
  <c r="X158" i="13"/>
  <c r="Y153" i="13"/>
  <c r="X153" i="13"/>
  <c r="Y110" i="13"/>
  <c r="X110" i="13"/>
  <c r="Y321" i="13"/>
  <c r="X102" i="13"/>
  <c r="Y102" i="13"/>
  <c r="Y142" i="13"/>
  <c r="X142" i="13"/>
  <c r="Y165" i="13"/>
  <c r="X165" i="13"/>
  <c r="Y86" i="13"/>
  <c r="X86" i="13"/>
  <c r="Y162" i="13"/>
  <c r="X162" i="13"/>
  <c r="Y100" i="13"/>
  <c r="X100" i="13"/>
  <c r="X424" i="13"/>
  <c r="Y424" i="13"/>
  <c r="Y329" i="13"/>
  <c r="X329" i="13"/>
  <c r="X113" i="13"/>
  <c r="Y113" i="13"/>
  <c r="Y159" i="13"/>
  <c r="X159" i="13"/>
  <c r="X121" i="13"/>
  <c r="Y121" i="13"/>
  <c r="X388" i="13"/>
  <c r="Y388" i="13"/>
  <c r="Y154" i="13"/>
  <c r="X154" i="13"/>
  <c r="X117" i="13"/>
  <c r="Y117" i="13"/>
  <c r="Y101" i="13"/>
  <c r="X101" i="13"/>
  <c r="X406" i="13"/>
  <c r="Y406" i="13"/>
  <c r="X362" i="13"/>
  <c r="Y362" i="13"/>
  <c r="Y77" i="13"/>
  <c r="X77" i="13"/>
  <c r="Y137" i="13"/>
  <c r="X137" i="13"/>
  <c r="Y365" i="13"/>
  <c r="X365" i="13"/>
  <c r="Y326" i="13"/>
  <c r="X97" i="13"/>
  <c r="Y97" i="13"/>
  <c r="X361" i="13"/>
  <c r="Y361" i="13"/>
  <c r="X344" i="13"/>
  <c r="Y344" i="13"/>
  <c r="X146" i="13"/>
  <c r="Y146" i="13"/>
  <c r="X357" i="13"/>
  <c r="Y357" i="13"/>
  <c r="X408" i="13"/>
  <c r="Y408" i="13"/>
  <c r="Y143" i="13"/>
  <c r="X143" i="13"/>
  <c r="X427" i="13"/>
  <c r="Y427" i="13"/>
  <c r="X175" i="13"/>
  <c r="Y175" i="13"/>
  <c r="Y178" i="13"/>
  <c r="X178" i="13"/>
  <c r="Y81" i="13"/>
  <c r="X81" i="13"/>
  <c r="Y157" i="13"/>
  <c r="X157" i="13"/>
  <c r="X392" i="13"/>
  <c r="Y392" i="13"/>
  <c r="X423" i="13"/>
  <c r="Y423" i="13"/>
  <c r="Y152" i="13"/>
  <c r="X152" i="13"/>
  <c r="Y337" i="13"/>
  <c r="X337" i="13"/>
  <c r="X184" i="13"/>
  <c r="Y184" i="13"/>
  <c r="V402" i="13"/>
  <c r="T402" i="13"/>
  <c r="V405" i="13"/>
  <c r="T405" i="13"/>
  <c r="AS172" i="5"/>
  <c r="AU172" i="5"/>
  <c r="AS207" i="5"/>
  <c r="AU207" i="5"/>
  <c r="AS158" i="5"/>
  <c r="AU158" i="5"/>
  <c r="V242" i="13"/>
  <c r="T242" i="13"/>
  <c r="T232" i="13"/>
  <c r="V232" i="13"/>
  <c r="AS231" i="5"/>
  <c r="AU231" i="5"/>
  <c r="AU182" i="5"/>
  <c r="AS182" i="5"/>
  <c r="V416" i="13"/>
  <c r="T416" i="13"/>
  <c r="V426" i="13"/>
  <c r="T426" i="13"/>
  <c r="T236" i="13"/>
  <c r="T218" i="13"/>
  <c r="V218" i="13"/>
  <c r="V221" i="13"/>
  <c r="T221" i="13"/>
  <c r="AU161" i="5"/>
  <c r="AS161" i="5"/>
  <c r="T420" i="13"/>
  <c r="AS157" i="5"/>
  <c r="AU157" i="5"/>
  <c r="AS165" i="5"/>
  <c r="AU165" i="5"/>
  <c r="AS140" i="5"/>
  <c r="AU140" i="5"/>
  <c r="AS176" i="5"/>
  <c r="AU176" i="5"/>
  <c r="AS178" i="5"/>
  <c r="AU178" i="5"/>
  <c r="AR254" i="5"/>
  <c r="AS254" i="5" s="1"/>
  <c r="AS143" i="5"/>
  <c r="AU143" i="5"/>
  <c r="AS159" i="5"/>
  <c r="AU159" i="5"/>
  <c r="AU150" i="5"/>
  <c r="AS150" i="5"/>
  <c r="AS189" i="5"/>
  <c r="AU189" i="5"/>
  <c r="AS200" i="5"/>
  <c r="AU200" i="5"/>
  <c r="U382" i="13"/>
  <c r="V382" i="13" s="1"/>
  <c r="V198" i="13"/>
  <c r="AN14" i="5"/>
  <c r="AS147" i="5"/>
  <c r="AU147" i="5"/>
  <c r="AU138" i="5"/>
  <c r="AS138" i="5"/>
  <c r="AS139" i="5"/>
  <c r="AU139" i="5"/>
  <c r="AS201" i="5"/>
  <c r="AU201" i="5"/>
  <c r="AU181" i="5"/>
  <c r="AS181" i="5"/>
  <c r="AS209" i="5"/>
  <c r="AU209" i="5"/>
  <c r="AS217" i="5"/>
  <c r="AU217" i="5"/>
  <c r="AN192" i="5"/>
  <c r="AR192" i="5"/>
  <c r="AS225" i="5"/>
  <c r="AU225" i="5"/>
  <c r="AS233" i="5"/>
  <c r="AU233" i="5"/>
  <c r="AS155" i="5"/>
  <c r="AU155" i="5"/>
  <c r="F26" i="2"/>
  <c r="F24" i="2"/>
  <c r="J36" i="30"/>
  <c r="J34" i="30" s="1"/>
  <c r="I34" i="30"/>
  <c r="AU238" i="5"/>
  <c r="AS238" i="5"/>
  <c r="AS246" i="5"/>
  <c r="AU246" i="5"/>
  <c r="AS249" i="5"/>
  <c r="AU249" i="5"/>
  <c r="AS130" i="5"/>
  <c r="AU130" i="5"/>
  <c r="X430" i="13" l="1"/>
  <c r="X224" i="13"/>
  <c r="Y224" i="13"/>
  <c r="X385" i="13"/>
  <c r="X402" i="13"/>
  <c r="X413" i="13"/>
  <c r="Y396" i="13"/>
  <c r="Y419" i="13"/>
  <c r="Y431" i="13"/>
  <c r="AU52" i="5"/>
  <c r="W236" i="13"/>
  <c r="Y236" i="13" s="1"/>
  <c r="W399" i="13"/>
  <c r="X399" i="13" s="1"/>
  <c r="W215" i="13"/>
  <c r="X215" i="13" s="1"/>
  <c r="W383" i="13"/>
  <c r="Y383" i="13" s="1"/>
  <c r="W199" i="13"/>
  <c r="X199" i="13" s="1"/>
  <c r="W391" i="13"/>
  <c r="X391" i="13" s="1"/>
  <c r="W207" i="13"/>
  <c r="X207" i="13" s="1"/>
  <c r="Y410" i="13"/>
  <c r="Y202" i="13"/>
  <c r="Y386" i="13"/>
  <c r="X201" i="13"/>
  <c r="X404" i="13"/>
  <c r="AS23" i="5"/>
  <c r="AU23" i="5"/>
  <c r="AR68" i="5"/>
  <c r="AS68" i="5" s="1"/>
  <c r="Y220" i="13"/>
  <c r="X412" i="13"/>
  <c r="Y235" i="13"/>
  <c r="Y414" i="13"/>
  <c r="Y228" i="13"/>
  <c r="Y429" i="13"/>
  <c r="Y245" i="13"/>
  <c r="Y230" i="13"/>
  <c r="X212" i="13"/>
  <c r="Y211" i="13"/>
  <c r="Y415" i="13"/>
  <c r="AU31" i="5"/>
  <c r="AS31" i="5"/>
  <c r="X395" i="13"/>
  <c r="Y395" i="13"/>
  <c r="AS52" i="5"/>
  <c r="W420" i="13"/>
  <c r="Y420" i="13" s="1"/>
  <c r="AS15" i="5"/>
  <c r="AU15" i="5"/>
  <c r="Y389" i="13"/>
  <c r="Y205" i="13"/>
  <c r="Y411" i="13"/>
  <c r="X411" i="13"/>
  <c r="Y244" i="13"/>
  <c r="X227" i="13"/>
  <c r="Y227" i="13"/>
  <c r="X229" i="13"/>
  <c r="Y229" i="13"/>
  <c r="X428" i="13"/>
  <c r="Y428" i="13"/>
  <c r="X231" i="13"/>
  <c r="Y231" i="13"/>
  <c r="AU22" i="5"/>
  <c r="AS22" i="5"/>
  <c r="W390" i="13"/>
  <c r="W417" i="13"/>
  <c r="AS49" i="5"/>
  <c r="AU49" i="5"/>
  <c r="AS39" i="5"/>
  <c r="AU39" i="5"/>
  <c r="W407" i="13"/>
  <c r="X418" i="13"/>
  <c r="Y418" i="13"/>
  <c r="X247" i="13"/>
  <c r="Y247" i="13"/>
  <c r="X234" i="13"/>
  <c r="Y234" i="13"/>
  <c r="Y387" i="13"/>
  <c r="AS29" i="5"/>
  <c r="W397" i="13"/>
  <c r="AU29" i="5"/>
  <c r="Y416" i="13"/>
  <c r="Y403" i="13"/>
  <c r="X394" i="13"/>
  <c r="Y394" i="13"/>
  <c r="X232" i="13"/>
  <c r="Y232" i="13"/>
  <c r="X401" i="13"/>
  <c r="Y401" i="13"/>
  <c r="X426" i="13"/>
  <c r="Y426" i="13"/>
  <c r="X210" i="13"/>
  <c r="Y210" i="13"/>
  <c r="X238" i="13"/>
  <c r="Y238" i="13"/>
  <c r="X217" i="13"/>
  <c r="Y217" i="13"/>
  <c r="X219" i="13"/>
  <c r="Y219" i="13"/>
  <c r="X203" i="13"/>
  <c r="Y203" i="13"/>
  <c r="X242" i="13"/>
  <c r="Y242" i="13"/>
  <c r="X405" i="13"/>
  <c r="Y405" i="13"/>
  <c r="X384" i="13"/>
  <c r="Y384" i="13"/>
  <c r="X409" i="13"/>
  <c r="Y409" i="13"/>
  <c r="X218" i="13"/>
  <c r="Y218" i="13"/>
  <c r="X200" i="13"/>
  <c r="Y200" i="13"/>
  <c r="X425" i="13"/>
  <c r="Y425" i="13"/>
  <c r="X225" i="13"/>
  <c r="Y225" i="13"/>
  <c r="X422" i="13"/>
  <c r="Y422" i="13"/>
  <c r="X221" i="13"/>
  <c r="Y221" i="13"/>
  <c r="X241" i="13"/>
  <c r="Y241" i="13"/>
  <c r="AU254" i="5"/>
  <c r="W382" i="13"/>
  <c r="AS14" i="5"/>
  <c r="AU14" i="5"/>
  <c r="AS192" i="5"/>
  <c r="AU192" i="5"/>
  <c r="G24" i="2"/>
  <c r="G26" i="2"/>
  <c r="H24" i="2"/>
  <c r="H26" i="2"/>
  <c r="Y391" i="13" l="1"/>
  <c r="X383" i="13"/>
  <c r="Y399" i="13"/>
  <c r="Y207" i="13"/>
  <c r="AU68" i="5"/>
  <c r="Y199" i="13"/>
  <c r="X420" i="13"/>
  <c r="X236" i="13"/>
  <c r="Y215" i="13"/>
  <c r="X390" i="13"/>
  <c r="Y390" i="13"/>
  <c r="X206" i="13"/>
  <c r="Y206" i="13"/>
  <c r="X233" i="13"/>
  <c r="Y233" i="13"/>
  <c r="X407" i="13"/>
  <c r="Y407" i="13"/>
  <c r="X417" i="13"/>
  <c r="Y417" i="13"/>
  <c r="Y223" i="13"/>
  <c r="X223" i="13"/>
  <c r="X397" i="13"/>
  <c r="Y397" i="13"/>
  <c r="X213" i="13"/>
  <c r="Y213" i="13"/>
  <c r="Y382" i="13"/>
  <c r="X382" i="13"/>
  <c r="X198" i="13"/>
  <c r="Y198" i="13"/>
  <c r="H28" i="2" l="1"/>
  <c r="H27" i="2" l="1"/>
  <c r="H29" i="2"/>
  <c r="E29" i="2"/>
  <c r="D27" i="2"/>
  <c r="G28" i="2"/>
  <c r="F28" i="2"/>
  <c r="K173" i="30"/>
  <c r="K157" i="30" s="1"/>
  <c r="I28" i="2" l="1"/>
  <c r="E27" i="2"/>
  <c r="I29" i="2"/>
  <c r="G27" i="2"/>
  <c r="G29" i="2"/>
  <c r="F29" i="2"/>
  <c r="D28" i="2"/>
  <c r="I27" i="2"/>
  <c r="F27" i="2"/>
  <c r="D29" i="2"/>
  <c r="E2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tc={94930FAE-521B-4DC5-B426-B637E5E1533E}</author>
    <author>tc={4FDE2EA0-6BC6-4334-B004-1D77E1EB2B24}</author>
    <author>tc={3A1C49BE-0030-4FF7-8371-407C48EE8ABB}</author>
  </authors>
  <commentList>
    <comment ref="B9" authorId="0" shapeId="0" xr:uid="{94930FAE-521B-4DC5-B426-B637E5E1533E}">
      <text>
        <t>[Threaded comment]
Your version of Excel allows you to read this threaded comment; however, any edits to it will get removed if the file is opened in a newer version of Excel. Learn more: https://go.microsoft.com/fwlink/?linkid=870924
Comment:
    Δεν διατίθενται σχετικά στοιχεία</t>
      </text>
    </comment>
    <comment ref="B252" authorId="1" shapeId="0" xr:uid="{4FDE2EA0-6BC6-4334-B004-1D77E1EB2B24}">
      <text>
        <t>[Threaded comment]
Your version of Excel allows you to read this threaded comment; however, any edits to it will get removed if the file is opened in a newer version of Excel. Learn more: https://go.microsoft.com/fwlink/?linkid=870924
Comment:
    Το δεδομένο της κατανάλωσης στα αποτελέσματα ερευνών αγοράς δεν είναι διαθέσιμο.</t>
      </text>
    </comment>
    <comment ref="B304" authorId="2" shapeId="0" xr:uid="{3A1C49BE-0030-4FF7-8371-407C48EE8ABB}">
      <text>
        <t>[Threaded comment]
Your version of Excel allows you to read this threaded comment; however, any edits to it will get removed if the file is opened in a newer version of Excel. Learn more: https://go.microsoft.com/fwlink/?linkid=870924
Comment:
    Δεν είναι δυνατή η σχετική πρόβλεψη δεδομένης της αβεβαιότητας όσον αφορά τις τιμές προμήθειας και το κόστος της εσωτερικής εγκατάστασης για τα επόμενα έτη.</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tc={E4ACE8D4-5559-4DFF-86CB-3BAB7A4604B0}</author>
  </authors>
  <commentList>
    <comment ref="B9" authorId="0" shapeId="0" xr:uid="{E4ACE8D4-5559-4DFF-86CB-3BAB7A4604B0}">
      <text>
        <t>[Threaded comment]
Your version of Excel allows you to read this threaded comment; however, any edits to it will get removed if the file is opened in a newer version of Excel. Learn more: https://go.microsoft.com/fwlink/?linkid=870924
Comment:
    Για το δίκτυο διανομής της Αττικής η οικονομική αξιολόγηση των επενδύσεων των έργων ανάπτυξης γίνεται σε επίπεδο Λειτουργικού Τομέα (και όχι Δήμου), ο οποίος δύναται να περιλαμβάνει έναν ή περισσότερους Δήμους της Αττικής. Ως εκ τούτου ο μέσος συντελεστής απόδοσης IRR ανά Λειτουργικό Τομέα παρατίθεται στον κατωτέρω Πίνακα.</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tc={403EC454-38A4-4A6B-9E15-15F4C1187752}</author>
  </authors>
  <commentList>
    <comment ref="B14" authorId="0" shapeId="0" xr:uid="{403EC454-38A4-4A6B-9E15-15F4C1187752}">
      <text>
        <t xml:space="preserve">[Threaded comment]
Your version of Excel allows you to read this threaded comment; however, any edits to it will get removed if the file is opened in a newer version of Excel. Learn more: https://go.microsoft.com/fwlink/?linkid=870924
Comment:
    Τα αποτελέσματα έχουν δοθεί συνολικά για το νομό Αττικής και όχι σε επίπεδο δήμου καθώς τα κόστη μας δεν διαφοροποιούνται ανάλογα με τον Δήμο που δραστηριοποιούμαστε.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tc={EE41B91B-777D-4CAB-9E6D-02E8F4BABC72}</author>
  </authors>
  <commentList>
    <comment ref="B262" authorId="0" shapeId="0" xr:uid="{EE41B91B-777D-4CAB-9E6D-02E8F4BABC72}">
      <text>
        <t xml:space="preserve">[Threaded comment]
Your version of Excel allows you to read this threaded comment; however, any edits to it will get removed if the file is opened in a newer version of Excel. Learn more: https://go.microsoft.com/fwlink/?linkid=870924
Comment:
    Το πλήθος των σταθμών MR 19/4 δεν αποτυπώνεται αναλυτικά ανά Δήμο αλλά στο σύνολο του νομού Αττικής καθώς οι σταθμοί διανομής τροφοδοτούν δίκτυα Μέσης Πίεσης που περιλαμβάνουν περισσότερους του ενός δήμου.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tc={B6DC8599-946F-4A10-84FB-88F569A2F26D}</author>
  </authors>
  <commentList>
    <comment ref="B71" authorId="0" shapeId="0" xr:uid="{B6DC8599-946F-4A10-84FB-88F569A2F26D}">
      <text>
        <t xml:space="preserve">[Threaded comment]
Your version of Excel allows you to read this threaded comment; however, any edits to it will get removed if the file is opened in a newer version of Excel. Learn more: https://go.microsoft.com/fwlink/?linkid=870924
Comment:
    Το πλήθος των ενεργών συνδέσεων (παροχετευτικών αγωγών) έχει διαχωριστεί σύμφωνα με τις βασικές κατηγορίες τιμολογίων (Οικιακή Χρήση, Εμπορική Χρήση &amp; Βιομηχανική Χρήση) και όχι σύμφωνα με τις κατηγορίες χρήσεις που περιέχονταν στο αρχείο, καθώς κάθε παροχετευτικός αγωγός μπορεί να φέρει περισσότερες της μια χρήσης κυρίως για τον οικιακό τομέα.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tc={2368527C-E0B9-417C-967D-AFBDA844257A}</author>
  </authors>
  <commentList>
    <comment ref="B254" authorId="0" shapeId="0" xr:uid="{2368527C-E0B9-417C-967D-AFBDA844257A}">
      <text>
        <t>[Threaded comment]
Your version of Excel allows you to read this threaded comment; however, any edits to it will get removed if the file is opened in a newer version of Excel. Learn more: https://go.microsoft.com/fwlink/?linkid=870924
Comment:
    Η πληροφορία που αφορά σε εμπορικούς πελάτες δίνεται συγκεντρωτικά στον πίνακα «Εμπορική χρήση» (δεν είναι εφικτή η διάκριση μεταξύ των κατηγοριών «‘Εμπορική χρήση» και «Επαγγελματική χρήση -δημόσιες υπηρεσίες»).</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tc={066F367C-418F-4B31-9698-9A751B2DF4C3}</author>
  </authors>
  <commentList>
    <comment ref="B254" authorId="0" shapeId="0" xr:uid="{066F367C-418F-4B31-9698-9A751B2DF4C3}">
      <text>
        <t>[Threaded comment]
Your version of Excel allows you to read this threaded comment; however, any edits to it will get removed if the file is opened in a newer version of Excel. Learn more: https://go.microsoft.com/fwlink/?linkid=870924
Comment:
    Η πληροφορία που αφορά σε εμπορικούς πελάτες δίνεται συγκεντρωτικά στον πίνακα «Εμπορική χρήση» (δεν είναι εφικτή η διάκριση μεταξύ των κατηγοριών «‘Εμπορική χρήση» και «Επαγγελματική χρήση -δημόσιες υπηρεσίες»).</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tc={7CC25C75-D118-4DAA-BC92-9A1067B71F5F}</author>
  </authors>
  <commentList>
    <comment ref="B7" authorId="0" shapeId="0" xr:uid="{7CC25C75-D118-4DAA-BC92-9A1067B71F5F}">
      <text>
        <t xml:space="preserve">[Threaded comment]
Your version of Excel allows you to read this threaded comment; however, any edits to it will get removed if the file is opened in a newer version of Excel. Learn more: https://go.microsoft.com/fwlink/?linkid=870924
Comment:
    Τα αποτελέσματα έχουν δοθεί συνολικά για το νομό Αττικής και όχι σε επίπεδο δήμου καθώς τα κόστη μας δεν διαφοροποιούνται ανάλογα με τον Δήμο που δραστηριοποιούμαστε.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tc={7B670920-F128-4ECF-AD5B-0B19E694353D}</author>
  </authors>
  <commentList>
    <comment ref="B7" authorId="0" shapeId="0" xr:uid="{7B670920-F128-4ECF-AD5B-0B19E694353D}">
      <text>
        <t>[Threaded comment]
Your version of Excel allows you to read this threaded comment; however, any edits to it will get removed if the file is opened in a newer version of Excel. Learn more: https://go.microsoft.com/fwlink/?linkid=870924
Comment:
     δίδονται αναλυτικά στοιχεία στο επόμενο φύλλο Πινάκων.</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tc={2057155A-EBA4-4BFF-AFDD-6D8D5FE89C48}</author>
  </authors>
  <commentList>
    <comment ref="B258" authorId="0" shapeId="0" xr:uid="{2057155A-EBA4-4BFF-AFDD-6D8D5FE89C48}">
      <text>
        <t>[Threaded comment]
Your version of Excel allows you to read this threaded comment; however, any edits to it will get removed if the file is opened in a newer version of Excel. Learn more: https://go.microsoft.com/fwlink/?linkid=870924
Comment:
    Η πληροφορία που αφορά σε εμπορικούς πελάτες δίνεται συγκεντρωτικά στον πίνακα «Εμπορική χρήση» (δεν είναι εφικτή η διάκριση μεταξύ των κατηγοριών «‘Εμπορική χρήση» και «Επαγγελματική χρήση -δημόσιες υπηρεσίες»).</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tc={787FFA0F-0643-45D1-9118-D7CB70F87A5B}</author>
    <author>tc={DABA1C93-A35D-4BD6-95B9-8A3AD784E1CD}</author>
    <author>tc={6B6BE979-3F27-4578-9F1D-438A6BE0AD98}</author>
  </authors>
  <commentList>
    <comment ref="B7" authorId="0" shapeId="0" xr:uid="{787FFA0F-0643-45D1-9118-D7CB70F87A5B}">
      <text>
        <t xml:space="preserve">[Threaded comment]
Your version of Excel allows you to read this threaded comment; however, any edits to it will get removed if the file is opened in a newer version of Excel. Learn more: https://go.microsoft.com/fwlink/?linkid=870924
Comment:
    Δεν έχουν υπολογιστεί χρήσεις πλην των οικιακών καθώς δεν υπάρχουν πλήρη δεδομένα για τις δυνητικές εμπορικές και λοιπές καταναλώσεις. </t>
      </text>
    </comment>
    <comment ref="B72" authorId="1" shapeId="0" xr:uid="{DABA1C93-A35D-4BD6-95B9-8A3AD784E1CD}">
      <text>
        <t>[Threaded comment]
Your version of Excel allows you to read this threaded comment; however, any edits to it will get removed if the file is opened in a newer version of Excel. Learn more: https://go.microsoft.com/fwlink/?linkid=870924
Comment:
    Αφορά μόνο Οικιακούς</t>
      </text>
    </comment>
    <comment ref="B192" authorId="2" shapeId="0" xr:uid="{6B6BE979-3F27-4578-9F1D-438A6BE0AD98}">
      <text>
        <t xml:space="preserve">[Threaded comment]
Your version of Excel allows you to read this threaded comment; however, any edits to it will get removed if the file is opened in a newer version of Excel. Learn more: https://go.microsoft.com/fwlink/?linkid=870924
Comment:
    Το μελετημένο και το ωφέλιμο οδικό δίκτυο  ανά έτος από το 2017 έως το 2026 έχει θεωρηθεί σταθερό καθώς δεν δύναται να εκτιμηθεί τροποποίηση του ωφέλιμου δικτύου με τυχόν προσθήκη νέων οδών προς ανάπτυξη δικτύου διανομής. </t>
      </text>
    </comment>
  </commentList>
</comments>
</file>

<file path=xl/sharedStrings.xml><?xml version="1.0" encoding="utf-8"?>
<sst xmlns="http://schemas.openxmlformats.org/spreadsheetml/2006/main" count="9235" uniqueCount="378">
  <si>
    <t>Δίκτυο Διανομής:</t>
  </si>
  <si>
    <t xml:space="preserve">Πρόγραμμα Ανάπτυξης: </t>
  </si>
  <si>
    <t>έως</t>
  </si>
  <si>
    <r>
      <rPr>
        <b/>
        <sz val="11"/>
        <color theme="1"/>
        <rFont val="Calibri"/>
        <family val="2"/>
        <scheme val="minor"/>
      </rPr>
      <t>Οδηγίες συμπλήρωσης φύλλου εργασίας</t>
    </r>
    <r>
      <rPr>
        <sz val="11"/>
        <color theme="1"/>
        <rFont val="Calibri"/>
        <family val="2"/>
        <scheme val="minor"/>
      </rPr>
      <t xml:space="preserve">: Συμπληρωση των κελιών με </t>
    </r>
    <r>
      <rPr>
        <b/>
        <sz val="11"/>
        <color theme="4" tint="0.39997558519241921"/>
        <rFont val="Calibri"/>
        <family val="2"/>
        <scheme val="minor"/>
      </rPr>
      <t>μπλε χρώμα</t>
    </r>
    <r>
      <rPr>
        <sz val="11"/>
        <color theme="1"/>
        <rFont val="Calibri"/>
        <family val="2"/>
        <scheme val="minor"/>
      </rPr>
      <t xml:space="preserve"> στις γραμμές 3 και 4, σχετικά με το δίκτυο διανομής και το πρώτο έτος του Προγράμματος Ανάπτυξης</t>
    </r>
  </si>
  <si>
    <t>Περιεχόμενα</t>
  </si>
  <si>
    <t>Ανάλυση δήμων-&gt;</t>
  </si>
  <si>
    <t>Γενική περιγραφή</t>
  </si>
  <si>
    <t>Ανάλυση για νέους πελάτες</t>
  </si>
  <si>
    <t>Ανάπτυξη δικτύου</t>
  </si>
  <si>
    <t>Ενεργές συνδέσεις</t>
  </si>
  <si>
    <t>Ενεργοί μετρητές</t>
  </si>
  <si>
    <t>Ενεργοί πελάτες</t>
  </si>
  <si>
    <t>Μέση ετήσια κατανάλωση</t>
  </si>
  <si>
    <t>Διανεμόμενες ποσότητες αερίου</t>
  </si>
  <si>
    <t>Παραδοχές μοναδιαίου κόστους</t>
  </si>
  <si>
    <t>Επενδύσεις ανάπτυξης / σύνδεσης</t>
  </si>
  <si>
    <t>Παραδοχές διείσδυσης - κάλυψης</t>
  </si>
  <si>
    <t>Δείκτες διείσδυσης - κάλυψης</t>
  </si>
  <si>
    <t>Δείκτες απόδοσης</t>
  </si>
  <si>
    <t>Οικονομική ανάλυση δήμων-&gt;</t>
  </si>
  <si>
    <t>Αποτελέσματα ανάλυσης</t>
  </si>
  <si>
    <t>Ανάλυση ανά δήμο</t>
  </si>
  <si>
    <t>Συνολικό δίκτυο-&gt;</t>
  </si>
  <si>
    <t>Στοιχεία συνολικού δικτύου</t>
  </si>
  <si>
    <t>Πρόγραμμα ανάπτυξης δικτύου</t>
  </si>
  <si>
    <t>Συνολικοί δείκτες απόδοσης</t>
  </si>
  <si>
    <t>Επίπτωση στη μέση χρέωση</t>
  </si>
  <si>
    <t>Ορισμοί</t>
  </si>
  <si>
    <t>Πελάτης</t>
  </si>
  <si>
    <t>Κάθε πελάτης αντιστοιχεί σε ξεχωριστό καταναλωτή φυσικού αερίου. Στην περίπτωση οικιακών πελατών, κάθε νοικοκυριό θεωρείται ως ξεχωριστός πελάτης</t>
  </si>
  <si>
    <t>Ενεργός πελάτης / μετρητής/ σύνδεση</t>
  </si>
  <si>
    <t>Είναι οι πελάτες / μετρητές / συνδέσεις που είτε είναι ενεργοποιημένοι, είτε είναι προς ενεργοποίηση στο τέλος του έτους το οποίο εξετάζεται</t>
  </si>
  <si>
    <t>Βαθμός διείσδυσης αερίου</t>
  </si>
  <si>
    <t xml:space="preserve">Ο βαθμός διείσδυσης υπολογίζεται ως ο λόγος του συνόλου των ενεργών πελατών, προς σύνολο δυνητικών πελατών στο κατασκευασμένο δίκτυο του δήμου / δημοτικής ενότητας. 
Όπου: 
- ενεργοί πελάτες υπολογίζονται ως το άθροισμα των νοικοκυριών και επαγγελματικών χρήσεων που έχουν πρόσβαση στο δίκτυο διανομής μέσω συνδεδεμένων μετρητών, και είναι ενεργοί καταναλωτές αερίου. 
- δυνητικοί πελάτες είναι το σύνολο των νοικοκυριών και επαγγελματικών χρήσεων επί του κατασκευασμένου δικτύου.
Επισημαίνεται ότι στην περίπτωση ενεργής ή δυνητικής κεντρικής θέρμανσης υπολογίζεται το σύνολο των νοικοκυριών του κτηρίου	</t>
  </si>
  <si>
    <t>Βαθμός κάλυψης δικτύου ΧΠ</t>
  </si>
  <si>
    <t>Ο βαθμός κάλυψης δικτύου ΧΠ ορίζεται ως ο λόγος των συνολικών κατασκευασμένων χιλιομέτρων δικτύου ΧΠ στους οδικούς άξονες που περικλείονται στα γεωγραφικά όρια του δήμου / δημοτικής ενότητας, προς το σύνολο των ωφέλιμων χιλιομέτρων οδικού δικτύου του δήμου / δημοτικής ενότητας.
Ως ωφέλιμα χιλιόμετρα οδικού δικτύου ορίζονται οι οδοί εντός του αστικού ιστού, στους οποίους είναι δυνατή η κατασκευή δικτύου, και από τις οποία εξαιρούνται: πεζόδρομοι, αυτοκινητόδρομοι, αγροτικοί δρόμοι. 
Επισημαίνεται ότι στην περίπτωση οδών στις οποίες έχει κατασκευαστεί δίκτυο και στις δύο κατευθύνεις, υπολογίζεται το μήκος μόνο της μίας κατεύθυνσης</t>
  </si>
  <si>
    <t>Βαθμός κάλυψης δικτύου</t>
  </si>
  <si>
    <t>Ο βαθμός κάλυψης δικτύου ορίζεται ως ο λόγος των συνολικών κατασκευασμένων χιλιομέτρων δικτύου ΧΠ και ΜΠ στους οδικούς άξονες που περικλείονται στα γεωγραφικά όρια του δήμου / δημοτικής ενότητας, προς το σύνολο των ωφέλιμων χιλιομέτρων οδικού δικτύου του δήμου / δημοτικής ενότητας.
Ως ωφέλιμα χιλιόμετρα οδικού δικτύου ορίζονται οι οδοί εντός του αστικού ιστού, στους οποίους είναι δυνατή η κατασκευή δικτύου, και από τις οποία εξαιρούνται: πεζόδρομοι, αυτοκινητόδρομοι, αγροτικοί δρόμοι. 
Επισημαίνεται ότι στην περίπτωση οδών στις οποίες έχει κατασκευαστεί δίκτυο και στις δύο κατευθύνεις, υπολογίζεται το μήκος μόνο της μίας κατεύθυνσης</t>
  </si>
  <si>
    <t>Βαθμός σύνδεσης κτηρίων</t>
  </si>
  <si>
    <t xml:space="preserve">Ο βαθμός σύνδεσης κτηρίων ορίζεται ως ο λόγος των συνδεδεμένων παροχών προς τον αριθμό των κτηρίων που δύνανται να συνδεθούν στο κατασκευασμένο δίκτυο του δήμου / δημοτικής ενότητας
</t>
  </si>
  <si>
    <t>Βαθμός μελέτης δικτύου</t>
  </si>
  <si>
    <t>Ο βαθμός μελέτης δικτύου ορίζεται ως ο λόγος των χιλιομέτρων οδικού δικτύου που έχουν μελετηθεί από τον Διαχειριστή προς το σύνολο των ωφέλιμων χιλιομέτρων οδικού δικτύου στα γεωγραφικά όρια του δήμου / δημοτικής ενότητας.
Ως ωφέλιμα χιλιόμετρα οδικού δικτύου ορίζονται οι οδοί εντός του αστικού ιστού, στους οποίους είναι δυνατή η κατασκευή δικτύου, και από τις οποία εξαιρούνται: πεζόδρομοι, αυτοκινητόδρομοι, αγροτικοί δρόμοι</t>
  </si>
  <si>
    <t>Έργα Ανάπτυξης</t>
  </si>
  <si>
    <t>Το σύνολο των επενδύσεων που αποσκοπούν στην αύξηση της κάλυψης του δικτύου σε μια δημοτική ενότητα (είτε αυτές βρίσκονται εντός είτε εκτός των γεωγραφικών ορίων της δημοτικής ενότητας). Δύναται να περιλαμβάνουν επενδύσεις επέκτασης στο δίκτυο μέσης και χαμηλής πίεσης, επενδύσεις σε μετρητικούς σταθμούς σύνδεσης με το ΕΣΦΑ και επενδύσεις σε  αποσυμπιεστές ή δεξαμενές αποθήκευσης LNG και σταθμούς αεριοποίησης στην περίπτωση που πρόκειται για Απομακρυσμένο Δίκτυο Διανομής</t>
  </si>
  <si>
    <t>Έργα Σύνδεσης</t>
  </si>
  <si>
    <t>Το σύνολο των επενδύσεων του Διαχειριστή που αφορούν στα έργα σύνδεσης τελικών πελατών από τον παροχετευτικό αγωγό μέχρι τον μετρητή</t>
  </si>
  <si>
    <t>Έργα Ασφάλειας και Ενίσχυσης Δικτύου</t>
  </si>
  <si>
    <t>Το σύνολο των επενδύσεων αναβάθμισης και ενίσχυσης του δικτύου που πραγματοποιούνται από το Διαχειριστή στο σύνολο του δικτύου και αποσκοπούν στην ενίσχυση της ασφάλειας και αξιοπιστίας του δικτύου διανομής, όπως για παράδειγμα η αντικατάσταση παλαιών μεταλλικών αγωγών 25 mbar για λόγους ασφαλείας, ή η ενίσχυση του δικτύου για την διασφάλιση της αδιάλειπτης τροφοδοσίας των υφιστάμενων πελατών του Διαχειριστή. Επισημαίνεται ότι έργα ενίσχυσης και αναβάθμισης με βασικό στόχο την ασφάλεια και αξιοπιστία του δικτύου, δύνανται να έχουν ως έμμεσο αποτέλεσμα την αύξηση του αριθμού των πελατών στην περιοχή, λόγω αύξησης της δυναμικότητας του δικτύου</t>
  </si>
  <si>
    <t>Έργα Εξοικονόμησης Ενέργειας</t>
  </si>
  <si>
    <t>Οι επενδύσεις που αποσκοπούν στην επίτευξη των στόχων  εξοικονόμησης ενέργειας που έχουν τεθεί στον Διαχειριστή από το Υπουργείο Περιβάλλοντος &amp; Ενέργειας</t>
  </si>
  <si>
    <t>Πρόσθετες επενδύσεις</t>
  </si>
  <si>
    <t>Επενδύσεις που απαιτούνται από τον Διαχειριστή για την αποτελεσματική λειτουργία του, αλλά δεν σχετίζονται άμεσα με τη λειτουργία του δικτύου διανομής (π.χ. επενδύσεις σε κτήρια, εξοπλισμό, hardware / software, κτλ.)</t>
  </si>
  <si>
    <t>Εμπορική χρήση</t>
  </si>
  <si>
    <t>Περιλαμβάνει τη χρήση αερίου από εμπορικούς πελάτες για  θέρμανση / ψύξη / ζεστό νερό / μαγείρεμα (π.χ. γραφεία, καταστήματα, εστιατόρια)</t>
  </si>
  <si>
    <t>Εππαγελματική χρήση - δημόσιες υπηρεσίες</t>
  </si>
  <si>
    <t>Περιλαμβάνει τη χρήση αερίου για παραγωγική διαδικασία, και τη χρήση σε δημόσια κτήρια</t>
  </si>
  <si>
    <t>Ανάλυση Προγράμματος Ανάπτυξης σε επίπεδο δήμων</t>
  </si>
  <si>
    <t>Ανάλυση για νέους δήμους</t>
  </si>
  <si>
    <t>Πίσω στην αρχική σελίδα</t>
  </si>
  <si>
    <t>Ναί</t>
  </si>
  <si>
    <t>Από Μ/R σημείο εξόδου του ΕΣΜΦΑ</t>
  </si>
  <si>
    <t>Όχι</t>
  </si>
  <si>
    <t>Από M/R με σύνδεση στο δίκτυο Μ.Π. του Διαχειριστή</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</si>
  <si>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Συμπληρωση των κελιών με </t>
    </r>
    <r>
      <rPr>
        <b/>
        <sz val="11"/>
        <color theme="4" tint="0.39997558519241921"/>
        <rFont val="Calibri"/>
        <family val="2"/>
        <scheme val="minor"/>
      </rPr>
      <t>μπλε χρώμα</t>
    </r>
    <r>
      <rPr>
        <sz val="11"/>
        <color theme="1"/>
        <rFont val="Calibri"/>
        <family val="2"/>
        <scheme val="minor"/>
      </rPr>
      <t>, χρησιμοποιώντας τις διαθέσιμες λίστες, και προσθήκη σχολίων αν απαιτείται</t>
    </r>
  </si>
  <si>
    <t>Εικονικό Δίκτυο με συμπιεστή τροφοδοτούμενο από το δίκτυο Μ.Π. του διαχειριστή</t>
  </si>
  <si>
    <t>Εικονικό Δίκτυο με συμπιεστή τροφοδοτούμενο από το δίκτυο Μ.Π. άλλου διαχειριστή</t>
  </si>
  <si>
    <t>Γενική περιγραφή δικτύου διανομής ανά δήμο / δημοτική ενότητα</t>
  </si>
  <si>
    <t>Εικονικό Δίκτυο με συμπιεστή τροφοδοτούμενο από το ΕΣΜΦΑ</t>
  </si>
  <si>
    <t>Εικονικό Δίκτυο με Δεξαμενές αποθήκευσης LNG</t>
  </si>
  <si>
    <t>Δίκτυο διανομής ανά δήμο / δημοτική ενότητα</t>
  </si>
  <si>
    <t>Υφιστάμενο δίκτυο σε λειτουργία</t>
  </si>
  <si>
    <t>Συμπεριλαμβάνεται στο Πρόγραμμα Ανάπτυξης</t>
  </si>
  <si>
    <t>Τρόπος τροφοδοσίας με φυσικό αέριο*</t>
  </si>
  <si>
    <t>Σχόλια</t>
  </si>
  <si>
    <t>ΑΓΙΑΣ ΒΑΡΒΑΡΑΣ</t>
  </si>
  <si>
    <t>ΑΓΙΑΣ ΠΑΡΑΣΚΕΥΗΣ</t>
  </si>
  <si>
    <t>ΑΓΙΟΥ ΔΗΜΗΤΡΙΟΥ</t>
  </si>
  <si>
    <t>ΑΓΙΩΝ ΑΝΑΡΓΥΡΩΝ - ΚΑΜΑΤΕΡΟΥ</t>
  </si>
  <si>
    <t>ΑΘΗΝΑΙΩΝ</t>
  </si>
  <si>
    <t>ΑΙΓΑΛΕΩ</t>
  </si>
  <si>
    <t>ΑΛΙΜΟΥ</t>
  </si>
  <si>
    <t>ΑΜΑΡΟΥΣΙΟΥ</t>
  </si>
  <si>
    <t>ΑΣΠΡΟΠΥΡΓΟΥ</t>
  </si>
  <si>
    <t>ΑΧΑΡΝΩΝ</t>
  </si>
  <si>
    <t>ΒΑΡΗΣ - ΒΟΥΛΑΣ - ΒΟΥΛΙΑΓΜΕΝΗΣ</t>
  </si>
  <si>
    <t>ΒΡΙΛΗΣΣΙΩΝ</t>
  </si>
  <si>
    <t>ΒΥΡΩΝΑ</t>
  </si>
  <si>
    <t>ΓΑΛΑΤΣΙΟΥ</t>
  </si>
  <si>
    <t>ΓΛΥΦΑΔΑΣ</t>
  </si>
  <si>
    <t>ΔΑΦΝΗΣ - ΥΜΗΤΤΟΥ</t>
  </si>
  <si>
    <t>ΔΙΟΝΥΣΟΥ</t>
  </si>
  <si>
    <t>ΕΛΕΥΣΙΝΑΣ</t>
  </si>
  <si>
    <t>ΕΛΛΗΝΙΚΟΥ - ΑΡΓΥΡΟΥΠΟΛΗΣ</t>
  </si>
  <si>
    <t>ΖΩΓΡΑΦΟΥ</t>
  </si>
  <si>
    <t>ΗΛΙΟΥΠΟΛΗΣ</t>
  </si>
  <si>
    <t>ΗΡΑΚΛΕΙΟΥ</t>
  </si>
  <si>
    <t>ΚΑΙΣΑΡΙΑΝΗΣ</t>
  </si>
  <si>
    <t>ΚΑΛΛΙΘΕΑΣ</t>
  </si>
  <si>
    <t>ΚΕΡΑΤΣΙΝΙΟΥ - ΔΡΑΠΕΤΣΩΝΑΣ</t>
  </si>
  <si>
    <t>ΚΗΦΙΣΙΑΣ</t>
  </si>
  <si>
    <t>ΚΟΡΥΔΑΛΛΟΥ</t>
  </si>
  <si>
    <t>ΚΟΡΩΠΙΟΥ</t>
  </si>
  <si>
    <t>ΛΥΚΟΒΡΥΣΗΣ - ΠΕΥΚΗΣ</t>
  </si>
  <si>
    <t>ΜΑΝΔΡΑΣ - ΕΙΔΥΛΛΙΑΣ</t>
  </si>
  <si>
    <t>ΜΑΡΚΟΠΟΥΛΟΥ</t>
  </si>
  <si>
    <t>ΜΕΓΑΡΕΩΝ - ΝΕΑΣ ΠΕΡΑΜΟΥ</t>
  </si>
  <si>
    <t>ΜΕΤΑΜΟΡΦΩΣΗΣ</t>
  </si>
  <si>
    <t>ΜΟΣΧΑΤΟΥ - ΤΑΥΡΟΥ</t>
  </si>
  <si>
    <t>ΝΕΑΣ ΙΩΝΙΑΣ</t>
  </si>
  <si>
    <t>ΝΕΑΣ ΣΜΥΡΝΗΣ</t>
  </si>
  <si>
    <t>ΝΕΑΣ ΦΙΛΑΔΕΛΦΕΙΑΣ - ΝΕΑΣ ΧΑΛΚΗΔΟΝΑΣ</t>
  </si>
  <si>
    <t>ΝΕΩΝ ΛΙΟΣΙΩΝ (ΙΛΙΟΥ)</t>
  </si>
  <si>
    <t>ΝΙΚΑΙΑΣ - ΑΓ.Ι. ΡΕΝΤΗ</t>
  </si>
  <si>
    <t>ΠΑΙΑΝΙΑΣ</t>
  </si>
  <si>
    <t>ΠΑΛΑΙΟΥ ΦΑΛΗΡΟΥ</t>
  </si>
  <si>
    <t>ΠΑΛΛΗΝΗΣ</t>
  </si>
  <si>
    <t>ΠΑΠΑΓΟΥ - ΧΟΛΑΡΓΟΥ</t>
  </si>
  <si>
    <t>ΠΕΙΡΑΙΩΣ</t>
  </si>
  <si>
    <t>ΠΕΝΤΕΛΗΣ</t>
  </si>
  <si>
    <t>ΠΕΡΑΜΑΤΟΣ</t>
  </si>
  <si>
    <t>ΠΕΡΙΣΤΕΡΙΟΥ</t>
  </si>
  <si>
    <t>ΠΕΤΡΟΥΠΟΛΗΣ</t>
  </si>
  <si>
    <t xml:space="preserve">ΡΑΦΗΝΑΣ - ΠΙΚΕΡΜΙΟΥ </t>
  </si>
  <si>
    <t>ΦΙΛΟΘΕΗΣ - ΨΥΧΙΚΟΥ</t>
  </si>
  <si>
    <t>ΦΥΛΗΣ (ΑΝΩ ΛΙΟΣΙΩΝ)</t>
  </si>
  <si>
    <t>ΧΑΙΔΑΡΙΟΥ</t>
  </si>
  <si>
    <t>ΧΑΛΑΝΔΡΙΟΥ</t>
  </si>
  <si>
    <t>ΩΡΟΠΟΥ</t>
  </si>
  <si>
    <t>Τροφοδότηση από δίκτυο Μ.Π. άλλου Διαχειριστή</t>
  </si>
  <si>
    <t>* Στην περίπτωση "άλλου" τρόπου σύνδεσης (π.χ. συνδυασμό δύο διαφορετικών τρόπων σύνδεσης στην ίδια περιοχή) θα πρέπει να παρέχεται σχετική περιγραφή στα σχόλια</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</si>
  <si>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Συμπληρωση των κελιών με </t>
    </r>
    <r>
      <rPr>
        <b/>
        <sz val="11"/>
        <color theme="4" tint="0.39997558519241921"/>
        <rFont val="Calibri"/>
        <family val="2"/>
        <scheme val="minor"/>
      </rPr>
      <t>μπλε χρώμα</t>
    </r>
    <r>
      <rPr>
        <sz val="11"/>
        <rFont val="Calibri"/>
        <family val="2"/>
        <scheme val="minor"/>
      </rPr>
      <t xml:space="preserve"> με αποτελέσματα των ερευνών αγοράς σε υφιστάμενους και νέους δήμους και της ανάλυσης ανταγωνιστικότητας μόνο για νέους δήμους.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</si>
  <si>
    <t>Περιληπτικά αποτελέσματα ερευνών αγοράς / συμφωνιών και ανταγωνιστικότητας αερίου για περιοχές χωρίς σύνδεση στο δίκτυο διανομής</t>
  </si>
  <si>
    <t>Περιληπτικά αποτελέσματα ερευνών αγοράς / συμφωνιών - Αριθμός πελατών που εκδήλωσαν ενδιαφέρον</t>
  </si>
  <si>
    <t>Οικιακοί – κύρια χρήση θέρμανση</t>
  </si>
  <si>
    <t>Μονάδα</t>
  </si>
  <si>
    <t>τεμ</t>
  </si>
  <si>
    <t>ΜΕΓΑΡΕΩΝ - ΝΕΑΣ ΠΕΡΑΜΟΥ*</t>
  </si>
  <si>
    <t>ΡΑΦΗΝΑΣ - ΠΙΚΕΡΜΙΟΥ **</t>
  </si>
  <si>
    <t>Σύνολο Δήμων</t>
  </si>
  <si>
    <t>Οικιακοί – ζεστό νερό ή/και μαγείρεμα</t>
  </si>
  <si>
    <t>Σύνολο Δημων</t>
  </si>
  <si>
    <t>#</t>
  </si>
  <si>
    <t>Επαγγελματική χρήση - δημόσιες υπηρεσίες</t>
  </si>
  <si>
    <t>Δημος 1</t>
  </si>
  <si>
    <t>Βιομηχανικοί</t>
  </si>
  <si>
    <t>CNG για αεριοκίνηση και φόρτωση βυτιοφόρων</t>
  </si>
  <si>
    <t>Περιληπτικά αποτελέσματα ερευνών αγοράς / συμφωνιών - Κατανάλωση πελατών που εκδήλωσε ενδιαφέρον</t>
  </si>
  <si>
    <t>MWh</t>
  </si>
  <si>
    <t>Δημος 2</t>
  </si>
  <si>
    <t>Δημος 3</t>
  </si>
  <si>
    <t>Δημος 4</t>
  </si>
  <si>
    <t xml:space="preserve">Προσθήκη / αφαίρεση γραμμών, πάνω από αυτή τη γραμμή, ανάλογα με τον αριθμό των δήμων και δημοτικών ενοτήτων. </t>
  </si>
  <si>
    <t>Επαγγελματική χρήση – δημόσιες υπηρεσίες</t>
  </si>
  <si>
    <t xml:space="preserve">Περιληπτικά αποτελέσματα ανάλυσης ανταγωνιστικότητας αερίου </t>
  </si>
  <si>
    <t>Εκτιμώμενο μοναδιαίο κόστος</t>
  </si>
  <si>
    <t>Φυσικό αέριο</t>
  </si>
  <si>
    <t>Εναλλακτικό καύσιμο 1</t>
  </si>
  <si>
    <t>Εναλλακτικό καύσιμο 2</t>
  </si>
  <si>
    <t>Κόστος προμήθειας</t>
  </si>
  <si>
    <t>Κόστος μεταφοράς</t>
  </si>
  <si>
    <t>Κόστος διανομής</t>
  </si>
  <si>
    <t>Κόστος σύνδεσης</t>
  </si>
  <si>
    <t>Κόστος εσωτερικής εγκατάστασης</t>
  </si>
  <si>
    <t>Άμεσοι και έμμεσοι φόροι</t>
  </si>
  <si>
    <t>Σύνολο</t>
  </si>
  <si>
    <t>€/έτος</t>
  </si>
  <si>
    <t>Προσθήκη / αφαίρεση γραμμών, πάνω από αυτή τη γραμμή, ανάλογα με τον αριθμό των δήμων</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</si>
  <si>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με στοιχεία για τις ετήσιες διανεμόμενες ποσότητες αερίου.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</si>
  <si>
    <t>Δίκτυο μέσης πίεσης</t>
  </si>
  <si>
    <t>Απολογιστικά Στοιχεία</t>
  </si>
  <si>
    <t>Πρόγραμμα Ανάπτυξης</t>
  </si>
  <si>
    <t>Νέο</t>
  </si>
  <si>
    <t>Προοδευτικό</t>
  </si>
  <si>
    <t>Μεταβολή</t>
  </si>
  <si>
    <t>Ετήσιος ρυθμός ανάπτυξης (CAGR)</t>
  </si>
  <si>
    <t>m</t>
  </si>
  <si>
    <t>ΚΡΩΠΙΑΣ</t>
  </si>
  <si>
    <t>ΜΑΡΚΟΠΟΥΛΟΥ - ΜΕΣΟΓΑΙΑΣ</t>
  </si>
  <si>
    <t>ΝΕΑΣ ΦΙΛΑΔΕΛΦΕΙΑΣ - ΧΑΛΚΗΔΟΝΟΣ</t>
  </si>
  <si>
    <t>ΝΙΚΑΙΑΣ - ΑΓΙΟΥ ΙΩΑΝΝΗ ΡΕΝΤΗ</t>
  </si>
  <si>
    <t>ΠΑΠΑΓΟΥ-ΧΟΛΑΡΓΟΥ</t>
  </si>
  <si>
    <t>ΦΥΛΗΣ</t>
  </si>
  <si>
    <t>ΧΑΪΔΑΡΙΟΥ</t>
  </si>
  <si>
    <t>Δίκτυο χαμηλής πίεσης</t>
  </si>
  <si>
    <t>ΔΙΑΣΠΑΡΤΕΣ ΕΠΕΚΤΑΣΕΙΣ</t>
  </si>
  <si>
    <t>Παροχετευτικοί αγωγοί</t>
  </si>
  <si>
    <t>Νέες</t>
  </si>
  <si>
    <t>Προοδευτικές</t>
  </si>
  <si>
    <t>ΜΟΣΧΑΤΟΥ -ΤΑΥΡΟΥ</t>
  </si>
  <si>
    <t>ΝΕΑΣ ΦΙΛΑΔΕΛΦΕΙΑΣ-ΧΑΛΚΗΔΟΝΟΣ</t>
  </si>
  <si>
    <t>ΦΙΛΟΘΕΗΣ-ΨΥΧΙΚΟΥ</t>
  </si>
  <si>
    <t>Μετρητές</t>
  </si>
  <si>
    <t>Νέοι</t>
  </si>
  <si>
    <t>Προοδευτικοί</t>
  </si>
  <si>
    <t>Μετρητικοί &amp; ρυθμιστικοί σταθμοί 19/4</t>
  </si>
  <si>
    <t>ΝΟΜΟΣ ΑΤΤΙΚΗΣ</t>
  </si>
  <si>
    <t>ΤΕΜ</t>
  </si>
  <si>
    <t>Σταθμοί αποσυμπίεσης</t>
  </si>
  <si>
    <t>Σταθμοί Αεριοποίησης</t>
  </si>
  <si>
    <t>Αποθήκες LNG</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</si>
  <si>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με στοιχεία για τις ενεργές συνδέσεις.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r>
      <rPr>
        <sz val="11"/>
        <color theme="1"/>
        <rFont val="Calibri"/>
        <family val="2"/>
        <scheme val="minor"/>
      </rPr>
      <t xml:space="preserve">
Οι συνδέσεις αφορούν τους παροχετευτικούς αγωγούς που συνδέουν τους πελάτες με το δίκτυο διανομής</t>
    </r>
  </si>
  <si>
    <t>Σύνολο ενεργών συνδέσεων</t>
  </si>
  <si>
    <t>Πύκνωση υφιστάμενου δικτύου</t>
  </si>
  <si>
    <t>Επέκταση δικτύου</t>
  </si>
  <si>
    <t>Οικιακή Χρήση</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</si>
  <si>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με στοιχεία για τους ενεργούς μετρητές.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</si>
  <si>
    <t>Σύνολο ενεργών μετρητών</t>
  </si>
  <si>
    <t>Πρόβλεψη</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</si>
  <si>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με στοιχεία για τους ενεργούς πελάτες.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</si>
  <si>
    <t>Σύνολο τελικών πελατών</t>
  </si>
  <si>
    <t>Απολογιστικά</t>
  </si>
  <si>
    <t>Πρόργραμμα Ανάπτυξης</t>
  </si>
  <si>
    <t>Οικιακοί – κύρια χρήση θέρμανση*</t>
  </si>
  <si>
    <t>* Για τους οικιακούς πελάτες, κάθε νοικοκυριό θεωρείται ως ξεχωριστός πελάτης</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</si>
  <si>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με στοιχεία για μοναδιαίο κόστος ανά τύπο εξοπλισμού.</t>
    </r>
  </si>
  <si>
    <t>Παραδοχές μοναδαίου κόστους για υπολογισμό επενδύσεων</t>
  </si>
  <si>
    <t>Νομός Αττικής</t>
  </si>
  <si>
    <t>€/m</t>
  </si>
  <si>
    <t>€/τεμάχιο</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</si>
  <si>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με στοιχεία για τη μέση ετήσια κατανάλωση ανά κατηγορία πελάτη, λαμβάνοντας υπόψη τη διαφορετική κατανάλωση το 1ο έτος σύνδεσής του.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</si>
  <si>
    <t>2024 - 2028</t>
  </si>
  <si>
    <t>1ο έτος σύνδεσης</t>
  </si>
  <si>
    <t>Επόμενα έτη τροφοδοσίας</t>
  </si>
  <si>
    <t>MWh/έτος</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</si>
  <si>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με στοιχεία για τις ετήσιες διανεμόμενες ποσότητες αερίου.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r>
      <rPr>
        <sz val="11"/>
        <color theme="1"/>
        <rFont val="Calibri"/>
        <family val="2"/>
        <scheme val="minor"/>
      </rPr>
      <t xml:space="preserve">
Οι διανεμόμενες ποσότητες για την περίοδο του Προγράμματος Ανάπτυξης περιλαμβάνουν: ποσότητες που διανέμονται σε νέους πελάτες που συνδέονται το έτος του Προγράμματος που εξετάζεται, ποσότητες που διανέμονται σε πελάτες που συνδέθηκαν τα προηγούμενα έτη του Προγράμματος, και ποσότητες που διανέμονται σε πελάτες που ήταν ήδη συνδεδεμένοι πριν τα έτη του Προγράμματος</t>
    </r>
  </si>
  <si>
    <t>Ποσότητα αερίου</t>
  </si>
  <si>
    <t>Κατανάλωση υφιστάμενων πελατών (με σύνδεση πριν το Πρόγραμμα Ανάπτυξης)</t>
  </si>
  <si>
    <t>Συνολικές ποσότητες αερίου</t>
  </si>
  <si>
    <t>Νέοι πελάτες για το Πρόγραμμα Ανάπτυξης</t>
  </si>
  <si>
    <t>Σύνολο για νέους πελάτες</t>
  </si>
  <si>
    <r>
      <rPr>
        <b/>
        <sz val="11"/>
        <color theme="1"/>
        <rFont val="Calibri"/>
        <family val="2"/>
        <scheme val="minor"/>
      </rPr>
      <t>Οδηγίες συμπλήρωσης φύλλου εργασίας</t>
    </r>
    <r>
      <rPr>
        <sz val="11"/>
        <color theme="1"/>
        <rFont val="Calibri"/>
        <family val="2"/>
        <scheme val="minor"/>
      </rPr>
      <t>: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Οι υπολογισμοί στους πίνακες (</t>
    </r>
    <r>
      <rPr>
        <sz val="11"/>
        <rFont val="Calibri"/>
        <family val="2"/>
        <scheme val="minor"/>
      </rPr>
      <t xml:space="preserve">κελιά με </t>
    </r>
    <r>
      <rPr>
        <b/>
        <sz val="11"/>
        <color theme="2" tint="-0.249977111117893"/>
        <rFont val="Calibri"/>
        <family val="2"/>
        <scheme val="minor"/>
      </rPr>
      <t>γκρι χρώμα</t>
    </r>
    <r>
      <rPr>
        <sz val="11"/>
        <rFont val="Calibri"/>
        <family val="2"/>
        <scheme val="minor"/>
      </rPr>
      <t>) πραγματοποιούνται αυτόματα και δεν απαιτείται η συμπλήρωσή τους</t>
    </r>
  </si>
  <si>
    <t>Προγραμματισμένες επενδύσεις στο Πρόγραμμα Ανάπτυξης</t>
  </si>
  <si>
    <t>Σύνολο επενδύσεων αναπτυξης &amp; σύνδεσης</t>
  </si>
  <si>
    <t>€</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</si>
  <si>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με τα στοιχεία που απαιτούνται για τον υπολογισμό των δεικτών διείσδυσης και κάλυψης (ιστορικά και για το Πρόγραμμα Ανάπτυξης).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r>
      <rPr>
        <sz val="11"/>
        <color theme="1"/>
        <rFont val="Calibri"/>
        <family val="2"/>
        <scheme val="minor"/>
      </rPr>
      <t>.</t>
    </r>
  </si>
  <si>
    <t>Παραδοχές για τον υπολογισμό διείσδυσης αερίου και κάλυψης δικτύου</t>
  </si>
  <si>
    <t>Δυνητικοί πελάτες</t>
  </si>
  <si>
    <t>Σύνολο*</t>
  </si>
  <si>
    <t>Οικιακοί</t>
  </si>
  <si>
    <t>Εμπορικοί**</t>
  </si>
  <si>
    <t>Εμπορικοί</t>
  </si>
  <si>
    <t>* Η πρόβλεψη περιλαμβάνει απολογιστικά στοιχεία για Ιανουάριο - Σεπτέμβριο κα εκτίμηση για Οκτώβριο - Δεκέμβριο</t>
  </si>
  <si>
    <t>** Το CNG για αεριοκίνηση και φόρτωση βυτιοφόρων περιλαμβάνεται στους εμπορικούς πελάτες</t>
  </si>
  <si>
    <t xml:space="preserve"> Δυνητικές συνδέσεις</t>
  </si>
  <si>
    <t>Μελετημένο οδικό δίκτυο*</t>
  </si>
  <si>
    <t>* Ως μελετημένο δίκτυο το από το 2023 και πριν είχε υπολογιστεί το δίκτυο που είχε μελετηθεί σε κάθε δήμο και δεν είχε ακόμα κατασκευαστεί. Έγινε τροποίηση των στοιχείων βάζοντας ως μελετημένο οδικό δίκτυο το κατασκευασμένο μαζί με το μελετημένο.</t>
  </si>
  <si>
    <t>Ωφέλιμο οδικό δίκτυο*</t>
  </si>
  <si>
    <t>***</t>
  </si>
  <si>
    <t>*Οδοί εντός του αστικού ιστού, στους οποίους είναι δυνατή η κατασκευή δικτύου, και από τις οποία εξαιρούνται: πεζόδρομοι, αυτοκινητόδρομοι, αγροτικοί δρόμοι (στην περίπτωση οδών στις οποίες έχει κατασκευαστεί δίκτυο και στις δύο κατευθύνεις, υπολογίζεται το μήκος μόνο της μίας κατεύθυνσης)</t>
  </si>
  <si>
    <t>*** Μήκος ωφέλιμου δικτύου κατά προσέγγιση λόγω μη ολοκλήρωσης της μελέτης σε ορισμένες περιοχές ή στο σύνολο του δήμου και δεν μπορεί να καθοριστεί το ωφέλιμο οδικό δίκτυο. Η τιμή αλλάχθηκε μόνο για το 2024 και μετά αλλά μπορεί να τροποποιηθεί και για τα προηγούμενα έτη. Έγινε διόρθωση και για τα προηγούμενα έτη.</t>
  </si>
  <si>
    <r>
      <rPr>
        <b/>
        <sz val="11"/>
        <color theme="1"/>
        <rFont val="Calibri"/>
        <family val="2"/>
        <scheme val="minor"/>
      </rPr>
      <t>Οδηγίες συμπλήρωσης φύλλου εργασίας</t>
    </r>
    <r>
      <rPr>
        <sz val="11"/>
        <color theme="1"/>
        <rFont val="Calibri"/>
        <family val="2"/>
        <scheme val="minor"/>
      </rPr>
      <t>: Συμπλήρωση των δήμων και δημοτικών ενοτήτων που τροφοδοτούνται ή θα τροφοδοτηθούν από το δίκτυο διανομής στη Στήλη Β (προσθήκη / αφαίρεση γραμμών πάνω από την κίτρινη γραμμή, και αντιγραφή των συναρτήσεων του αντίστοιχου πίνακα). Οι υπολογισμοί στους πίνακες (</t>
    </r>
    <r>
      <rPr>
        <sz val="11"/>
        <rFont val="Calibri"/>
        <family val="2"/>
        <scheme val="minor"/>
      </rPr>
      <t xml:space="preserve">κελιά με </t>
    </r>
    <r>
      <rPr>
        <b/>
        <sz val="11"/>
        <color theme="2" tint="-0.249977111117893"/>
        <rFont val="Calibri"/>
        <family val="2"/>
        <scheme val="minor"/>
      </rPr>
      <t>γκρι χρώμα</t>
    </r>
    <r>
      <rPr>
        <sz val="11"/>
        <rFont val="Calibri"/>
        <family val="2"/>
        <scheme val="minor"/>
      </rPr>
      <t>) πραγματοποιούνται αυτόματα και δεν απαιτείται η συμπλήρωσή τους</t>
    </r>
    <r>
      <rPr>
        <sz val="11"/>
        <color theme="1"/>
        <rFont val="Calibri"/>
        <family val="2"/>
        <scheme val="minor"/>
      </rPr>
      <t>.</t>
    </r>
  </si>
  <si>
    <t xml:space="preserve">Βαθμός διείσδυσης αερίου </t>
  </si>
  <si>
    <t>Δείκτες</t>
  </si>
  <si>
    <t>%</t>
  </si>
  <si>
    <t xml:space="preserve">Βαθμός σύνδεσης κτηρίων </t>
  </si>
  <si>
    <t xml:space="preserve">Βαθμός μελέτης δικτύου </t>
  </si>
  <si>
    <t xml:space="preserve">Διανεμηθείσα ποσότητα αερίου ανά συνολικό μήκος δικτύου ΧΠ </t>
  </si>
  <si>
    <t>MWh/m</t>
  </si>
  <si>
    <t xml:space="preserve">Ενεργές συνδέσεις ανά συνολικό μήκος δικτύου ΧΠ </t>
  </si>
  <si>
    <t>Συνδέσεις/m</t>
  </si>
  <si>
    <t>Εξέλιξη δεικτών απόδοσης του Προγράμματος Ανάπτυξης</t>
  </si>
  <si>
    <t>Επένδυση ανά νέο ενεργό τελικό πελάτη</t>
  </si>
  <si>
    <t>€/πελάτη</t>
  </si>
  <si>
    <t>Επένδυση ανά νέα κατανάλωση</t>
  </si>
  <si>
    <t>€/MWh</t>
  </si>
  <si>
    <t>Επένδυση ανά νέα ενεργή σύνδεση</t>
  </si>
  <si>
    <t>€/σύνδεση</t>
  </si>
  <si>
    <t>Νέοι ενεργοί πελάτες ανά μήκος νέου δικτύου</t>
  </si>
  <si>
    <t>Πελάτες/m</t>
  </si>
  <si>
    <t>Νέες συνδέσεις ανά μήκος νέου δικτύου</t>
  </si>
  <si>
    <t>Νέα κατανάλωση ανά μήκος νέου δικτύου</t>
  </si>
  <si>
    <t>Οικονομική ανάλυση δήμων</t>
  </si>
  <si>
    <r>
      <rPr>
        <b/>
        <sz val="11"/>
        <color theme="1"/>
        <rFont val="Calibri"/>
        <family val="2"/>
        <scheme val="minor"/>
      </rPr>
      <t>Οδηγίες συμπλήρωσης φύλλου εργασίας</t>
    </r>
    <r>
      <rPr>
        <sz val="11"/>
        <color theme="1"/>
        <rFont val="Calibri"/>
        <family val="2"/>
        <scheme val="minor"/>
      </rPr>
      <t xml:space="preserve">: Συμπλήρωση των δήμων  που τροφοδοτούνται ή θα τροφοδοτηθούν από το δίκτυο διανομής στη Στήλη Β (προσθήκη / αφαίρεση γραμμών πάνω από την κίτρινη γραμμή).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με τα αποτελέσματα της οικονομικής ανάλυσης για κάθε δήμο.</t>
    </r>
  </si>
  <si>
    <t>Σύνοψη αποτελεσμάτων οικονομικής ανάλυσης ανά δήμο</t>
  </si>
  <si>
    <t>Δείκτες οικονομικής αξιολόγησης</t>
  </si>
  <si>
    <t>Καθαρή παρούσα αξία (€)</t>
  </si>
  <si>
    <t>Εσωτερικός συντελεστής απόδοσης</t>
  </si>
  <si>
    <t>Προεξοφλημένη περίοδος αποπληρωμής (έτος)</t>
  </si>
  <si>
    <r>
      <rPr>
        <b/>
        <sz val="11"/>
        <color theme="1"/>
        <rFont val="Calibri"/>
        <family val="2"/>
        <scheme val="minor"/>
      </rPr>
      <t>Οδηγίες συμπλήρωσης φύλλου εργασίας</t>
    </r>
    <r>
      <rPr>
        <sz val="11"/>
        <color theme="1"/>
        <rFont val="Calibri"/>
        <family val="2"/>
        <scheme val="minor"/>
      </rPr>
      <t xml:space="preserve">: Επανάληψη της φόρμας οικονομικής ανάλυσης για κάθε δήμο που εξετάζεται.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r>
      <rPr>
        <sz val="11"/>
        <color theme="1"/>
        <rFont val="Calibri"/>
        <family val="2"/>
        <scheme val="minor"/>
      </rPr>
      <t>.</t>
    </r>
  </si>
  <si>
    <t>Οικονομική ανάλυση ανά δήμο</t>
  </si>
  <si>
    <t>Επανάληψη της παρακάτω φόρμας για κάθε δήμο που εξετάζεται</t>
  </si>
  <si>
    <t>Μεσοσταθμικό Κόστος Κεφαλαίου (WACC)</t>
  </si>
  <si>
    <t>Εφαρμόζεται το Μεσοσταθμικό Κόστος Κεφαλαίου (WACC) του Διαχειριστή που έχει εγκριθεί από τη ΡΑΕ για το τελευταίο έτος της ρυθμιστικής περιόδου</t>
  </si>
  <si>
    <t>Μέση χρέωση δικτύου διανομής</t>
  </si>
  <si>
    <r>
      <t xml:space="preserve">Οικονομική ανάλυση </t>
    </r>
    <r>
      <rPr>
        <b/>
        <sz val="12"/>
        <color rgb="FFFFFF00"/>
        <rFont val="Calibri"/>
        <family val="2"/>
        <scheme val="minor"/>
      </rPr>
      <t>&lt;ΑΤΤΙΚΗΣ&gt;</t>
    </r>
  </si>
  <si>
    <t>Ο Διαχεριστής προσθέτει / αφαιρεί στήλες ανάλογα με τα υπολοιπόμενα έτη έως το τέλος της αδείας του</t>
  </si>
  <si>
    <t>Έτος Προγράμματος Ανάπτυξης</t>
  </si>
  <si>
    <t>Εκροές</t>
  </si>
  <si>
    <t>Επενδύσεις ανάπτυξης &amp; σύνδεσης*</t>
  </si>
  <si>
    <t>Επενδύσεις πυκνωσης μετά το Πρόγραμμα Ανάπτυξης*</t>
  </si>
  <si>
    <t>Λειτουργικά κόστη**</t>
  </si>
  <si>
    <t>Συνολικές εκροές</t>
  </si>
  <si>
    <t>* Ο Διαχειριστής δεν δύναται να συμπεριλάβει επενδύσεις επέκτασης δικτύου πέραν της 5ετίας του Προγράμματος ανάπτυξης, αλλά δύναται να προσθέσει επενδύσεις πύκνωσης στο νέο δίκτυο</t>
  </si>
  <si>
    <t>** Τα λειτουργικά κόστη αφορούν μόνο τα πρόσθετα κόστη ως αποτέλεσμα των νέων επενδύσεων ανάπτυξης και σύνδεσης που πραγματοποιούνται στην περίοδο ανάλυσης</t>
  </si>
  <si>
    <t>Εισροές</t>
  </si>
  <si>
    <t>Κατανάλωση ως αποτέλεσμα των επενδύσεων*</t>
  </si>
  <si>
    <t>Έσοδα ως αποτέλεσμα των επενδύσεων</t>
  </si>
  <si>
    <t>Συνολικές εισροές</t>
  </si>
  <si>
    <t>* Οι καταναλώσεις που συμπεριλαμβάνονται αφορούν μόνο τις νέες συνδέσεις που επιτυγχάνονται ως αποτέλεσμα των επενδύσεων που περιλαμβάνονται στο Πρόγραμμα Ανάπτυξης, και ενεδύσεων για την πύκνωση του νέου δικτύου μετά τη 5ετία</t>
  </si>
  <si>
    <t>Καθαρές ταμειακές ροές</t>
  </si>
  <si>
    <t>Παρούσα αξία ανά έτος</t>
  </si>
  <si>
    <t>Καθαρή παρούσα αξία</t>
  </si>
  <si>
    <t xml:space="preserve">Προεξοφλημένη περίοδος αποπληρωμής </t>
  </si>
  <si>
    <t>Παρούσα αξία κόστους επένδυσης</t>
  </si>
  <si>
    <t>Αποπληρωμή κόστους από ταμειακές ροές</t>
  </si>
  <si>
    <t>Η Προεξοφλημένη περίοδος αποπληρωμής  είναι το πρώτο έτος για το οποίο η διαφορά επένδυσης και καθαρών ταμειακών ροών γίνεται θετική</t>
  </si>
  <si>
    <t>Ανάλυση Προγράμματος Ανάπτυξης για το συνολικό δίκτυο διανομής</t>
  </si>
  <si>
    <r>
      <rPr>
        <b/>
        <sz val="11"/>
        <color theme="1"/>
        <rFont val="Calibri"/>
        <family val="2"/>
        <scheme val="minor"/>
      </rPr>
      <t>Οδηγίες συμπλήρωσης φύλλου εργασίας</t>
    </r>
    <r>
      <rPr>
        <sz val="11"/>
        <color theme="1"/>
        <rFont val="Calibri"/>
        <family val="2"/>
        <scheme val="minor"/>
      </rPr>
      <t>: Οι πίνακες του φύλλου εργασίας (</t>
    </r>
    <r>
      <rPr>
        <sz val="11"/>
        <rFont val="Calibri"/>
        <family val="2"/>
        <scheme val="minor"/>
      </rPr>
      <t xml:space="preserve">κελιά με </t>
    </r>
    <r>
      <rPr>
        <b/>
        <sz val="11"/>
        <color theme="2" tint="-0.249977111117893"/>
        <rFont val="Calibri"/>
        <family val="2"/>
        <scheme val="minor"/>
      </rPr>
      <t>γκρι χρώμα</t>
    </r>
    <r>
      <rPr>
        <sz val="11"/>
        <rFont val="Calibri"/>
        <family val="2"/>
        <scheme val="minor"/>
      </rPr>
      <t>) υπολογίζονται αυτόματα, σύμφωνα με τα στοιχεία για τους επιμέρους δήμους, και δεν απαιτείται η συμπλήρωσή τους</t>
    </r>
    <r>
      <rPr>
        <sz val="11"/>
        <color theme="1"/>
        <rFont val="Calibri"/>
        <family val="2"/>
        <scheme val="minor"/>
      </rPr>
      <t>.</t>
    </r>
  </si>
  <si>
    <t>Στοιχεία υφιστάμενου δικτύου</t>
  </si>
  <si>
    <t>1. Ανάπτυξη δικτύου</t>
  </si>
  <si>
    <t>2. Ενεργές συνδέσεις ανά κατηγορία πελάτη</t>
  </si>
  <si>
    <t>Οικιακοί Χρήση</t>
  </si>
  <si>
    <t>3. Ενεργοί μετρητές ανά κατηγορία πελάτη</t>
  </si>
  <si>
    <t>4. Ενεργοί πελάτες ανά κατηγορία*</t>
  </si>
  <si>
    <t>Σύνολο ενεργών τελικών πελατών</t>
  </si>
  <si>
    <t>5. Διανεμηθείσες ποσότητες αερίου ανά κατηγορία πελάτη</t>
  </si>
  <si>
    <t>6. Δυνητικοί πελάτες &amp; δυνητικές συνδέσεις στο κατασκευασμένο δίκτυο</t>
  </si>
  <si>
    <t>Δυνητικές συνδέσεις</t>
  </si>
  <si>
    <t>* Για τους οικιακούς πελάτες, κάθε νοικοκυριό θεωρείται ως ξεχωριστός πελάτες</t>
  </si>
  <si>
    <t>7. Οδικό δίκτυο</t>
  </si>
  <si>
    <t>Μελετημένο οδικό δίκτυο</t>
  </si>
  <si>
    <r>
      <rPr>
        <b/>
        <sz val="11"/>
        <color theme="1"/>
        <rFont val="Calibri"/>
        <family val="2"/>
        <scheme val="minor"/>
      </rPr>
      <t>Οδηγίες συμπλήρωσης φύλλου εργασίας</t>
    </r>
    <r>
      <rPr>
        <sz val="11"/>
        <color theme="1"/>
        <rFont val="Calibri"/>
        <family val="2"/>
        <scheme val="minor"/>
      </rPr>
      <t>: Οι πίνακες 1 - 8 του φύλλου εργασίας (</t>
    </r>
    <r>
      <rPr>
        <sz val="11"/>
        <rFont val="Calibri"/>
        <family val="2"/>
        <scheme val="minor"/>
      </rPr>
      <t xml:space="preserve">κελιά με </t>
    </r>
    <r>
      <rPr>
        <b/>
        <sz val="11"/>
        <color theme="2" tint="-0.249977111117893"/>
        <rFont val="Calibri"/>
        <family val="2"/>
        <scheme val="minor"/>
      </rPr>
      <t>γκρι χρώμα</t>
    </r>
    <r>
      <rPr>
        <sz val="11"/>
        <rFont val="Calibri"/>
        <family val="2"/>
        <scheme val="minor"/>
      </rPr>
      <t>) υπολογίζονται αυτόματα, σύμφωνα με τα στοιχεία για τους επιμέρους δήμους, και δεν απαιτείται η συμπλήρωσή τους</t>
    </r>
    <r>
      <rPr>
        <sz val="11"/>
        <color theme="1"/>
        <rFont val="Calibri"/>
        <family val="2"/>
        <scheme val="minor"/>
      </rPr>
      <t xml:space="preserve">. Ο πίνακας 9 (κελιά με </t>
    </r>
    <r>
      <rPr>
        <b/>
        <sz val="11"/>
        <color theme="4" tint="0.39997558519241921"/>
        <rFont val="Calibri"/>
        <family val="2"/>
        <scheme val="minor"/>
      </rPr>
      <t>μπλε χρώμα</t>
    </r>
    <r>
      <rPr>
        <sz val="11"/>
        <color theme="1"/>
        <rFont val="Calibri"/>
        <family val="2"/>
        <scheme val="minor"/>
      </rPr>
      <t>) πρέπει να συμπληρωθεί</t>
    </r>
  </si>
  <si>
    <t>Στοιχεία επενδύσεων που περιλαμβάνει το Πρόγραμμα Ανάπτυξης</t>
  </si>
  <si>
    <t>Εάν απαιτείται, ο Διαχειριστής προσθέτει γραμμές για επενδύσεις σε άλλο εξοπλισμό δικτύου που έχει συμπεριληφθεί στο Πρόγραμμα Ανάπτυξης</t>
  </si>
  <si>
    <t>2. Εξέλιξη ενεργών συνδέσεων ανά κατηγορία πελάτη</t>
  </si>
  <si>
    <t>3. Εξέλιξη ενεργών μετρητών ανά κατηγορία πελάτη</t>
  </si>
  <si>
    <t>4. Εξέλιξη ενεργών πελατών ανά κατηγορία*</t>
  </si>
  <si>
    <t>5. Εξέλιξη μέσης ετήσιας κατανάλωσης</t>
  </si>
  <si>
    <t>6. Εξέλιξη ποσοτήτων αερίου που διανέμονται στις νέες συνδέσεις ανά κατηγορία πελάτη</t>
  </si>
  <si>
    <t>Σύνολο Νέων πελατών που συνδέονται στη διάρκεια του Προγράμματος Ανάπτυξης</t>
  </si>
  <si>
    <t>Κατανάλωση νέων πελατών που συνδέονται σε κάθε ετος του Προγράμματος Ανάπτυξης</t>
  </si>
  <si>
    <t>Κατανάλωση πελατών προηγούμενων ετών στο Πρόγραμμα ανάπτυξης</t>
  </si>
  <si>
    <t>Συνολική Κατανάλωση</t>
  </si>
  <si>
    <t>* Αφορά την κατανάλωση των νέων πελατών που ενεργοποιούνται το έτος αναφοράς</t>
  </si>
  <si>
    <t>** Αφορά την κατανάλωση των πελατών που ενεργοποιήθηκαν τα προηγούμενα έτη του Προγράμματος Ανάπτυξης (δεν αφορά το πρώτο έτος του Προγράμματος)</t>
  </si>
  <si>
    <t>7. Δυνητικοί πελάτες &amp; δυνητικές συνδέσεις στο κατασκευασμένο δίκτυο</t>
  </si>
  <si>
    <t>8. Οδικό δίκτυο</t>
  </si>
  <si>
    <t>9. Επενδύσεις</t>
  </si>
  <si>
    <t>Σύνολο επενδύσεων</t>
  </si>
  <si>
    <t>Έργα ανάπτυξης</t>
  </si>
  <si>
    <t>Σταθμοί αποσυμπίεσης (CNG)</t>
  </si>
  <si>
    <t>Σταθμοί Αεριοποίησης (LNG)</t>
  </si>
  <si>
    <t>Βιομεθάνιο &amp; Υδρογόνο</t>
  </si>
  <si>
    <t>Έργα σύνδεσης</t>
  </si>
  <si>
    <t>Έργα ασφάλειας και ενίσχυσης δικτύου</t>
  </si>
  <si>
    <t>Έργα ψηφιοποίησης</t>
  </si>
  <si>
    <t>Ψηφιοποίηση δικτύου</t>
  </si>
  <si>
    <t>Αντικαταστάσεις μετρητών</t>
  </si>
  <si>
    <t>Έργα εξοικονόμησης ενέργειας</t>
  </si>
  <si>
    <t>Συστήματα και εξοπλισμός μηχανογράφησης</t>
  </si>
  <si>
    <t>Κτίρια</t>
  </si>
  <si>
    <t>Αυτοκίνητα</t>
  </si>
  <si>
    <t>Δικαιώματα χρήσης</t>
  </si>
  <si>
    <r>
      <rPr>
        <b/>
        <sz val="11"/>
        <color theme="1"/>
        <rFont val="Calibri"/>
        <family val="2"/>
        <scheme val="minor"/>
      </rPr>
      <t>Οδηγίες συμπλήρωσης φύλλου εργασίας</t>
    </r>
    <r>
      <rPr>
        <sz val="11"/>
        <color theme="1"/>
        <rFont val="Calibri"/>
        <family val="2"/>
        <scheme val="minor"/>
      </rPr>
      <t>: Οι υπολογισμοί στους πίνακες (</t>
    </r>
    <r>
      <rPr>
        <sz val="11"/>
        <rFont val="Calibri"/>
        <family val="2"/>
        <scheme val="minor"/>
      </rPr>
      <t xml:space="preserve">κελιά με </t>
    </r>
    <r>
      <rPr>
        <b/>
        <sz val="11"/>
        <color theme="2" tint="-0.249977111117893"/>
        <rFont val="Calibri"/>
        <family val="2"/>
        <scheme val="minor"/>
      </rPr>
      <t>γκρι χρώμα</t>
    </r>
    <r>
      <rPr>
        <sz val="11"/>
        <rFont val="Calibri"/>
        <family val="2"/>
        <scheme val="minor"/>
      </rPr>
      <t>) πραγματοποιούνται αυτόματα και δεν απαιτείται η συμπλήρωσή τους</t>
    </r>
    <r>
      <rPr>
        <sz val="11"/>
        <color theme="1"/>
        <rFont val="Calibri"/>
        <family val="2"/>
        <scheme val="minor"/>
      </rPr>
      <t>.</t>
    </r>
  </si>
  <si>
    <t>1. Δείκτες για υφιστάμενο δίκτυο</t>
  </si>
  <si>
    <t>Μονάδες</t>
  </si>
  <si>
    <t xml:space="preserve">Βαθμός κάλυψης δικτύου </t>
  </si>
  <si>
    <t>2. Δείκτες για Πρόγραμμα Ανάπτυξης</t>
  </si>
  <si>
    <t xml:space="preserve">Συνολική διανεμηθείσα ποσότητα αερίου ανά συνολικό μήκος δικτύου ΧΠ </t>
  </si>
  <si>
    <t>Επένδυση ανά νέα κατανάλωση*</t>
  </si>
  <si>
    <t>Νέα κατανάλωση* ανά μήκος νέου δικτύου</t>
  </si>
  <si>
    <t>*Κατανάλωση μόνο από πελάτες που συνδέθηκαν λόγω υλοποίησης του Προγράμματος Ανάπτυξης</t>
  </si>
  <si>
    <r>
      <rPr>
        <b/>
        <sz val="11"/>
        <color theme="1"/>
        <rFont val="Calibri"/>
        <family val="2"/>
        <scheme val="minor"/>
      </rPr>
      <t>Οδηγίες συμπλήρωσης φύλλου εργασίας</t>
    </r>
    <r>
      <rPr>
        <sz val="11"/>
        <color theme="1"/>
        <rFont val="Calibri"/>
        <family val="2"/>
        <scheme val="minor"/>
      </rPr>
      <t xml:space="preserve">: Συμπληρωση των κελιών με </t>
    </r>
    <r>
      <rPr>
        <b/>
        <sz val="11"/>
        <color theme="4" tint="0.39997558519241921"/>
        <rFont val="Calibri"/>
        <family val="2"/>
        <scheme val="minor"/>
      </rPr>
      <t>μπλε χρώμα</t>
    </r>
    <r>
      <rPr>
        <sz val="11"/>
        <rFont val="Calibri"/>
        <family val="2"/>
        <scheme val="minor"/>
      </rPr>
      <t xml:space="preserve"> στους πίνακες του φύλλου εργασίας. Τα κελιά με </t>
    </r>
    <r>
      <rPr>
        <b/>
        <sz val="11"/>
        <color theme="2" tint="-0.249977111117893"/>
        <rFont val="Calibri"/>
        <family val="2"/>
        <scheme val="minor"/>
      </rPr>
      <t>γκρι χρώμα</t>
    </r>
    <r>
      <rPr>
        <sz val="11"/>
        <rFont val="Calibri"/>
        <family val="2"/>
        <scheme val="minor"/>
      </rPr>
      <t xml:space="preserve"> υπολογίζονται αυτόματα και δεν απαιτείται η συμπλήρωσή τους</t>
    </r>
    <r>
      <rPr>
        <sz val="11"/>
        <color theme="1"/>
        <rFont val="Calibri"/>
        <family val="2"/>
        <scheme val="minor"/>
      </rPr>
      <t>.</t>
    </r>
  </si>
  <si>
    <t>Μέση χρέωση για υφιστάμενο δίκτυο  (χωρίς επενδύσεις και κόστη του Προγράμματος Ανάπτυξης)</t>
  </si>
  <si>
    <t>Ρυθμιζόμενη περιουσιακή βάση</t>
  </si>
  <si>
    <t>Απόδοση επί της ρυθμιζόμενης περιουσιακής βάσης</t>
  </si>
  <si>
    <t>Αποσβέσεις παγίων</t>
  </si>
  <si>
    <t>Λειτουργικές δαπάνες</t>
  </si>
  <si>
    <t>Απαιτούμενο έσοδο</t>
  </si>
  <si>
    <t>Καθαρή παρούσα αξία απαιτούμενου εσόδου</t>
  </si>
  <si>
    <t>Διανεμηθείσες ποσότητες αερίου</t>
  </si>
  <si>
    <t>Καθαρή παρούσα αξία ποσοτήτων αερίου</t>
  </si>
  <si>
    <t>Μέση χρέωση με τις επενδύσεις του Προγράμματος Ανάπτυξης</t>
  </si>
  <si>
    <t>Αποσβέσεις παγίων*</t>
  </si>
  <si>
    <t>* Συμπεριλαμβανομένων των αποσβέσεων για τις επενδύσεις του Προγράμματος Ανάπτυξης</t>
  </si>
  <si>
    <t>** Συμπεριλαμβανομένων των λειτουργικών δαπανών που αφορούν τα έργα του Προγράμματος Ανάπτυξης</t>
  </si>
  <si>
    <t>Επίπτωση Προγράμματος Ανάπτυξης</t>
  </si>
  <si>
    <t>Επίπτωση στη μέση χρέωση διανομής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</si>
</sst>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_-;\-* #,##0_-;_-* &quot;-&quot;??_-;_-@_-"/>
    <numFmt numFmtId="165" formatCode="0.000%"/>
    <numFmt numFmtId="166" formatCode="_-* #,##0.000_-;\-* #,##0.000_-;_-* &quot;-&quot;??_-;_-@_-"/>
    <numFmt numFmtId="167" formatCode="0.0%"/>
    <numFmt numFmtId="168" formatCode="_-* #,##0.00\ _€_-;\-* #,##0.00\ _€_-;_-* &quot;-&quot;??\ _€_-;_-@_-"/>
    <numFmt numFmtId="169" formatCode="#,##0.00_ ;\-#,##0.00\ "/>
    <numFmt numFmtId="170" formatCode="_-* #,##0.0_-;\-* #,##0.0_-;_-* &quot;-&quot;??_-;_-@_-"/>
    <numFmt numFmtId="171" formatCode="_-* #,##0.0\ _€_-;\-* #,##0.0\ _€_-;_-* &quot;-&quot;?\ _€_-;_-@_-"/>
    <numFmt numFmtId="172" formatCode="#,##0_ ;\-#,##0\ "/>
    <numFmt numFmtId="173" formatCode="_-* #,##0.0_-;\-* #,##0.0_-;_-* &quot;-&quot;?_-;_-@_-"/>
    <numFmt numFmtId="174" formatCode="_-* #,##0.0000_-;\-* #,##0.0000_-;_-* &quot;-&quot;??_-;_-@_-"/>
    <numFmt numFmtId="175" formatCode="_-* #,##0.000000_-;\-* #,##0.000000_-;_-* &quot;-&quot;??_-;_-@_-"/>
    <numFmt numFmtId="176" formatCode="_-* #,##0.000000000000_-;\-* #,##0.000000000000_-;_-* &quot;-&quot;??_-;_-@_-"/>
    <numFmt numFmtId="177" formatCode="0_ ;\-0\ "/>
  </numFmts>
  <fonts count="33" x14ac:knownFonts="1">
    <font>
      <sz val="11"/>
      <color theme="1"/>
      <name val="Calibri"/>
      <family val="2"/>
      <scheme val="minor"/>
    </font>
    <font>
      <sz val="11"/>
      <color theme="1"/>
      <name val="Calibri"/>
      <family val="2"/>
      <charset val="161"/>
      <scheme val="minor"/>
    </font>
    <font>
      <sz val="11"/>
      <color theme="1"/>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i/>
      <sz val="11"/>
      <color theme="1"/>
      <name val="Calibri"/>
      <family val="2"/>
      <scheme val="minor"/>
    </font>
    <font>
      <b/>
      <sz val="12"/>
      <color theme="0"/>
      <name val="Calibri"/>
      <family val="2"/>
      <scheme val="minor"/>
    </font>
    <font>
      <b/>
      <i/>
      <sz val="11"/>
      <color theme="0"/>
      <name val="Calibri"/>
      <family val="2"/>
      <scheme val="minor"/>
    </font>
    <font>
      <i/>
      <sz val="9"/>
      <color theme="1"/>
      <name val="Calibri"/>
      <family val="2"/>
      <scheme val="minor"/>
    </font>
    <font>
      <b/>
      <sz val="12"/>
      <color theme="1"/>
      <name val="Calibri"/>
      <family val="2"/>
      <scheme val="minor"/>
    </font>
    <font>
      <i/>
      <sz val="10"/>
      <color theme="1"/>
      <name val="Calibri"/>
      <family val="2"/>
      <scheme val="minor"/>
    </font>
    <font>
      <sz val="10"/>
      <color theme="1"/>
      <name val="Calibri"/>
      <family val="2"/>
      <scheme val="minor"/>
    </font>
    <font>
      <u/>
      <sz val="11"/>
      <color theme="10"/>
      <name val="Calibri"/>
      <family val="2"/>
      <scheme val="minor"/>
    </font>
    <font>
      <b/>
      <sz val="11"/>
      <color theme="0"/>
      <name val="Calibri"/>
      <family val="2"/>
      <scheme val="minor"/>
    </font>
    <font>
      <sz val="14"/>
      <color theme="1"/>
      <name val="Calibri"/>
      <family val="2"/>
      <scheme val="minor"/>
    </font>
    <font>
      <i/>
      <u/>
      <sz val="11"/>
      <color theme="10"/>
      <name val="Calibri"/>
      <family val="2"/>
      <scheme val="minor"/>
    </font>
    <font>
      <u/>
      <sz val="12"/>
      <color theme="10"/>
      <name val="Calibri"/>
      <family val="2"/>
      <scheme val="minor"/>
    </font>
    <font>
      <b/>
      <sz val="16"/>
      <color theme="1"/>
      <name val="Calibri"/>
      <family val="2"/>
      <scheme val="minor"/>
    </font>
    <font>
      <b/>
      <sz val="22"/>
      <color theme="1"/>
      <name val="Calibri"/>
      <family val="2"/>
      <scheme val="minor"/>
    </font>
    <font>
      <b/>
      <i/>
      <sz val="14"/>
      <name val="Calibri"/>
      <family val="2"/>
      <scheme val="minor"/>
    </font>
    <font>
      <b/>
      <sz val="12"/>
      <color rgb="FFFFFF00"/>
      <name val="Calibri"/>
      <family val="2"/>
      <scheme val="minor"/>
    </font>
    <font>
      <b/>
      <i/>
      <sz val="11"/>
      <color theme="1"/>
      <name val="Calibri"/>
      <family val="2"/>
      <scheme val="minor"/>
    </font>
    <font>
      <sz val="11"/>
      <color rgb="FFFF0000"/>
      <name val="Calibri"/>
      <family val="2"/>
      <scheme val="minor"/>
    </font>
    <font>
      <sz val="11"/>
      <name val="Calibri"/>
      <family val="2"/>
      <scheme val="minor"/>
    </font>
    <font>
      <b/>
      <sz val="11"/>
      <color theme="4" tint="0.39997558519241921"/>
      <name val="Calibri"/>
      <family val="2"/>
      <scheme val="minor"/>
    </font>
    <font>
      <b/>
      <u/>
      <sz val="12"/>
      <color theme="10"/>
      <name val="Calibri"/>
      <family val="2"/>
      <scheme val="minor"/>
    </font>
    <font>
      <b/>
      <sz val="11"/>
      <color theme="2" tint="-0.249977111117893"/>
      <name val="Calibri"/>
      <family val="2"/>
      <scheme val="minor"/>
    </font>
    <font>
      <sz val="8"/>
      <name val="Calibri"/>
      <family val="2"/>
      <scheme val="minor"/>
    </font>
    <font>
      <i/>
      <sz val="10"/>
      <name val="Calibri"/>
      <family val="2"/>
      <scheme val="minor"/>
    </font>
    <font>
      <b/>
      <sz val="11"/>
      <color theme="1"/>
      <name val="Calibri"/>
      <family val="2"/>
      <charset val="161"/>
      <scheme val="minor"/>
    </font>
    <font>
      <sz val="10"/>
      <color theme="1"/>
      <name val="Calibri"/>
      <family val="2"/>
      <charset val="161"/>
      <scheme val="minor"/>
    </font>
    <font>
      <sz val="11"/>
      <color rgb="FF000000"/>
      <name val="Calibri"/>
      <family val="2"/>
    </font>
  </fonts>
  <fills count="10">
    <fill>
      <patternFill patternType="none"/>
    </fill>
    <fill>
      <patternFill patternType="gray125"/>
    </fill>
    <fill>
      <patternFill patternType="solid">
        <fgColor theme="4" tint="0.79998168889431442"/>
        <bgColor indexed="64"/>
      </patternFill>
    </fill>
    <fill>
      <patternFill patternType="solid">
        <fgColor theme="1" tint="0.34998626667073579"/>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8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bottom style="thin">
        <color indexed="64"/>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hair">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right style="thin">
        <color indexed="64"/>
      </right>
      <top style="medium">
        <color indexed="64"/>
      </top>
      <bottom style="thin">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thin">
        <color indexed="64"/>
      </left>
      <right style="medium">
        <color rgb="FF000000"/>
      </right>
      <top style="thin">
        <color indexed="64"/>
      </top>
      <bottom style="hair">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cellStyleXfs>
  <cellXfs count="560">
    <xf numFmtId="0" fontId="0" fillId="0" borderId="0" xfId="0"/>
    <xf numFmtId="0" fontId="5" fillId="0" borderId="1" xfId="0" applyFont="1" applyBorder="1"/>
    <xf numFmtId="0" fontId="5" fillId="0" borderId="0" xfId="0" applyFont="1"/>
    <xf numFmtId="0" fontId="0" fillId="0" borderId="2" xfId="0" applyBorder="1"/>
    <xf numFmtId="164" fontId="0" fillId="2" borderId="2" xfId="1" applyNumberFormat="1" applyFont="1" applyFill="1" applyBorder="1" applyAlignment="1">
      <alignment horizontal="center"/>
    </xf>
    <xf numFmtId="0" fontId="6" fillId="0" borderId="5" xfId="0" applyFont="1" applyBorder="1"/>
    <xf numFmtId="164" fontId="0" fillId="2" borderId="5" xfId="1" applyNumberFormat="1" applyFont="1" applyFill="1" applyBorder="1" applyAlignment="1">
      <alignment horizontal="center"/>
    </xf>
    <xf numFmtId="0" fontId="6" fillId="0" borderId="6" xfId="0" applyFont="1" applyBorder="1"/>
    <xf numFmtId="164" fontId="0" fillId="2" borderId="6" xfId="1" applyNumberFormat="1" applyFont="1" applyFill="1" applyBorder="1" applyAlignment="1">
      <alignment horizontal="center"/>
    </xf>
    <xf numFmtId="0" fontId="3" fillId="5" borderId="2" xfId="0" applyFont="1" applyFill="1" applyBorder="1" applyAlignment="1">
      <alignment horizontal="center"/>
    </xf>
    <xf numFmtId="0" fontId="0" fillId="0" borderId="2" xfId="0" applyBorder="1" applyAlignment="1">
      <alignment vertical="center" wrapText="1"/>
    </xf>
    <xf numFmtId="0" fontId="0" fillId="0" borderId="2" xfId="0" applyBorder="1" applyAlignment="1">
      <alignment horizontal="center" vertical="center" wrapText="1"/>
    </xf>
    <xf numFmtId="0" fontId="6" fillId="0" borderId="2" xfId="0" applyFont="1" applyBorder="1" applyAlignment="1">
      <alignment horizontal="center"/>
    </xf>
    <xf numFmtId="0" fontId="6" fillId="0" borderId="10" xfId="0" applyFont="1" applyBorder="1"/>
    <xf numFmtId="0" fontId="6" fillId="0" borderId="5" xfId="0" applyFont="1" applyBorder="1" applyAlignment="1">
      <alignment horizontal="center"/>
    </xf>
    <xf numFmtId="0" fontId="6" fillId="0" borderId="6" xfId="0" applyFont="1" applyBorder="1" applyAlignment="1">
      <alignment horizontal="center"/>
    </xf>
    <xf numFmtId="0" fontId="6" fillId="0" borderId="10" xfId="0" applyFont="1" applyBorder="1" applyAlignment="1">
      <alignment horizontal="center"/>
    </xf>
    <xf numFmtId="0" fontId="9" fillId="0" borderId="0" xfId="0" applyFont="1"/>
    <xf numFmtId="0" fontId="0" fillId="0" borderId="3" xfId="0" applyBorder="1"/>
    <xf numFmtId="0" fontId="0" fillId="0" borderId="2" xfId="0" applyBorder="1" applyAlignment="1">
      <alignment vertical="center"/>
    </xf>
    <xf numFmtId="0" fontId="7" fillId="4" borderId="0" xfId="0" applyFont="1" applyFill="1"/>
    <xf numFmtId="0" fontId="6" fillId="0" borderId="2" xfId="0" applyFont="1" applyBorder="1" applyAlignment="1">
      <alignment horizontal="center" vertical="center"/>
    </xf>
    <xf numFmtId="0" fontId="0" fillId="0" borderId="0" xfId="0" applyAlignment="1">
      <alignment horizontal="left" vertical="center"/>
    </xf>
    <xf numFmtId="0" fontId="6" fillId="0" borderId="0" xfId="0" applyFont="1"/>
    <xf numFmtId="0" fontId="6" fillId="0" borderId="0" xfId="0" applyFont="1" applyAlignment="1">
      <alignment horizontal="center"/>
    </xf>
    <xf numFmtId="164" fontId="0" fillId="0" borderId="0" xfId="1" applyNumberFormat="1" applyFont="1" applyFill="1" applyBorder="1" applyAlignment="1">
      <alignment horizontal="center"/>
    </xf>
    <xf numFmtId="164" fontId="0" fillId="0" borderId="0" xfId="1" applyNumberFormat="1" applyFont="1" applyBorder="1" applyAlignment="1">
      <alignment horizontal="center"/>
    </xf>
    <xf numFmtId="0" fontId="3" fillId="5" borderId="2" xfId="0" applyFont="1" applyFill="1" applyBorder="1" applyAlignment="1">
      <alignment horizontal="center" vertical="center"/>
    </xf>
    <xf numFmtId="0" fontId="3" fillId="5" borderId="2" xfId="0" applyFont="1" applyFill="1" applyBorder="1" applyAlignment="1">
      <alignment horizontal="center" vertical="center" wrapText="1"/>
    </xf>
    <xf numFmtId="0" fontId="0" fillId="0" borderId="2" xfId="0" applyBorder="1" applyAlignment="1">
      <alignment horizontal="center" vertical="center"/>
    </xf>
    <xf numFmtId="0" fontId="6" fillId="0" borderId="6" xfId="0" applyFont="1" applyBorder="1" applyAlignment="1">
      <alignment horizontal="center" vertical="center"/>
    </xf>
    <xf numFmtId="0" fontId="9" fillId="0" borderId="0" xfId="0" applyFont="1" applyAlignment="1">
      <alignment horizontal="left" vertical="center"/>
    </xf>
    <xf numFmtId="164" fontId="0" fillId="3" borderId="6" xfId="1" applyNumberFormat="1" applyFont="1" applyFill="1" applyBorder="1" applyAlignment="1">
      <alignment horizontal="center"/>
    </xf>
    <xf numFmtId="43" fontId="0" fillId="0" borderId="0" xfId="0" applyNumberFormat="1"/>
    <xf numFmtId="164" fontId="0" fillId="0" borderId="2" xfId="1" applyNumberFormat="1" applyFont="1" applyBorder="1" applyAlignment="1">
      <alignment horizontal="center" vertical="center"/>
    </xf>
    <xf numFmtId="164" fontId="0" fillId="2" borderId="2" xfId="1" applyNumberFormat="1" applyFont="1" applyFill="1" applyBorder="1"/>
    <xf numFmtId="165" fontId="0" fillId="0" borderId="2" xfId="2" applyNumberFormat="1" applyFont="1" applyBorder="1" applyAlignment="1">
      <alignment horizontal="center" vertical="center"/>
    </xf>
    <xf numFmtId="10" fontId="0" fillId="0" borderId="2" xfId="0" applyNumberFormat="1" applyBorder="1" applyAlignment="1">
      <alignment horizontal="center" vertical="center"/>
    </xf>
    <xf numFmtId="0" fontId="3" fillId="0" borderId="2" xfId="0" applyFont="1" applyBorder="1" applyAlignment="1">
      <alignment horizontal="center" vertical="center"/>
    </xf>
    <xf numFmtId="164" fontId="0" fillId="0" borderId="0" xfId="0" applyNumberFormat="1"/>
    <xf numFmtId="0" fontId="3" fillId="0" borderId="2" xfId="0" applyFont="1" applyBorder="1"/>
    <xf numFmtId="10" fontId="3" fillId="0" borderId="3" xfId="0" applyNumberFormat="1" applyFont="1" applyBorder="1" applyAlignment="1">
      <alignment horizontal="center" vertical="center"/>
    </xf>
    <xf numFmtId="0" fontId="3" fillId="0" borderId="2" xfId="0" applyFont="1" applyBorder="1" applyAlignment="1">
      <alignment horizontal="center"/>
    </xf>
    <xf numFmtId="10" fontId="3" fillId="0" borderId="0" xfId="0" applyNumberFormat="1" applyFont="1" applyAlignment="1">
      <alignment horizontal="center" vertical="center"/>
    </xf>
    <xf numFmtId="164" fontId="3" fillId="0" borderId="0" xfId="0" applyNumberFormat="1" applyFont="1"/>
    <xf numFmtId="0" fontId="10" fillId="2" borderId="0" xfId="0" applyFont="1" applyFill="1" applyAlignment="1">
      <alignment horizontal="center" vertical="center"/>
    </xf>
    <xf numFmtId="0" fontId="10" fillId="0" borderId="0" xfId="0" applyFont="1" applyAlignment="1">
      <alignment horizontal="center" vertical="center"/>
    </xf>
    <xf numFmtId="0" fontId="3" fillId="5" borderId="2" xfId="0" quotePrefix="1" applyFont="1" applyFill="1" applyBorder="1" applyAlignment="1">
      <alignment horizontal="center"/>
    </xf>
    <xf numFmtId="0" fontId="0" fillId="0" borderId="2" xfId="0" applyBorder="1" applyAlignment="1">
      <alignment horizontal="left" vertical="center"/>
    </xf>
    <xf numFmtId="0" fontId="0" fillId="0" borderId="5" xfId="0" applyBorder="1" applyAlignment="1">
      <alignment horizontal="center"/>
    </xf>
    <xf numFmtId="164" fontId="2" fillId="2" borderId="5" xfId="1" applyNumberFormat="1" applyFont="1" applyFill="1" applyBorder="1" applyAlignment="1">
      <alignment horizontal="center"/>
    </xf>
    <xf numFmtId="164" fontId="11" fillId="2" borderId="5" xfId="1" applyNumberFormat="1" applyFont="1" applyFill="1" applyBorder="1" applyAlignment="1">
      <alignment horizontal="center"/>
    </xf>
    <xf numFmtId="0" fontId="11" fillId="0" borderId="0" xfId="0" applyFont="1"/>
    <xf numFmtId="0" fontId="0" fillId="0" borderId="2" xfId="0" applyBorder="1" applyAlignment="1">
      <alignment horizontal="center"/>
    </xf>
    <xf numFmtId="0" fontId="8" fillId="0" borderId="0" xfId="0" applyFont="1"/>
    <xf numFmtId="0" fontId="3" fillId="5" borderId="7" xfId="0" applyFont="1" applyFill="1" applyBorder="1" applyAlignment="1">
      <alignment vertical="center" wrapText="1"/>
    </xf>
    <xf numFmtId="0" fontId="9" fillId="0" borderId="0" xfId="0" applyFont="1" applyAlignment="1">
      <alignment horizontal="left" wrapText="1"/>
    </xf>
    <xf numFmtId="0" fontId="3" fillId="5" borderId="2" xfId="0" applyFont="1" applyFill="1" applyBorder="1" applyAlignment="1">
      <alignment horizontal="center" wrapText="1"/>
    </xf>
    <xf numFmtId="0" fontId="12" fillId="0" borderId="0" xfId="0" applyFont="1"/>
    <xf numFmtId="0" fontId="0" fillId="0" borderId="3" xfId="0" applyBorder="1" applyAlignment="1">
      <alignment horizontal="center"/>
    </xf>
    <xf numFmtId="0" fontId="3" fillId="5" borderId="16" xfId="0" applyFont="1" applyFill="1" applyBorder="1" applyAlignment="1">
      <alignment horizontal="left" vertical="center" wrapText="1"/>
    </xf>
    <xf numFmtId="0" fontId="3" fillId="5" borderId="3" xfId="0" applyFont="1" applyFill="1" applyBorder="1" applyAlignment="1">
      <alignment horizontal="center" vertical="center"/>
    </xf>
    <xf numFmtId="0" fontId="0" fillId="0" borderId="19" xfId="0" applyBorder="1" applyAlignment="1">
      <alignment horizontal="center"/>
    </xf>
    <xf numFmtId="0" fontId="11" fillId="0" borderId="19" xfId="0" applyFont="1" applyBorder="1" applyAlignment="1">
      <alignment horizontal="center"/>
    </xf>
    <xf numFmtId="0" fontId="0" fillId="0" borderId="16" xfId="0" applyBorder="1" applyAlignment="1">
      <alignment horizontal="center"/>
    </xf>
    <xf numFmtId="0" fontId="0" fillId="0" borderId="13" xfId="0" applyBorder="1" applyAlignment="1">
      <alignment horizontal="center"/>
    </xf>
    <xf numFmtId="0" fontId="3" fillId="5" borderId="20" xfId="0" applyFont="1" applyFill="1" applyBorder="1" applyAlignment="1">
      <alignment horizontal="center"/>
    </xf>
    <xf numFmtId="0" fontId="3" fillId="5" borderId="21" xfId="0" applyFont="1" applyFill="1" applyBorder="1" applyAlignment="1">
      <alignment horizontal="center"/>
    </xf>
    <xf numFmtId="164" fontId="0" fillId="2" borderId="28" xfId="1" applyNumberFormat="1" applyFont="1" applyFill="1" applyBorder="1" applyAlignment="1">
      <alignment horizontal="center"/>
    </xf>
    <xf numFmtId="164" fontId="11" fillId="2" borderId="28" xfId="1" applyNumberFormat="1" applyFont="1" applyFill="1" applyBorder="1" applyAlignment="1">
      <alignment horizontal="center"/>
    </xf>
    <xf numFmtId="164" fontId="0" fillId="2" borderId="30" xfId="1" applyNumberFormat="1" applyFont="1" applyFill="1" applyBorder="1" applyAlignment="1">
      <alignment horizontal="center"/>
    </xf>
    <xf numFmtId="164" fontId="0" fillId="2" borderId="29" xfId="1" applyNumberFormat="1" applyFont="1" applyFill="1" applyBorder="1" applyAlignment="1">
      <alignment horizontal="center"/>
    </xf>
    <xf numFmtId="164" fontId="11" fillId="2" borderId="30" xfId="1" applyNumberFormat="1" applyFont="1" applyFill="1" applyBorder="1" applyAlignment="1">
      <alignment horizontal="center"/>
    </xf>
    <xf numFmtId="0" fontId="3" fillId="5" borderId="3" xfId="0" applyFont="1" applyFill="1" applyBorder="1" applyAlignment="1">
      <alignment horizontal="center"/>
    </xf>
    <xf numFmtId="0" fontId="3" fillId="5" borderId="7" xfId="0" applyFont="1" applyFill="1" applyBorder="1" applyAlignment="1">
      <alignment horizontal="center" vertical="center" wrapText="1"/>
    </xf>
    <xf numFmtId="0" fontId="3" fillId="5" borderId="7" xfId="0" applyFont="1" applyFill="1" applyBorder="1" applyAlignment="1">
      <alignment horizontal="left" vertical="center" wrapText="1"/>
    </xf>
    <xf numFmtId="164" fontId="2" fillId="2" borderId="30" xfId="1" applyNumberFormat="1" applyFont="1" applyFill="1" applyBorder="1" applyAlignment="1">
      <alignment horizontal="center"/>
    </xf>
    <xf numFmtId="164" fontId="2" fillId="2" borderId="29" xfId="1" applyNumberFormat="1" applyFont="1" applyFill="1" applyBorder="1" applyAlignment="1">
      <alignment horizontal="center"/>
    </xf>
    <xf numFmtId="0" fontId="3" fillId="5" borderId="20" xfId="0" quotePrefix="1" applyFont="1" applyFill="1" applyBorder="1" applyAlignment="1">
      <alignment horizontal="center"/>
    </xf>
    <xf numFmtId="0" fontId="3" fillId="5" borderId="32" xfId="0" applyFont="1" applyFill="1" applyBorder="1" applyAlignment="1">
      <alignment horizontal="center"/>
    </xf>
    <xf numFmtId="164" fontId="0" fillId="2" borderId="34" xfId="1" applyNumberFormat="1" applyFont="1" applyFill="1" applyBorder="1" applyAlignment="1">
      <alignment horizontal="center"/>
    </xf>
    <xf numFmtId="164" fontId="0" fillId="2" borderId="35" xfId="1" applyNumberFormat="1" applyFont="1" applyFill="1" applyBorder="1" applyAlignment="1">
      <alignment horizontal="center"/>
    </xf>
    <xf numFmtId="0" fontId="3" fillId="5" borderId="21" xfId="0" quotePrefix="1" applyFont="1" applyFill="1" applyBorder="1" applyAlignment="1">
      <alignment horizontal="center" wrapText="1"/>
    </xf>
    <xf numFmtId="164" fontId="0" fillId="2" borderId="33" xfId="1" applyNumberFormat="1" applyFont="1" applyFill="1" applyBorder="1" applyAlignment="1">
      <alignment horizontal="center"/>
    </xf>
    <xf numFmtId="164" fontId="0" fillId="2" borderId="20" xfId="0" applyNumberFormat="1" applyFill="1" applyBorder="1"/>
    <xf numFmtId="164" fontId="0" fillId="2" borderId="21" xfId="0" applyNumberFormat="1" applyFill="1" applyBorder="1"/>
    <xf numFmtId="164" fontId="2" fillId="2" borderId="34" xfId="1" applyNumberFormat="1" applyFont="1" applyFill="1" applyBorder="1" applyAlignment="1">
      <alignment horizontal="center"/>
    </xf>
    <xf numFmtId="164" fontId="11" fillId="2" borderId="34" xfId="1" applyNumberFormat="1" applyFont="1" applyFill="1" applyBorder="1" applyAlignment="1">
      <alignment horizontal="center"/>
    </xf>
    <xf numFmtId="164" fontId="2" fillId="2" borderId="33" xfId="1" applyNumberFormat="1" applyFont="1" applyFill="1" applyBorder="1" applyAlignment="1">
      <alignment horizontal="center"/>
    </xf>
    <xf numFmtId="0" fontId="6" fillId="0" borderId="3" xfId="0" applyFont="1" applyBorder="1" applyAlignment="1">
      <alignment horizontal="center"/>
    </xf>
    <xf numFmtId="0" fontId="3" fillId="5" borderId="32" xfId="0" applyFont="1" applyFill="1" applyBorder="1" applyAlignment="1">
      <alignment horizontal="center" vertical="center"/>
    </xf>
    <xf numFmtId="0" fontId="3" fillId="5" borderId="32" xfId="0" applyFont="1" applyFill="1" applyBorder="1" applyAlignment="1">
      <alignment horizontal="center" wrapText="1"/>
    </xf>
    <xf numFmtId="0" fontId="15" fillId="0" borderId="1" xfId="0" applyFont="1" applyBorder="1"/>
    <xf numFmtId="0" fontId="16" fillId="0" borderId="0" xfId="3" quotePrefix="1" applyFont="1" applyAlignment="1">
      <alignment horizontal="right"/>
    </xf>
    <xf numFmtId="0" fontId="17" fillId="0" borderId="0" xfId="3" quotePrefix="1" applyFont="1" applyAlignment="1">
      <alignment horizontal="left"/>
    </xf>
    <xf numFmtId="0" fontId="18" fillId="0" borderId="1" xfId="0" applyFont="1" applyBorder="1" applyAlignment="1">
      <alignment horizontal="left"/>
    </xf>
    <xf numFmtId="0" fontId="18" fillId="0" borderId="0" xfId="0" applyFont="1" applyAlignment="1">
      <alignment horizontal="left"/>
    </xf>
    <xf numFmtId="0" fontId="19" fillId="0" borderId="1" xfId="0" applyFont="1" applyBorder="1"/>
    <xf numFmtId="0" fontId="0" fillId="0" borderId="1" xfId="0" applyBorder="1"/>
    <xf numFmtId="0" fontId="10" fillId="0" borderId="0" xfId="0" applyFont="1" applyAlignment="1">
      <alignment horizontal="left" vertical="center"/>
    </xf>
    <xf numFmtId="0" fontId="20" fillId="0" borderId="1" xfId="0" applyFont="1" applyBorder="1"/>
    <xf numFmtId="0" fontId="8" fillId="0" borderId="1" xfId="0" applyFont="1" applyBorder="1"/>
    <xf numFmtId="0" fontId="6" fillId="0" borderId="1" xfId="0" applyFont="1" applyBorder="1"/>
    <xf numFmtId="0" fontId="7" fillId="0" borderId="0" xfId="0" applyFont="1"/>
    <xf numFmtId="0" fontId="7" fillId="0" borderId="11" xfId="0" applyFont="1" applyBorder="1"/>
    <xf numFmtId="0" fontId="6" fillId="5" borderId="2" xfId="0" applyFont="1" applyFill="1" applyBorder="1" applyAlignment="1">
      <alignment horizontal="center" wrapText="1"/>
    </xf>
    <xf numFmtId="0" fontId="9" fillId="0" borderId="1" xfId="0" applyFont="1" applyBorder="1"/>
    <xf numFmtId="164" fontId="6" fillId="0" borderId="2" xfId="1" applyNumberFormat="1" applyFont="1" applyBorder="1" applyAlignment="1">
      <alignment horizontal="center" vertical="center"/>
    </xf>
    <xf numFmtId="164" fontId="4" fillId="3" borderId="2" xfId="1" applyNumberFormat="1" applyFont="1" applyFill="1" applyBorder="1"/>
    <xf numFmtId="165" fontId="6" fillId="0" borderId="2" xfId="2" applyNumberFormat="1" applyFont="1" applyBorder="1" applyAlignment="1">
      <alignment horizontal="center" vertical="center"/>
    </xf>
    <xf numFmtId="0" fontId="22" fillId="0" borderId="2" xfId="0" applyFont="1" applyBorder="1"/>
    <xf numFmtId="0" fontId="0" fillId="0" borderId="2" xfId="0" applyBorder="1" applyAlignment="1">
      <alignment horizontal="left"/>
    </xf>
    <xf numFmtId="0" fontId="9" fillId="0" borderId="0" xfId="0" applyFont="1" applyAlignment="1">
      <alignment horizontal="left"/>
    </xf>
    <xf numFmtId="10" fontId="6" fillId="0" borderId="2" xfId="0" applyNumberFormat="1" applyFont="1" applyBorder="1" applyAlignment="1">
      <alignment horizontal="center" vertical="center"/>
    </xf>
    <xf numFmtId="10" fontId="22" fillId="0" borderId="3" xfId="0" applyNumberFormat="1" applyFont="1" applyBorder="1" applyAlignment="1">
      <alignment horizontal="center" vertical="center"/>
    </xf>
    <xf numFmtId="164" fontId="14" fillId="0" borderId="2" xfId="0" applyNumberFormat="1" applyFont="1" applyBorder="1"/>
    <xf numFmtId="0" fontId="0" fillId="0" borderId="7" xfId="0" applyBorder="1"/>
    <xf numFmtId="10" fontId="6" fillId="0" borderId="7" xfId="0" applyNumberFormat="1" applyFont="1" applyBorder="1" applyAlignment="1">
      <alignment horizontal="center" vertical="center"/>
    </xf>
    <xf numFmtId="0" fontId="9" fillId="0" borderId="11" xfId="0" applyFont="1" applyBorder="1"/>
    <xf numFmtId="0" fontId="7" fillId="0" borderId="0" xfId="0" applyFont="1" applyAlignment="1">
      <alignment horizontal="left"/>
    </xf>
    <xf numFmtId="0" fontId="13" fillId="0" borderId="0" xfId="3" applyAlignment="1">
      <alignment horizontal="right"/>
    </xf>
    <xf numFmtId="0" fontId="16" fillId="0" borderId="0" xfId="3" applyFont="1" applyAlignment="1">
      <alignment horizontal="right"/>
    </xf>
    <xf numFmtId="0" fontId="6" fillId="5" borderId="20" xfId="0" applyFont="1" applyFill="1" applyBorder="1" applyAlignment="1">
      <alignment horizontal="center" wrapText="1"/>
    </xf>
    <xf numFmtId="164" fontId="0" fillId="2" borderId="2" xfId="0" applyNumberFormat="1" applyFill="1" applyBorder="1"/>
    <xf numFmtId="164" fontId="11" fillId="2" borderId="2" xfId="0" applyNumberFormat="1" applyFont="1" applyFill="1" applyBorder="1"/>
    <xf numFmtId="0" fontId="4" fillId="0" borderId="0" xfId="0" applyFont="1"/>
    <xf numFmtId="0" fontId="6" fillId="0" borderId="39" xfId="0" applyFont="1" applyBorder="1"/>
    <xf numFmtId="0" fontId="0" fillId="0" borderId="0" xfId="0" applyAlignment="1">
      <alignment wrapText="1"/>
    </xf>
    <xf numFmtId="0" fontId="12" fillId="0" borderId="2" xfId="0" applyFont="1" applyBorder="1" applyAlignment="1">
      <alignment vertical="center"/>
    </xf>
    <xf numFmtId="0" fontId="12" fillId="0" borderId="2" xfId="0" applyFont="1" applyBorder="1" applyAlignment="1">
      <alignment vertical="center" wrapText="1"/>
    </xf>
    <xf numFmtId="43" fontId="0" fillId="2" borderId="2" xfId="1" applyFont="1" applyFill="1" applyBorder="1"/>
    <xf numFmtId="0" fontId="23" fillId="0" borderId="0" xfId="0" applyFont="1"/>
    <xf numFmtId="0" fontId="3" fillId="5" borderId="2" xfId="0" quotePrefix="1" applyFont="1" applyFill="1" applyBorder="1" applyAlignment="1">
      <alignment horizontal="center" wrapText="1"/>
    </xf>
    <xf numFmtId="0" fontId="13" fillId="0" borderId="0" xfId="3" quotePrefix="1" applyAlignment="1">
      <alignment horizontal="right"/>
    </xf>
    <xf numFmtId="0" fontId="3" fillId="5" borderId="21" xfId="0" applyFont="1" applyFill="1" applyBorder="1" applyAlignment="1">
      <alignment horizontal="center" wrapText="1"/>
    </xf>
    <xf numFmtId="0" fontId="6" fillId="0" borderId="10" xfId="0" applyFont="1" applyBorder="1" applyAlignment="1">
      <alignment wrapText="1"/>
    </xf>
    <xf numFmtId="0" fontId="6" fillId="3" borderId="2" xfId="0" applyFont="1" applyFill="1" applyBorder="1" applyAlignment="1">
      <alignment horizontal="center"/>
    </xf>
    <xf numFmtId="0" fontId="6" fillId="3" borderId="6" xfId="0" applyFont="1" applyFill="1" applyBorder="1" applyAlignment="1">
      <alignment horizontal="center"/>
    </xf>
    <xf numFmtId="164" fontId="0" fillId="8" borderId="5" xfId="1" applyNumberFormat="1" applyFont="1" applyFill="1" applyBorder="1" applyAlignment="1">
      <alignment horizontal="center"/>
    </xf>
    <xf numFmtId="164" fontId="0" fillId="8" borderId="6" xfId="1" applyNumberFormat="1" applyFont="1" applyFill="1" applyBorder="1" applyAlignment="1">
      <alignment horizontal="center"/>
    </xf>
    <xf numFmtId="164" fontId="0" fillId="8" borderId="6" xfId="1" applyNumberFormat="1" applyFont="1" applyFill="1" applyBorder="1" applyAlignment="1">
      <alignment horizontal="center" vertical="center"/>
    </xf>
    <xf numFmtId="164" fontId="0" fillId="8" borderId="10" xfId="1" applyNumberFormat="1" applyFont="1" applyFill="1" applyBorder="1" applyAlignment="1">
      <alignment horizontal="center"/>
    </xf>
    <xf numFmtId="164" fontId="0" fillId="8" borderId="39" xfId="1" applyNumberFormat="1" applyFont="1" applyFill="1" applyBorder="1" applyAlignment="1">
      <alignment horizontal="center"/>
    </xf>
    <xf numFmtId="164" fontId="0" fillId="8" borderId="2" xfId="1" applyNumberFormat="1" applyFont="1" applyFill="1" applyBorder="1" applyAlignment="1">
      <alignment horizontal="center"/>
    </xf>
    <xf numFmtId="43" fontId="6" fillId="8" borderId="5" xfId="1" applyFont="1" applyFill="1" applyBorder="1" applyAlignment="1">
      <alignment horizontal="center"/>
    </xf>
    <xf numFmtId="43" fontId="6" fillId="8" borderId="6" xfId="1" applyFont="1" applyFill="1" applyBorder="1" applyAlignment="1">
      <alignment horizontal="center"/>
    </xf>
    <xf numFmtId="43" fontId="6" fillId="8" borderId="10" xfId="1" applyFont="1" applyFill="1" applyBorder="1" applyAlignment="1">
      <alignment horizontal="center"/>
    </xf>
    <xf numFmtId="43" fontId="6" fillId="8" borderId="40" xfId="1" applyFont="1" applyFill="1" applyBorder="1" applyAlignment="1">
      <alignment horizontal="center"/>
    </xf>
    <xf numFmtId="43" fontId="6" fillId="8" borderId="2" xfId="1" applyFont="1" applyFill="1" applyBorder="1" applyAlignment="1">
      <alignment horizontal="center"/>
    </xf>
    <xf numFmtId="9" fontId="0" fillId="8" borderId="2" xfId="2" applyFont="1" applyFill="1" applyBorder="1" applyAlignment="1">
      <alignment horizontal="center" vertical="center"/>
    </xf>
    <xf numFmtId="43" fontId="0" fillId="8" borderId="2" xfId="1" applyFont="1" applyFill="1" applyBorder="1" applyAlignment="1">
      <alignment horizontal="center" vertical="center"/>
    </xf>
    <xf numFmtId="164" fontId="0" fillId="8" borderId="2" xfId="1" applyNumberFormat="1" applyFont="1" applyFill="1" applyBorder="1"/>
    <xf numFmtId="164" fontId="0" fillId="8" borderId="2" xfId="0" applyNumberFormat="1" applyFill="1" applyBorder="1"/>
    <xf numFmtId="164" fontId="3" fillId="8" borderId="8" xfId="0" applyNumberFormat="1" applyFont="1" applyFill="1" applyBorder="1"/>
    <xf numFmtId="43" fontId="0" fillId="8" borderId="2" xfId="1" applyFont="1" applyFill="1" applyBorder="1"/>
    <xf numFmtId="164" fontId="0" fillId="8" borderId="8" xfId="0" applyNumberFormat="1" applyFill="1" applyBorder="1"/>
    <xf numFmtId="164" fontId="2" fillId="8" borderId="5" xfId="1" applyNumberFormat="1" applyFont="1" applyFill="1" applyBorder="1" applyAlignment="1">
      <alignment horizontal="center"/>
    </xf>
    <xf numFmtId="164" fontId="2" fillId="8" borderId="2" xfId="1" applyNumberFormat="1" applyFont="1" applyFill="1" applyBorder="1" applyAlignment="1">
      <alignment horizontal="center"/>
    </xf>
    <xf numFmtId="164" fontId="2" fillId="8" borderId="20" xfId="1" applyNumberFormat="1" applyFont="1" applyFill="1" applyBorder="1" applyAlignment="1">
      <alignment horizontal="center"/>
    </xf>
    <xf numFmtId="164" fontId="2" fillId="8" borderId="21" xfId="1" applyNumberFormat="1" applyFont="1" applyFill="1" applyBorder="1" applyAlignment="1">
      <alignment horizontal="center"/>
    </xf>
    <xf numFmtId="9" fontId="2" fillId="8" borderId="29" xfId="2" applyFont="1" applyFill="1" applyBorder="1" applyAlignment="1">
      <alignment horizontal="center"/>
    </xf>
    <xf numFmtId="9" fontId="2" fillId="8" borderId="21" xfId="2" applyFont="1" applyFill="1" applyBorder="1" applyAlignment="1">
      <alignment horizontal="center"/>
    </xf>
    <xf numFmtId="9" fontId="0" fillId="8" borderId="2" xfId="2" applyFont="1" applyFill="1" applyBorder="1"/>
    <xf numFmtId="166" fontId="0" fillId="8" borderId="2" xfId="0" applyNumberFormat="1" applyFill="1" applyBorder="1"/>
    <xf numFmtId="164" fontId="0" fillId="8" borderId="20" xfId="0" applyNumberFormat="1" applyFill="1" applyBorder="1"/>
    <xf numFmtId="9" fontId="0" fillId="8" borderId="21" xfId="2" applyFont="1" applyFill="1" applyBorder="1"/>
    <xf numFmtId="9" fontId="0" fillId="8" borderId="21" xfId="2" applyFont="1" applyFill="1" applyBorder="1" applyAlignment="1">
      <alignment horizontal="center"/>
    </xf>
    <xf numFmtId="9" fontId="0" fillId="8" borderId="29" xfId="2" applyFont="1" applyFill="1" applyBorder="1" applyAlignment="1">
      <alignment horizontal="center"/>
    </xf>
    <xf numFmtId="164" fontId="11" fillId="8" borderId="2" xfId="1" applyNumberFormat="1" applyFont="1" applyFill="1" applyBorder="1" applyAlignment="1">
      <alignment horizontal="center"/>
    </xf>
    <xf numFmtId="9" fontId="0" fillId="8" borderId="23" xfId="2" applyFont="1" applyFill="1" applyBorder="1" applyAlignment="1">
      <alignment horizontal="center"/>
    </xf>
    <xf numFmtId="164" fontId="0" fillId="8" borderId="30" xfId="1" applyNumberFormat="1" applyFont="1" applyFill="1" applyBorder="1" applyAlignment="1">
      <alignment horizontal="center"/>
    </xf>
    <xf numFmtId="164" fontId="0" fillId="8" borderId="20" xfId="1" applyNumberFormat="1" applyFont="1" applyFill="1" applyBorder="1" applyAlignment="1">
      <alignment horizontal="center"/>
    </xf>
    <xf numFmtId="164" fontId="0" fillId="8" borderId="21" xfId="1" applyNumberFormat="1" applyFont="1" applyFill="1" applyBorder="1" applyAlignment="1">
      <alignment horizontal="center"/>
    </xf>
    <xf numFmtId="164" fontId="2" fillId="8" borderId="4" xfId="1" applyNumberFormat="1" applyFont="1" applyFill="1" applyBorder="1" applyAlignment="1">
      <alignment horizontal="center"/>
    </xf>
    <xf numFmtId="9" fontId="2" fillId="8" borderId="19" xfId="2" applyFont="1" applyFill="1" applyBorder="1" applyAlignment="1">
      <alignment horizontal="center"/>
    </xf>
    <xf numFmtId="164" fontId="0" fillId="8" borderId="4" xfId="0" applyNumberFormat="1" applyFill="1" applyBorder="1"/>
    <xf numFmtId="164" fontId="2" fillId="8" borderId="15" xfId="1" applyNumberFormat="1" applyFont="1" applyFill="1" applyBorder="1" applyAlignment="1">
      <alignment horizontal="center"/>
    </xf>
    <xf numFmtId="9" fontId="2" fillId="8" borderId="27" xfId="2" applyFont="1" applyFill="1" applyBorder="1" applyAlignment="1">
      <alignment horizontal="center"/>
    </xf>
    <xf numFmtId="9" fontId="2" fillId="8" borderId="13" xfId="2" applyFont="1" applyFill="1" applyBorder="1" applyAlignment="1">
      <alignment horizontal="center"/>
    </xf>
    <xf numFmtId="164" fontId="2" fillId="8" borderId="26" xfId="1" applyNumberFormat="1" applyFont="1" applyFill="1" applyBorder="1" applyAlignment="1">
      <alignment horizontal="center"/>
    </xf>
    <xf numFmtId="164" fontId="0" fillId="8" borderId="15" xfId="0" applyNumberFormat="1" applyFill="1" applyBorder="1"/>
    <xf numFmtId="9" fontId="0" fillId="8" borderId="19" xfId="2" applyFont="1" applyFill="1" applyBorder="1" applyAlignment="1">
      <alignment horizontal="center"/>
    </xf>
    <xf numFmtId="9" fontId="0" fillId="8" borderId="3" xfId="2" applyFont="1" applyFill="1" applyBorder="1" applyAlignment="1">
      <alignment horizontal="center"/>
    </xf>
    <xf numFmtId="164" fontId="0" fillId="8" borderId="4" xfId="1" applyNumberFormat="1" applyFont="1" applyFill="1" applyBorder="1" applyAlignment="1">
      <alignment horizontal="center"/>
    </xf>
    <xf numFmtId="164" fontId="2" fillId="8" borderId="32" xfId="1" applyNumberFormat="1" applyFont="1" applyFill="1" applyBorder="1" applyAlignment="1">
      <alignment horizontal="center"/>
    </xf>
    <xf numFmtId="9" fontId="0" fillId="8" borderId="38" xfId="2" applyFont="1" applyFill="1" applyBorder="1" applyAlignment="1">
      <alignment horizontal="center"/>
    </xf>
    <xf numFmtId="164" fontId="0" fillId="8" borderId="24" xfId="1" applyNumberFormat="1" applyFont="1" applyFill="1" applyBorder="1" applyAlignment="1">
      <alignment horizontal="center"/>
    </xf>
    <xf numFmtId="164" fontId="0" fillId="8" borderId="34" xfId="1" applyNumberFormat="1" applyFont="1" applyFill="1" applyBorder="1" applyAlignment="1">
      <alignment horizontal="center"/>
    </xf>
    <xf numFmtId="164" fontId="0" fillId="8" borderId="32" xfId="1" applyNumberFormat="1" applyFont="1" applyFill="1" applyBorder="1" applyAlignment="1">
      <alignment horizontal="center"/>
    </xf>
    <xf numFmtId="164" fontId="0" fillId="8" borderId="37" xfId="1" applyNumberFormat="1" applyFont="1" applyFill="1" applyBorder="1" applyAlignment="1">
      <alignment horizontal="center"/>
    </xf>
    <xf numFmtId="9" fontId="2" fillId="8" borderId="24" xfId="2" applyFont="1" applyFill="1" applyBorder="1" applyAlignment="1">
      <alignment horizontal="center"/>
    </xf>
    <xf numFmtId="9" fontId="2" fillId="8" borderId="20" xfId="2" applyFont="1" applyFill="1" applyBorder="1" applyAlignment="1">
      <alignment horizontal="center"/>
    </xf>
    <xf numFmtId="9" fontId="2" fillId="8" borderId="32" xfId="2" applyFont="1" applyFill="1" applyBorder="1" applyAlignment="1">
      <alignment horizontal="center"/>
    </xf>
    <xf numFmtId="0" fontId="3" fillId="8" borderId="24" xfId="0" applyFont="1" applyFill="1" applyBorder="1" applyAlignment="1">
      <alignment horizontal="center"/>
    </xf>
    <xf numFmtId="0" fontId="3" fillId="8" borderId="21" xfId="0" applyFont="1" applyFill="1" applyBorder="1" applyAlignment="1">
      <alignment horizontal="center"/>
    </xf>
    <xf numFmtId="164" fontId="22" fillId="8" borderId="2" xfId="1" applyNumberFormat="1" applyFont="1" applyFill="1" applyBorder="1"/>
    <xf numFmtId="9" fontId="3" fillId="8" borderId="2" xfId="0" applyNumberFormat="1" applyFont="1" applyFill="1" applyBorder="1"/>
    <xf numFmtId="164" fontId="0" fillId="8" borderId="7" xfId="0" applyNumberFormat="1" applyFill="1" applyBorder="1"/>
    <xf numFmtId="0" fontId="9" fillId="0" borderId="2" xfId="0" applyFont="1" applyBorder="1"/>
    <xf numFmtId="0" fontId="16" fillId="0" borderId="0" xfId="3" quotePrefix="1" applyFont="1" applyAlignment="1">
      <alignment horizontal="left"/>
    </xf>
    <xf numFmtId="0" fontId="16" fillId="0" borderId="0" xfId="3" applyFont="1" applyAlignment="1">
      <alignment horizontal="left"/>
    </xf>
    <xf numFmtId="0" fontId="13" fillId="0" borderId="0" xfId="3" applyAlignment="1">
      <alignment horizontal="left"/>
    </xf>
    <xf numFmtId="0" fontId="13" fillId="0" borderId="0" xfId="3" quotePrefix="1" applyAlignment="1">
      <alignment horizontal="left"/>
    </xf>
    <xf numFmtId="164" fontId="0" fillId="3" borderId="5" xfId="1" applyNumberFormat="1" applyFont="1" applyFill="1" applyBorder="1" applyAlignment="1">
      <alignment horizontal="center" vertical="center"/>
    </xf>
    <xf numFmtId="164" fontId="0" fillId="8" borderId="5" xfId="1" applyNumberFormat="1" applyFont="1" applyFill="1" applyBorder="1" applyAlignment="1">
      <alignment horizontal="center" vertical="center"/>
    </xf>
    <xf numFmtId="0" fontId="6" fillId="3" borderId="10" xfId="0" applyFont="1" applyFill="1" applyBorder="1" applyAlignment="1">
      <alignment horizontal="center" vertical="center"/>
    </xf>
    <xf numFmtId="164" fontId="0" fillId="8" borderId="10" xfId="1" applyNumberFormat="1" applyFont="1" applyFill="1" applyBorder="1" applyAlignment="1">
      <alignment horizontal="center" vertical="center"/>
    </xf>
    <xf numFmtId="164" fontId="0" fillId="3" borderId="10" xfId="1" applyNumberFormat="1" applyFont="1" applyFill="1" applyBorder="1" applyAlignment="1">
      <alignment horizontal="center" vertical="center"/>
    </xf>
    <xf numFmtId="164" fontId="0" fillId="8" borderId="2" xfId="1" applyNumberFormat="1" applyFont="1" applyFill="1" applyBorder="1" applyAlignment="1">
      <alignment horizontal="center" vertical="center"/>
    </xf>
    <xf numFmtId="0" fontId="6" fillId="0" borderId="5" xfId="0" applyFont="1" applyBorder="1" applyAlignment="1">
      <alignment horizontal="left" wrapText="1"/>
    </xf>
    <xf numFmtId="0" fontId="11" fillId="0" borderId="9" xfId="0" applyFont="1" applyBorder="1" applyAlignment="1">
      <alignment horizontal="right" wrapText="1"/>
    </xf>
    <xf numFmtId="0" fontId="11" fillId="3" borderId="9" xfId="0" applyFont="1" applyFill="1" applyBorder="1" applyAlignment="1">
      <alignment horizontal="right" vertical="center"/>
    </xf>
    <xf numFmtId="0" fontId="11" fillId="0" borderId="39" xfId="0" applyFont="1" applyBorder="1" applyAlignment="1">
      <alignment horizontal="right" wrapText="1"/>
    </xf>
    <xf numFmtId="0" fontId="11" fillId="3" borderId="10" xfId="0" applyFont="1" applyFill="1" applyBorder="1" applyAlignment="1">
      <alignment horizontal="right" vertical="center"/>
    </xf>
    <xf numFmtId="164" fontId="11" fillId="8" borderId="9" xfId="1" applyNumberFormat="1" applyFont="1" applyFill="1" applyBorder="1" applyAlignment="1">
      <alignment horizontal="right" vertical="center"/>
    </xf>
    <xf numFmtId="164" fontId="11" fillId="3" borderId="9" xfId="1" applyNumberFormat="1" applyFont="1" applyFill="1" applyBorder="1" applyAlignment="1">
      <alignment horizontal="right" vertical="center"/>
    </xf>
    <xf numFmtId="164" fontId="11" fillId="8" borderId="10" xfId="1" applyNumberFormat="1" applyFont="1" applyFill="1" applyBorder="1" applyAlignment="1">
      <alignment horizontal="right" vertical="center"/>
    </xf>
    <xf numFmtId="164" fontId="11" fillId="3" borderId="10" xfId="1" applyNumberFormat="1" applyFont="1" applyFill="1" applyBorder="1" applyAlignment="1">
      <alignment horizontal="right" vertical="center"/>
    </xf>
    <xf numFmtId="0" fontId="6" fillId="0" borderId="5" xfId="0" applyFont="1" applyBorder="1" applyAlignment="1">
      <alignment horizontal="center" vertical="center"/>
    </xf>
    <xf numFmtId="0" fontId="11" fillId="0" borderId="9" xfId="0" applyFont="1" applyBorder="1" applyAlignment="1">
      <alignment horizontal="right" vertical="center"/>
    </xf>
    <xf numFmtId="0" fontId="11" fillId="0" borderId="39" xfId="0" applyFont="1" applyBorder="1" applyAlignment="1">
      <alignment horizontal="right" vertical="center"/>
    </xf>
    <xf numFmtId="0" fontId="6" fillId="0" borderId="10" xfId="0" applyFont="1" applyBorder="1" applyAlignment="1">
      <alignment horizontal="center" vertical="center"/>
    </xf>
    <xf numFmtId="0" fontId="6" fillId="3" borderId="8" xfId="0" applyFont="1" applyFill="1" applyBorder="1" applyAlignment="1">
      <alignment horizontal="center"/>
    </xf>
    <xf numFmtId="164" fontId="0" fillId="2" borderId="8" xfId="1" applyNumberFormat="1" applyFont="1" applyFill="1" applyBorder="1" applyAlignment="1">
      <alignment horizontal="center"/>
    </xf>
    <xf numFmtId="0" fontId="11" fillId="0" borderId="6" xfId="0" applyFont="1" applyBorder="1" applyAlignment="1">
      <alignment horizontal="center"/>
    </xf>
    <xf numFmtId="0" fontId="0" fillId="0" borderId="1" xfId="0" applyBorder="1" applyAlignment="1">
      <alignment horizontal="left" vertical="top" wrapText="1"/>
    </xf>
    <xf numFmtId="0" fontId="0" fillId="0" borderId="11" xfId="0" applyBorder="1" applyAlignment="1">
      <alignment horizontal="left" vertical="top" wrapText="1"/>
    </xf>
    <xf numFmtId="164" fontId="0" fillId="2" borderId="7" xfId="1" applyNumberFormat="1" applyFont="1" applyFill="1" applyBorder="1" applyAlignment="1">
      <alignment horizontal="center"/>
    </xf>
    <xf numFmtId="164" fontId="0" fillId="8" borderId="9" xfId="0" applyNumberFormat="1" applyFill="1" applyBorder="1"/>
    <xf numFmtId="0" fontId="7" fillId="9" borderId="1" xfId="0" applyFont="1" applyFill="1" applyBorder="1"/>
    <xf numFmtId="0" fontId="9" fillId="0" borderId="11" xfId="0" applyFont="1" applyBorder="1" applyAlignment="1">
      <alignment vertical="center"/>
    </xf>
    <xf numFmtId="164" fontId="11" fillId="2" borderId="20" xfId="1" applyNumberFormat="1" applyFont="1" applyFill="1" applyBorder="1" applyAlignment="1">
      <alignment horizontal="center"/>
    </xf>
    <xf numFmtId="0" fontId="20" fillId="0" borderId="0" xfId="0" applyFont="1"/>
    <xf numFmtId="0" fontId="3" fillId="5" borderId="32" xfId="0" applyFont="1" applyFill="1" applyBorder="1" applyAlignment="1">
      <alignment horizontal="center" vertical="center" wrapText="1"/>
    </xf>
    <xf numFmtId="0" fontId="24" fillId="0" borderId="0" xfId="0" applyFont="1"/>
    <xf numFmtId="0" fontId="29" fillId="0" borderId="0" xfId="0" applyFont="1"/>
    <xf numFmtId="0" fontId="4" fillId="0" borderId="0" xfId="0" applyFont="1" applyAlignment="1">
      <alignment vertical="center"/>
    </xf>
    <xf numFmtId="0" fontId="3" fillId="5" borderId="8"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23" xfId="0" applyFont="1" applyFill="1" applyBorder="1" applyAlignment="1">
      <alignment horizontal="center"/>
    </xf>
    <xf numFmtId="0" fontId="3" fillId="5" borderId="22" xfId="0" applyFont="1" applyFill="1" applyBorder="1" applyAlignment="1">
      <alignment horizontal="center"/>
    </xf>
    <xf numFmtId="0" fontId="3" fillId="5" borderId="7" xfId="0" applyFont="1" applyFill="1" applyBorder="1" applyAlignment="1">
      <alignment horizontal="center"/>
    </xf>
    <xf numFmtId="0" fontId="3" fillId="5" borderId="0" xfId="0" applyFont="1" applyFill="1" applyAlignment="1">
      <alignment horizontal="center" vertical="center"/>
    </xf>
    <xf numFmtId="0" fontId="3" fillId="5" borderId="2" xfId="0" applyFont="1" applyFill="1" applyBorder="1" applyAlignment="1">
      <alignment horizontal="left" vertical="center"/>
    </xf>
    <xf numFmtId="167" fontId="2" fillId="8" borderId="21" xfId="2" applyNumberFormat="1" applyFont="1" applyFill="1" applyBorder="1" applyAlignment="1">
      <alignment horizontal="center"/>
    </xf>
    <xf numFmtId="0" fontId="30" fillId="0" borderId="0" xfId="0" applyFont="1"/>
    <xf numFmtId="0" fontId="30" fillId="0" borderId="2" xfId="0" applyFont="1" applyBorder="1" applyAlignment="1">
      <alignment horizontal="left" vertical="center"/>
    </xf>
    <xf numFmtId="0" fontId="30" fillId="0" borderId="3" xfId="0" applyFont="1" applyBorder="1" applyAlignment="1">
      <alignment horizontal="center"/>
    </xf>
    <xf numFmtId="164" fontId="30" fillId="8" borderId="2" xfId="1" applyNumberFormat="1" applyFont="1" applyFill="1" applyBorder="1" applyAlignment="1">
      <alignment horizontal="center"/>
    </xf>
    <xf numFmtId="9" fontId="30" fillId="8" borderId="25" xfId="2" applyFont="1" applyFill="1" applyBorder="1" applyAlignment="1">
      <alignment horizontal="center"/>
    </xf>
    <xf numFmtId="9" fontId="30" fillId="8" borderId="21" xfId="2" applyFont="1" applyFill="1" applyBorder="1" applyAlignment="1">
      <alignment horizontal="center"/>
    </xf>
    <xf numFmtId="164" fontId="30" fillId="8" borderId="20" xfId="0" applyNumberFormat="1" applyFont="1" applyFill="1" applyBorder="1"/>
    <xf numFmtId="9" fontId="30" fillId="8" borderId="21" xfId="2" applyFont="1" applyFill="1" applyBorder="1"/>
    <xf numFmtId="164" fontId="30" fillId="8" borderId="20" xfId="1" applyNumberFormat="1" applyFont="1" applyFill="1" applyBorder="1" applyAlignment="1">
      <alignment horizontal="center"/>
    </xf>
    <xf numFmtId="164" fontId="30" fillId="8" borderId="24" xfId="1" applyNumberFormat="1" applyFont="1" applyFill="1" applyBorder="1" applyAlignment="1">
      <alignment horizontal="center"/>
    </xf>
    <xf numFmtId="9" fontId="30" fillId="8" borderId="3" xfId="2" applyFont="1" applyFill="1" applyBorder="1" applyAlignment="1">
      <alignment horizontal="center"/>
    </xf>
    <xf numFmtId="164" fontId="30" fillId="8" borderId="12" xfId="1" applyNumberFormat="1" applyFont="1" applyFill="1" applyBorder="1" applyAlignment="1">
      <alignment horizontal="center"/>
    </xf>
    <xf numFmtId="9" fontId="30" fillId="8" borderId="38" xfId="2" applyFont="1" applyFill="1" applyBorder="1" applyAlignment="1">
      <alignment horizontal="center"/>
    </xf>
    <xf numFmtId="164" fontId="30" fillId="8" borderId="21" xfId="1" applyNumberFormat="1" applyFont="1" applyFill="1" applyBorder="1" applyAlignment="1">
      <alignment horizontal="center"/>
    </xf>
    <xf numFmtId="164" fontId="30" fillId="8" borderId="4" xfId="1" applyNumberFormat="1" applyFont="1" applyFill="1" applyBorder="1" applyAlignment="1">
      <alignment horizontal="center"/>
    </xf>
    <xf numFmtId="9" fontId="30" fillId="8" borderId="29" xfId="2" applyFont="1" applyFill="1" applyBorder="1" applyAlignment="1">
      <alignment horizontal="center"/>
    </xf>
    <xf numFmtId="0" fontId="30" fillId="0" borderId="8" xfId="0" applyFont="1" applyBorder="1" applyAlignment="1">
      <alignment horizontal="left" vertical="center"/>
    </xf>
    <xf numFmtId="0" fontId="30" fillId="0" borderId="13" xfId="0" applyFont="1" applyBorder="1" applyAlignment="1">
      <alignment horizontal="center"/>
    </xf>
    <xf numFmtId="9" fontId="30" fillId="8" borderId="19" xfId="2" applyFont="1" applyFill="1" applyBorder="1" applyAlignment="1">
      <alignment horizontal="center"/>
    </xf>
    <xf numFmtId="164" fontId="30" fillId="8" borderId="15" xfId="1" applyNumberFormat="1" applyFont="1" applyFill="1" applyBorder="1" applyAlignment="1">
      <alignment horizontal="center"/>
    </xf>
    <xf numFmtId="164" fontId="30" fillId="8" borderId="4" xfId="0" applyNumberFormat="1" applyFont="1" applyFill="1" applyBorder="1"/>
    <xf numFmtId="9" fontId="30" fillId="8" borderId="2" xfId="2" applyFont="1" applyFill="1" applyBorder="1" applyAlignment="1">
      <alignment horizontal="center"/>
    </xf>
    <xf numFmtId="164" fontId="0" fillId="2" borderId="41" xfId="1" applyNumberFormat="1" applyFont="1" applyFill="1" applyBorder="1" applyAlignment="1">
      <alignment horizontal="center"/>
    </xf>
    <xf numFmtId="164" fontId="30" fillId="8" borderId="5" xfId="1" applyNumberFormat="1" applyFont="1" applyFill="1" applyBorder="1" applyAlignment="1">
      <alignment horizontal="center"/>
    </xf>
    <xf numFmtId="164" fontId="30" fillId="8" borderId="48" xfId="1" applyNumberFormat="1" applyFont="1" applyFill="1" applyBorder="1" applyAlignment="1">
      <alignment horizontal="center"/>
    </xf>
    <xf numFmtId="164" fontId="30" fillId="8" borderId="49" xfId="1" applyNumberFormat="1" applyFont="1" applyFill="1" applyBorder="1" applyAlignment="1">
      <alignment horizontal="center"/>
    </xf>
    <xf numFmtId="9" fontId="30" fillId="8" borderId="50" xfId="2" applyFont="1" applyFill="1" applyBorder="1" applyAlignment="1">
      <alignment horizontal="center"/>
    </xf>
    <xf numFmtId="164" fontId="30" fillId="8" borderId="51" xfId="1" applyNumberFormat="1" applyFont="1" applyFill="1" applyBorder="1" applyAlignment="1">
      <alignment horizontal="center"/>
    </xf>
    <xf numFmtId="9" fontId="30" fillId="8" borderId="52" xfId="2" applyFont="1" applyFill="1" applyBorder="1" applyAlignment="1">
      <alignment horizontal="center"/>
    </xf>
    <xf numFmtId="9" fontId="30" fillId="8" borderId="50" xfId="2" applyFont="1" applyFill="1" applyBorder="1"/>
    <xf numFmtId="164" fontId="0" fillId="2" borderId="22" xfId="1" applyNumberFormat="1" applyFont="1" applyFill="1" applyBorder="1" applyAlignment="1">
      <alignment horizontal="center"/>
    </xf>
    <xf numFmtId="164" fontId="0" fillId="2" borderId="23" xfId="1" applyNumberFormat="1" applyFont="1" applyFill="1" applyBorder="1" applyAlignment="1">
      <alignment horizontal="center"/>
    </xf>
    <xf numFmtId="164" fontId="0" fillId="2" borderId="14" xfId="1" applyNumberFormat="1" applyFont="1" applyFill="1" applyBorder="1" applyAlignment="1">
      <alignment horizontal="center"/>
    </xf>
    <xf numFmtId="164" fontId="0" fillId="8" borderId="7" xfId="1" applyNumberFormat="1" applyFont="1" applyFill="1" applyBorder="1" applyAlignment="1">
      <alignment horizontal="center"/>
    </xf>
    <xf numFmtId="9" fontId="0" fillId="8" borderId="16" xfId="2" applyFont="1" applyFill="1" applyBorder="1" applyAlignment="1">
      <alignment horizontal="center"/>
    </xf>
    <xf numFmtId="9" fontId="0" fillId="8" borderId="3" xfId="2" applyFont="1" applyFill="1" applyBorder="1"/>
    <xf numFmtId="164" fontId="0" fillId="8" borderId="18" xfId="1" applyNumberFormat="1" applyFont="1" applyFill="1" applyBorder="1" applyAlignment="1">
      <alignment horizontal="center"/>
    </xf>
    <xf numFmtId="9" fontId="0" fillId="8" borderId="17" xfId="2" applyFont="1" applyFill="1" applyBorder="1" applyAlignment="1">
      <alignment horizontal="center"/>
    </xf>
    <xf numFmtId="9" fontId="0" fillId="8" borderId="43" xfId="2" applyFont="1" applyFill="1" applyBorder="1" applyAlignment="1">
      <alignment horizontal="center"/>
    </xf>
    <xf numFmtId="164" fontId="11" fillId="2" borderId="22" xfId="1" applyNumberFormat="1" applyFont="1" applyFill="1" applyBorder="1" applyAlignment="1">
      <alignment horizontal="center"/>
    </xf>
    <xf numFmtId="9" fontId="0" fillId="8" borderId="5" xfId="2" applyFont="1" applyFill="1" applyBorder="1" applyAlignment="1">
      <alignment horizontal="center"/>
    </xf>
    <xf numFmtId="164" fontId="11" fillId="2" borderId="2" xfId="1" applyNumberFormat="1" applyFont="1" applyFill="1" applyBorder="1" applyAlignment="1">
      <alignment horizontal="center"/>
    </xf>
    <xf numFmtId="9" fontId="0" fillId="8" borderId="7" xfId="2" applyFont="1" applyFill="1" applyBorder="1" applyAlignment="1">
      <alignment horizontal="center"/>
    </xf>
    <xf numFmtId="166" fontId="30" fillId="8" borderId="2" xfId="1" applyNumberFormat="1" applyFont="1" applyFill="1" applyBorder="1" applyAlignment="1">
      <alignment horizontal="center"/>
    </xf>
    <xf numFmtId="164" fontId="30" fillId="8" borderId="2" xfId="0" applyNumberFormat="1" applyFont="1" applyFill="1" applyBorder="1"/>
    <xf numFmtId="9" fontId="30" fillId="8" borderId="2" xfId="2" applyFont="1" applyFill="1" applyBorder="1"/>
    <xf numFmtId="164" fontId="0" fillId="0" borderId="5" xfId="1" applyNumberFormat="1" applyFont="1" applyFill="1" applyBorder="1" applyAlignment="1">
      <alignment horizontal="center"/>
    </xf>
    <xf numFmtId="164" fontId="0" fillId="0" borderId="6" xfId="1" applyNumberFormat="1" applyFont="1" applyFill="1" applyBorder="1" applyAlignment="1">
      <alignment horizontal="center"/>
    </xf>
    <xf numFmtId="168" fontId="0" fillId="0" borderId="0" xfId="0" applyNumberFormat="1"/>
    <xf numFmtId="0" fontId="0" fillId="0" borderId="7" xfId="0" applyBorder="1" applyAlignment="1">
      <alignment horizontal="left" vertical="center"/>
    </xf>
    <xf numFmtId="0" fontId="3" fillId="5" borderId="24" xfId="0" applyFont="1" applyFill="1" applyBorder="1" applyAlignment="1">
      <alignment horizontal="center"/>
    </xf>
    <xf numFmtId="0" fontId="3" fillId="5" borderId="12" xfId="0" applyFont="1" applyFill="1" applyBorder="1" applyAlignment="1">
      <alignment horizontal="center"/>
    </xf>
    <xf numFmtId="0" fontId="0" fillId="0" borderId="1" xfId="0" applyBorder="1" applyAlignment="1">
      <alignment horizontal="center" vertical="top" wrapText="1"/>
    </xf>
    <xf numFmtId="0" fontId="8" fillId="0" borderId="1" xfId="0" applyFont="1" applyBorder="1" applyAlignment="1">
      <alignment horizontal="center"/>
    </xf>
    <xf numFmtId="0" fontId="0" fillId="0" borderId="0" xfId="0" applyAlignment="1">
      <alignment horizontal="center"/>
    </xf>
    <xf numFmtId="0" fontId="8" fillId="6" borderId="1" xfId="0" applyFont="1" applyFill="1" applyBorder="1" applyAlignment="1">
      <alignment horizontal="center"/>
    </xf>
    <xf numFmtId="164" fontId="30" fillId="2" borderId="2" xfId="1" applyNumberFormat="1" applyFont="1" applyFill="1" applyBorder="1" applyAlignment="1">
      <alignment horizontal="center"/>
    </xf>
    <xf numFmtId="0" fontId="3" fillId="5" borderId="2" xfId="0" applyFont="1" applyFill="1" applyBorder="1" applyAlignment="1">
      <alignment vertical="center" wrapText="1"/>
    </xf>
    <xf numFmtId="0" fontId="30" fillId="5" borderId="7" xfId="0" applyFont="1" applyFill="1" applyBorder="1" applyAlignment="1">
      <alignment horizontal="center" vertical="center"/>
    </xf>
    <xf numFmtId="164" fontId="0" fillId="2" borderId="16" xfId="1" applyNumberFormat="1" applyFont="1" applyFill="1" applyBorder="1" applyAlignment="1">
      <alignment horizontal="center"/>
    </xf>
    <xf numFmtId="0" fontId="6" fillId="5" borderId="4" xfId="0" applyFont="1" applyFill="1" applyBorder="1" applyAlignment="1">
      <alignment horizontal="center" wrapText="1"/>
    </xf>
    <xf numFmtId="9" fontId="0" fillId="8" borderId="56" xfId="2" applyFont="1" applyFill="1" applyBorder="1" applyAlignment="1">
      <alignment horizontal="center"/>
    </xf>
    <xf numFmtId="164" fontId="0" fillId="2" borderId="4" xfId="1" applyNumberFormat="1" applyFont="1" applyFill="1" applyBorder="1" applyAlignment="1">
      <alignment horizontal="center"/>
    </xf>
    <xf numFmtId="164" fontId="30" fillId="8" borderId="58" xfId="1" applyNumberFormat="1" applyFont="1" applyFill="1" applyBorder="1" applyAlignment="1">
      <alignment horizontal="center"/>
    </xf>
    <xf numFmtId="9" fontId="30" fillId="8" borderId="59" xfId="2" applyFont="1" applyFill="1" applyBorder="1" applyAlignment="1">
      <alignment horizontal="center"/>
    </xf>
    <xf numFmtId="164" fontId="30" fillId="8" borderId="26" xfId="1" applyNumberFormat="1" applyFont="1" applyFill="1" applyBorder="1" applyAlignment="1">
      <alignment horizontal="center"/>
    </xf>
    <xf numFmtId="0" fontId="8" fillId="6" borderId="13" xfId="0" applyFont="1" applyFill="1" applyBorder="1" applyAlignment="1">
      <alignment horizontal="left"/>
    </xf>
    <xf numFmtId="0" fontId="8" fillId="6" borderId="1" xfId="0" applyFont="1" applyFill="1" applyBorder="1" applyAlignment="1">
      <alignment horizontal="left"/>
    </xf>
    <xf numFmtId="0" fontId="3" fillId="5" borderId="4" xfId="0" applyFont="1" applyFill="1" applyBorder="1" applyAlignment="1">
      <alignment horizontal="center"/>
    </xf>
    <xf numFmtId="0" fontId="3" fillId="5" borderId="7" xfId="0" applyFont="1" applyFill="1" applyBorder="1" applyAlignment="1">
      <alignment horizontal="center" vertical="center"/>
    </xf>
    <xf numFmtId="9" fontId="2" fillId="8" borderId="2" xfId="2" applyFont="1" applyFill="1" applyBorder="1" applyAlignment="1">
      <alignment horizontal="center"/>
    </xf>
    <xf numFmtId="9" fontId="30" fillId="8" borderId="52" xfId="2" applyFont="1" applyFill="1" applyBorder="1"/>
    <xf numFmtId="164" fontId="30" fillId="8" borderId="48" xfId="0" applyNumberFormat="1" applyFont="1" applyFill="1" applyBorder="1"/>
    <xf numFmtId="164" fontId="30" fillId="8" borderId="60" xfId="1" applyNumberFormat="1" applyFont="1" applyFill="1" applyBorder="1" applyAlignment="1">
      <alignment horizontal="center"/>
    </xf>
    <xf numFmtId="164" fontId="0" fillId="2" borderId="20" xfId="1" applyNumberFormat="1" applyFont="1" applyFill="1" applyBorder="1" applyAlignment="1">
      <alignment horizontal="center"/>
    </xf>
    <xf numFmtId="9" fontId="0" fillId="0" borderId="0" xfId="2" applyFont="1"/>
    <xf numFmtId="169" fontId="2" fillId="8" borderId="32" xfId="1" applyNumberFormat="1" applyFont="1" applyFill="1" applyBorder="1" applyAlignment="1">
      <alignment horizontal="center"/>
    </xf>
    <xf numFmtId="169" fontId="2" fillId="8" borderId="2" xfId="1" applyNumberFormat="1" applyFont="1" applyFill="1" applyBorder="1" applyAlignment="1">
      <alignment horizontal="center"/>
    </xf>
    <xf numFmtId="0" fontId="1" fillId="0" borderId="2" xfId="0" applyFont="1" applyBorder="1" applyAlignment="1">
      <alignment vertical="center"/>
    </xf>
    <xf numFmtId="0" fontId="31" fillId="0" borderId="2" xfId="0" applyFont="1" applyBorder="1" applyAlignment="1">
      <alignment vertical="center"/>
    </xf>
    <xf numFmtId="170" fontId="0" fillId="2" borderId="21" xfId="0" applyNumberFormat="1" applyFill="1" applyBorder="1"/>
    <xf numFmtId="170" fontId="0" fillId="2" borderId="20" xfId="0" applyNumberFormat="1" applyFill="1" applyBorder="1"/>
    <xf numFmtId="171" fontId="0" fillId="0" borderId="0" xfId="0" applyNumberFormat="1"/>
    <xf numFmtId="9" fontId="30" fillId="8" borderId="24" xfId="2" applyFont="1" applyFill="1" applyBorder="1" applyAlignment="1">
      <alignment horizontal="center"/>
    </xf>
    <xf numFmtId="9" fontId="30" fillId="8" borderId="20" xfId="2" applyFont="1" applyFill="1" applyBorder="1" applyAlignment="1">
      <alignment horizontal="center"/>
    </xf>
    <xf numFmtId="9" fontId="30" fillId="8" borderId="32" xfId="2" applyFont="1" applyFill="1" applyBorder="1" applyAlignment="1">
      <alignment horizontal="center"/>
    </xf>
    <xf numFmtId="172" fontId="6" fillId="8" borderId="6" xfId="1" applyNumberFormat="1" applyFont="1" applyFill="1" applyBorder="1" applyAlignment="1">
      <alignment horizontal="center"/>
    </xf>
    <xf numFmtId="172" fontId="6" fillId="8" borderId="5" xfId="1" applyNumberFormat="1" applyFont="1" applyFill="1" applyBorder="1" applyAlignment="1">
      <alignment horizontal="center"/>
    </xf>
    <xf numFmtId="0" fontId="0" fillId="0" borderId="8" xfId="0" applyBorder="1" applyAlignment="1">
      <alignment horizontal="left" vertical="center"/>
    </xf>
    <xf numFmtId="1" fontId="0" fillId="0" borderId="0" xfId="0" applyNumberFormat="1"/>
    <xf numFmtId="2" fontId="6" fillId="2" borderId="33" xfId="0" applyNumberFormat="1" applyFont="1" applyFill="1" applyBorder="1" applyAlignment="1">
      <alignment horizontal="center"/>
    </xf>
    <xf numFmtId="2" fontId="0" fillId="2" borderId="34" xfId="1" applyNumberFormat="1" applyFont="1" applyFill="1" applyBorder="1" applyAlignment="1">
      <alignment horizontal="center"/>
    </xf>
    <xf numFmtId="4" fontId="6" fillId="2" borderId="33" xfId="0" applyNumberFormat="1" applyFont="1" applyFill="1" applyBorder="1" applyAlignment="1">
      <alignment horizontal="center"/>
    </xf>
    <xf numFmtId="4" fontId="0" fillId="2" borderId="34" xfId="1" applyNumberFormat="1" applyFont="1" applyFill="1" applyBorder="1" applyAlignment="1">
      <alignment horizontal="center"/>
    </xf>
    <xf numFmtId="0" fontId="26" fillId="0" borderId="0" xfId="3" applyFont="1" applyAlignment="1">
      <alignment horizontal="center"/>
    </xf>
    <xf numFmtId="10" fontId="0" fillId="2" borderId="2" xfId="2" applyNumberFormat="1" applyFont="1" applyFill="1" applyBorder="1"/>
    <xf numFmtId="0" fontId="1" fillId="5" borderId="7" xfId="0" applyFont="1" applyFill="1" applyBorder="1" applyAlignment="1">
      <alignment vertical="center" wrapText="1"/>
    </xf>
    <xf numFmtId="0" fontId="1" fillId="0" borderId="2" xfId="0" applyFont="1" applyBorder="1" applyAlignment="1">
      <alignment horizontal="left" vertical="center"/>
    </xf>
    <xf numFmtId="0" fontId="1" fillId="0" borderId="7" xfId="0" applyFont="1" applyBorder="1" applyAlignment="1">
      <alignment horizontal="left" vertical="center"/>
    </xf>
    <xf numFmtId="170" fontId="30" fillId="8" borderId="2" xfId="1" applyNumberFormat="1" applyFont="1" applyFill="1" applyBorder="1" applyAlignment="1">
      <alignment horizontal="center"/>
    </xf>
    <xf numFmtId="0" fontId="3" fillId="0" borderId="0" xfId="0" applyFont="1"/>
    <xf numFmtId="0" fontId="3" fillId="0" borderId="2" xfId="0" applyFont="1" applyBorder="1" applyAlignment="1">
      <alignment horizontal="left" vertical="center"/>
    </xf>
    <xf numFmtId="0" fontId="3" fillId="0" borderId="19" xfId="0" applyFont="1" applyBorder="1" applyAlignment="1">
      <alignment horizontal="center"/>
    </xf>
    <xf numFmtId="164" fontId="3" fillId="8" borderId="20" xfId="1" applyNumberFormat="1" applyFont="1" applyFill="1" applyBorder="1" applyAlignment="1">
      <alignment horizontal="center"/>
    </xf>
    <xf numFmtId="9" fontId="3" fillId="8" borderId="21" xfId="2" applyFont="1" applyFill="1" applyBorder="1" applyAlignment="1">
      <alignment horizontal="center"/>
    </xf>
    <xf numFmtId="164" fontId="3" fillId="8" borderId="20" xfId="0" applyNumberFormat="1" applyFont="1" applyFill="1" applyBorder="1"/>
    <xf numFmtId="9" fontId="3" fillId="8" borderId="21" xfId="2" applyFont="1" applyFill="1" applyBorder="1"/>
    <xf numFmtId="164" fontId="3" fillId="8" borderId="2" xfId="1" applyNumberFormat="1" applyFont="1" applyFill="1" applyBorder="1" applyAlignment="1">
      <alignment horizontal="center"/>
    </xf>
    <xf numFmtId="9" fontId="3" fillId="8" borderId="29" xfId="2" applyFont="1" applyFill="1" applyBorder="1" applyAlignment="1">
      <alignment horizontal="center"/>
    </xf>
    <xf numFmtId="0" fontId="3" fillId="0" borderId="3" xfId="0" applyFont="1" applyBorder="1" applyAlignment="1">
      <alignment horizontal="center"/>
    </xf>
    <xf numFmtId="164" fontId="3" fillId="8" borderId="30" xfId="1" applyNumberFormat="1" applyFont="1" applyFill="1" applyBorder="1" applyAlignment="1">
      <alignment horizontal="center"/>
    </xf>
    <xf numFmtId="164" fontId="3" fillId="8" borderId="5" xfId="1" applyNumberFormat="1" applyFont="1" applyFill="1" applyBorder="1" applyAlignment="1">
      <alignment horizontal="center"/>
    </xf>
    <xf numFmtId="164" fontId="3" fillId="8" borderId="21" xfId="1" applyNumberFormat="1" applyFont="1" applyFill="1" applyBorder="1" applyAlignment="1">
      <alignment horizontal="center"/>
    </xf>
    <xf numFmtId="0" fontId="32" fillId="0" borderId="0" xfId="0" applyFont="1"/>
    <xf numFmtId="170" fontId="0" fillId="2" borderId="5" xfId="1" applyNumberFormat="1" applyFont="1" applyFill="1" applyBorder="1" applyAlignment="1">
      <alignment horizontal="center"/>
    </xf>
    <xf numFmtId="173" fontId="0" fillId="0" borderId="0" xfId="0" applyNumberFormat="1"/>
    <xf numFmtId="164" fontId="0" fillId="2" borderId="24" xfId="0" applyNumberFormat="1" applyFill="1" applyBorder="1"/>
    <xf numFmtId="0" fontId="3" fillId="5" borderId="23" xfId="0" quotePrefix="1" applyFont="1" applyFill="1" applyBorder="1" applyAlignment="1">
      <alignment horizontal="center" wrapText="1"/>
    </xf>
    <xf numFmtId="170" fontId="0" fillId="2" borderId="4" xfId="0" applyNumberFormat="1" applyFill="1" applyBorder="1"/>
    <xf numFmtId="170" fontId="0" fillId="2" borderId="21" xfId="0" applyNumberFormat="1" applyFill="1" applyBorder="1" applyAlignment="1">
      <alignment horizontal="center"/>
    </xf>
    <xf numFmtId="0" fontId="0" fillId="0" borderId="11" xfId="0" applyBorder="1" applyAlignment="1">
      <alignment horizontal="center" vertical="top" wrapText="1"/>
    </xf>
    <xf numFmtId="0" fontId="7" fillId="0" borderId="0" xfId="0" applyFont="1" applyAlignment="1">
      <alignment horizontal="center"/>
    </xf>
    <xf numFmtId="164" fontId="0" fillId="2" borderId="21" xfId="0" applyNumberFormat="1" applyFill="1" applyBorder="1" applyAlignment="1">
      <alignment horizontal="center"/>
    </xf>
    <xf numFmtId="170" fontId="0" fillId="2" borderId="61" xfId="0" applyNumberFormat="1" applyFill="1" applyBorder="1" applyAlignment="1">
      <alignment horizontal="center"/>
    </xf>
    <xf numFmtId="170" fontId="0" fillId="2" borderId="62" xfId="0" applyNumberFormat="1" applyFill="1" applyBorder="1" applyAlignment="1">
      <alignment horizontal="center"/>
    </xf>
    <xf numFmtId="170" fontId="0" fillId="2" borderId="63" xfId="0" applyNumberFormat="1" applyFill="1" applyBorder="1" applyAlignment="1">
      <alignment horizontal="center"/>
    </xf>
    <xf numFmtId="164" fontId="2" fillId="8" borderId="70" xfId="1" applyNumberFormat="1" applyFont="1" applyFill="1" applyBorder="1" applyAlignment="1">
      <alignment horizontal="center"/>
    </xf>
    <xf numFmtId="9" fontId="0" fillId="8" borderId="71" xfId="2" applyFont="1" applyFill="1" applyBorder="1" applyAlignment="1">
      <alignment horizontal="center"/>
    </xf>
    <xf numFmtId="164" fontId="30" fillId="8" borderId="72" xfId="1" applyNumberFormat="1" applyFont="1" applyFill="1" applyBorder="1" applyAlignment="1">
      <alignment horizontal="center"/>
    </xf>
    <xf numFmtId="164" fontId="30" fillId="8" borderId="73" xfId="1" applyNumberFormat="1" applyFont="1" applyFill="1" applyBorder="1" applyAlignment="1">
      <alignment horizontal="center"/>
    </xf>
    <xf numFmtId="9" fontId="30" fillId="8" borderId="74" xfId="2" applyFont="1" applyFill="1" applyBorder="1" applyAlignment="1">
      <alignment horizontal="center"/>
    </xf>
    <xf numFmtId="0" fontId="30" fillId="0" borderId="3" xfId="0" applyFont="1" applyBorder="1"/>
    <xf numFmtId="170" fontId="0" fillId="2" borderId="30" xfId="1" applyNumberFormat="1" applyFont="1" applyFill="1" applyBorder="1" applyAlignment="1">
      <alignment horizontal="center"/>
    </xf>
    <xf numFmtId="0" fontId="6" fillId="5" borderId="70" xfId="0" applyFont="1" applyFill="1" applyBorder="1" applyAlignment="1">
      <alignment horizontal="center" wrapText="1"/>
    </xf>
    <xf numFmtId="9" fontId="0" fillId="8" borderId="79" xfId="2" applyFont="1" applyFill="1" applyBorder="1" applyAlignment="1">
      <alignment horizontal="center"/>
    </xf>
    <xf numFmtId="170" fontId="30" fillId="8" borderId="20" xfId="1" applyNumberFormat="1" applyFon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0" fillId="0" borderId="3" xfId="0" applyBorder="1" applyAlignment="1">
      <alignment horizontal="left"/>
    </xf>
    <xf numFmtId="0" fontId="0" fillId="0" borderId="4" xfId="0" applyBorder="1" applyAlignment="1">
      <alignment horizontal="left"/>
    </xf>
    <xf numFmtId="170" fontId="0" fillId="2" borderId="24" xfId="0" applyNumberFormat="1" applyFill="1" applyBorder="1"/>
    <xf numFmtId="43" fontId="30" fillId="8" borderId="2" xfId="1" applyFont="1" applyFill="1" applyBorder="1" applyAlignment="1">
      <alignment horizontal="center"/>
    </xf>
    <xf numFmtId="43" fontId="2" fillId="8" borderId="20" xfId="1" applyFont="1" applyFill="1" applyBorder="1" applyAlignment="1">
      <alignment horizontal="center"/>
    </xf>
    <xf numFmtId="166" fontId="0" fillId="0" borderId="0" xfId="0" applyNumberFormat="1"/>
    <xf numFmtId="174" fontId="0" fillId="0" borderId="0" xfId="0" applyNumberFormat="1"/>
    <xf numFmtId="175" fontId="0" fillId="0" borderId="0" xfId="0" applyNumberFormat="1"/>
    <xf numFmtId="169" fontId="0" fillId="0" borderId="0" xfId="0" applyNumberFormat="1"/>
    <xf numFmtId="170" fontId="30" fillId="8" borderId="49" xfId="1" applyNumberFormat="1" applyFont="1" applyFill="1" applyBorder="1" applyAlignment="1">
      <alignment horizontal="center"/>
    </xf>
    <xf numFmtId="0" fontId="1" fillId="0" borderId="3" xfId="0" applyFont="1" applyBorder="1" applyAlignment="1">
      <alignment vertical="center"/>
    </xf>
    <xf numFmtId="0" fontId="6" fillId="0" borderId="12" xfId="0" applyFont="1" applyBorder="1" applyAlignment="1">
      <alignment horizontal="center"/>
    </xf>
    <xf numFmtId="164" fontId="0" fillId="8" borderId="11" xfId="1" applyNumberFormat="1" applyFont="1" applyFill="1" applyBorder="1" applyAlignment="1">
      <alignment horizontal="center"/>
    </xf>
    <xf numFmtId="164" fontId="0" fillId="8" borderId="14" xfId="1" applyNumberFormat="1" applyFont="1" applyFill="1" applyBorder="1" applyAlignment="1">
      <alignment horizontal="center"/>
    </xf>
    <xf numFmtId="9" fontId="3" fillId="8" borderId="2" xfId="2" applyFont="1" applyFill="1" applyBorder="1"/>
    <xf numFmtId="170" fontId="30" fillId="8" borderId="73" xfId="1" applyNumberFormat="1" applyFont="1" applyFill="1" applyBorder="1" applyAlignment="1">
      <alignment horizontal="center"/>
    </xf>
    <xf numFmtId="4" fontId="0" fillId="0" borderId="0" xfId="0" applyNumberFormat="1"/>
    <xf numFmtId="3" fontId="0" fillId="0" borderId="0" xfId="0" applyNumberFormat="1"/>
    <xf numFmtId="176" fontId="0" fillId="0" borderId="0" xfId="0" applyNumberFormat="1"/>
    <xf numFmtId="9" fontId="0" fillId="2" borderId="5" xfId="2" applyFont="1" applyFill="1" applyBorder="1" applyAlignment="1">
      <alignment horizontal="center"/>
    </xf>
    <xf numFmtId="2" fontId="4" fillId="8" borderId="2" xfId="0" applyNumberFormat="1" applyFont="1" applyFill="1" applyBorder="1"/>
    <xf numFmtId="164" fontId="12" fillId="2" borderId="5" xfId="1" applyNumberFormat="1" applyFont="1" applyFill="1" applyBorder="1" applyAlignment="1">
      <alignment horizontal="center"/>
    </xf>
    <xf numFmtId="164" fontId="0" fillId="8" borderId="80" xfId="1" applyNumberFormat="1" applyFont="1" applyFill="1" applyBorder="1" applyAlignment="1">
      <alignment horizontal="center"/>
    </xf>
    <xf numFmtId="164" fontId="0" fillId="2" borderId="80" xfId="1" applyNumberFormat="1" applyFont="1" applyFill="1" applyBorder="1" applyAlignment="1">
      <alignment horizontal="center"/>
    </xf>
    <xf numFmtId="164" fontId="3" fillId="8" borderId="80" xfId="1" applyNumberFormat="1" applyFont="1" applyFill="1" applyBorder="1" applyAlignment="1">
      <alignment horizontal="center"/>
    </xf>
    <xf numFmtId="9" fontId="3" fillId="8" borderId="19" xfId="2" applyFont="1" applyFill="1" applyBorder="1" applyAlignment="1">
      <alignment horizontal="center"/>
    </xf>
    <xf numFmtId="9" fontId="2" fillId="8" borderId="38" xfId="2" applyFont="1" applyFill="1" applyBorder="1" applyAlignment="1">
      <alignment horizontal="center"/>
    </xf>
    <xf numFmtId="9" fontId="3" fillId="8" borderId="38" xfId="2" applyFont="1" applyFill="1" applyBorder="1" applyAlignment="1">
      <alignment horizontal="center"/>
    </xf>
    <xf numFmtId="0" fontId="6" fillId="5" borderId="7" xfId="0" applyFont="1" applyFill="1" applyBorder="1" applyAlignment="1">
      <alignment horizontal="center" wrapText="1"/>
    </xf>
    <xf numFmtId="177" fontId="0" fillId="2" borderId="5" xfId="1" applyNumberFormat="1" applyFont="1" applyFill="1" applyBorder="1" applyAlignment="1">
      <alignment horizontal="center"/>
    </xf>
    <xf numFmtId="0" fontId="12" fillId="0" borderId="3" xfId="0" applyFont="1" applyBorder="1" applyAlignment="1">
      <alignment horizontal="left" vertical="center" wrapText="1"/>
    </xf>
    <xf numFmtId="0" fontId="12" fillId="0" borderId="12" xfId="0" applyFont="1" applyBorder="1" applyAlignment="1">
      <alignment horizontal="left" vertical="center" wrapText="1"/>
    </xf>
    <xf numFmtId="0" fontId="12" fillId="0" borderId="4" xfId="0" applyFont="1" applyBorder="1" applyAlignment="1">
      <alignment horizontal="left" vertical="center" wrapText="1"/>
    </xf>
    <xf numFmtId="0" fontId="5" fillId="2" borderId="1" xfId="0" applyFont="1" applyFill="1" applyBorder="1" applyAlignment="1">
      <alignment horizontal="center" vertical="center"/>
    </xf>
    <xf numFmtId="0" fontId="12" fillId="0" borderId="2" xfId="0" applyFont="1" applyBorder="1" applyAlignment="1">
      <alignment horizontal="left" vertical="center" wrapText="1"/>
    </xf>
    <xf numFmtId="0" fontId="0" fillId="0" borderId="12" xfId="0" applyBorder="1" applyAlignment="1">
      <alignment horizontal="left" wrapText="1"/>
    </xf>
    <xf numFmtId="0" fontId="7" fillId="4" borderId="0" xfId="0" applyFont="1" applyFill="1" applyAlignment="1">
      <alignment horizontal="left"/>
    </xf>
    <xf numFmtId="0" fontId="5" fillId="0" borderId="1" xfId="0" applyFont="1" applyBorder="1" applyAlignment="1">
      <alignment horizontal="left" vertical="center"/>
    </xf>
    <xf numFmtId="0" fontId="26" fillId="0" borderId="0" xfId="3" applyFont="1" applyAlignment="1">
      <alignment horizontal="center"/>
    </xf>
    <xf numFmtId="0" fontId="0" fillId="0" borderId="12" xfId="0" applyBorder="1" applyAlignment="1">
      <alignment horizontal="left" vertical="top" wrapText="1"/>
    </xf>
    <xf numFmtId="0" fontId="0" fillId="7" borderId="2" xfId="0" applyFill="1" applyBorder="1" applyAlignment="1">
      <alignment horizontal="left" vertical="center"/>
    </xf>
    <xf numFmtId="0" fontId="8" fillId="6" borderId="13" xfId="0" applyFont="1" applyFill="1" applyBorder="1" applyAlignment="1">
      <alignment horizontal="left"/>
    </xf>
    <xf numFmtId="0" fontId="8" fillId="6" borderId="1" xfId="0" applyFont="1" applyFill="1" applyBorder="1" applyAlignment="1">
      <alignment horizontal="left"/>
    </xf>
    <xf numFmtId="0" fontId="3" fillId="5" borderId="3"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 xfId="0" applyFont="1" applyFill="1" applyBorder="1" applyAlignment="1">
      <alignment horizontal="center" vertical="center" wrapText="1"/>
    </xf>
    <xf numFmtId="164" fontId="3" fillId="2" borderId="7" xfId="1" applyNumberFormat="1" applyFont="1" applyFill="1" applyBorder="1" applyAlignment="1">
      <alignment horizontal="center" vertical="center" wrapText="1"/>
    </xf>
    <xf numFmtId="164" fontId="3" fillId="2" borderId="8" xfId="1" applyNumberFormat="1" applyFont="1" applyFill="1" applyBorder="1" applyAlignment="1">
      <alignment horizontal="center" vertical="center" wrapText="1"/>
    </xf>
    <xf numFmtId="0" fontId="3" fillId="5" borderId="41" xfId="0" quotePrefix="1" applyFont="1" applyFill="1" applyBorder="1" applyAlignment="1">
      <alignment horizontal="center" vertical="center"/>
    </xf>
    <xf numFmtId="0" fontId="3" fillId="5" borderId="14" xfId="0" quotePrefix="1" applyFont="1" applyFill="1" applyBorder="1" applyAlignment="1">
      <alignment horizontal="center" vertical="center"/>
    </xf>
    <xf numFmtId="0" fontId="3" fillId="5" borderId="42" xfId="0" quotePrefix="1" applyFont="1" applyFill="1" applyBorder="1" applyAlignment="1">
      <alignment horizontal="center" vertical="center"/>
    </xf>
    <xf numFmtId="0" fontId="3" fillId="5" borderId="15" xfId="0" quotePrefix="1" applyFont="1" applyFill="1" applyBorder="1" applyAlignment="1">
      <alignment horizontal="center" vertical="center"/>
    </xf>
    <xf numFmtId="0" fontId="3" fillId="5" borderId="24" xfId="0" applyFont="1" applyFill="1" applyBorder="1" applyAlignment="1">
      <alignment horizontal="center"/>
    </xf>
    <xf numFmtId="0" fontId="3" fillId="5" borderId="12" xfId="0" applyFont="1" applyFill="1" applyBorder="1" applyAlignment="1">
      <alignment horizontal="center"/>
    </xf>
    <xf numFmtId="0" fontId="3" fillId="5" borderId="25" xfId="0" applyFont="1" applyFill="1" applyBorder="1" applyAlignment="1">
      <alignment horizontal="center"/>
    </xf>
    <xf numFmtId="0" fontId="3" fillId="5" borderId="4" xfId="0" applyFont="1" applyFill="1" applyBorder="1" applyAlignment="1">
      <alignment horizontal="center"/>
    </xf>
    <xf numFmtId="0" fontId="3" fillId="5" borderId="24" xfId="0" quotePrefix="1" applyFont="1" applyFill="1" applyBorder="1" applyAlignment="1">
      <alignment horizontal="center"/>
    </xf>
    <xf numFmtId="0" fontId="3" fillId="5" borderId="4" xfId="0" quotePrefix="1" applyFont="1" applyFill="1" applyBorder="1" applyAlignment="1">
      <alignment horizontal="center"/>
    </xf>
    <xf numFmtId="0" fontId="3" fillId="0" borderId="1" xfId="0" applyFont="1" applyBorder="1" applyAlignment="1">
      <alignment horizontal="center"/>
    </xf>
    <xf numFmtId="0" fontId="7" fillId="4" borderId="18" xfId="0" applyFont="1" applyFill="1" applyBorder="1" applyAlignment="1">
      <alignment horizontal="left"/>
    </xf>
    <xf numFmtId="0" fontId="3" fillId="5" borderId="2" xfId="0" applyFont="1" applyFill="1" applyBorder="1" applyAlignment="1">
      <alignment horizontal="left" vertical="center"/>
    </xf>
    <xf numFmtId="0" fontId="3" fillId="5" borderId="11" xfId="0" applyFont="1" applyFill="1" applyBorder="1" applyAlignment="1">
      <alignment horizontal="center" vertical="center"/>
    </xf>
    <xf numFmtId="0" fontId="3" fillId="5" borderId="0" xfId="0" applyFont="1" applyFill="1" applyAlignment="1">
      <alignment horizontal="center" vertical="center"/>
    </xf>
    <xf numFmtId="0" fontId="3" fillId="5" borderId="1" xfId="0" applyFont="1" applyFill="1" applyBorder="1" applyAlignment="1">
      <alignment horizontal="center" vertical="center"/>
    </xf>
    <xf numFmtId="0" fontId="3" fillId="5" borderId="7" xfId="0" applyFont="1" applyFill="1" applyBorder="1" applyAlignment="1">
      <alignment horizontal="center" vertical="center"/>
    </xf>
    <xf numFmtId="0" fontId="3" fillId="5" borderId="9"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23" xfId="0" applyFont="1" applyFill="1" applyBorder="1" applyAlignment="1">
      <alignment horizontal="center" vertical="center"/>
    </xf>
    <xf numFmtId="0" fontId="3" fillId="5" borderId="43"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42" xfId="0" applyFont="1" applyFill="1" applyBorder="1" applyAlignment="1">
      <alignment horizontal="center"/>
    </xf>
    <xf numFmtId="0" fontId="3" fillId="5" borderId="1" xfId="0" applyFont="1" applyFill="1" applyBorder="1" applyAlignment="1">
      <alignment horizontal="center"/>
    </xf>
    <xf numFmtId="0" fontId="3" fillId="5" borderId="31" xfId="0" applyFont="1" applyFill="1" applyBorder="1" applyAlignment="1">
      <alignment horizontal="center"/>
    </xf>
    <xf numFmtId="0" fontId="3" fillId="5" borderId="36" xfId="0" quotePrefix="1" applyFont="1" applyFill="1" applyBorder="1" applyAlignment="1">
      <alignment horizontal="center" vertical="center"/>
    </xf>
    <xf numFmtId="0" fontId="3" fillId="5" borderId="31" xfId="0" quotePrefix="1" applyFont="1" applyFill="1" applyBorder="1" applyAlignment="1">
      <alignment horizontal="center" vertical="center"/>
    </xf>
    <xf numFmtId="0" fontId="3" fillId="5" borderId="25" xfId="0" quotePrefix="1" applyFont="1" applyFill="1" applyBorder="1" applyAlignment="1">
      <alignment horizontal="center"/>
    </xf>
    <xf numFmtId="0" fontId="3" fillId="5" borderId="7"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7" xfId="0" applyFont="1" applyFill="1" applyBorder="1" applyAlignment="1">
      <alignment horizontal="left" vertical="center" wrapText="1"/>
    </xf>
    <xf numFmtId="0" fontId="3" fillId="5" borderId="9"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5" borderId="3" xfId="0" applyFont="1" applyFill="1" applyBorder="1" applyAlignment="1">
      <alignment horizontal="center" vertical="center"/>
    </xf>
    <xf numFmtId="0" fontId="3" fillId="5" borderId="16" xfId="0" applyFont="1" applyFill="1" applyBorder="1" applyAlignment="1">
      <alignment horizontal="left" vertical="center" wrapText="1"/>
    </xf>
    <xf numFmtId="0" fontId="3" fillId="5" borderId="17" xfId="0" applyFont="1" applyFill="1" applyBorder="1" applyAlignment="1">
      <alignment horizontal="left" vertical="center" wrapText="1"/>
    </xf>
    <xf numFmtId="0" fontId="3" fillId="5" borderId="13" xfId="0" applyFont="1" applyFill="1" applyBorder="1" applyAlignment="1">
      <alignment horizontal="left" vertical="center" wrapText="1"/>
    </xf>
    <xf numFmtId="0" fontId="3" fillId="5" borderId="11" xfId="0" applyFont="1" applyFill="1" applyBorder="1" applyAlignment="1">
      <alignment horizontal="center"/>
    </xf>
    <xf numFmtId="0" fontId="3" fillId="5" borderId="36" xfId="0" applyFont="1" applyFill="1" applyBorder="1" applyAlignment="1">
      <alignment horizontal="center"/>
    </xf>
    <xf numFmtId="0" fontId="3" fillId="5" borderId="45" xfId="0" applyFont="1" applyFill="1" applyBorder="1" applyAlignment="1">
      <alignment horizontal="center"/>
    </xf>
    <xf numFmtId="0" fontId="3" fillId="5" borderId="46" xfId="0" applyFont="1" applyFill="1" applyBorder="1" applyAlignment="1">
      <alignment horizontal="center"/>
    </xf>
    <xf numFmtId="0" fontId="3" fillId="5" borderId="47" xfId="0" applyFont="1" applyFill="1" applyBorder="1" applyAlignment="1">
      <alignment horizontal="center"/>
    </xf>
    <xf numFmtId="0" fontId="3" fillId="5" borderId="45" xfId="0" quotePrefix="1" applyFont="1" applyFill="1" applyBorder="1" applyAlignment="1">
      <alignment horizontal="center"/>
    </xf>
    <xf numFmtId="0" fontId="3" fillId="5" borderId="47" xfId="0" quotePrefix="1" applyFont="1" applyFill="1" applyBorder="1" applyAlignment="1">
      <alignment horizontal="center"/>
    </xf>
    <xf numFmtId="0" fontId="3" fillId="5" borderId="41" xfId="0" applyFont="1" applyFill="1" applyBorder="1" applyAlignment="1">
      <alignment horizontal="center"/>
    </xf>
    <xf numFmtId="0" fontId="0" fillId="7" borderId="3" xfId="0" applyFill="1" applyBorder="1" applyAlignment="1">
      <alignment horizontal="left" vertical="center"/>
    </xf>
    <xf numFmtId="0" fontId="0" fillId="7" borderId="12" xfId="0" applyFill="1" applyBorder="1" applyAlignment="1">
      <alignment horizontal="left" vertical="center"/>
    </xf>
    <xf numFmtId="0" fontId="0" fillId="7" borderId="25" xfId="0" applyFill="1" applyBorder="1" applyAlignment="1">
      <alignment horizontal="left" vertical="center"/>
    </xf>
    <xf numFmtId="0" fontId="0" fillId="7" borderId="4" xfId="0" applyFill="1" applyBorder="1" applyAlignment="1">
      <alignment horizontal="left"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3" xfId="0" applyFont="1" applyFill="1" applyBorder="1" applyAlignment="1">
      <alignment horizontal="center" vertical="center"/>
    </xf>
    <xf numFmtId="0" fontId="3" fillId="5" borderId="2" xfId="0" applyFont="1" applyFill="1" applyBorder="1" applyAlignment="1">
      <alignment horizontal="center" wrapText="1"/>
    </xf>
    <xf numFmtId="0" fontId="3" fillId="5" borderId="21" xfId="0" applyFont="1" applyFill="1" applyBorder="1" applyAlignment="1">
      <alignment horizontal="center"/>
    </xf>
    <xf numFmtId="0" fontId="3" fillId="5" borderId="22" xfId="0" applyFont="1" applyFill="1" applyBorder="1" applyAlignment="1">
      <alignment horizontal="center"/>
    </xf>
    <xf numFmtId="0" fontId="3" fillId="5" borderId="26" xfId="0" applyFont="1" applyFill="1" applyBorder="1" applyAlignment="1">
      <alignment horizontal="center"/>
    </xf>
    <xf numFmtId="0" fontId="3" fillId="5" borderId="23" xfId="0" applyFont="1" applyFill="1" applyBorder="1" applyAlignment="1">
      <alignment horizontal="center" wrapText="1"/>
    </xf>
    <xf numFmtId="0" fontId="3" fillId="5" borderId="27" xfId="0" applyFont="1" applyFill="1" applyBorder="1" applyAlignment="1">
      <alignment horizontal="center" wrapText="1"/>
    </xf>
    <xf numFmtId="0" fontId="3" fillId="5" borderId="20" xfId="0" applyFont="1" applyFill="1" applyBorder="1" applyAlignment="1">
      <alignment horizontal="center"/>
    </xf>
    <xf numFmtId="0" fontId="3" fillId="5" borderId="2" xfId="0" applyFont="1" applyFill="1" applyBorder="1" applyAlignment="1">
      <alignment horizontal="center"/>
    </xf>
    <xf numFmtId="0" fontId="3" fillId="5" borderId="33" xfId="0" applyFont="1" applyFill="1" applyBorder="1" applyAlignment="1">
      <alignment horizontal="center" wrapText="1"/>
    </xf>
    <xf numFmtId="0" fontId="3" fillId="5" borderId="37" xfId="0" applyFont="1" applyFill="1" applyBorder="1" applyAlignment="1">
      <alignment horizontal="center" wrapText="1"/>
    </xf>
    <xf numFmtId="0" fontId="3" fillId="5" borderId="22" xfId="0" applyFont="1" applyFill="1" applyBorder="1" applyAlignment="1">
      <alignment horizontal="center" wrapText="1"/>
    </xf>
    <xf numFmtId="0" fontId="3" fillId="5" borderId="26" xfId="0" applyFont="1" applyFill="1" applyBorder="1" applyAlignment="1">
      <alignment horizontal="center" wrapText="1"/>
    </xf>
    <xf numFmtId="0" fontId="3" fillId="5" borderId="23" xfId="0" applyFont="1" applyFill="1" applyBorder="1" applyAlignment="1">
      <alignment horizontal="center"/>
    </xf>
    <xf numFmtId="0" fontId="3" fillId="5" borderId="27" xfId="0" applyFont="1" applyFill="1" applyBorder="1" applyAlignment="1">
      <alignment horizontal="center"/>
    </xf>
    <xf numFmtId="0" fontId="3" fillId="5" borderId="36" xfId="0" applyFont="1" applyFill="1" applyBorder="1" applyAlignment="1">
      <alignment horizontal="center" wrapText="1"/>
    </xf>
    <xf numFmtId="0" fontId="3" fillId="5" borderId="31" xfId="0" applyFont="1" applyFill="1" applyBorder="1" applyAlignment="1">
      <alignment horizontal="center" wrapText="1"/>
    </xf>
    <xf numFmtId="0" fontId="3" fillId="5" borderId="21" xfId="0" applyFont="1" applyFill="1" applyBorder="1" applyAlignment="1">
      <alignment horizontal="center" wrapText="1"/>
    </xf>
    <xf numFmtId="0" fontId="3" fillId="5" borderId="3" xfId="0" applyFont="1" applyFill="1" applyBorder="1" applyAlignment="1">
      <alignment horizontal="center" wrapText="1"/>
    </xf>
    <xf numFmtId="0" fontId="3" fillId="5" borderId="57" xfId="0" applyFont="1" applyFill="1" applyBorder="1" applyAlignment="1">
      <alignment horizontal="center"/>
    </xf>
    <xf numFmtId="0" fontId="3" fillId="5" borderId="3" xfId="0" applyFont="1" applyFill="1" applyBorder="1" applyAlignment="1">
      <alignment horizontal="center"/>
    </xf>
    <xf numFmtId="0" fontId="3" fillId="5" borderId="53" xfId="0" applyFont="1" applyFill="1" applyBorder="1" applyAlignment="1">
      <alignment horizontal="center"/>
    </xf>
    <xf numFmtId="0" fontId="3" fillId="5" borderId="54" xfId="0" applyFont="1" applyFill="1" applyBorder="1" applyAlignment="1">
      <alignment horizontal="center"/>
    </xf>
    <xf numFmtId="0" fontId="3" fillId="5" borderId="55" xfId="0" applyFont="1" applyFill="1" applyBorder="1" applyAlignment="1">
      <alignment horizontal="center"/>
    </xf>
    <xf numFmtId="0" fontId="3" fillId="5" borderId="68" xfId="0" applyFont="1" applyFill="1" applyBorder="1" applyAlignment="1">
      <alignment horizontal="center"/>
    </xf>
    <xf numFmtId="0" fontId="3" fillId="5" borderId="68" xfId="0" applyFont="1" applyFill="1" applyBorder="1" applyAlignment="1">
      <alignment horizontal="center" wrapText="1"/>
    </xf>
    <xf numFmtId="0" fontId="3" fillId="5" borderId="67" xfId="0" applyFont="1" applyFill="1" applyBorder="1" applyAlignment="1">
      <alignment horizontal="center" wrapText="1"/>
    </xf>
    <xf numFmtId="0" fontId="3" fillId="5" borderId="69" xfId="0" applyFont="1" applyFill="1" applyBorder="1" applyAlignment="1">
      <alignment horizontal="center" wrapText="1"/>
    </xf>
    <xf numFmtId="0" fontId="3" fillId="5" borderId="76" xfId="0" applyFont="1" applyFill="1" applyBorder="1" applyAlignment="1">
      <alignment horizontal="center"/>
    </xf>
    <xf numFmtId="0" fontId="3" fillId="5" borderId="77" xfId="0" applyFont="1" applyFill="1" applyBorder="1" applyAlignment="1">
      <alignment horizontal="center"/>
    </xf>
    <xf numFmtId="0" fontId="3" fillId="5" borderId="78" xfId="0" applyFont="1" applyFill="1" applyBorder="1" applyAlignment="1">
      <alignment horizontal="center"/>
    </xf>
    <xf numFmtId="0" fontId="3" fillId="5" borderId="64" xfId="0" applyFont="1" applyFill="1" applyBorder="1" applyAlignment="1">
      <alignment horizontal="center"/>
    </xf>
    <xf numFmtId="0" fontId="3" fillId="5" borderId="65" xfId="0" applyFont="1" applyFill="1" applyBorder="1" applyAlignment="1">
      <alignment horizontal="center"/>
    </xf>
    <xf numFmtId="0" fontId="3" fillId="5" borderId="66" xfId="0" applyFont="1" applyFill="1" applyBorder="1" applyAlignment="1">
      <alignment horizontal="center"/>
    </xf>
    <xf numFmtId="0" fontId="3" fillId="5" borderId="75" xfId="0" applyFont="1" applyFill="1" applyBorder="1" applyAlignment="1">
      <alignment horizontal="center"/>
    </xf>
    <xf numFmtId="0" fontId="3" fillId="5" borderId="70" xfId="0" applyFont="1" applyFill="1" applyBorder="1" applyAlignment="1">
      <alignment horizontal="center"/>
    </xf>
    <xf numFmtId="0" fontId="12" fillId="0" borderId="0" xfId="0" applyFont="1" applyAlignment="1">
      <alignment horizontal="left" wrapText="1"/>
    </xf>
    <xf numFmtId="0" fontId="12" fillId="0" borderId="11" xfId="0" applyFont="1" applyBorder="1" applyAlignment="1">
      <alignment horizontal="left" vertical="top" wrapText="1"/>
    </xf>
    <xf numFmtId="0" fontId="9" fillId="0" borderId="11" xfId="0" applyFont="1" applyBorder="1" applyAlignment="1">
      <alignment horizontal="left" wrapText="1"/>
    </xf>
    <xf numFmtId="0" fontId="3" fillId="5" borderId="33" xfId="0" applyFont="1" applyFill="1" applyBorder="1" applyAlignment="1">
      <alignment horizontal="center" vertical="center" wrapText="1"/>
    </xf>
    <xf numFmtId="0" fontId="3" fillId="5" borderId="44"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24" xfId="0" applyFont="1" applyFill="1" applyBorder="1" applyAlignment="1">
      <alignment horizontal="center" vertical="center"/>
    </xf>
    <xf numFmtId="0" fontId="3" fillId="5" borderId="12" xfId="0" applyFont="1" applyFill="1" applyBorder="1" applyAlignment="1">
      <alignment horizontal="center" vertical="center"/>
    </xf>
    <xf numFmtId="0" fontId="3" fillId="5" borderId="25" xfId="0" applyFont="1" applyFill="1" applyBorder="1" applyAlignment="1">
      <alignment horizontal="center" vertical="center"/>
    </xf>
    <xf numFmtId="0" fontId="0" fillId="7" borderId="2" xfId="0" applyFill="1" applyBorder="1" applyAlignment="1">
      <alignment horizontal="left" vertical="center" wrapText="1"/>
    </xf>
    <xf numFmtId="0" fontId="7" fillId="4" borderId="3" xfId="0" applyFont="1" applyFill="1" applyBorder="1" applyAlignment="1">
      <alignment horizontal="left"/>
    </xf>
    <xf numFmtId="0" fontId="7" fillId="4" borderId="12" xfId="0" applyFont="1" applyFill="1" applyBorder="1" applyAlignment="1">
      <alignment horizontal="left"/>
    </xf>
    <xf numFmtId="0" fontId="7" fillId="4" borderId="4" xfId="0" applyFont="1" applyFill="1" applyBorder="1" applyAlignment="1">
      <alignment horizontal="left"/>
    </xf>
    <xf numFmtId="0" fontId="22" fillId="5" borderId="3" xfId="0" applyFont="1" applyFill="1" applyBorder="1" applyAlignment="1">
      <alignment horizontal="left"/>
    </xf>
    <xf numFmtId="0" fontId="22" fillId="5" borderId="12" xfId="0" applyFont="1" applyFill="1" applyBorder="1" applyAlignment="1">
      <alignment horizontal="left"/>
    </xf>
    <xf numFmtId="0" fontId="22" fillId="5" borderId="4" xfId="0" applyFont="1" applyFill="1" applyBorder="1" applyAlignment="1">
      <alignment horizontal="left"/>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left" vertical="center"/>
    </xf>
    <xf numFmtId="0" fontId="0" fillId="0" borderId="2" xfId="0" applyBorder="1" applyAlignment="1">
      <alignment horizontal="left" vertical="center" wrapText="1"/>
    </xf>
    <xf numFmtId="0" fontId="0" fillId="0" borderId="7" xfId="0" applyBorder="1" applyAlignment="1">
      <alignment horizontal="left" vertical="center"/>
    </xf>
    <xf numFmtId="0" fontId="0" fillId="0" borderId="9" xfId="0" applyBorder="1" applyAlignment="1">
      <alignment horizontal="left" vertical="center"/>
    </xf>
    <xf numFmtId="0" fontId="0" fillId="0" borderId="8" xfId="0" applyBorder="1" applyAlignment="1">
      <alignment horizontal="left" vertical="center"/>
    </xf>
    <xf numFmtId="0" fontId="0" fillId="0" borderId="3" xfId="0" applyBorder="1" applyAlignment="1">
      <alignment horizontal="left"/>
    </xf>
    <xf numFmtId="0" fontId="0" fillId="0" borderId="4" xfId="0" applyBorder="1" applyAlignment="1">
      <alignment horizontal="left"/>
    </xf>
    <xf numFmtId="0" fontId="11" fillId="0" borderId="3" xfId="0" applyFont="1" applyBorder="1" applyAlignment="1">
      <alignment horizontal="right"/>
    </xf>
    <xf numFmtId="0" fontId="11" fillId="0" borderId="4" xfId="0" applyFont="1" applyBorder="1" applyAlignment="1">
      <alignment horizontal="right"/>
    </xf>
    <xf numFmtId="0" fontId="0" fillId="0" borderId="9" xfId="0" applyBorder="1" applyAlignment="1">
      <alignment horizontal="left" vertical="center" wrapText="1"/>
    </xf>
    <xf numFmtId="0" fontId="7" fillId="4" borderId="1" xfId="0" applyFont="1" applyFill="1" applyBorder="1" applyAlignment="1">
      <alignment horizontal="left"/>
    </xf>
    <xf numFmtId="0" fontId="11" fillId="0" borderId="3" xfId="0" applyFont="1" applyBorder="1" applyAlignment="1">
      <alignment horizontal="right" vertical="center" wrapText="1"/>
    </xf>
    <xf numFmtId="0" fontId="11" fillId="0" borderId="4" xfId="0" applyFont="1" applyBorder="1" applyAlignment="1">
      <alignment horizontal="right" vertical="center" wrapText="1"/>
    </xf>
    <xf numFmtId="9" fontId="0" fillId="3" borderId="7" xfId="2" applyFont="1" applyFill="1" applyBorder="1" applyAlignment="1">
      <alignment horizontal="center" vertical="center"/>
    </xf>
    <xf numFmtId="9" fontId="0" fillId="3" borderId="9" xfId="2" applyFont="1" applyFill="1" applyBorder="1" applyAlignment="1">
      <alignment horizontal="center" vertical="center"/>
    </xf>
    <xf numFmtId="9" fontId="0" fillId="3" borderId="8" xfId="2" applyFont="1" applyFill="1" applyBorder="1" applyAlignment="1">
      <alignment horizontal="center" vertical="center"/>
    </xf>
    <xf numFmtId="0" fontId="7" fillId="4" borderId="3" xfId="0" applyFont="1" applyFill="1" applyBorder="1" applyAlignment="1">
      <alignment horizontal="center"/>
    </xf>
    <xf numFmtId="0" fontId="7" fillId="4" borderId="12" xfId="0" applyFont="1" applyFill="1" applyBorder="1" applyAlignment="1">
      <alignment horizontal="center"/>
    </xf>
    <xf numFmtId="0" fontId="7" fillId="4" borderId="4" xfId="0" applyFont="1" applyFill="1" applyBorder="1" applyAlignment="1">
      <alignment horizontal="center"/>
    </xf>
  </cellXfs>
  <cellStyles count="4">
    <cellStyle name="Comma" xfId="1" builtinId="3"/>
    <cellStyle name="Hyperlink" xfId="3" builtinId="8"/>
    <cellStyle name="Normal" xfId="0" builtinId="0"/>
    <cellStyle name="Percent" xfId="2" builtinId="5"/>
  </cellStyles>
  <dxfs count="4">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266700</xdr:colOff>
      <xdr:row>40</xdr:row>
      <xdr:rowOff>371475</xdr:rowOff>
    </xdr:from>
    <xdr:to>
      <xdr:col>7</xdr:col>
      <xdr:colOff>438150</xdr:colOff>
      <xdr:row>40</xdr:row>
      <xdr:rowOff>689354</xdr:rowOff>
    </xdr:to>
    <xdr:pic>
      <xdr:nvPicPr>
        <xdr:cNvPr id="3" name="Picture 2">
          <a:extLst>
            <a:ext uri="{FF2B5EF4-FFF2-40B4-BE49-F238E27FC236}">
              <a16:creationId xmlns:a16="http://schemas.microsoft.com/office/drawing/2014/main" id="{A184CB85-0A40-46EA-9F1C-AB61C301AA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6025" y="7191375"/>
          <a:ext cx="4911090" cy="317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41</xdr:row>
      <xdr:rowOff>552450</xdr:rowOff>
    </xdr:from>
    <xdr:to>
      <xdr:col>7</xdr:col>
      <xdr:colOff>476455</xdr:colOff>
      <xdr:row>41</xdr:row>
      <xdr:rowOff>872640</xdr:rowOff>
    </xdr:to>
    <xdr:pic>
      <xdr:nvPicPr>
        <xdr:cNvPr id="4" name="Picture 3">
          <a:extLst>
            <a:ext uri="{FF2B5EF4-FFF2-40B4-BE49-F238E27FC236}">
              <a16:creationId xmlns:a16="http://schemas.microsoft.com/office/drawing/2014/main" id="{6A9D7A4E-3AD3-40FB-9284-26B9E836BA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33650" y="9791700"/>
          <a:ext cx="4897960" cy="320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409575</xdr:colOff>
      <xdr:row>42</xdr:row>
      <xdr:rowOff>561975</xdr:rowOff>
    </xdr:from>
    <xdr:to>
      <xdr:col>7</xdr:col>
      <xdr:colOff>554560</xdr:colOff>
      <xdr:row>42</xdr:row>
      <xdr:rowOff>891690</xdr:rowOff>
    </xdr:to>
    <xdr:pic>
      <xdr:nvPicPr>
        <xdr:cNvPr id="5" name="Picture 4">
          <a:extLst>
            <a:ext uri="{FF2B5EF4-FFF2-40B4-BE49-F238E27FC236}">
              <a16:creationId xmlns:a16="http://schemas.microsoft.com/office/drawing/2014/main" id="{EE978A77-362B-4D41-99D2-807051BC2C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28900" y="11401425"/>
          <a:ext cx="4897960" cy="320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647702</xdr:colOff>
      <xdr:row>43</xdr:row>
      <xdr:rowOff>390525</xdr:rowOff>
    </xdr:from>
    <xdr:to>
      <xdr:col>7</xdr:col>
      <xdr:colOff>418397</xdr:colOff>
      <xdr:row>44</xdr:row>
      <xdr:rowOff>34440</xdr:rowOff>
    </xdr:to>
    <xdr:pic>
      <xdr:nvPicPr>
        <xdr:cNvPr id="6" name="Picture 5">
          <a:extLst>
            <a:ext uri="{FF2B5EF4-FFF2-40B4-BE49-F238E27FC236}">
              <a16:creationId xmlns:a16="http://schemas.microsoft.com/office/drawing/2014/main" id="{B4671DA5-29F1-418D-8368-E1E945F735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67027" y="12801600"/>
          <a:ext cx="4514145" cy="320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485775</xdr:colOff>
      <xdr:row>44</xdr:row>
      <xdr:rowOff>489585</xdr:rowOff>
    </xdr:from>
    <xdr:to>
      <xdr:col>8</xdr:col>
      <xdr:colOff>21160</xdr:colOff>
      <xdr:row>44</xdr:row>
      <xdr:rowOff>802155</xdr:rowOff>
    </xdr:to>
    <xdr:pic>
      <xdr:nvPicPr>
        <xdr:cNvPr id="7" name="Picture 6">
          <a:extLst>
            <a:ext uri="{FF2B5EF4-FFF2-40B4-BE49-F238E27FC236}">
              <a16:creationId xmlns:a16="http://schemas.microsoft.com/office/drawing/2014/main" id="{E5C352AF-CDCC-4776-9AE4-C83240806C6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703195" y="14030325"/>
          <a:ext cx="4892245" cy="312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ronos/Technical/Users/k.kabili/AppData/Local/Microsoft/Windows/INetCache/Content.Outlook/XOJGMQAH/3.1%20&#913;&#957;&#940;&#955;&#965;&#963;&#951;%20&#928;&#961;&#959;&#947;&#961;&#940;&#956;&#956;&#945;&#964;&#959;&#962;%20&#913;&#957;&#940;&#960;&#964;&#965;&#958;&#951;&#962;_v4.2%20(Commercial_Revis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ronos/Technical/Users/k.kabili/AppData/Local/Microsoft/Windows/INetCache/Content.Outlook/XOJGMQAH/3.1%20&#913;&#957;&#940;&#955;&#965;&#963;&#951;%20&#928;&#961;&#959;&#947;&#961;&#940;&#956;&#956;&#945;&#964;&#959;&#962;%20&#913;&#957;&#940;&#960;&#964;&#965;&#958;&#951;&#962;_v4.2%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Αρχική σελίδα"/>
      <sheetName val="Ανάλυση δήμων -&gt;"/>
      <sheetName val="Γενική περιγραφή"/>
      <sheetName val="Ανάλυση για νέους πελάτες"/>
      <sheetName val="Ανάπτυξη δικτύου"/>
      <sheetName val="Ενεργές συνδέσεις"/>
      <sheetName val="Ενεργοί μετρητές"/>
      <sheetName val="Ενεργοί πελάτες"/>
      <sheetName val="Μέση ετήσια κατανάλωση"/>
      <sheetName val="Διανεμόμενες ποσότητες αερίου"/>
      <sheetName val="Παραδοχές μοναδιαίου κόστους"/>
      <sheetName val="Επενδύσεις"/>
      <sheetName val="Παραδοχές διείσδυσης - κάλυψης"/>
      <sheetName val="Δείκτες διείσδυσης - κάλυψης"/>
      <sheetName val="Δείκτες απόδοσης"/>
      <sheetName val="Οικονομική ανάλυση δήμων -&gt;"/>
      <sheetName val="Αποτελέσματα ανάλυσης"/>
      <sheetName val="Ανάλυση ανά δήμο"/>
      <sheetName val="Συνολικό δίκτυο -&gt;"/>
      <sheetName val="Στοιχεία υφιστάμενου δικτύου"/>
      <sheetName val="Πρόγραμμα ανάπτυξης δικτύου"/>
      <sheetName val="Συνολικοί δείκτες απόδοσης"/>
      <sheetName val="Επίπτωση στη μέση χρέωση"/>
    </sheetNames>
    <sheetDataSet>
      <sheetData sheetId="0"/>
      <sheetData sheetId="1">
        <row r="3">
          <cell r="C3"/>
        </row>
      </sheetData>
      <sheetData sheetId="2"/>
      <sheetData sheetId="3"/>
      <sheetData sheetId="4"/>
      <sheetData sheetId="5"/>
      <sheetData sheetId="6"/>
      <sheetData sheetId="7"/>
      <sheetData sheetId="8">
        <row r="76">
          <cell r="U76">
            <v>34</v>
          </cell>
        </row>
      </sheetData>
      <sheetData sheetId="9"/>
      <sheetData sheetId="10">
        <row r="78">
          <cell r="P78">
            <v>133.01692955107171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Αρχική σελίδα"/>
      <sheetName val="Ανάλυση δήμων -&gt;"/>
      <sheetName val="Γενική περιγραφή"/>
      <sheetName val="Ανάλυση για νέους πελάτες"/>
      <sheetName val="Ανάπτυξη δικτύου"/>
      <sheetName val="Ενεργές συνδέσεις"/>
      <sheetName val="Ενεργοί μετρητές"/>
      <sheetName val="Ενεργοί πελάτες"/>
      <sheetName val="Μέση ετήσια κατανάλωση"/>
      <sheetName val="Διανεμόμενες ποσότητες αερίου"/>
      <sheetName val="Παραδοχές μοναδιαίου κόστους"/>
      <sheetName val="Επενδύσεις"/>
      <sheetName val="Παραδοχές διείσδυσης - κάλυψης"/>
      <sheetName val="Δείκτες διείσδυσης - κάλυψης"/>
      <sheetName val="Δείκτες απόδοσης"/>
      <sheetName val="Οικονομική ανάλυση δήμων -&gt;"/>
      <sheetName val="Αποτελέσματα ανάλυσης"/>
      <sheetName val="Ανάλυση ανά δήμο"/>
      <sheetName val="Συνολικό δίκτυο -&gt;"/>
      <sheetName val="Στοιχεία υφιστάμενου δικτύου"/>
      <sheetName val="Πρόγραμμα ανάπτυξης δικτύου"/>
      <sheetName val="Συνολικοί δείκτες απόδοσης"/>
      <sheetName val="Επίπτωση στη μέση χρέωση"/>
    </sheetNames>
    <sheetDataSet>
      <sheetData sheetId="0">
        <row r="4">
          <cell r="C4">
            <v>2022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persons/person.xml><?xml version="1.0" encoding="utf-8"?>
<personList xmlns="http://schemas.microsoft.com/office/spreadsheetml/2018/threadedcomments" xmlns:x="http://schemas.openxmlformats.org/spreadsheetml/2006/main">
  <person displayName="EDA ATT" id="{65D2A7F5-2812-4D93-ABDD-1BD998BDE3A5}" userId="EDA ATT" providerId="None"/>
  <person displayName="Kabili Konstantina" id="{666D5322-1ABD-44B5-B512-2329D0C28CBC}" userId="S::k.kabili@edaattikis.gr::8205a4df-56d0-4037-ae23-e0d3ff6f5f8a"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12-02T20:49:33.35" personId="{666D5322-1ABD-44B5-B512-2329D0C28CBC}" id="{94930FAE-521B-4DC5-B426-B637E5E1533E}">
    <text>Δεν διατίθενται σχετικά στοιχεία</text>
  </threadedComment>
  <threadedComment ref="B252" dT="2022-09-27T07:01:17.27" personId="{65D2A7F5-2812-4D93-ABDD-1BD998BDE3A5}" id="{4FDE2EA0-6BC6-4334-B004-1D77E1EB2B24}">
    <text>Το δεδομένο της κατανάλωσης στα αποτελέσματα ερευνών αγοράς δεν είναι διαθέσιμο.</text>
  </threadedComment>
  <threadedComment ref="B304" dT="2022-09-27T07:02:23.17" personId="{65D2A7F5-2812-4D93-ABDD-1BD998BDE3A5}" id="{3A1C49BE-0030-4FF7-8371-407C48EE8ABB}">
    <text>Δεν είναι δυνατή η σχετική πρόβλεψη δεδομένης της αβεβαιότητας όσον αφορά τις τιμές προμήθειας και το κόστος της εσωτερικής εγκατάστασης για τα επόμενα έτη.</text>
  </threadedComment>
</ThreadedComments>
</file>

<file path=xl/threadedComments/threadedComment10.xml><?xml version="1.0" encoding="utf-8"?>
<ThreadedComments xmlns="http://schemas.microsoft.com/office/spreadsheetml/2018/threadedcomments" xmlns:x="http://schemas.openxmlformats.org/spreadsheetml/2006/main">
  <threadedComment ref="B9" dT="2022-09-27T07:25:01.69" personId="{65D2A7F5-2812-4D93-ABDD-1BD998BDE3A5}" id="{E4ACE8D4-5559-4DFF-86CB-3BAB7A4604B0}">
    <text>Για το δίκτυο διανομής της Αττικής η οικονομική αξιολόγηση των επενδύσεων των έργων ανάπτυξης γίνεται σε επίπεδο Λειτουργικού Τομέα (και όχι Δήμου), ο οποίος δύναται να περιλαμβάνει έναν ή περισσότερους Δήμους της Αττικής. Ως εκ τούτου ο μέσος συντελεστής απόδοσης IRR ανά Λειτουργικό Τομέα παρατίθεται στον κατωτέρω Πίνακα.</text>
  </threadedComment>
</ThreadedComments>
</file>

<file path=xl/threadedComments/threadedComment11.xml><?xml version="1.0" encoding="utf-8"?>
<ThreadedComments xmlns="http://schemas.microsoft.com/office/spreadsheetml/2018/threadedcomments" xmlns:x="http://schemas.openxmlformats.org/spreadsheetml/2006/main">
  <threadedComment ref="B14" dT="2022-09-27T07:27:40.47" personId="{65D2A7F5-2812-4D93-ABDD-1BD998BDE3A5}" id="{403EC454-38A4-4A6B-9E15-15F4C1187752}">
    <text xml:space="preserve">Τα αποτελέσματα έχουν δοθεί συνολικά για το νομό Αττικής και όχι σε επίπεδο δήμου καθώς τα κόστη μας δεν διαφοροποιούνται ανάλογα με τον Δήμο που δραστηριοποιούμαστε. </text>
  </threadedComment>
</ThreadedComments>
</file>

<file path=xl/threadedComments/threadedComment2.xml><?xml version="1.0" encoding="utf-8"?>
<ThreadedComments xmlns="http://schemas.microsoft.com/office/spreadsheetml/2018/threadedcomments" xmlns:x="http://schemas.openxmlformats.org/spreadsheetml/2006/main">
  <threadedComment ref="B262" dT="2022-09-27T07:03:31.86" personId="{65D2A7F5-2812-4D93-ABDD-1BD998BDE3A5}" id="{EE41B91B-777D-4CAB-9E6D-02E8F4BABC72}">
    <text xml:space="preserve">Το πλήθος των σταθμών MR 19/4 δεν αποτυπώνεται αναλυτικά ανά Δήμο αλλά στο σύνολο του νομού Αττικής καθώς οι σταθμοί διανομής τροφοδοτούν δίκτυα Μέσης Πίεσης που περιλαμβάνουν περισσότερους του ενός δήμου. </text>
  </threadedComment>
</ThreadedComments>
</file>

<file path=xl/threadedComments/threadedComment3.xml><?xml version="1.0" encoding="utf-8"?>
<ThreadedComments xmlns="http://schemas.microsoft.com/office/spreadsheetml/2018/threadedcomments" xmlns:x="http://schemas.openxmlformats.org/spreadsheetml/2006/main">
  <threadedComment ref="B71" dT="2022-09-27T07:06:02.32" personId="{65D2A7F5-2812-4D93-ABDD-1BD998BDE3A5}" id="{B6DC8599-946F-4A10-84FB-88F569A2F26D}">
    <text xml:space="preserve">Το πλήθος των ενεργών συνδέσεων (παροχετευτικών αγωγών) έχει διαχωριστεί σύμφωνα με τις βασικές κατηγορίες τιμολογίων (Οικιακή Χρήση, Εμπορική Χρήση &amp; Βιομηχανική Χρήση) και όχι σύμφωνα με τις κατηγορίες χρήσεις που περιέχονταν στο αρχείο, καθώς κάθε παροχετευτικός αγωγός μπορεί να φέρει περισσότερες της μια χρήσης κυρίως για τον οικιακό τομέα. </text>
  </threadedComment>
</ThreadedComments>
</file>

<file path=xl/threadedComments/threadedComment4.xml><?xml version="1.0" encoding="utf-8"?>
<ThreadedComments xmlns="http://schemas.microsoft.com/office/spreadsheetml/2018/threadedcomments" xmlns:x="http://schemas.openxmlformats.org/spreadsheetml/2006/main">
  <threadedComment ref="B254" dT="2022-09-27T07:07:27.41" personId="{65D2A7F5-2812-4D93-ABDD-1BD998BDE3A5}" id="{2368527C-E0B9-417C-967D-AFBDA844257A}">
    <text>Η πληροφορία που αφορά σε εμπορικούς πελάτες δίνεται συγκεντρωτικά στον πίνακα «Εμπορική χρήση» (δεν είναι εφικτή η διάκριση μεταξύ των κατηγοριών «‘Εμπορική χρήση» και «Επαγγελματική χρήση -δημόσιες υπηρεσίες»).</text>
  </threadedComment>
</ThreadedComments>
</file>

<file path=xl/threadedComments/threadedComment5.xml><?xml version="1.0" encoding="utf-8"?>
<ThreadedComments xmlns="http://schemas.microsoft.com/office/spreadsheetml/2018/threadedcomments" xmlns:x="http://schemas.openxmlformats.org/spreadsheetml/2006/main">
  <threadedComment ref="B254" dT="2022-09-27T07:07:57.57" personId="{65D2A7F5-2812-4D93-ABDD-1BD998BDE3A5}" id="{066F367C-418F-4B31-9698-9A751B2DF4C3}">
    <text>Η πληροφορία που αφορά σε εμπορικούς πελάτες δίνεται συγκεντρωτικά στον πίνακα «Εμπορική χρήση» (δεν είναι εφικτή η διάκριση μεταξύ των κατηγοριών «‘Εμπορική χρήση» και «Επαγγελματική χρήση -δημόσιες υπηρεσίες»).</text>
  </threadedComment>
</ThreadedComments>
</file>

<file path=xl/threadedComments/threadedComment6.xml><?xml version="1.0" encoding="utf-8"?>
<ThreadedComments xmlns="http://schemas.microsoft.com/office/spreadsheetml/2018/threadedcomments" xmlns:x="http://schemas.openxmlformats.org/spreadsheetml/2006/main">
  <threadedComment ref="B7" dT="2022-09-27T07:14:46.10" personId="{65D2A7F5-2812-4D93-ABDD-1BD998BDE3A5}" id="{7CC25C75-D118-4DAA-BC92-9A1067B71F5F}">
    <text xml:space="preserve">Τα αποτελέσματα έχουν δοθεί συνολικά για το νομό Αττικής και όχι σε επίπεδο δήμου καθώς τα κόστη μας δεν διαφοροποιούνται ανάλογα με τον Δήμο που δραστηριοποιούμαστε. </text>
  </threadedComment>
</ThreadedComments>
</file>

<file path=xl/threadedComments/threadedComment7.xml><?xml version="1.0" encoding="utf-8"?>
<ThreadedComments xmlns="http://schemas.microsoft.com/office/spreadsheetml/2018/threadedcomments" xmlns:x="http://schemas.openxmlformats.org/spreadsheetml/2006/main">
  <threadedComment ref="B7" dT="2022-09-27T07:12:37.53" personId="{65D2A7F5-2812-4D93-ABDD-1BD998BDE3A5}" id="{7B670920-F128-4ECF-AD5B-0B19E694353D}">
    <text xml:space="preserve"> δίδονται αναλυτικά στοιχεία στο επόμενο φύλλο Πινάκων.</text>
  </threadedComment>
</ThreadedComments>
</file>

<file path=xl/threadedComments/threadedComment8.xml><?xml version="1.0" encoding="utf-8"?>
<ThreadedComments xmlns="http://schemas.microsoft.com/office/spreadsheetml/2018/threadedcomments" xmlns:x="http://schemas.openxmlformats.org/spreadsheetml/2006/main">
  <threadedComment ref="B258" dT="2022-09-27T07:13:19.54" personId="{65D2A7F5-2812-4D93-ABDD-1BD998BDE3A5}" id="{2057155A-EBA4-4BFF-AFDD-6D8D5FE89C48}">
    <text>Η πληροφορία που αφορά σε εμπορικούς πελάτες δίνεται συγκεντρωτικά στον πίνακα «Εμπορική χρήση» (δεν είναι εφικτή η διάκριση μεταξύ των κατηγοριών «‘Εμπορική χρήση» και «Επαγγελματική χρήση -δημόσιες υπηρεσίες»).</text>
  </threadedComment>
</ThreadedComments>
</file>

<file path=xl/threadedComments/threadedComment9.xml><?xml version="1.0" encoding="utf-8"?>
<ThreadedComments xmlns="http://schemas.microsoft.com/office/spreadsheetml/2018/threadedcomments" xmlns:x="http://schemas.openxmlformats.org/spreadsheetml/2006/main">
  <threadedComment ref="B7" dT="2022-09-27T07:18:32.17" personId="{65D2A7F5-2812-4D93-ABDD-1BD998BDE3A5}" id="{787FFA0F-0643-45D1-9118-D7CB70F87A5B}">
    <text xml:space="preserve">Δεν έχουν υπολογιστεί χρήσεις πλην των οικιακών καθώς δεν υπάρχουν πλήρη δεδομένα για τις δυνητικές εμπορικές και λοιπές καταναλώσεις. </text>
  </threadedComment>
  <threadedComment ref="B72" dT="2022-09-27T07:16:25.73" personId="{65D2A7F5-2812-4D93-ABDD-1BD998BDE3A5}" id="{DABA1C93-A35D-4BD6-95B9-8A3AD784E1CD}">
    <text>Αφορά μόνο Οικιακούς</text>
  </threadedComment>
  <threadedComment ref="B192" dT="2022-09-27T07:20:24.29" personId="{65D2A7F5-2812-4D93-ABDD-1BD998BDE3A5}" id="{6B6BE979-3F27-4578-9F1D-438A6BE0AD98}">
    <text xml:space="preserve">Το μελετημένο και το ωφέλιμο οδικό δίκτυο  ανά έτος από το 2017 έως το 2026 έχει θεωρηθεί σταθερό καθώς δεν δύναται να εκτιμηθεί τροποποίηση του ωφέλιμου δικτύου με τυχόν προσθήκη νέων οδών προς ανάπτυξη δικτύου διανομής. </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customProperty" Target="../customProperty10.bin"/><Relationship Id="rId4" Type="http://schemas.microsoft.com/office/2017/10/relationships/threadedComment" Target="../threadedComments/threadedComment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1.bin"/><Relationship Id="rId1" Type="http://schemas.openxmlformats.org/officeDocument/2006/relationships/printerSettings" Target="../printerSettings/printerSettings7.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customProperty" Target="../customProperty13.bin"/><Relationship Id="rId4" Type="http://schemas.microsoft.com/office/2017/10/relationships/threadedComment" Target="../threadedComments/threadedComment9.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7.bin"/><Relationship Id="rId1" Type="http://schemas.openxmlformats.org/officeDocument/2006/relationships/printerSettings" Target="../printerSettings/printerSettings10.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8.bin"/><Relationship Id="rId1" Type="http://schemas.openxmlformats.org/officeDocument/2006/relationships/printerSettings" Target="../printerSettings/printerSettings11.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6.bin"/><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7.bin"/><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8.bin"/><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9.bin"/><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9AC5-F3CB-424A-9660-227C9CEE1D68}">
  <sheetPr codeName="Sheet1">
    <tabColor theme="6" tint="-0.249977111117893"/>
  </sheetPr>
  <dimension ref="B3:K52"/>
  <sheetViews>
    <sheetView showGridLines="0" tabSelected="1" workbookViewId="0"/>
  </sheetViews>
  <sheetFormatPr defaultColWidth="8.54296875" defaultRowHeight="14.5" x14ac:dyDescent="0.35"/>
  <cols>
    <col min="1" max="1" width="2.54296875" customWidth="1"/>
    <col min="2" max="2" width="29.453125" customWidth="1"/>
    <col min="3" max="3" width="20" customWidth="1"/>
    <col min="4" max="4" width="22.453125" customWidth="1"/>
  </cols>
  <sheetData>
    <row r="3" spans="2:10" ht="18.5" x14ac:dyDescent="0.45">
      <c r="B3" s="1" t="s">
        <v>0</v>
      </c>
      <c r="C3" s="416"/>
      <c r="D3" s="416"/>
      <c r="E3" s="416"/>
      <c r="F3" s="416"/>
      <c r="G3" s="416"/>
      <c r="H3" s="416"/>
    </row>
    <row r="4" spans="2:10" ht="18.5" x14ac:dyDescent="0.45">
      <c r="B4" s="2" t="s">
        <v>1</v>
      </c>
      <c r="C4" s="45">
        <v>2024</v>
      </c>
      <c r="D4" s="46" t="s">
        <v>2</v>
      </c>
      <c r="E4" s="46">
        <f>C4+4</f>
        <v>2028</v>
      </c>
    </row>
    <row r="6" spans="2:10" ht="32.9" customHeight="1" x14ac:dyDescent="0.35">
      <c r="B6" s="418" t="s">
        <v>3</v>
      </c>
      <c r="C6" s="418"/>
      <c r="D6" s="418"/>
      <c r="E6" s="418"/>
      <c r="F6" s="418"/>
      <c r="G6" s="418"/>
      <c r="H6" s="418"/>
      <c r="I6" s="418"/>
      <c r="J6" s="418"/>
    </row>
    <row r="8" spans="2:10" ht="21" x14ac:dyDescent="0.5">
      <c r="B8" s="95" t="s">
        <v>4</v>
      </c>
      <c r="C8" s="98"/>
      <c r="D8" s="98"/>
      <c r="E8" s="98"/>
      <c r="F8" s="98"/>
      <c r="G8" s="98"/>
      <c r="H8" s="98"/>
      <c r="I8" s="98"/>
      <c r="J8" s="98"/>
    </row>
    <row r="9" spans="2:10" ht="9" customHeight="1" x14ac:dyDescent="0.5">
      <c r="B9" s="96"/>
    </row>
    <row r="10" spans="2:10" ht="15.5" x14ac:dyDescent="0.35">
      <c r="B10" s="94" t="s">
        <v>5</v>
      </c>
    </row>
    <row r="11" spans="2:10" x14ac:dyDescent="0.35">
      <c r="B11" s="93" t="s">
        <v>6</v>
      </c>
    </row>
    <row r="12" spans="2:10" x14ac:dyDescent="0.35">
      <c r="B12" s="120" t="s">
        <v>7</v>
      </c>
    </row>
    <row r="13" spans="2:10" x14ac:dyDescent="0.35">
      <c r="B13" s="121" t="s">
        <v>8</v>
      </c>
    </row>
    <row r="14" spans="2:10" x14ac:dyDescent="0.35">
      <c r="B14" s="121" t="s">
        <v>9</v>
      </c>
    </row>
    <row r="15" spans="2:10" x14ac:dyDescent="0.35">
      <c r="B15" s="121" t="s">
        <v>10</v>
      </c>
    </row>
    <row r="16" spans="2:10" x14ac:dyDescent="0.35">
      <c r="B16" s="121" t="s">
        <v>11</v>
      </c>
    </row>
    <row r="17" spans="2:2" x14ac:dyDescent="0.35">
      <c r="B17" s="121" t="s">
        <v>12</v>
      </c>
    </row>
    <row r="18" spans="2:2" x14ac:dyDescent="0.35">
      <c r="B18" s="121" t="s">
        <v>13</v>
      </c>
    </row>
    <row r="19" spans="2:2" x14ac:dyDescent="0.35">
      <c r="B19" s="120" t="s">
        <v>14</v>
      </c>
    </row>
    <row r="20" spans="2:2" x14ac:dyDescent="0.35">
      <c r="B20" s="121" t="s">
        <v>15</v>
      </c>
    </row>
    <row r="21" spans="2:2" x14ac:dyDescent="0.35">
      <c r="B21" s="121" t="s">
        <v>16</v>
      </c>
    </row>
    <row r="22" spans="2:2" x14ac:dyDescent="0.35">
      <c r="B22" s="121" t="s">
        <v>17</v>
      </c>
    </row>
    <row r="23" spans="2:2" x14ac:dyDescent="0.35">
      <c r="B23" s="121" t="s">
        <v>18</v>
      </c>
    </row>
    <row r="24" spans="2:2" ht="9" customHeight="1" x14ac:dyDescent="0.35">
      <c r="B24" s="93"/>
    </row>
    <row r="25" spans="2:2" ht="15.5" x14ac:dyDescent="0.35">
      <c r="B25" s="94" t="s">
        <v>19</v>
      </c>
    </row>
    <row r="26" spans="2:2" x14ac:dyDescent="0.35">
      <c r="B26" s="93" t="s">
        <v>20</v>
      </c>
    </row>
    <row r="27" spans="2:2" x14ac:dyDescent="0.35">
      <c r="B27" s="93" t="s">
        <v>21</v>
      </c>
    </row>
    <row r="29" spans="2:2" ht="15.5" x14ac:dyDescent="0.35">
      <c r="B29" s="94" t="s">
        <v>22</v>
      </c>
    </row>
    <row r="30" spans="2:2" x14ac:dyDescent="0.35">
      <c r="B30" s="133" t="s">
        <v>23</v>
      </c>
    </row>
    <row r="31" spans="2:2" x14ac:dyDescent="0.35">
      <c r="B31" s="133" t="s">
        <v>24</v>
      </c>
    </row>
    <row r="32" spans="2:2" x14ac:dyDescent="0.35">
      <c r="B32" s="133" t="s">
        <v>25</v>
      </c>
    </row>
    <row r="33" spans="2:11" x14ac:dyDescent="0.35">
      <c r="B33" s="93" t="s">
        <v>26</v>
      </c>
    </row>
    <row r="34" spans="2:11" ht="9" customHeight="1" x14ac:dyDescent="0.35">
      <c r="B34" s="93"/>
    </row>
    <row r="37" spans="2:11" ht="21" x14ac:dyDescent="0.5">
      <c r="B37" s="95" t="s">
        <v>27</v>
      </c>
      <c r="C37" s="98"/>
      <c r="D37" s="98"/>
      <c r="E37" s="98"/>
      <c r="F37" s="98"/>
      <c r="G37" s="98"/>
      <c r="H37" s="98"/>
      <c r="I37" s="98"/>
      <c r="J37" s="98"/>
    </row>
    <row r="39" spans="2:11" ht="27" customHeight="1" x14ac:dyDescent="0.35">
      <c r="B39" s="128" t="s">
        <v>28</v>
      </c>
      <c r="C39" s="417" t="s">
        <v>29</v>
      </c>
      <c r="D39" s="417"/>
      <c r="E39" s="417"/>
      <c r="F39" s="417"/>
      <c r="G39" s="417"/>
      <c r="H39" s="417"/>
      <c r="I39" s="417"/>
      <c r="J39" s="417"/>
    </row>
    <row r="40" spans="2:11" ht="27" customHeight="1" x14ac:dyDescent="0.35">
      <c r="B40" s="129" t="s">
        <v>30</v>
      </c>
      <c r="C40" s="413" t="s">
        <v>31</v>
      </c>
      <c r="D40" s="414"/>
      <c r="E40" s="414"/>
      <c r="F40" s="414"/>
      <c r="G40" s="414"/>
      <c r="H40" s="414"/>
      <c r="I40" s="414"/>
      <c r="J40" s="415"/>
    </row>
    <row r="41" spans="2:11" ht="136.4" customHeight="1" x14ac:dyDescent="0.35">
      <c r="B41" s="128" t="s">
        <v>32</v>
      </c>
      <c r="C41" s="417" t="s">
        <v>33</v>
      </c>
      <c r="D41" s="417"/>
      <c r="E41" s="417"/>
      <c r="F41" s="417"/>
      <c r="G41" s="417"/>
      <c r="H41" s="417"/>
      <c r="I41" s="417"/>
      <c r="J41" s="417"/>
      <c r="K41" s="127"/>
    </row>
    <row r="42" spans="2:11" ht="126" customHeight="1" x14ac:dyDescent="0.35">
      <c r="B42" s="128" t="s">
        <v>34</v>
      </c>
      <c r="C42" s="417" t="s">
        <v>35</v>
      </c>
      <c r="D42" s="417"/>
      <c r="E42" s="417"/>
      <c r="F42" s="417"/>
      <c r="G42" s="417"/>
      <c r="H42" s="417"/>
      <c r="I42" s="417"/>
      <c r="J42" s="417"/>
    </row>
    <row r="43" spans="2:11" ht="123.65" customHeight="1" x14ac:dyDescent="0.35">
      <c r="B43" s="128" t="s">
        <v>36</v>
      </c>
      <c r="C43" s="417" t="s">
        <v>37</v>
      </c>
      <c r="D43" s="417"/>
      <c r="E43" s="417"/>
      <c r="F43" s="417"/>
      <c r="G43" s="417"/>
      <c r="H43" s="417"/>
      <c r="I43" s="417"/>
      <c r="J43" s="417"/>
    </row>
    <row r="44" spans="2:11" ht="53.9" customHeight="1" x14ac:dyDescent="0.35">
      <c r="B44" s="128" t="s">
        <v>38</v>
      </c>
      <c r="C44" s="417" t="s">
        <v>39</v>
      </c>
      <c r="D44" s="417"/>
      <c r="E44" s="417"/>
      <c r="F44" s="417"/>
      <c r="G44" s="417"/>
      <c r="H44" s="417"/>
      <c r="I44" s="417"/>
      <c r="J44" s="417"/>
    </row>
    <row r="45" spans="2:11" ht="96" customHeight="1" x14ac:dyDescent="0.35">
      <c r="B45" s="128" t="s">
        <v>40</v>
      </c>
      <c r="C45" s="417" t="s">
        <v>41</v>
      </c>
      <c r="D45" s="417"/>
      <c r="E45" s="417"/>
      <c r="F45" s="417"/>
      <c r="G45" s="417"/>
      <c r="H45" s="417"/>
      <c r="I45" s="417"/>
      <c r="J45" s="417"/>
    </row>
    <row r="46" spans="2:11" ht="71.900000000000006" customHeight="1" x14ac:dyDescent="0.35">
      <c r="B46" s="128" t="s">
        <v>42</v>
      </c>
      <c r="C46" s="417" t="s">
        <v>43</v>
      </c>
      <c r="D46" s="417"/>
      <c r="E46" s="417"/>
      <c r="F46" s="417"/>
      <c r="G46" s="417"/>
      <c r="H46" s="417"/>
      <c r="I46" s="417"/>
      <c r="J46" s="417"/>
    </row>
    <row r="47" spans="2:11" ht="24.65" customHeight="1" x14ac:dyDescent="0.35">
      <c r="B47" s="128" t="s">
        <v>44</v>
      </c>
      <c r="C47" s="417" t="s">
        <v>45</v>
      </c>
      <c r="D47" s="417"/>
      <c r="E47" s="417"/>
      <c r="F47" s="417"/>
      <c r="G47" s="417"/>
      <c r="H47" s="417"/>
      <c r="I47" s="417"/>
      <c r="J47" s="417"/>
    </row>
    <row r="48" spans="2:11" ht="84" customHeight="1" x14ac:dyDescent="0.35">
      <c r="B48" s="129" t="s">
        <v>46</v>
      </c>
      <c r="C48" s="417" t="s">
        <v>47</v>
      </c>
      <c r="D48" s="417"/>
      <c r="E48" s="417"/>
      <c r="F48" s="417"/>
      <c r="G48" s="417"/>
      <c r="H48" s="417"/>
      <c r="I48" s="417"/>
      <c r="J48" s="417"/>
    </row>
    <row r="49" spans="2:10" ht="30" customHeight="1" x14ac:dyDescent="0.35">
      <c r="B49" s="128" t="s">
        <v>48</v>
      </c>
      <c r="C49" s="417" t="s">
        <v>49</v>
      </c>
      <c r="D49" s="417"/>
      <c r="E49" s="417"/>
      <c r="F49" s="417"/>
      <c r="G49" s="417"/>
      <c r="H49" s="417"/>
      <c r="I49" s="417"/>
      <c r="J49" s="417"/>
    </row>
    <row r="50" spans="2:10" ht="28.4" customHeight="1" x14ac:dyDescent="0.35">
      <c r="B50" s="128" t="s">
        <v>50</v>
      </c>
      <c r="C50" s="417" t="s">
        <v>51</v>
      </c>
      <c r="D50" s="417"/>
      <c r="E50" s="417"/>
      <c r="F50" s="417"/>
      <c r="G50" s="417"/>
      <c r="H50" s="417"/>
      <c r="I50" s="417"/>
      <c r="J50" s="417"/>
    </row>
    <row r="51" spans="2:10" x14ac:dyDescent="0.35">
      <c r="B51" s="128" t="s">
        <v>52</v>
      </c>
      <c r="C51" s="413" t="s">
        <v>53</v>
      </c>
      <c r="D51" s="414"/>
      <c r="E51" s="414"/>
      <c r="F51" s="414"/>
      <c r="G51" s="414"/>
      <c r="H51" s="414"/>
      <c r="I51" s="414"/>
      <c r="J51" s="415"/>
    </row>
    <row r="52" spans="2:10" ht="26" x14ac:dyDescent="0.35">
      <c r="B52" s="129" t="s">
        <v>54</v>
      </c>
      <c r="C52" s="413" t="s">
        <v>55</v>
      </c>
      <c r="D52" s="414"/>
      <c r="E52" s="414"/>
      <c r="F52" s="414"/>
      <c r="G52" s="414"/>
      <c r="H52" s="414"/>
      <c r="I52" s="414"/>
      <c r="J52" s="415"/>
    </row>
  </sheetData>
  <mergeCells count="16">
    <mergeCell ref="C51:J51"/>
    <mergeCell ref="C52:J52"/>
    <mergeCell ref="C3:H3"/>
    <mergeCell ref="C41:J41"/>
    <mergeCell ref="C39:J39"/>
    <mergeCell ref="C40:J40"/>
    <mergeCell ref="C50:J50"/>
    <mergeCell ref="C42:J42"/>
    <mergeCell ref="C43:J43"/>
    <mergeCell ref="C44:J44"/>
    <mergeCell ref="C45:J45"/>
    <mergeCell ref="C46:J46"/>
    <mergeCell ref="C47:J47"/>
    <mergeCell ref="C48:J48"/>
    <mergeCell ref="C49:J49"/>
    <mergeCell ref="B6:J6"/>
  </mergeCells>
  <hyperlinks>
    <hyperlink ref="B29" location="'Συνολικό δίκτυο -&gt;'!A1" display="Συνολικό δίκτυο-&gt;" xr:uid="{B021AE16-A224-4F09-B241-FED0A792F292}"/>
    <hyperlink ref="B30" location="'Στοιχεία συνολικού δικτύου'!A1" display="Στοιχεία συνολικού δικτύου" xr:uid="{A0E828F1-A60F-42FD-B1BE-10B4C1C17AAB}"/>
    <hyperlink ref="B32" location="'Συνολικοί δείκτες απόδοσης'!A1" display="Συνολικοί δείκτες απόδοσης" xr:uid="{64DC6337-817B-4875-B078-9862D481C768}"/>
    <hyperlink ref="B33" location="'Επίπτωση στη μέση χρέωση'!A1" display="Επίπτωση στη μέση χρέωση" xr:uid="{EBB2F0EC-D5C9-42AC-B66A-E96B15770860}"/>
    <hyperlink ref="B25" location="'Οικονομική ανάλυση δήμων -&gt;'!A1" display="Οικονομική ανάλυση δήμων-&gt;" xr:uid="{79D48AF8-C0BD-43C4-8076-B1AAA02E4F57}"/>
    <hyperlink ref="B26" location="'Αποτελέσματα ανάλυσης'!A1" display="Αποτελέσματα ανάλυσης" xr:uid="{AC4F3A6D-0166-49DC-A8D1-E8563FFC934E}"/>
    <hyperlink ref="B27" location="'Ανάλυση ανά δήμο'!A1" display="Ανάλυση ανά δήμο" xr:uid="{75ADD2A3-4611-4F60-A569-08B669E3F9C5}"/>
    <hyperlink ref="B10" location="'Ανάλυση δήμων -&gt;'!A1" display="Ανάλυση δήμων-&gt;" xr:uid="{D7A6A722-A2F0-45DB-B31C-99899341FFD4}"/>
    <hyperlink ref="B13" location="'Ανάπτυξη δικτύου'!A1" display="Ανάπτυξη δικτύου" xr:uid="{47C8BAF8-9DD0-47EC-B9AB-B52FFFB7899C}"/>
    <hyperlink ref="B14" location="'Ενεργές συνδέσεις'!A1" display="Ενεργές συνδέσεις" xr:uid="{92C2A54C-5E36-46C4-8CF6-D1A8200860BB}"/>
    <hyperlink ref="B16" location="'Ενεργοί πελάτες'!A1" display="Ενεργοί πελάτες" xr:uid="{401F89C2-6523-4F23-909E-69769B33C47A}"/>
    <hyperlink ref="B12" location="'Ανάλυση για νέους πελάτες'!A1" display="Ανάλυση για νέους πελάτες" xr:uid="{B064BC07-5721-4154-BC92-91C24B4B9950}"/>
    <hyperlink ref="B17" location="'Μέση ετήσια κατανάλωση'!A1" display="Μέση ετήσια κατανάλωση" xr:uid="{AE8EB774-8306-4BFC-9C68-D5F83F56511B}"/>
    <hyperlink ref="B18" location="'Διανεμόμενες ποσότητες αερίου'!A1" display="Διανεμόμενες ποσότητες αερίου" xr:uid="{E8B9D163-DC94-4C10-BE91-D04A31975397}"/>
    <hyperlink ref="B19" location="'Παραδοχές μοναδιαίου κόστους'!A1" display="Παραδοχές μοναδιαίου κόστους" xr:uid="{FAC80CF0-CDF2-4D13-98F3-F0ABF0038F05}"/>
    <hyperlink ref="B20" location="Επενδύσεις!A1" display="Επενδύσεις ανάπτυξης / σύνδεσης" xr:uid="{408E1E46-84DF-47F5-BF4F-CF6A6389927D}"/>
    <hyperlink ref="B21" location="'Παραδοχές διείσδυσης - κάλυψης'!A1" display="Παραδοχές διείσδυσης - κάλυψης" xr:uid="{8D8603AB-869D-41CC-9281-C36EF7F2EE23}"/>
    <hyperlink ref="B22" location="'Δείκτες διείσδυσης - κάλυψης'!A1" display="Δείκτες διείσδυσης - κάλυψης" xr:uid="{E125092C-7913-4245-ABAF-7BD427FF7D0F}"/>
    <hyperlink ref="B23" location="'Δείκτες απόδοσης'!A1" display="Δείκτες απόδοσης" xr:uid="{125CE472-9598-4EC3-8FF9-06C0FE705709}"/>
    <hyperlink ref="B11" location="'Γενική περιγραφή'!A1" display="Γενική περιγραφή" xr:uid="{4B13EB2D-E8FE-4735-B201-F717B21346AF}"/>
    <hyperlink ref="B15" location="'Ενεργοί μετρητές'!A1" display="Ενεργοί μετρητές" xr:uid="{29CFB353-AEAB-424B-9D20-BF6A6015FDCA}"/>
    <hyperlink ref="B31" location="'Πρόγραμμα ανάπτυξης δικτύου'!A1" display="Πρόγραμμα ανάπτυξης δικτύου" xr:uid="{A831A95A-23D3-4097-ABA2-CC62B6CEAC36}"/>
  </hyperlinks>
  <pageMargins left="0.7" right="0.7" top="0.75" bottom="0.75" header="0.3" footer="0.3"/>
  <pageSetup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8E629-ECE6-431A-A13D-3E16A4CA4480}">
  <sheetPr codeName="Sheet9">
    <tabColor theme="4" tint="0.79998168889431442"/>
  </sheetPr>
  <dimension ref="B2:AI317"/>
  <sheetViews>
    <sheetView showGridLines="0" zoomScale="87" zoomScaleNormal="60" workbookViewId="0">
      <selection activeCell="K14" sqref="K14"/>
    </sheetView>
  </sheetViews>
  <sheetFormatPr defaultColWidth="8.54296875" defaultRowHeight="14.5" outlineLevelRow="1" x14ac:dyDescent="0.35"/>
  <cols>
    <col min="1" max="1" width="2.54296875" customWidth="1"/>
    <col min="2" max="2" width="37.453125" customWidth="1"/>
    <col min="3" max="3" width="21.453125" customWidth="1"/>
    <col min="4" max="4" width="24.54296875" customWidth="1"/>
    <col min="5" max="5" width="24" style="299" customWidth="1"/>
    <col min="6" max="6" width="28" customWidth="1"/>
    <col min="7" max="7" width="27" customWidth="1"/>
    <col min="8" max="8" width="9.54296875" bestFit="1" customWidth="1"/>
    <col min="11" max="11" width="9.54296875" bestFit="1" customWidth="1"/>
    <col min="12" max="12" width="10.453125" customWidth="1"/>
    <col min="14" max="14" width="6.453125" customWidth="1"/>
    <col min="15" max="15" width="1.453125" customWidth="1"/>
  </cols>
  <sheetData>
    <row r="2" spans="2:35" ht="18.5" x14ac:dyDescent="0.45">
      <c r="B2" s="1" t="s">
        <v>0</v>
      </c>
      <c r="C2" s="420">
        <f>'[1]Αρχική σελίδα'!C3</f>
        <v>0</v>
      </c>
      <c r="D2" s="420"/>
      <c r="E2" s="420"/>
      <c r="F2" s="420"/>
      <c r="G2" s="420"/>
      <c r="H2" s="421" t="s">
        <v>58</v>
      </c>
      <c r="I2" s="421"/>
      <c r="J2" s="421"/>
    </row>
    <row r="3" spans="2:35" ht="18.5" x14ac:dyDescent="0.45">
      <c r="B3" s="2" t="s">
        <v>1</v>
      </c>
      <c r="C3" s="99">
        <v>2024</v>
      </c>
      <c r="D3" s="46" t="s">
        <v>2</v>
      </c>
      <c r="E3" s="46">
        <f>C3+4</f>
        <v>2028</v>
      </c>
    </row>
    <row r="4" spans="2:35" ht="14.9" customHeight="1" x14ac:dyDescent="0.45">
      <c r="C4" s="2"/>
      <c r="D4" s="46"/>
      <c r="E4" s="46"/>
    </row>
    <row r="5" spans="2:35" ht="56.9" customHeight="1" x14ac:dyDescent="0.35">
      <c r="B5" s="422" t="s">
        <v>219</v>
      </c>
      <c r="C5" s="422"/>
      <c r="D5" s="422"/>
      <c r="E5" s="422"/>
      <c r="F5" s="422"/>
      <c r="G5" s="422"/>
    </row>
    <row r="6" spans="2:35" x14ac:dyDescent="0.35">
      <c r="B6" s="226"/>
      <c r="C6" s="226"/>
      <c r="D6" s="226"/>
      <c r="E6" s="365"/>
      <c r="F6" s="226"/>
      <c r="G6" s="226"/>
    </row>
    <row r="7" spans="2:35" ht="18.5" x14ac:dyDescent="0.45">
      <c r="B7" s="100" t="str">
        <f>"Μέση μοναδιαία ετήσια κατανάλωση αερίου τελικού πελάτη ανά κατηγορία ιστορικά ("&amp;(C3-5)&amp;" - "&amp;(C3-1)&amp;") και για το Πρόγραμμα Ανάπτυξης  "&amp;C3&amp;" - "&amp;E3</f>
        <v>Μέση μοναδιαία ετήσια κατανάλωση αερίου τελικού πελάτη ανά κατηγορία ιστορικά (2019 - 2023) και για το Πρόγραμμα Ανάπτυξης  2024 - 2028</v>
      </c>
      <c r="C7" s="101"/>
      <c r="D7" s="101"/>
      <c r="E7" s="298"/>
      <c r="F7" s="101"/>
      <c r="G7" s="101"/>
      <c r="H7" s="98"/>
      <c r="I7" s="98"/>
      <c r="J7" s="98"/>
    </row>
    <row r="8" spans="2:35" ht="18.5" x14ac:dyDescent="0.45">
      <c r="C8" s="2"/>
      <c r="D8" s="46"/>
      <c r="E8" s="46"/>
      <c r="F8" s="46"/>
    </row>
    <row r="9" spans="2:35" ht="15.5" x14ac:dyDescent="0.35">
      <c r="B9" s="419" t="s">
        <v>133</v>
      </c>
      <c r="C9" s="419"/>
      <c r="D9" s="419"/>
      <c r="E9" s="419"/>
      <c r="F9" s="419"/>
      <c r="G9" s="419"/>
    </row>
    <row r="10" spans="2:35" ht="5.9" customHeight="1" outlineLevel="1" x14ac:dyDescent="0.35">
      <c r="B10" s="103"/>
      <c r="C10" s="103"/>
      <c r="D10" s="103"/>
      <c r="E10" s="366"/>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row>
    <row r="11" spans="2:35" outlineLevel="1" x14ac:dyDescent="0.35">
      <c r="B11" s="459"/>
      <c r="C11" s="450" t="s">
        <v>134</v>
      </c>
      <c r="D11" s="439" t="s">
        <v>169</v>
      </c>
      <c r="E11" s="458"/>
      <c r="F11" s="439" t="s">
        <v>170</v>
      </c>
      <c r="G11" s="458"/>
    </row>
    <row r="12" spans="2:35" outlineLevel="1" x14ac:dyDescent="0.35">
      <c r="B12" s="460"/>
      <c r="C12" s="451"/>
      <c r="D12" s="439" t="str">
        <f>($C$3-5)&amp;" - "&amp;($C$3-1)</f>
        <v>2019 - 2023</v>
      </c>
      <c r="E12" s="458"/>
      <c r="F12" s="439" t="s">
        <v>220</v>
      </c>
      <c r="G12" s="458"/>
    </row>
    <row r="13" spans="2:35" ht="45" customHeight="1" outlineLevel="1" x14ac:dyDescent="0.35">
      <c r="B13" s="461"/>
      <c r="C13" s="452"/>
      <c r="D13" s="78" t="s">
        <v>221</v>
      </c>
      <c r="E13" s="82" t="s">
        <v>222</v>
      </c>
      <c r="F13" s="78" t="s">
        <v>221</v>
      </c>
      <c r="G13" s="82" t="s">
        <v>222</v>
      </c>
    </row>
    <row r="14" spans="2:35" outlineLevel="1" x14ac:dyDescent="0.35">
      <c r="B14" s="48" t="s">
        <v>74</v>
      </c>
      <c r="C14" s="62" t="s">
        <v>223</v>
      </c>
      <c r="D14" s="326">
        <v>4.2615000000000007</v>
      </c>
      <c r="E14" s="364">
        <v>9.4700000000000006</v>
      </c>
      <c r="F14" s="326">
        <v>3.5459999999999998</v>
      </c>
      <c r="G14" s="325">
        <v>7.88</v>
      </c>
      <c r="H14" s="327"/>
      <c r="I14" s="320"/>
      <c r="K14" s="327"/>
    </row>
    <row r="15" spans="2:35" outlineLevel="1" x14ac:dyDescent="0.35">
      <c r="B15" s="48" t="s">
        <v>75</v>
      </c>
      <c r="C15" s="62" t="s">
        <v>223</v>
      </c>
      <c r="D15" s="326">
        <v>8.2799999999999994</v>
      </c>
      <c r="E15" s="364">
        <v>18.399999999999999</v>
      </c>
      <c r="F15" s="326">
        <v>5.6654999999999998</v>
      </c>
      <c r="G15" s="325">
        <v>12.59</v>
      </c>
      <c r="H15" s="327"/>
      <c r="I15" s="320"/>
      <c r="K15" s="327"/>
    </row>
    <row r="16" spans="2:35" outlineLevel="1" x14ac:dyDescent="0.35">
      <c r="B16" s="48" t="s">
        <v>76</v>
      </c>
      <c r="C16" s="62" t="s">
        <v>223</v>
      </c>
      <c r="D16" s="326">
        <v>5.2649999999999997</v>
      </c>
      <c r="E16" s="364">
        <v>11.7</v>
      </c>
      <c r="F16" s="326">
        <v>3.6134999999999997</v>
      </c>
      <c r="G16" s="325">
        <v>8.0299999999999994</v>
      </c>
      <c r="H16" s="327"/>
      <c r="I16" s="320"/>
      <c r="K16" s="327"/>
    </row>
    <row r="17" spans="2:11" outlineLevel="1" x14ac:dyDescent="0.35">
      <c r="B17" s="48" t="s">
        <v>77</v>
      </c>
      <c r="C17" s="62" t="s">
        <v>223</v>
      </c>
      <c r="D17" s="326">
        <v>4.4055</v>
      </c>
      <c r="E17" s="364">
        <v>9.7899999999999991</v>
      </c>
      <c r="F17" s="326">
        <v>3.6315000000000004</v>
      </c>
      <c r="G17" s="325">
        <v>8.07</v>
      </c>
      <c r="H17" s="327"/>
      <c r="I17" s="320"/>
      <c r="K17" s="327"/>
    </row>
    <row r="18" spans="2:11" outlineLevel="1" x14ac:dyDescent="0.35">
      <c r="B18" s="48" t="s">
        <v>78</v>
      </c>
      <c r="C18" s="62" t="s">
        <v>223</v>
      </c>
      <c r="D18" s="326">
        <v>6.6509999999999998</v>
      </c>
      <c r="E18" s="364">
        <v>14.78</v>
      </c>
      <c r="F18" s="326">
        <v>3.5595000000000003</v>
      </c>
      <c r="G18" s="325">
        <v>7.91</v>
      </c>
      <c r="H18" s="327"/>
      <c r="I18" s="320"/>
      <c r="K18" s="327"/>
    </row>
    <row r="19" spans="2:11" outlineLevel="1" x14ac:dyDescent="0.35">
      <c r="B19" s="48" t="s">
        <v>79</v>
      </c>
      <c r="C19" s="62" t="s">
        <v>223</v>
      </c>
      <c r="D19" s="326">
        <v>4.2930000000000001</v>
      </c>
      <c r="E19" s="364">
        <v>9.5399999999999991</v>
      </c>
      <c r="F19" s="326">
        <v>3.4785000000000004</v>
      </c>
      <c r="G19" s="325">
        <v>7.73</v>
      </c>
      <c r="H19" s="327"/>
      <c r="I19" s="320"/>
      <c r="K19" s="327"/>
    </row>
    <row r="20" spans="2:11" outlineLevel="1" x14ac:dyDescent="0.35">
      <c r="B20" s="48" t="s">
        <v>80</v>
      </c>
      <c r="C20" s="62" t="s">
        <v>223</v>
      </c>
      <c r="D20" s="326">
        <v>5.7015000000000002</v>
      </c>
      <c r="E20" s="364">
        <v>12.67</v>
      </c>
      <c r="F20" s="326">
        <v>3.6225000000000005</v>
      </c>
      <c r="G20" s="325">
        <v>8.0500000000000007</v>
      </c>
      <c r="H20" s="327"/>
      <c r="I20" s="320"/>
      <c r="K20" s="327"/>
    </row>
    <row r="21" spans="2:11" outlineLevel="1" x14ac:dyDescent="0.35">
      <c r="B21" s="48" t="s">
        <v>81</v>
      </c>
      <c r="C21" s="62" t="s">
        <v>223</v>
      </c>
      <c r="D21" s="326">
        <v>9.5579999999999998</v>
      </c>
      <c r="E21" s="364">
        <v>21.24</v>
      </c>
      <c r="F21" s="326">
        <v>5.6429999999999998</v>
      </c>
      <c r="G21" s="325">
        <v>12.54</v>
      </c>
      <c r="H21" s="327"/>
      <c r="I21" s="320"/>
      <c r="K21" s="327"/>
    </row>
    <row r="22" spans="2:11" outlineLevel="1" x14ac:dyDescent="0.35">
      <c r="B22" s="48" t="s">
        <v>82</v>
      </c>
      <c r="C22" s="62" t="s">
        <v>223</v>
      </c>
      <c r="D22" s="326">
        <v>0</v>
      </c>
      <c r="E22" s="364"/>
      <c r="F22" s="326"/>
      <c r="G22" s="325"/>
      <c r="H22" s="327"/>
      <c r="I22" s="320"/>
      <c r="K22" s="327"/>
    </row>
    <row r="23" spans="2:11" outlineLevel="1" x14ac:dyDescent="0.35">
      <c r="B23" s="48" t="s">
        <v>83</v>
      </c>
      <c r="C23" s="62" t="s">
        <v>223</v>
      </c>
      <c r="D23" s="326">
        <v>5.58</v>
      </c>
      <c r="E23" s="364">
        <v>12.4</v>
      </c>
      <c r="F23" s="326">
        <v>5.0715000000000003</v>
      </c>
      <c r="G23" s="325">
        <v>11.27</v>
      </c>
      <c r="H23" s="327"/>
      <c r="I23" s="320"/>
      <c r="K23" s="327"/>
    </row>
    <row r="24" spans="2:11" outlineLevel="1" x14ac:dyDescent="0.35">
      <c r="B24" s="48" t="s">
        <v>84</v>
      </c>
      <c r="C24" s="62" t="s">
        <v>223</v>
      </c>
      <c r="D24" s="326">
        <v>7.1369999999999996</v>
      </c>
      <c r="E24" s="364">
        <v>15.86</v>
      </c>
      <c r="F24" s="326">
        <v>5.0579999999999998</v>
      </c>
      <c r="G24" s="325">
        <v>11.24</v>
      </c>
      <c r="H24" s="327"/>
      <c r="I24" s="320"/>
      <c r="K24" s="327"/>
    </row>
    <row r="25" spans="2:11" outlineLevel="1" x14ac:dyDescent="0.35">
      <c r="B25" s="48" t="s">
        <v>85</v>
      </c>
      <c r="C25" s="62" t="s">
        <v>223</v>
      </c>
      <c r="D25" s="326">
        <v>8.041500000000001</v>
      </c>
      <c r="E25" s="364">
        <v>17.87</v>
      </c>
      <c r="F25" s="326">
        <v>5.6654999999999998</v>
      </c>
      <c r="G25" s="325">
        <v>12.59</v>
      </c>
      <c r="H25" s="327"/>
      <c r="I25" s="320"/>
      <c r="K25" s="327"/>
    </row>
    <row r="26" spans="2:11" outlineLevel="1" x14ac:dyDescent="0.35">
      <c r="B26" s="48" t="s">
        <v>86</v>
      </c>
      <c r="C26" s="62" t="s">
        <v>223</v>
      </c>
      <c r="D26" s="326">
        <v>5.8140000000000001</v>
      </c>
      <c r="E26" s="364">
        <v>12.92</v>
      </c>
      <c r="F26" s="326">
        <v>3.6134999999999997</v>
      </c>
      <c r="G26" s="325">
        <v>8.0299999999999994</v>
      </c>
      <c r="H26" s="327"/>
      <c r="I26" s="320"/>
      <c r="K26" s="327"/>
    </row>
    <row r="27" spans="2:11" outlineLevel="1" x14ac:dyDescent="0.35">
      <c r="B27" s="48" t="s">
        <v>87</v>
      </c>
      <c r="C27" s="62" t="s">
        <v>223</v>
      </c>
      <c r="D27" s="326">
        <v>6.6375000000000002</v>
      </c>
      <c r="E27" s="364">
        <v>14.75</v>
      </c>
      <c r="F27" s="326">
        <v>3.5505</v>
      </c>
      <c r="G27" s="325">
        <v>7.89</v>
      </c>
      <c r="H27" s="327"/>
      <c r="I27" s="320"/>
      <c r="K27" s="327"/>
    </row>
    <row r="28" spans="2:11" outlineLevel="1" x14ac:dyDescent="0.35">
      <c r="B28" s="48" t="s">
        <v>88</v>
      </c>
      <c r="C28" s="62" t="s">
        <v>223</v>
      </c>
      <c r="D28" s="326">
        <v>5.9850000000000003</v>
      </c>
      <c r="E28" s="364">
        <v>13.3</v>
      </c>
      <c r="F28" s="326">
        <v>3.6404999999999998</v>
      </c>
      <c r="G28" s="325">
        <v>8.09</v>
      </c>
      <c r="H28" s="327"/>
      <c r="I28" s="320"/>
      <c r="K28" s="327"/>
    </row>
    <row r="29" spans="2:11" outlineLevel="1" x14ac:dyDescent="0.35">
      <c r="B29" s="48" t="s">
        <v>89</v>
      </c>
      <c r="C29" s="62" t="s">
        <v>223</v>
      </c>
      <c r="D29" s="326">
        <v>6.1965000000000003</v>
      </c>
      <c r="E29" s="364">
        <v>13.77</v>
      </c>
      <c r="F29" s="326">
        <v>3.5730000000000004</v>
      </c>
      <c r="G29" s="325">
        <v>7.94</v>
      </c>
      <c r="H29" s="327"/>
      <c r="I29" s="320"/>
      <c r="K29" s="327"/>
    </row>
    <row r="30" spans="2:11" outlineLevel="1" x14ac:dyDescent="0.35">
      <c r="B30" s="48" t="s">
        <v>90</v>
      </c>
      <c r="C30" s="62" t="s">
        <v>223</v>
      </c>
      <c r="D30" s="326">
        <v>4.8825000000000003</v>
      </c>
      <c r="E30" s="364">
        <v>10.85</v>
      </c>
      <c r="F30" s="326">
        <v>5.0445000000000002</v>
      </c>
      <c r="G30" s="325">
        <v>11.21</v>
      </c>
      <c r="H30" s="327"/>
      <c r="I30" s="320"/>
      <c r="K30" s="327"/>
    </row>
    <row r="31" spans="2:11" outlineLevel="1" x14ac:dyDescent="0.35">
      <c r="B31" s="48" t="s">
        <v>91</v>
      </c>
      <c r="C31" s="62" t="s">
        <v>223</v>
      </c>
      <c r="D31" s="326">
        <v>4.1804999999999994</v>
      </c>
      <c r="E31" s="364">
        <v>9.2899999999999991</v>
      </c>
      <c r="F31" s="326">
        <v>3.4964999999999997</v>
      </c>
      <c r="G31" s="325">
        <v>7.77</v>
      </c>
      <c r="H31" s="327"/>
      <c r="I31" s="320"/>
      <c r="K31" s="327"/>
    </row>
    <row r="32" spans="2:11" outlineLevel="1" x14ac:dyDescent="0.35">
      <c r="B32" s="48" t="s">
        <v>92</v>
      </c>
      <c r="C32" s="62" t="s">
        <v>223</v>
      </c>
      <c r="D32" s="326">
        <v>5.1615000000000002</v>
      </c>
      <c r="E32" s="364">
        <v>11.47</v>
      </c>
      <c r="F32" s="326">
        <v>3.6404999999999998</v>
      </c>
      <c r="G32" s="325">
        <v>8.09</v>
      </c>
      <c r="H32" s="327"/>
      <c r="I32" s="320"/>
      <c r="K32" s="327"/>
    </row>
    <row r="33" spans="2:11" outlineLevel="1" x14ac:dyDescent="0.35">
      <c r="B33" s="48" t="s">
        <v>93</v>
      </c>
      <c r="C33" s="62" t="s">
        <v>223</v>
      </c>
      <c r="D33" s="326">
        <v>5.4675000000000002</v>
      </c>
      <c r="E33" s="364">
        <v>12.15</v>
      </c>
      <c r="F33" s="326">
        <v>3.609</v>
      </c>
      <c r="G33" s="325">
        <v>8.02</v>
      </c>
      <c r="H33" s="327"/>
      <c r="I33" s="320"/>
      <c r="K33" s="327"/>
    </row>
    <row r="34" spans="2:11" outlineLevel="1" x14ac:dyDescent="0.35">
      <c r="B34" s="48" t="s">
        <v>94</v>
      </c>
      <c r="C34" s="62" t="s">
        <v>223</v>
      </c>
      <c r="D34" s="326">
        <v>6.1559999999999997</v>
      </c>
      <c r="E34" s="364">
        <v>13.68</v>
      </c>
      <c r="F34" s="326">
        <v>3.5865</v>
      </c>
      <c r="G34" s="325">
        <v>7.97</v>
      </c>
      <c r="H34" s="327"/>
      <c r="I34" s="320"/>
      <c r="K34" s="327"/>
    </row>
    <row r="35" spans="2:11" outlineLevel="1" x14ac:dyDescent="0.35">
      <c r="B35" s="48" t="s">
        <v>95</v>
      </c>
      <c r="C35" s="62" t="s">
        <v>223</v>
      </c>
      <c r="D35" s="326">
        <v>8.5815000000000001</v>
      </c>
      <c r="E35" s="364">
        <v>19.07</v>
      </c>
      <c r="F35" s="326">
        <v>5.6970000000000001</v>
      </c>
      <c r="G35" s="325">
        <v>12.66</v>
      </c>
      <c r="H35" s="327"/>
      <c r="I35" s="320"/>
      <c r="K35" s="327"/>
    </row>
    <row r="36" spans="2:11" outlineLevel="1" x14ac:dyDescent="0.35">
      <c r="B36" s="48" t="s">
        <v>96</v>
      </c>
      <c r="C36" s="62" t="s">
        <v>223</v>
      </c>
      <c r="D36" s="326">
        <v>6.8130000000000006</v>
      </c>
      <c r="E36" s="364">
        <v>15.14</v>
      </c>
      <c r="F36" s="326">
        <v>3.5730000000000004</v>
      </c>
      <c r="G36" s="325">
        <v>7.94</v>
      </c>
      <c r="H36" s="327"/>
      <c r="I36" s="320"/>
      <c r="K36" s="327"/>
    </row>
    <row r="37" spans="2:11" outlineLevel="1" x14ac:dyDescent="0.35">
      <c r="B37" s="48" t="s">
        <v>97</v>
      </c>
      <c r="C37" s="62" t="s">
        <v>223</v>
      </c>
      <c r="D37" s="326">
        <v>5.1210000000000004</v>
      </c>
      <c r="E37" s="364">
        <v>11.38</v>
      </c>
      <c r="F37" s="326">
        <v>3.609</v>
      </c>
      <c r="G37" s="325">
        <v>8.02</v>
      </c>
      <c r="H37" s="327"/>
      <c r="I37" s="320"/>
      <c r="K37" s="327"/>
    </row>
    <row r="38" spans="2:11" outlineLevel="1" x14ac:dyDescent="0.35">
      <c r="B38" s="48" t="s">
        <v>98</v>
      </c>
      <c r="C38" s="62" t="s">
        <v>223</v>
      </c>
      <c r="D38" s="326">
        <v>4.5990000000000002</v>
      </c>
      <c r="E38" s="364">
        <v>10.220000000000001</v>
      </c>
      <c r="F38" s="326">
        <v>3.528</v>
      </c>
      <c r="G38" s="325">
        <v>7.84</v>
      </c>
      <c r="H38" s="327"/>
      <c r="I38" s="320"/>
      <c r="K38" s="327"/>
    </row>
    <row r="39" spans="2:11" outlineLevel="1" x14ac:dyDescent="0.35">
      <c r="B39" s="48" t="s">
        <v>99</v>
      </c>
      <c r="C39" s="62" t="s">
        <v>223</v>
      </c>
      <c r="D39" s="326">
        <v>8.4510000000000005</v>
      </c>
      <c r="E39" s="364">
        <v>18.78</v>
      </c>
      <c r="F39" s="326">
        <v>5.6970000000000001</v>
      </c>
      <c r="G39" s="325">
        <v>12.66</v>
      </c>
      <c r="H39" s="327"/>
      <c r="I39" s="320"/>
      <c r="K39" s="327"/>
    </row>
    <row r="40" spans="2:11" outlineLevel="1" x14ac:dyDescent="0.35">
      <c r="B40" s="48" t="s">
        <v>100</v>
      </c>
      <c r="C40" s="62" t="s">
        <v>223</v>
      </c>
      <c r="D40" s="326">
        <v>4.3470000000000004</v>
      </c>
      <c r="E40" s="364">
        <v>9.66</v>
      </c>
      <c r="F40" s="326">
        <v>3.5415000000000001</v>
      </c>
      <c r="G40" s="325">
        <v>7.87</v>
      </c>
      <c r="H40" s="327"/>
      <c r="I40" s="320"/>
      <c r="K40" s="327"/>
    </row>
    <row r="41" spans="2:11" outlineLevel="1" x14ac:dyDescent="0.35">
      <c r="B41" s="48" t="s">
        <v>101</v>
      </c>
      <c r="C41" s="62" t="s">
        <v>223</v>
      </c>
      <c r="D41" s="326">
        <v>5.9220000000000006</v>
      </c>
      <c r="E41" s="364">
        <v>13.16</v>
      </c>
      <c r="F41" s="326">
        <v>4.9455</v>
      </c>
      <c r="G41" s="325">
        <v>10.99</v>
      </c>
      <c r="H41" s="327"/>
      <c r="I41" s="320"/>
      <c r="K41" s="327"/>
    </row>
    <row r="42" spans="2:11" outlineLevel="1" x14ac:dyDescent="0.35">
      <c r="B42" s="48" t="s">
        <v>102</v>
      </c>
      <c r="C42" s="62" t="s">
        <v>223</v>
      </c>
      <c r="D42" s="326">
        <v>8.9280000000000008</v>
      </c>
      <c r="E42" s="364">
        <v>19.84</v>
      </c>
      <c r="F42" s="326">
        <v>5.6520000000000001</v>
      </c>
      <c r="G42" s="325">
        <v>12.56</v>
      </c>
      <c r="H42" s="327"/>
      <c r="I42" s="320"/>
      <c r="K42" s="327"/>
    </row>
    <row r="43" spans="2:11" outlineLevel="1" x14ac:dyDescent="0.35">
      <c r="B43" s="48" t="s">
        <v>103</v>
      </c>
      <c r="C43" s="62" t="s">
        <v>223</v>
      </c>
      <c r="D43" s="326">
        <v>3.3975</v>
      </c>
      <c r="E43" s="364">
        <v>7.55</v>
      </c>
      <c r="F43" s="326"/>
      <c r="G43" s="325"/>
      <c r="H43" s="327"/>
      <c r="I43" s="320"/>
      <c r="K43" s="327"/>
    </row>
    <row r="44" spans="2:11" outlineLevel="1" x14ac:dyDescent="0.35">
      <c r="B44" s="48" t="s">
        <v>104</v>
      </c>
      <c r="C44" s="62" t="s">
        <v>223</v>
      </c>
      <c r="D44" s="326">
        <v>0</v>
      </c>
      <c r="E44" s="364"/>
      <c r="F44" s="326">
        <v>5.0439999999999996</v>
      </c>
      <c r="G44" s="325">
        <v>11.21</v>
      </c>
      <c r="H44" s="327"/>
      <c r="I44" s="320"/>
      <c r="K44" s="327"/>
    </row>
    <row r="45" spans="2:11" outlineLevel="1" x14ac:dyDescent="0.35">
      <c r="B45" s="48" t="s">
        <v>136</v>
      </c>
      <c r="C45" s="62" t="s">
        <v>223</v>
      </c>
      <c r="D45" s="326">
        <v>0</v>
      </c>
      <c r="E45" s="364"/>
      <c r="F45" s="326">
        <v>3.5640000000000001</v>
      </c>
      <c r="G45" s="325">
        <v>7.92</v>
      </c>
      <c r="H45" s="327"/>
      <c r="I45" s="320"/>
      <c r="K45" s="327"/>
    </row>
    <row r="46" spans="2:11" outlineLevel="1" x14ac:dyDescent="0.35">
      <c r="B46" s="48" t="s">
        <v>106</v>
      </c>
      <c r="C46" s="62" t="s">
        <v>223</v>
      </c>
      <c r="D46" s="326">
        <v>8.1585000000000001</v>
      </c>
      <c r="E46" s="364">
        <v>18.13</v>
      </c>
      <c r="F46" s="326">
        <v>5.7015000000000002</v>
      </c>
      <c r="G46" s="325">
        <v>12.67</v>
      </c>
      <c r="H46" s="327"/>
      <c r="I46" s="320"/>
      <c r="K46" s="327"/>
    </row>
    <row r="47" spans="2:11" outlineLevel="1" x14ac:dyDescent="0.35">
      <c r="B47" s="48" t="s">
        <v>107</v>
      </c>
      <c r="C47" s="62" t="s">
        <v>223</v>
      </c>
      <c r="D47" s="326">
        <v>5.1120000000000001</v>
      </c>
      <c r="E47" s="364">
        <v>11.36</v>
      </c>
      <c r="F47" s="326">
        <v>3.609</v>
      </c>
      <c r="G47" s="325">
        <v>8.02</v>
      </c>
      <c r="H47" s="327"/>
      <c r="I47" s="320"/>
      <c r="K47" s="327"/>
    </row>
    <row r="48" spans="2:11" outlineLevel="1" x14ac:dyDescent="0.35">
      <c r="B48" s="48" t="s">
        <v>108</v>
      </c>
      <c r="C48" s="62" t="s">
        <v>223</v>
      </c>
      <c r="D48" s="326">
        <v>7.8929999999999998</v>
      </c>
      <c r="E48" s="364">
        <v>17.54</v>
      </c>
      <c r="F48" s="326">
        <v>5.67</v>
      </c>
      <c r="G48" s="325">
        <v>12.6</v>
      </c>
      <c r="H48" s="327"/>
      <c r="I48" s="320"/>
      <c r="K48" s="327"/>
    </row>
    <row r="49" spans="2:11" outlineLevel="1" x14ac:dyDescent="0.35">
      <c r="B49" s="48" t="s">
        <v>109</v>
      </c>
      <c r="C49" s="62" t="s">
        <v>223</v>
      </c>
      <c r="D49" s="326">
        <v>6.3360000000000003</v>
      </c>
      <c r="E49" s="364">
        <v>14.08</v>
      </c>
      <c r="F49" s="326">
        <v>3.5640000000000001</v>
      </c>
      <c r="G49" s="325">
        <v>7.92</v>
      </c>
      <c r="H49" s="327"/>
      <c r="I49" s="320"/>
      <c r="K49" s="327"/>
    </row>
    <row r="50" spans="2:11" outlineLevel="1" x14ac:dyDescent="0.35">
      <c r="B50" s="48" t="s">
        <v>110</v>
      </c>
      <c r="C50" s="62" t="s">
        <v>223</v>
      </c>
      <c r="D50" s="326">
        <v>5.9264999999999999</v>
      </c>
      <c r="E50" s="364">
        <v>13.17</v>
      </c>
      <c r="F50" s="326">
        <v>3.528</v>
      </c>
      <c r="G50" s="325">
        <v>7.84</v>
      </c>
      <c r="H50" s="327"/>
      <c r="I50" s="320"/>
      <c r="K50" s="327"/>
    </row>
    <row r="51" spans="2:11" outlineLevel="1" x14ac:dyDescent="0.35">
      <c r="B51" s="48" t="s">
        <v>111</v>
      </c>
      <c r="C51" s="62" t="s">
        <v>223</v>
      </c>
      <c r="D51" s="326">
        <v>4.3155000000000001</v>
      </c>
      <c r="E51" s="364">
        <v>9.59</v>
      </c>
      <c r="F51" s="326">
        <v>3.5550000000000002</v>
      </c>
      <c r="G51" s="325">
        <v>7.9</v>
      </c>
      <c r="H51" s="327"/>
      <c r="I51" s="320"/>
      <c r="K51" s="327"/>
    </row>
    <row r="52" spans="2:11" outlineLevel="1" x14ac:dyDescent="0.35">
      <c r="B52" s="48" t="s">
        <v>112</v>
      </c>
      <c r="C52" s="62" t="s">
        <v>223</v>
      </c>
      <c r="D52" s="326">
        <v>4.2750000000000004</v>
      </c>
      <c r="E52" s="364">
        <v>9.5</v>
      </c>
      <c r="F52" s="326">
        <v>3.5055000000000001</v>
      </c>
      <c r="G52" s="325">
        <v>7.79</v>
      </c>
      <c r="H52" s="327"/>
      <c r="I52" s="320"/>
      <c r="K52" s="327"/>
    </row>
    <row r="53" spans="2:11" outlineLevel="1" x14ac:dyDescent="0.35">
      <c r="B53" s="48" t="s">
        <v>113</v>
      </c>
      <c r="C53" s="62" t="s">
        <v>223</v>
      </c>
      <c r="D53" s="326">
        <v>0</v>
      </c>
      <c r="E53" s="364"/>
      <c r="F53" s="326"/>
      <c r="G53" s="325"/>
      <c r="H53" s="327"/>
      <c r="I53" s="320"/>
      <c r="K53" s="327"/>
    </row>
    <row r="54" spans="2:11" outlineLevel="1" x14ac:dyDescent="0.35">
      <c r="B54" s="48" t="s">
        <v>114</v>
      </c>
      <c r="C54" s="62" t="s">
        <v>223</v>
      </c>
      <c r="D54" s="326">
        <v>6.1920000000000002</v>
      </c>
      <c r="E54" s="364">
        <v>13.76</v>
      </c>
      <c r="F54" s="326">
        <v>3.5505</v>
      </c>
      <c r="G54" s="325">
        <v>7.89</v>
      </c>
      <c r="H54" s="327"/>
      <c r="I54" s="320"/>
      <c r="K54" s="327"/>
    </row>
    <row r="55" spans="2:11" outlineLevel="1" x14ac:dyDescent="0.35">
      <c r="B55" s="48" t="s">
        <v>115</v>
      </c>
      <c r="C55" s="62" t="s">
        <v>223</v>
      </c>
      <c r="D55" s="326">
        <v>6.1559999999999997</v>
      </c>
      <c r="E55" s="364">
        <v>13.68</v>
      </c>
      <c r="F55" s="326">
        <v>5.1884999999999994</v>
      </c>
      <c r="G55" s="325">
        <v>11.53</v>
      </c>
      <c r="H55" s="327"/>
      <c r="I55" s="320"/>
      <c r="K55" s="327"/>
    </row>
    <row r="56" spans="2:11" outlineLevel="1" x14ac:dyDescent="0.35">
      <c r="B56" s="48" t="s">
        <v>116</v>
      </c>
      <c r="C56" s="62" t="s">
        <v>223</v>
      </c>
      <c r="D56" s="326">
        <v>9.0809999999999995</v>
      </c>
      <c r="E56" s="364">
        <v>20.18</v>
      </c>
      <c r="F56" s="326">
        <v>5.6384999999999996</v>
      </c>
      <c r="G56" s="325">
        <v>12.53</v>
      </c>
      <c r="H56" s="327"/>
      <c r="I56" s="320"/>
      <c r="K56" s="327"/>
    </row>
    <row r="57" spans="2:11" outlineLevel="1" x14ac:dyDescent="0.35">
      <c r="B57" s="48" t="s">
        <v>117</v>
      </c>
      <c r="C57" s="62" t="s">
        <v>223</v>
      </c>
      <c r="D57" s="326">
        <v>4.6755000000000004</v>
      </c>
      <c r="E57" s="364">
        <v>10.39</v>
      </c>
      <c r="F57" s="326">
        <v>3.5190000000000001</v>
      </c>
      <c r="G57" s="325">
        <v>7.82</v>
      </c>
      <c r="H57" s="327"/>
      <c r="I57" s="320"/>
      <c r="K57" s="327"/>
    </row>
    <row r="58" spans="2:11" outlineLevel="1" x14ac:dyDescent="0.35">
      <c r="B58" s="48" t="s">
        <v>118</v>
      </c>
      <c r="C58" s="62" t="s">
        <v>223</v>
      </c>
      <c r="D58" s="326">
        <v>8.8515000000000015</v>
      </c>
      <c r="E58" s="364">
        <v>19.670000000000002</v>
      </c>
      <c r="F58" s="326">
        <v>5.7554999999999996</v>
      </c>
      <c r="G58" s="325">
        <v>12.79</v>
      </c>
      <c r="H58" s="327"/>
      <c r="I58" s="320"/>
      <c r="K58" s="327"/>
    </row>
    <row r="59" spans="2:11" outlineLevel="1" x14ac:dyDescent="0.35">
      <c r="B59" s="48" t="s">
        <v>119</v>
      </c>
      <c r="C59" s="62" t="s">
        <v>223</v>
      </c>
      <c r="D59" s="326">
        <v>0</v>
      </c>
      <c r="E59" s="364"/>
      <c r="F59" s="326"/>
      <c r="G59" s="325"/>
      <c r="H59" s="327"/>
      <c r="I59" s="320"/>
      <c r="K59" s="327"/>
    </row>
    <row r="60" spans="2:11" outlineLevel="1" x14ac:dyDescent="0.35">
      <c r="B60" s="48" t="s">
        <v>120</v>
      </c>
      <c r="C60" s="62" t="s">
        <v>223</v>
      </c>
      <c r="D60" s="326">
        <v>4.2435</v>
      </c>
      <c r="E60" s="364">
        <v>9.43</v>
      </c>
      <c r="F60" s="326">
        <v>3.5055000000000001</v>
      </c>
      <c r="G60" s="325">
        <v>7.79</v>
      </c>
      <c r="H60" s="327"/>
      <c r="I60" s="320"/>
      <c r="K60" s="327"/>
    </row>
    <row r="61" spans="2:11" outlineLevel="1" x14ac:dyDescent="0.35">
      <c r="B61" s="48" t="s">
        <v>121</v>
      </c>
      <c r="C61" s="62" t="s">
        <v>223</v>
      </c>
      <c r="D61" s="326">
        <v>4.1399999999999997</v>
      </c>
      <c r="E61" s="364">
        <v>9.1999999999999993</v>
      </c>
      <c r="F61" s="326">
        <v>3.5550000000000002</v>
      </c>
      <c r="G61" s="325">
        <v>7.9</v>
      </c>
      <c r="H61" s="327"/>
      <c r="I61" s="320"/>
      <c r="K61" s="327"/>
    </row>
    <row r="62" spans="2:11" outlineLevel="1" x14ac:dyDescent="0.35">
      <c r="B62" s="48" t="s">
        <v>137</v>
      </c>
      <c r="C62" s="62" t="s">
        <v>223</v>
      </c>
      <c r="D62" s="326">
        <v>0</v>
      </c>
      <c r="E62" s="364"/>
      <c r="F62" s="326"/>
      <c r="G62" s="325"/>
      <c r="H62" s="327"/>
      <c r="I62" s="320"/>
      <c r="K62" s="327"/>
    </row>
    <row r="63" spans="2:11" outlineLevel="1" x14ac:dyDescent="0.35">
      <c r="B63" s="48" t="s">
        <v>123</v>
      </c>
      <c r="C63" s="62" t="s">
        <v>223</v>
      </c>
      <c r="D63" s="326">
        <v>8.6130000000000013</v>
      </c>
      <c r="E63" s="364">
        <v>19.14</v>
      </c>
      <c r="F63" s="326">
        <v>5.6475000000000009</v>
      </c>
      <c r="G63" s="325">
        <v>12.55</v>
      </c>
      <c r="H63" s="327"/>
      <c r="I63" s="320"/>
      <c r="K63" s="327"/>
    </row>
    <row r="64" spans="2:11" outlineLevel="1" x14ac:dyDescent="0.35">
      <c r="B64" s="48" t="s">
        <v>124</v>
      </c>
      <c r="C64" s="62" t="s">
        <v>223</v>
      </c>
      <c r="D64" s="326">
        <v>4.5045000000000002</v>
      </c>
      <c r="E64" s="364">
        <v>10.01</v>
      </c>
      <c r="F64" s="326">
        <v>3.4379999999999997</v>
      </c>
      <c r="G64" s="325">
        <v>7.64</v>
      </c>
      <c r="H64" s="327"/>
      <c r="I64" s="320"/>
      <c r="K64" s="327"/>
    </row>
    <row r="65" spans="2:35" outlineLevel="1" x14ac:dyDescent="0.35">
      <c r="B65" s="48" t="s">
        <v>125</v>
      </c>
      <c r="C65" s="62" t="s">
        <v>223</v>
      </c>
      <c r="D65" s="326">
        <v>4.41</v>
      </c>
      <c r="E65" s="364">
        <v>9.8000000000000007</v>
      </c>
      <c r="F65" s="326">
        <v>3.5145</v>
      </c>
      <c r="G65" s="325">
        <v>7.81</v>
      </c>
      <c r="H65" s="327"/>
      <c r="I65" s="320"/>
      <c r="K65" s="327"/>
    </row>
    <row r="66" spans="2:35" outlineLevel="1" x14ac:dyDescent="0.35">
      <c r="B66" s="48" t="s">
        <v>126</v>
      </c>
      <c r="C66" s="62" t="s">
        <v>223</v>
      </c>
      <c r="D66" s="326">
        <v>8.3609999999999989</v>
      </c>
      <c r="E66" s="364">
        <v>18.579999999999998</v>
      </c>
      <c r="F66" s="326">
        <v>5.6610000000000005</v>
      </c>
      <c r="G66" s="325">
        <v>12.58</v>
      </c>
      <c r="H66" s="327"/>
      <c r="I66" s="320"/>
      <c r="K66" s="327"/>
    </row>
    <row r="67" spans="2:35" outlineLevel="1" x14ac:dyDescent="0.35">
      <c r="B67" s="48" t="s">
        <v>127</v>
      </c>
      <c r="C67" s="62" t="s">
        <v>223</v>
      </c>
      <c r="D67" s="326">
        <v>0</v>
      </c>
      <c r="E67" s="367"/>
      <c r="F67" s="326"/>
      <c r="G67" s="85"/>
      <c r="H67" s="327"/>
      <c r="I67" s="320"/>
      <c r="K67" s="327"/>
    </row>
    <row r="68" spans="2:35" ht="15" customHeight="1" x14ac:dyDescent="0.35"/>
    <row r="69" spans="2:35" ht="15.5" x14ac:dyDescent="0.35">
      <c r="B69" s="419" t="s">
        <v>139</v>
      </c>
      <c r="C69" s="419"/>
      <c r="D69" s="419"/>
      <c r="E69" s="419"/>
      <c r="F69" s="419"/>
      <c r="G69" s="419"/>
    </row>
    <row r="70" spans="2:35" ht="5.9" customHeight="1" outlineLevel="1" x14ac:dyDescent="0.35">
      <c r="B70" s="103"/>
      <c r="C70" s="103"/>
      <c r="D70" s="103"/>
      <c r="E70" s="366"/>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row>
    <row r="71" spans="2:35" outlineLevel="1" x14ac:dyDescent="0.35">
      <c r="B71" s="459"/>
      <c r="C71" s="450" t="s">
        <v>134</v>
      </c>
      <c r="D71" s="439" t="s">
        <v>169</v>
      </c>
      <c r="E71" s="458"/>
      <c r="F71" s="439" t="s">
        <v>170</v>
      </c>
      <c r="G71" s="458"/>
    </row>
    <row r="72" spans="2:35" outlineLevel="1" x14ac:dyDescent="0.35">
      <c r="B72" s="460"/>
      <c r="C72" s="451"/>
      <c r="D72" s="439" t="str">
        <f>($C$3-5)&amp;" - "&amp;($C$3-1)</f>
        <v>2019 - 2023</v>
      </c>
      <c r="E72" s="458"/>
      <c r="F72" s="439" t="s">
        <v>220</v>
      </c>
      <c r="G72" s="458"/>
    </row>
    <row r="73" spans="2:35" outlineLevel="1" x14ac:dyDescent="0.35">
      <c r="B73" s="461"/>
      <c r="C73" s="452"/>
      <c r="D73" s="78" t="s">
        <v>221</v>
      </c>
      <c r="E73" s="362" t="s">
        <v>222</v>
      </c>
      <c r="F73" s="78" t="s">
        <v>221</v>
      </c>
      <c r="G73" s="82" t="s">
        <v>222</v>
      </c>
    </row>
    <row r="74" spans="2:35" outlineLevel="1" x14ac:dyDescent="0.35">
      <c r="B74" s="48" t="s">
        <v>74</v>
      </c>
      <c r="C74" s="62" t="s">
        <v>223</v>
      </c>
      <c r="D74" s="385">
        <v>0.87749999999999995</v>
      </c>
      <c r="E74" s="368">
        <v>1.954</v>
      </c>
      <c r="F74" s="363">
        <v>0.87749999999999995</v>
      </c>
      <c r="G74" s="325">
        <v>1.954</v>
      </c>
    </row>
    <row r="75" spans="2:35" outlineLevel="1" x14ac:dyDescent="0.35">
      <c r="B75" s="48" t="s">
        <v>75</v>
      </c>
      <c r="C75" s="62" t="s">
        <v>223</v>
      </c>
      <c r="D75" s="385">
        <v>0.87749999999999995</v>
      </c>
      <c r="E75" s="369">
        <v>1.954</v>
      </c>
      <c r="F75" s="363">
        <v>0.87749999999999995</v>
      </c>
      <c r="G75" s="325">
        <v>1.954</v>
      </c>
    </row>
    <row r="76" spans="2:35" outlineLevel="1" x14ac:dyDescent="0.35">
      <c r="B76" s="48" t="s">
        <v>76</v>
      </c>
      <c r="C76" s="62" t="s">
        <v>223</v>
      </c>
      <c r="D76" s="385">
        <v>0.87749999999999995</v>
      </c>
      <c r="E76" s="369">
        <v>1.954</v>
      </c>
      <c r="F76" s="363">
        <v>0.87749999999999995</v>
      </c>
      <c r="G76" s="325">
        <v>1.954</v>
      </c>
    </row>
    <row r="77" spans="2:35" outlineLevel="1" x14ac:dyDescent="0.35">
      <c r="B77" s="48" t="s">
        <v>77</v>
      </c>
      <c r="C77" s="62" t="s">
        <v>223</v>
      </c>
      <c r="D77" s="385">
        <v>0.87749999999999995</v>
      </c>
      <c r="E77" s="369">
        <v>1.954</v>
      </c>
      <c r="F77" s="363">
        <v>0.87749999999999995</v>
      </c>
      <c r="G77" s="325">
        <v>1.954</v>
      </c>
    </row>
    <row r="78" spans="2:35" outlineLevel="1" x14ac:dyDescent="0.35">
      <c r="B78" s="48" t="s">
        <v>78</v>
      </c>
      <c r="C78" s="62" t="s">
        <v>223</v>
      </c>
      <c r="D78" s="385">
        <v>0.87749999999999995</v>
      </c>
      <c r="E78" s="369">
        <v>1.954</v>
      </c>
      <c r="F78" s="363">
        <v>0.87749999999999995</v>
      </c>
      <c r="G78" s="325">
        <v>1.954</v>
      </c>
    </row>
    <row r="79" spans="2:35" outlineLevel="1" x14ac:dyDescent="0.35">
      <c r="B79" s="48" t="s">
        <v>79</v>
      </c>
      <c r="C79" s="62" t="s">
        <v>223</v>
      </c>
      <c r="D79" s="385">
        <v>0.87749999999999995</v>
      </c>
      <c r="E79" s="369">
        <v>1.954</v>
      </c>
      <c r="F79" s="363">
        <v>0.87749999999999995</v>
      </c>
      <c r="G79" s="325">
        <v>1.954</v>
      </c>
    </row>
    <row r="80" spans="2:35" outlineLevel="1" x14ac:dyDescent="0.35">
      <c r="B80" s="48" t="s">
        <v>80</v>
      </c>
      <c r="C80" s="62" t="s">
        <v>223</v>
      </c>
      <c r="D80" s="385">
        <v>0.87749999999999995</v>
      </c>
      <c r="E80" s="369">
        <v>1.954</v>
      </c>
      <c r="F80" s="363">
        <v>0.87749999999999995</v>
      </c>
      <c r="G80" s="325">
        <v>1.954</v>
      </c>
    </row>
    <row r="81" spans="2:7" outlineLevel="1" x14ac:dyDescent="0.35">
      <c r="B81" s="48" t="s">
        <v>81</v>
      </c>
      <c r="C81" s="62" t="s">
        <v>223</v>
      </c>
      <c r="D81" s="385">
        <v>0.87749999999999995</v>
      </c>
      <c r="E81" s="369">
        <v>1.954</v>
      </c>
      <c r="F81" s="363">
        <v>0.87749999999999995</v>
      </c>
      <c r="G81" s="325">
        <v>1.954</v>
      </c>
    </row>
    <row r="82" spans="2:7" outlineLevel="1" x14ac:dyDescent="0.35">
      <c r="B82" s="48" t="s">
        <v>82</v>
      </c>
      <c r="C82" s="62" t="s">
        <v>223</v>
      </c>
      <c r="D82" s="385"/>
      <c r="E82" s="369"/>
      <c r="F82" s="363"/>
      <c r="G82" s="325"/>
    </row>
    <row r="83" spans="2:7" outlineLevel="1" x14ac:dyDescent="0.35">
      <c r="B83" s="48" t="s">
        <v>83</v>
      </c>
      <c r="C83" s="62" t="s">
        <v>223</v>
      </c>
      <c r="D83" s="385">
        <v>0.87749999999999995</v>
      </c>
      <c r="E83" s="369">
        <v>1.954</v>
      </c>
      <c r="F83" s="363">
        <v>0.87749999999999995</v>
      </c>
      <c r="G83" s="325">
        <v>1.954</v>
      </c>
    </row>
    <row r="84" spans="2:7" outlineLevel="1" x14ac:dyDescent="0.35">
      <c r="B84" s="48" t="s">
        <v>84</v>
      </c>
      <c r="C84" s="62" t="s">
        <v>223</v>
      </c>
      <c r="D84" s="385">
        <v>0.87749999999999995</v>
      </c>
      <c r="E84" s="369">
        <v>1.954</v>
      </c>
      <c r="F84" s="363">
        <v>0.87749999999999995</v>
      </c>
      <c r="G84" s="325">
        <v>1.954</v>
      </c>
    </row>
    <row r="85" spans="2:7" outlineLevel="1" x14ac:dyDescent="0.35">
      <c r="B85" s="48" t="s">
        <v>85</v>
      </c>
      <c r="C85" s="62" t="s">
        <v>223</v>
      </c>
      <c r="D85" s="385">
        <v>0.87749999999999995</v>
      </c>
      <c r="E85" s="369">
        <v>1.954</v>
      </c>
      <c r="F85" s="363">
        <v>0.87749999999999995</v>
      </c>
      <c r="G85" s="325">
        <v>1.954</v>
      </c>
    </row>
    <row r="86" spans="2:7" outlineLevel="1" x14ac:dyDescent="0.35">
      <c r="B86" s="48" t="s">
        <v>86</v>
      </c>
      <c r="C86" s="62" t="s">
        <v>223</v>
      </c>
      <c r="D86" s="385">
        <v>0.87749999999999995</v>
      </c>
      <c r="E86" s="369">
        <v>1.954</v>
      </c>
      <c r="F86" s="363">
        <v>0.87749999999999995</v>
      </c>
      <c r="G86" s="325">
        <v>1.954</v>
      </c>
    </row>
    <row r="87" spans="2:7" outlineLevel="1" x14ac:dyDescent="0.35">
      <c r="B87" s="48" t="s">
        <v>87</v>
      </c>
      <c r="C87" s="62" t="s">
        <v>223</v>
      </c>
      <c r="D87" s="385">
        <v>0.87749999999999995</v>
      </c>
      <c r="E87" s="369">
        <v>1.954</v>
      </c>
      <c r="F87" s="363">
        <v>0.87749999999999995</v>
      </c>
      <c r="G87" s="325">
        <v>1.954</v>
      </c>
    </row>
    <row r="88" spans="2:7" outlineLevel="1" x14ac:dyDescent="0.35">
      <c r="B88" s="48" t="s">
        <v>88</v>
      </c>
      <c r="C88" s="62" t="s">
        <v>223</v>
      </c>
      <c r="D88" s="385">
        <v>0.87749999999999995</v>
      </c>
      <c r="E88" s="369">
        <v>1.954</v>
      </c>
      <c r="F88" s="363">
        <v>0.87749999999999995</v>
      </c>
      <c r="G88" s="325">
        <v>1.954</v>
      </c>
    </row>
    <row r="89" spans="2:7" outlineLevel="1" x14ac:dyDescent="0.35">
      <c r="B89" s="48" t="s">
        <v>89</v>
      </c>
      <c r="C89" s="62" t="s">
        <v>223</v>
      </c>
      <c r="D89" s="385">
        <v>0.87749999999999995</v>
      </c>
      <c r="E89" s="369">
        <v>1.954</v>
      </c>
      <c r="F89" s="363">
        <v>0.87749999999999995</v>
      </c>
      <c r="G89" s="325">
        <v>1.954</v>
      </c>
    </row>
    <row r="90" spans="2:7" outlineLevel="1" x14ac:dyDescent="0.35">
      <c r="B90" s="48" t="s">
        <v>90</v>
      </c>
      <c r="C90" s="62" t="s">
        <v>223</v>
      </c>
      <c r="D90" s="385">
        <v>0.87749999999999995</v>
      </c>
      <c r="E90" s="369">
        <v>1.954</v>
      </c>
      <c r="F90" s="363">
        <v>0.87749999999999995</v>
      </c>
      <c r="G90" s="325">
        <v>1.954</v>
      </c>
    </row>
    <row r="91" spans="2:7" outlineLevel="1" x14ac:dyDescent="0.35">
      <c r="B91" s="48" t="s">
        <v>91</v>
      </c>
      <c r="C91" s="62" t="s">
        <v>223</v>
      </c>
      <c r="D91" s="385">
        <v>0.87749999999999995</v>
      </c>
      <c r="E91" s="369">
        <v>1.954</v>
      </c>
      <c r="F91" s="363"/>
      <c r="G91" s="325"/>
    </row>
    <row r="92" spans="2:7" outlineLevel="1" x14ac:dyDescent="0.35">
      <c r="B92" s="48" t="s">
        <v>92</v>
      </c>
      <c r="C92" s="62" t="s">
        <v>223</v>
      </c>
      <c r="D92" s="385">
        <v>0.87749999999999995</v>
      </c>
      <c r="E92" s="369">
        <v>1.954</v>
      </c>
      <c r="F92" s="363">
        <v>0.87749999999999995</v>
      </c>
      <c r="G92" s="325">
        <v>1.954</v>
      </c>
    </row>
    <row r="93" spans="2:7" outlineLevel="1" x14ac:dyDescent="0.35">
      <c r="B93" s="48" t="s">
        <v>93</v>
      </c>
      <c r="C93" s="62" t="s">
        <v>223</v>
      </c>
      <c r="D93" s="385">
        <v>0.87749999999999995</v>
      </c>
      <c r="E93" s="369">
        <v>1.954</v>
      </c>
      <c r="F93" s="363">
        <v>0.87749999999999995</v>
      </c>
      <c r="G93" s="325">
        <v>1.954</v>
      </c>
    </row>
    <row r="94" spans="2:7" outlineLevel="1" x14ac:dyDescent="0.35">
      <c r="B94" s="48" t="s">
        <v>94</v>
      </c>
      <c r="C94" s="62" t="s">
        <v>223</v>
      </c>
      <c r="D94" s="385">
        <v>0.87749999999999995</v>
      </c>
      <c r="E94" s="369">
        <v>1.954</v>
      </c>
      <c r="F94" s="363">
        <v>0.87749999999999995</v>
      </c>
      <c r="G94" s="325">
        <v>1.954</v>
      </c>
    </row>
    <row r="95" spans="2:7" outlineLevel="1" x14ac:dyDescent="0.35">
      <c r="B95" s="48" t="s">
        <v>95</v>
      </c>
      <c r="C95" s="62" t="s">
        <v>223</v>
      </c>
      <c r="D95" s="385">
        <v>0.87749999999999995</v>
      </c>
      <c r="E95" s="369">
        <v>1.954</v>
      </c>
      <c r="F95" s="363">
        <v>0.87749999999999995</v>
      </c>
      <c r="G95" s="325">
        <v>1.954</v>
      </c>
    </row>
    <row r="96" spans="2:7" outlineLevel="1" x14ac:dyDescent="0.35">
      <c r="B96" s="48" t="s">
        <v>96</v>
      </c>
      <c r="C96" s="62" t="s">
        <v>223</v>
      </c>
      <c r="D96" s="385">
        <v>0.87749999999999995</v>
      </c>
      <c r="E96" s="369">
        <v>1.954</v>
      </c>
      <c r="F96" s="363">
        <v>0.87749999999999995</v>
      </c>
      <c r="G96" s="325">
        <v>1.954</v>
      </c>
    </row>
    <row r="97" spans="2:7" outlineLevel="1" x14ac:dyDescent="0.35">
      <c r="B97" s="48" t="s">
        <v>97</v>
      </c>
      <c r="C97" s="62" t="s">
        <v>223</v>
      </c>
      <c r="D97" s="385">
        <v>0.87749999999999995</v>
      </c>
      <c r="E97" s="369">
        <v>1.954</v>
      </c>
      <c r="F97" s="363">
        <v>0.87749999999999995</v>
      </c>
      <c r="G97" s="325">
        <v>1.954</v>
      </c>
    </row>
    <row r="98" spans="2:7" outlineLevel="1" x14ac:dyDescent="0.35">
      <c r="B98" s="48" t="s">
        <v>98</v>
      </c>
      <c r="C98" s="62" t="s">
        <v>223</v>
      </c>
      <c r="D98" s="385">
        <v>0.87749999999999995</v>
      </c>
      <c r="E98" s="369">
        <v>1.954</v>
      </c>
      <c r="F98" s="363">
        <v>0.87749999999999995</v>
      </c>
      <c r="G98" s="325">
        <v>1.954</v>
      </c>
    </row>
    <row r="99" spans="2:7" outlineLevel="1" x14ac:dyDescent="0.35">
      <c r="B99" s="48" t="s">
        <v>99</v>
      </c>
      <c r="C99" s="62" t="s">
        <v>223</v>
      </c>
      <c r="D99" s="385">
        <v>0.87749999999999995</v>
      </c>
      <c r="E99" s="369">
        <v>1.954</v>
      </c>
      <c r="F99" s="363">
        <v>0.87749999999999995</v>
      </c>
      <c r="G99" s="325">
        <v>1.954</v>
      </c>
    </row>
    <row r="100" spans="2:7" outlineLevel="1" x14ac:dyDescent="0.35">
      <c r="B100" s="48" t="s">
        <v>100</v>
      </c>
      <c r="C100" s="62" t="s">
        <v>223</v>
      </c>
      <c r="D100" s="385">
        <v>0.87749999999999995</v>
      </c>
      <c r="E100" s="369">
        <v>1.954</v>
      </c>
      <c r="F100" s="363">
        <v>0.87749999999999995</v>
      </c>
      <c r="G100" s="325">
        <v>1.954</v>
      </c>
    </row>
    <row r="101" spans="2:7" outlineLevel="1" x14ac:dyDescent="0.35">
      <c r="B101" s="48" t="s">
        <v>101</v>
      </c>
      <c r="C101" s="62" t="s">
        <v>223</v>
      </c>
      <c r="D101" s="385">
        <v>0.87749999999999995</v>
      </c>
      <c r="E101" s="369">
        <v>1.954</v>
      </c>
      <c r="F101" s="363">
        <v>0.87749999999999995</v>
      </c>
      <c r="G101" s="325">
        <v>1.954</v>
      </c>
    </row>
    <row r="102" spans="2:7" outlineLevel="1" x14ac:dyDescent="0.35">
      <c r="B102" s="48" t="s">
        <v>102</v>
      </c>
      <c r="C102" s="62" t="s">
        <v>223</v>
      </c>
      <c r="D102" s="385">
        <v>0.87749999999999995</v>
      </c>
      <c r="E102" s="369">
        <v>1.954</v>
      </c>
      <c r="F102" s="363">
        <v>0.87749999999999995</v>
      </c>
      <c r="G102" s="325">
        <v>1.954</v>
      </c>
    </row>
    <row r="103" spans="2:7" outlineLevel="1" x14ac:dyDescent="0.35">
      <c r="B103" s="48" t="s">
        <v>103</v>
      </c>
      <c r="C103" s="62" t="s">
        <v>223</v>
      </c>
      <c r="D103" s="385">
        <v>0.87749999999999995</v>
      </c>
      <c r="E103" s="369">
        <v>1.954</v>
      </c>
      <c r="F103" s="363">
        <v>0.87749999999999995</v>
      </c>
      <c r="G103" s="325">
        <v>1.954</v>
      </c>
    </row>
    <row r="104" spans="2:7" outlineLevel="1" x14ac:dyDescent="0.35">
      <c r="B104" s="48" t="s">
        <v>104</v>
      </c>
      <c r="C104" s="62" t="s">
        <v>223</v>
      </c>
      <c r="D104" s="385"/>
      <c r="E104" s="369"/>
      <c r="F104" s="363">
        <v>0.87749999999999995</v>
      </c>
      <c r="G104" s="325">
        <v>1.954</v>
      </c>
    </row>
    <row r="105" spans="2:7" outlineLevel="1" x14ac:dyDescent="0.35">
      <c r="B105" s="48" t="s">
        <v>136</v>
      </c>
      <c r="C105" s="62" t="s">
        <v>223</v>
      </c>
      <c r="D105" s="385"/>
      <c r="E105" s="369"/>
      <c r="F105" s="363">
        <v>0.87749999999999995</v>
      </c>
      <c r="G105" s="325">
        <v>1.954</v>
      </c>
    </row>
    <row r="106" spans="2:7" outlineLevel="1" x14ac:dyDescent="0.35">
      <c r="B106" s="48" t="s">
        <v>106</v>
      </c>
      <c r="C106" s="62" t="s">
        <v>223</v>
      </c>
      <c r="D106" s="385">
        <v>0.87749999999999995</v>
      </c>
      <c r="E106" s="369">
        <v>1.954</v>
      </c>
      <c r="F106" s="363">
        <v>0.87749999999999995</v>
      </c>
      <c r="G106" s="325">
        <v>1.954</v>
      </c>
    </row>
    <row r="107" spans="2:7" outlineLevel="1" x14ac:dyDescent="0.35">
      <c r="B107" s="48" t="s">
        <v>107</v>
      </c>
      <c r="C107" s="62" t="s">
        <v>223</v>
      </c>
      <c r="D107" s="385">
        <v>0.87749999999999995</v>
      </c>
      <c r="E107" s="369">
        <v>1.954</v>
      </c>
      <c r="F107" s="363">
        <v>0.87749999999999995</v>
      </c>
      <c r="G107" s="325">
        <v>1.954</v>
      </c>
    </row>
    <row r="108" spans="2:7" outlineLevel="1" x14ac:dyDescent="0.35">
      <c r="B108" s="48" t="s">
        <v>108</v>
      </c>
      <c r="C108" s="62" t="s">
        <v>223</v>
      </c>
      <c r="D108" s="385">
        <v>0.87749999999999995</v>
      </c>
      <c r="E108" s="369">
        <v>1.954</v>
      </c>
      <c r="F108" s="363">
        <v>0.87749999999999995</v>
      </c>
      <c r="G108" s="325">
        <v>1.954</v>
      </c>
    </row>
    <row r="109" spans="2:7" outlineLevel="1" x14ac:dyDescent="0.35">
      <c r="B109" s="48" t="s">
        <v>109</v>
      </c>
      <c r="C109" s="62" t="s">
        <v>223</v>
      </c>
      <c r="D109" s="385">
        <v>0.87749999999999995</v>
      </c>
      <c r="E109" s="369">
        <v>1.954</v>
      </c>
      <c r="F109" s="363">
        <v>0.87749999999999995</v>
      </c>
      <c r="G109" s="325">
        <v>1.954</v>
      </c>
    </row>
    <row r="110" spans="2:7" outlineLevel="1" x14ac:dyDescent="0.35">
      <c r="B110" s="48" t="s">
        <v>110</v>
      </c>
      <c r="C110" s="62" t="s">
        <v>223</v>
      </c>
      <c r="D110" s="385">
        <v>0.87749999999999995</v>
      </c>
      <c r="E110" s="369">
        <v>1.954</v>
      </c>
      <c r="F110" s="363">
        <v>0.87749999999999995</v>
      </c>
      <c r="G110" s="325">
        <v>1.954</v>
      </c>
    </row>
    <row r="111" spans="2:7" outlineLevel="1" x14ac:dyDescent="0.35">
      <c r="B111" s="48" t="s">
        <v>111</v>
      </c>
      <c r="C111" s="62" t="s">
        <v>223</v>
      </c>
      <c r="D111" s="385">
        <v>0.87749999999999995</v>
      </c>
      <c r="E111" s="369">
        <v>1.954</v>
      </c>
      <c r="F111" s="363">
        <v>0.87749999999999995</v>
      </c>
      <c r="G111" s="325">
        <v>1.954</v>
      </c>
    </row>
    <row r="112" spans="2:7" outlineLevel="1" x14ac:dyDescent="0.35">
      <c r="B112" s="48" t="s">
        <v>112</v>
      </c>
      <c r="C112" s="62" t="s">
        <v>223</v>
      </c>
      <c r="D112" s="385">
        <v>0.87749999999999995</v>
      </c>
      <c r="E112" s="369">
        <v>1.954</v>
      </c>
      <c r="F112" s="363">
        <v>0.87749999999999995</v>
      </c>
      <c r="G112" s="325">
        <v>1.954</v>
      </c>
    </row>
    <row r="113" spans="2:7" outlineLevel="1" x14ac:dyDescent="0.35">
      <c r="B113" s="48" t="s">
        <v>113</v>
      </c>
      <c r="C113" s="62" t="s">
        <v>223</v>
      </c>
      <c r="D113" s="385">
        <v>0.87749999999999995</v>
      </c>
      <c r="E113" s="369">
        <v>1.954</v>
      </c>
      <c r="F113" s="363">
        <v>0.87749999999999995</v>
      </c>
      <c r="G113" s="325">
        <v>1.954</v>
      </c>
    </row>
    <row r="114" spans="2:7" outlineLevel="1" x14ac:dyDescent="0.35">
      <c r="B114" s="48" t="s">
        <v>114</v>
      </c>
      <c r="C114" s="62" t="s">
        <v>223</v>
      </c>
      <c r="D114" s="385">
        <v>0.87749999999999995</v>
      </c>
      <c r="E114" s="369">
        <v>1.954</v>
      </c>
      <c r="F114" s="363">
        <v>0.87749999999999995</v>
      </c>
      <c r="G114" s="325">
        <v>1.954</v>
      </c>
    </row>
    <row r="115" spans="2:7" outlineLevel="1" x14ac:dyDescent="0.35">
      <c r="B115" s="48" t="s">
        <v>115</v>
      </c>
      <c r="C115" s="62" t="s">
        <v>223</v>
      </c>
      <c r="D115" s="385">
        <v>0.87749999999999995</v>
      </c>
      <c r="E115" s="369">
        <v>1.954</v>
      </c>
      <c r="F115" s="363">
        <v>0.87749999999999995</v>
      </c>
      <c r="G115" s="325">
        <v>1.954</v>
      </c>
    </row>
    <row r="116" spans="2:7" outlineLevel="1" x14ac:dyDescent="0.35">
      <c r="B116" s="48" t="s">
        <v>116</v>
      </c>
      <c r="C116" s="62" t="s">
        <v>223</v>
      </c>
      <c r="D116" s="385">
        <v>0.87749999999999995</v>
      </c>
      <c r="E116" s="369">
        <v>1.954</v>
      </c>
      <c r="F116" s="363">
        <v>0.87749999999999995</v>
      </c>
      <c r="G116" s="325">
        <v>1.954</v>
      </c>
    </row>
    <row r="117" spans="2:7" outlineLevel="1" x14ac:dyDescent="0.35">
      <c r="B117" s="48" t="s">
        <v>117</v>
      </c>
      <c r="C117" s="62" t="s">
        <v>223</v>
      </c>
      <c r="D117" s="385">
        <v>0.87749999999999995</v>
      </c>
      <c r="E117" s="369">
        <v>1.954</v>
      </c>
      <c r="F117" s="363">
        <v>0.87749999999999995</v>
      </c>
      <c r="G117" s="325">
        <v>1.954</v>
      </c>
    </row>
    <row r="118" spans="2:7" outlineLevel="1" x14ac:dyDescent="0.35">
      <c r="B118" s="48" t="s">
        <v>118</v>
      </c>
      <c r="C118" s="62" t="s">
        <v>223</v>
      </c>
      <c r="D118" s="385">
        <v>0.87749999999999995</v>
      </c>
      <c r="E118" s="369">
        <v>1.954</v>
      </c>
      <c r="F118" s="363">
        <v>0.87749999999999995</v>
      </c>
      <c r="G118" s="325">
        <v>1.954</v>
      </c>
    </row>
    <row r="119" spans="2:7" outlineLevel="1" x14ac:dyDescent="0.35">
      <c r="B119" s="48" t="s">
        <v>119</v>
      </c>
      <c r="C119" s="62" t="s">
        <v>223</v>
      </c>
      <c r="D119" s="385"/>
      <c r="E119" s="369"/>
      <c r="F119" s="363"/>
      <c r="G119" s="325"/>
    </row>
    <row r="120" spans="2:7" outlineLevel="1" x14ac:dyDescent="0.35">
      <c r="B120" s="48" t="s">
        <v>120</v>
      </c>
      <c r="C120" s="62" t="s">
        <v>223</v>
      </c>
      <c r="D120" s="385">
        <v>0.87749999999999995</v>
      </c>
      <c r="E120" s="369">
        <v>1.954</v>
      </c>
      <c r="F120" s="363">
        <v>0.87749999999999995</v>
      </c>
      <c r="G120" s="325">
        <v>1.954</v>
      </c>
    </row>
    <row r="121" spans="2:7" outlineLevel="1" x14ac:dyDescent="0.35">
      <c r="B121" s="48" t="s">
        <v>121</v>
      </c>
      <c r="C121" s="62" t="s">
        <v>223</v>
      </c>
      <c r="D121" s="385">
        <v>0.87749999999999995</v>
      </c>
      <c r="E121" s="369">
        <v>1.954</v>
      </c>
      <c r="F121" s="363">
        <v>0.87749999999999995</v>
      </c>
      <c r="G121" s="325">
        <v>1.954</v>
      </c>
    </row>
    <row r="122" spans="2:7" outlineLevel="1" x14ac:dyDescent="0.35">
      <c r="B122" s="48" t="s">
        <v>137</v>
      </c>
      <c r="C122" s="62" t="s">
        <v>223</v>
      </c>
      <c r="D122" s="385"/>
      <c r="E122" s="369"/>
      <c r="F122" s="363"/>
      <c r="G122" s="325"/>
    </row>
    <row r="123" spans="2:7" outlineLevel="1" x14ac:dyDescent="0.35">
      <c r="B123" s="48" t="s">
        <v>123</v>
      </c>
      <c r="C123" s="62" t="s">
        <v>223</v>
      </c>
      <c r="D123" s="385">
        <v>0.87749999999999995</v>
      </c>
      <c r="E123" s="369">
        <v>1.954</v>
      </c>
      <c r="F123" s="363">
        <v>0.87749999999999995</v>
      </c>
      <c r="G123" s="325">
        <v>1.954</v>
      </c>
    </row>
    <row r="124" spans="2:7" outlineLevel="1" x14ac:dyDescent="0.35">
      <c r="B124" s="48" t="s">
        <v>124</v>
      </c>
      <c r="C124" s="62" t="s">
        <v>223</v>
      </c>
      <c r="D124" s="385">
        <v>0.87749999999999995</v>
      </c>
      <c r="E124" s="369">
        <v>1.954</v>
      </c>
      <c r="F124" s="363">
        <v>0.87749999999999995</v>
      </c>
      <c r="G124" s="325">
        <v>1.954</v>
      </c>
    </row>
    <row r="125" spans="2:7" outlineLevel="1" x14ac:dyDescent="0.35">
      <c r="B125" s="48" t="s">
        <v>125</v>
      </c>
      <c r="C125" s="62" t="s">
        <v>223</v>
      </c>
      <c r="D125" s="385">
        <v>0.87749999999999995</v>
      </c>
      <c r="E125" s="369">
        <v>1.954</v>
      </c>
      <c r="F125" s="363">
        <v>0.87749999999999995</v>
      </c>
      <c r="G125" s="325">
        <v>1.954</v>
      </c>
    </row>
    <row r="126" spans="2:7" outlineLevel="1" x14ac:dyDescent="0.35">
      <c r="B126" s="48" t="s">
        <v>126</v>
      </c>
      <c r="C126" s="62" t="s">
        <v>223</v>
      </c>
      <c r="D126" s="385">
        <v>0.87749999999999995</v>
      </c>
      <c r="E126" s="369">
        <v>1.954</v>
      </c>
      <c r="F126" s="363">
        <v>0.87749999999999995</v>
      </c>
      <c r="G126" s="325">
        <v>1.954</v>
      </c>
    </row>
    <row r="127" spans="2:7" outlineLevel="1" x14ac:dyDescent="0.35">
      <c r="B127" s="48" t="s">
        <v>127</v>
      </c>
      <c r="C127" s="62" t="s">
        <v>223</v>
      </c>
      <c r="D127" s="361"/>
      <c r="E127" s="370"/>
      <c r="F127" s="363"/>
      <c r="G127" s="325"/>
    </row>
    <row r="128" spans="2:7" ht="15" customHeight="1" x14ac:dyDescent="0.35"/>
    <row r="129" spans="2:35" ht="15.5" x14ac:dyDescent="0.35">
      <c r="B129" s="419" t="s">
        <v>52</v>
      </c>
      <c r="C129" s="419"/>
      <c r="D129" s="419"/>
      <c r="E129" s="419"/>
      <c r="F129" s="419"/>
      <c r="G129" s="419"/>
    </row>
    <row r="130" spans="2:35" ht="5.9" customHeight="1" outlineLevel="1" x14ac:dyDescent="0.35">
      <c r="B130" s="103"/>
      <c r="C130" s="103"/>
      <c r="D130" s="103"/>
      <c r="E130" s="366"/>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row>
    <row r="131" spans="2:35" outlineLevel="1" x14ac:dyDescent="0.35">
      <c r="B131" s="459"/>
      <c r="C131" s="481" t="s">
        <v>134</v>
      </c>
      <c r="D131" s="439" t="s">
        <v>169</v>
      </c>
      <c r="E131" s="458"/>
      <c r="F131" s="439" t="s">
        <v>170</v>
      </c>
      <c r="G131" s="458"/>
    </row>
    <row r="132" spans="2:35" outlineLevel="1" x14ac:dyDescent="0.35">
      <c r="B132" s="460"/>
      <c r="C132" s="482"/>
      <c r="D132" s="439" t="str">
        <f>($C$3-5)&amp;" - "&amp;($C$3-1)</f>
        <v>2019 - 2023</v>
      </c>
      <c r="E132" s="458"/>
      <c r="F132" s="439" t="s">
        <v>220</v>
      </c>
      <c r="G132" s="458"/>
    </row>
    <row r="133" spans="2:35" outlineLevel="1" x14ac:dyDescent="0.35">
      <c r="B133" s="461"/>
      <c r="C133" s="483"/>
      <c r="D133" s="78" t="s">
        <v>221</v>
      </c>
      <c r="E133" s="82" t="s">
        <v>222</v>
      </c>
      <c r="F133" s="78" t="s">
        <v>221</v>
      </c>
      <c r="G133" s="82" t="s">
        <v>222</v>
      </c>
    </row>
    <row r="134" spans="2:35" outlineLevel="1" x14ac:dyDescent="0.35">
      <c r="B134" s="48" t="s">
        <v>74</v>
      </c>
      <c r="C134" s="62" t="s">
        <v>223</v>
      </c>
      <c r="D134" s="326">
        <v>36.877500000000005</v>
      </c>
      <c r="E134" s="364">
        <v>81.95</v>
      </c>
      <c r="F134" s="326">
        <v>31.549500000000002</v>
      </c>
      <c r="G134" s="325">
        <v>70.11</v>
      </c>
      <c r="H134" s="360"/>
    </row>
    <row r="135" spans="2:35" outlineLevel="1" x14ac:dyDescent="0.35">
      <c r="B135" s="48" t="s">
        <v>75</v>
      </c>
      <c r="C135" s="62" t="s">
        <v>223</v>
      </c>
      <c r="D135" s="326">
        <v>95.359499999999997</v>
      </c>
      <c r="E135" s="364">
        <v>211.91</v>
      </c>
      <c r="F135" s="326">
        <v>31.549500000000002</v>
      </c>
      <c r="G135" s="325">
        <v>70.11</v>
      </c>
      <c r="H135" s="360"/>
    </row>
    <row r="136" spans="2:35" outlineLevel="1" x14ac:dyDescent="0.35">
      <c r="B136" s="48" t="s">
        <v>76</v>
      </c>
      <c r="C136" s="62" t="s">
        <v>223</v>
      </c>
      <c r="D136" s="326">
        <v>36.877500000000005</v>
      </c>
      <c r="E136" s="364">
        <v>81.95</v>
      </c>
      <c r="F136" s="326">
        <v>31.549500000000002</v>
      </c>
      <c r="G136" s="325">
        <v>70.11</v>
      </c>
      <c r="H136" s="360"/>
    </row>
    <row r="137" spans="2:35" outlineLevel="1" x14ac:dyDescent="0.35">
      <c r="B137" s="48" t="s">
        <v>77</v>
      </c>
      <c r="C137" s="62" t="s">
        <v>223</v>
      </c>
      <c r="D137" s="326">
        <v>36.877500000000005</v>
      </c>
      <c r="E137" s="364">
        <v>81.95</v>
      </c>
      <c r="F137" s="326">
        <v>31.549500000000002</v>
      </c>
      <c r="G137" s="325">
        <v>70.11</v>
      </c>
      <c r="H137" s="360"/>
    </row>
    <row r="138" spans="2:35" outlineLevel="1" x14ac:dyDescent="0.35">
      <c r="B138" s="48" t="s">
        <v>78</v>
      </c>
      <c r="C138" s="62" t="s">
        <v>223</v>
      </c>
      <c r="D138" s="326">
        <v>61.240500000000004</v>
      </c>
      <c r="E138" s="364">
        <v>136.09</v>
      </c>
      <c r="F138" s="326">
        <v>31.549500000000002</v>
      </c>
      <c r="G138" s="325">
        <v>70.11</v>
      </c>
      <c r="H138" s="360"/>
    </row>
    <row r="139" spans="2:35" outlineLevel="1" x14ac:dyDescent="0.35">
      <c r="B139" s="48" t="s">
        <v>79</v>
      </c>
      <c r="C139" s="62" t="s">
        <v>223</v>
      </c>
      <c r="D139" s="326">
        <v>74.096999999999994</v>
      </c>
      <c r="E139" s="364">
        <v>164.66</v>
      </c>
      <c r="F139" s="326">
        <v>31.549500000000002</v>
      </c>
      <c r="G139" s="325">
        <v>70.11</v>
      </c>
      <c r="H139" s="360"/>
    </row>
    <row r="140" spans="2:35" outlineLevel="1" x14ac:dyDescent="0.35">
      <c r="B140" s="48" t="s">
        <v>80</v>
      </c>
      <c r="C140" s="62" t="s">
        <v>223</v>
      </c>
      <c r="D140" s="326">
        <v>59.778000000000006</v>
      </c>
      <c r="E140" s="364">
        <v>132.84</v>
      </c>
      <c r="F140" s="326">
        <v>31.549500000000002</v>
      </c>
      <c r="G140" s="325">
        <v>70.11</v>
      </c>
      <c r="H140" s="360"/>
    </row>
    <row r="141" spans="2:35" outlineLevel="1" x14ac:dyDescent="0.35">
      <c r="B141" s="48" t="s">
        <v>81</v>
      </c>
      <c r="C141" s="62" t="s">
        <v>223</v>
      </c>
      <c r="D141" s="326">
        <v>155.13300000000001</v>
      </c>
      <c r="E141" s="364">
        <v>344.74</v>
      </c>
      <c r="F141" s="326">
        <v>31.549500000000002</v>
      </c>
      <c r="G141" s="325">
        <v>70.11</v>
      </c>
      <c r="H141" s="360"/>
    </row>
    <row r="142" spans="2:35" outlineLevel="1" x14ac:dyDescent="0.35">
      <c r="B142" s="48" t="s">
        <v>82</v>
      </c>
      <c r="C142" s="62" t="s">
        <v>223</v>
      </c>
      <c r="D142" s="326">
        <v>34.582499999999996</v>
      </c>
      <c r="E142" s="364">
        <v>76.849999999999994</v>
      </c>
      <c r="F142" s="326"/>
      <c r="G142" s="325"/>
      <c r="H142" s="360"/>
    </row>
    <row r="143" spans="2:35" outlineLevel="1" x14ac:dyDescent="0.35">
      <c r="B143" s="48" t="s">
        <v>83</v>
      </c>
      <c r="C143" s="62" t="s">
        <v>223</v>
      </c>
      <c r="D143" s="326">
        <v>38.083500000000001</v>
      </c>
      <c r="E143" s="364">
        <v>84.63</v>
      </c>
      <c r="F143" s="326">
        <v>31.549500000000002</v>
      </c>
      <c r="G143" s="325">
        <v>70.11</v>
      </c>
      <c r="H143" s="360"/>
    </row>
    <row r="144" spans="2:35" outlineLevel="1" x14ac:dyDescent="0.35">
      <c r="B144" s="48" t="s">
        <v>84</v>
      </c>
      <c r="C144" s="62" t="s">
        <v>223</v>
      </c>
      <c r="D144" s="326">
        <v>128.34449999999998</v>
      </c>
      <c r="E144" s="364">
        <v>285.20999999999998</v>
      </c>
      <c r="F144" s="326">
        <v>31.549500000000002</v>
      </c>
      <c r="G144" s="325">
        <v>70.11</v>
      </c>
      <c r="H144" s="360"/>
    </row>
    <row r="145" spans="2:8" outlineLevel="1" x14ac:dyDescent="0.35">
      <c r="B145" s="48" t="s">
        <v>85</v>
      </c>
      <c r="C145" s="62" t="s">
        <v>223</v>
      </c>
      <c r="D145" s="326">
        <v>36.877500000000005</v>
      </c>
      <c r="E145" s="364">
        <v>81.95</v>
      </c>
      <c r="F145" s="326">
        <v>31.549500000000002</v>
      </c>
      <c r="G145" s="325">
        <v>70.11</v>
      </c>
      <c r="H145" s="360"/>
    </row>
    <row r="146" spans="2:8" outlineLevel="1" x14ac:dyDescent="0.35">
      <c r="B146" s="48" t="s">
        <v>86</v>
      </c>
      <c r="C146" s="62" t="s">
        <v>223</v>
      </c>
      <c r="D146" s="326">
        <v>50.8095</v>
      </c>
      <c r="E146" s="364">
        <v>112.91</v>
      </c>
      <c r="F146" s="326">
        <v>31.549500000000002</v>
      </c>
      <c r="G146" s="325">
        <v>70.11</v>
      </c>
      <c r="H146" s="360"/>
    </row>
    <row r="147" spans="2:8" outlineLevel="1" x14ac:dyDescent="0.35">
      <c r="B147" s="48" t="s">
        <v>87</v>
      </c>
      <c r="C147" s="62" t="s">
        <v>223</v>
      </c>
      <c r="D147" s="326">
        <v>50.683500000000002</v>
      </c>
      <c r="E147" s="364">
        <v>112.63</v>
      </c>
      <c r="F147" s="326">
        <v>31.549500000000002</v>
      </c>
      <c r="G147" s="325">
        <v>70.11</v>
      </c>
      <c r="H147" s="360"/>
    </row>
    <row r="148" spans="2:8" outlineLevel="1" x14ac:dyDescent="0.35">
      <c r="B148" s="48" t="s">
        <v>88</v>
      </c>
      <c r="C148" s="62" t="s">
        <v>223</v>
      </c>
      <c r="D148" s="326">
        <v>49.297499999999999</v>
      </c>
      <c r="E148" s="364">
        <v>109.55</v>
      </c>
      <c r="F148" s="326">
        <v>31.549500000000002</v>
      </c>
      <c r="G148" s="325">
        <v>70.11</v>
      </c>
      <c r="H148" s="360"/>
    </row>
    <row r="149" spans="2:8" outlineLevel="1" x14ac:dyDescent="0.35">
      <c r="B149" s="48" t="s">
        <v>89</v>
      </c>
      <c r="C149" s="62" t="s">
        <v>223</v>
      </c>
      <c r="D149" s="326">
        <v>36.877500000000005</v>
      </c>
      <c r="E149" s="364">
        <v>81.95</v>
      </c>
      <c r="F149" s="326">
        <v>31.549500000000002</v>
      </c>
      <c r="G149" s="325">
        <v>70.11</v>
      </c>
      <c r="H149" s="360"/>
    </row>
    <row r="150" spans="2:8" outlineLevel="1" x14ac:dyDescent="0.35">
      <c r="B150" s="48" t="s">
        <v>90</v>
      </c>
      <c r="C150" s="62" t="s">
        <v>223</v>
      </c>
      <c r="D150" s="326">
        <v>168.09300000000002</v>
      </c>
      <c r="E150" s="364">
        <v>373.54</v>
      </c>
      <c r="F150" s="326"/>
      <c r="G150" s="325"/>
      <c r="H150" s="360"/>
    </row>
    <row r="151" spans="2:8" outlineLevel="1" x14ac:dyDescent="0.35">
      <c r="B151" s="48" t="s">
        <v>91</v>
      </c>
      <c r="C151" s="62" t="s">
        <v>223</v>
      </c>
      <c r="D151" s="326">
        <v>36.877500000000005</v>
      </c>
      <c r="E151" s="364">
        <v>81.95</v>
      </c>
      <c r="F151" s="326"/>
      <c r="G151" s="325"/>
      <c r="H151" s="360"/>
    </row>
    <row r="152" spans="2:8" outlineLevel="1" x14ac:dyDescent="0.35">
      <c r="B152" s="48" t="s">
        <v>92</v>
      </c>
      <c r="C152" s="62" t="s">
        <v>223</v>
      </c>
      <c r="D152" s="326">
        <v>47.906999999999996</v>
      </c>
      <c r="E152" s="364">
        <v>106.46</v>
      </c>
      <c r="F152" s="326">
        <v>31.549500000000002</v>
      </c>
      <c r="G152" s="325">
        <v>70.11</v>
      </c>
      <c r="H152" s="360"/>
    </row>
    <row r="153" spans="2:8" outlineLevel="1" x14ac:dyDescent="0.35">
      <c r="B153" s="48" t="s">
        <v>93</v>
      </c>
      <c r="C153" s="62" t="s">
        <v>223</v>
      </c>
      <c r="D153" s="326">
        <v>140.31899999999999</v>
      </c>
      <c r="E153" s="364">
        <v>311.82</v>
      </c>
      <c r="F153" s="326">
        <v>31.549500000000002</v>
      </c>
      <c r="G153" s="325">
        <v>70.11</v>
      </c>
      <c r="H153" s="360"/>
    </row>
    <row r="154" spans="2:8" outlineLevel="1" x14ac:dyDescent="0.35">
      <c r="B154" s="48" t="s">
        <v>94</v>
      </c>
      <c r="C154" s="62" t="s">
        <v>223</v>
      </c>
      <c r="D154" s="326">
        <v>48.267000000000003</v>
      </c>
      <c r="E154" s="364">
        <v>107.26</v>
      </c>
      <c r="F154" s="326">
        <v>31.549500000000002</v>
      </c>
      <c r="G154" s="325">
        <v>70.11</v>
      </c>
      <c r="H154" s="360"/>
    </row>
    <row r="155" spans="2:8" outlineLevel="1" x14ac:dyDescent="0.35">
      <c r="B155" s="48" t="s">
        <v>95</v>
      </c>
      <c r="C155" s="62" t="s">
        <v>223</v>
      </c>
      <c r="D155" s="326">
        <v>36.877500000000005</v>
      </c>
      <c r="E155" s="364">
        <v>81.95</v>
      </c>
      <c r="F155" s="326">
        <v>31.549500000000002</v>
      </c>
      <c r="G155" s="325">
        <v>70.11</v>
      </c>
      <c r="H155" s="360"/>
    </row>
    <row r="156" spans="2:8" outlineLevel="1" x14ac:dyDescent="0.35">
      <c r="B156" s="48" t="s">
        <v>96</v>
      </c>
      <c r="C156" s="62" t="s">
        <v>223</v>
      </c>
      <c r="D156" s="326">
        <v>69.021000000000001</v>
      </c>
      <c r="E156" s="364">
        <v>153.38</v>
      </c>
      <c r="F156" s="326">
        <v>31.549500000000002</v>
      </c>
      <c r="G156" s="325">
        <v>70.11</v>
      </c>
      <c r="H156" s="360"/>
    </row>
    <row r="157" spans="2:8" outlineLevel="1" x14ac:dyDescent="0.35">
      <c r="B157" s="48" t="s">
        <v>97</v>
      </c>
      <c r="C157" s="62" t="s">
        <v>223</v>
      </c>
      <c r="D157" s="326">
        <v>54.558</v>
      </c>
      <c r="E157" s="364">
        <v>121.24</v>
      </c>
      <c r="F157" s="326">
        <v>31.549500000000002</v>
      </c>
      <c r="G157" s="325">
        <v>70.11</v>
      </c>
      <c r="H157" s="360"/>
    </row>
    <row r="158" spans="2:8" outlineLevel="1" x14ac:dyDescent="0.35">
      <c r="B158" s="48" t="s">
        <v>98</v>
      </c>
      <c r="C158" s="62" t="s">
        <v>223</v>
      </c>
      <c r="D158" s="326">
        <v>41.8095</v>
      </c>
      <c r="E158" s="364">
        <v>92.91</v>
      </c>
      <c r="F158" s="326">
        <v>31.549500000000002</v>
      </c>
      <c r="G158" s="325">
        <v>70.11</v>
      </c>
      <c r="H158" s="360"/>
    </row>
    <row r="159" spans="2:8" outlineLevel="1" x14ac:dyDescent="0.35">
      <c r="B159" s="48" t="s">
        <v>99</v>
      </c>
      <c r="C159" s="62" t="s">
        <v>223</v>
      </c>
      <c r="D159" s="326">
        <v>66.528000000000006</v>
      </c>
      <c r="E159" s="364">
        <v>147.84</v>
      </c>
      <c r="F159" s="326">
        <v>31.549500000000002</v>
      </c>
      <c r="G159" s="325">
        <v>70.11</v>
      </c>
      <c r="H159" s="360"/>
    </row>
    <row r="160" spans="2:8" outlineLevel="1" x14ac:dyDescent="0.35">
      <c r="B160" s="48" t="s">
        <v>100</v>
      </c>
      <c r="C160" s="62" t="s">
        <v>223</v>
      </c>
      <c r="D160" s="326">
        <v>36.877500000000005</v>
      </c>
      <c r="E160" s="364">
        <v>81.95</v>
      </c>
      <c r="F160" s="326">
        <v>31.549500000000002</v>
      </c>
      <c r="G160" s="325">
        <v>70.11</v>
      </c>
      <c r="H160" s="360"/>
    </row>
    <row r="161" spans="2:8" outlineLevel="1" x14ac:dyDescent="0.35">
      <c r="B161" s="48" t="s">
        <v>101</v>
      </c>
      <c r="C161" s="62" t="s">
        <v>223</v>
      </c>
      <c r="D161" s="326">
        <v>69.695999999999998</v>
      </c>
      <c r="E161" s="364">
        <v>154.88</v>
      </c>
      <c r="F161" s="326"/>
      <c r="G161" s="325"/>
      <c r="H161" s="360"/>
    </row>
    <row r="162" spans="2:8" outlineLevel="1" x14ac:dyDescent="0.35">
      <c r="B162" s="48" t="s">
        <v>102</v>
      </c>
      <c r="C162" s="62" t="s">
        <v>223</v>
      </c>
      <c r="D162" s="326">
        <v>36.877500000000005</v>
      </c>
      <c r="E162" s="364">
        <v>81.95</v>
      </c>
      <c r="F162" s="326">
        <v>31.549500000000002</v>
      </c>
      <c r="G162" s="325">
        <v>70.11</v>
      </c>
      <c r="H162" s="360"/>
    </row>
    <row r="163" spans="2:8" outlineLevel="1" x14ac:dyDescent="0.35">
      <c r="B163" s="48" t="s">
        <v>103</v>
      </c>
      <c r="C163" s="62" t="s">
        <v>223</v>
      </c>
      <c r="D163" s="326">
        <v>537.57449999999994</v>
      </c>
      <c r="E163" s="364">
        <v>1194.6099999999999</v>
      </c>
      <c r="F163" s="326"/>
      <c r="G163" s="325"/>
      <c r="H163" s="360"/>
    </row>
    <row r="164" spans="2:8" outlineLevel="1" x14ac:dyDescent="0.35">
      <c r="B164" s="48" t="s">
        <v>104</v>
      </c>
      <c r="C164" s="62" t="s">
        <v>223</v>
      </c>
      <c r="D164" s="326">
        <v>12066.453</v>
      </c>
      <c r="E164" s="364">
        <v>26814.34</v>
      </c>
      <c r="F164" s="326">
        <v>31.549500000000002</v>
      </c>
      <c r="G164" s="325">
        <v>70.11</v>
      </c>
      <c r="H164" s="360"/>
    </row>
    <row r="165" spans="2:8" outlineLevel="1" x14ac:dyDescent="0.35">
      <c r="B165" s="48" t="s">
        <v>136</v>
      </c>
      <c r="C165" s="62" t="s">
        <v>223</v>
      </c>
      <c r="D165" s="326">
        <v>0</v>
      </c>
      <c r="E165" s="364"/>
      <c r="F165" s="326">
        <v>31.549500000000002</v>
      </c>
      <c r="G165" s="325">
        <v>70.11</v>
      </c>
      <c r="H165" s="360"/>
    </row>
    <row r="166" spans="2:8" outlineLevel="1" x14ac:dyDescent="0.35">
      <c r="B166" s="48" t="s">
        <v>106</v>
      </c>
      <c r="C166" s="62" t="s">
        <v>223</v>
      </c>
      <c r="D166" s="326">
        <v>45.427500000000002</v>
      </c>
      <c r="E166" s="364">
        <v>100.95</v>
      </c>
      <c r="F166" s="326">
        <v>31.549500000000002</v>
      </c>
      <c r="G166" s="325">
        <v>70.11</v>
      </c>
      <c r="H166" s="360"/>
    </row>
    <row r="167" spans="2:8" outlineLevel="1" x14ac:dyDescent="0.35">
      <c r="B167" s="48" t="s">
        <v>107</v>
      </c>
      <c r="C167" s="62" t="s">
        <v>223</v>
      </c>
      <c r="D167" s="326">
        <v>36.877500000000005</v>
      </c>
      <c r="E167" s="364">
        <v>81.95</v>
      </c>
      <c r="F167" s="326">
        <v>31.549500000000002</v>
      </c>
      <c r="G167" s="325">
        <v>70.11</v>
      </c>
      <c r="H167" s="360"/>
    </row>
    <row r="168" spans="2:8" outlineLevel="1" x14ac:dyDescent="0.35">
      <c r="B168" s="48" t="s">
        <v>108</v>
      </c>
      <c r="C168" s="62" t="s">
        <v>223</v>
      </c>
      <c r="D168" s="326">
        <v>49.769999999999996</v>
      </c>
      <c r="E168" s="364">
        <v>110.6</v>
      </c>
      <c r="F168" s="326">
        <v>31.549500000000002</v>
      </c>
      <c r="G168" s="325">
        <v>70.11</v>
      </c>
      <c r="H168" s="360"/>
    </row>
    <row r="169" spans="2:8" outlineLevel="1" x14ac:dyDescent="0.35">
      <c r="B169" s="48" t="s">
        <v>109</v>
      </c>
      <c r="C169" s="62" t="s">
        <v>223</v>
      </c>
      <c r="D169" s="326">
        <v>41.337000000000003</v>
      </c>
      <c r="E169" s="364">
        <v>91.86</v>
      </c>
      <c r="F169" s="326">
        <v>31.549500000000002</v>
      </c>
      <c r="G169" s="325">
        <v>70.11</v>
      </c>
      <c r="H169" s="360"/>
    </row>
    <row r="170" spans="2:8" outlineLevel="1" x14ac:dyDescent="0.35">
      <c r="B170" s="48" t="s">
        <v>110</v>
      </c>
      <c r="C170" s="62" t="s">
        <v>223</v>
      </c>
      <c r="D170" s="326">
        <v>40.887</v>
      </c>
      <c r="E170" s="364">
        <v>90.86</v>
      </c>
      <c r="F170" s="326">
        <v>31.549500000000002</v>
      </c>
      <c r="G170" s="325">
        <v>70.11</v>
      </c>
      <c r="H170" s="360"/>
    </row>
    <row r="171" spans="2:8" outlineLevel="1" x14ac:dyDescent="0.35">
      <c r="B171" s="48" t="s">
        <v>111</v>
      </c>
      <c r="C171" s="62" t="s">
        <v>223</v>
      </c>
      <c r="D171" s="326">
        <v>59.363999999999997</v>
      </c>
      <c r="E171" s="364">
        <v>131.91999999999999</v>
      </c>
      <c r="F171" s="326">
        <v>31.549500000000002</v>
      </c>
      <c r="G171" s="325">
        <v>70.11</v>
      </c>
      <c r="H171" s="360"/>
    </row>
    <row r="172" spans="2:8" outlineLevel="1" x14ac:dyDescent="0.35">
      <c r="B172" s="48" t="s">
        <v>112</v>
      </c>
      <c r="C172" s="62" t="s">
        <v>223</v>
      </c>
      <c r="D172" s="326">
        <v>73.354500000000002</v>
      </c>
      <c r="E172" s="364">
        <v>163.01</v>
      </c>
      <c r="F172" s="326">
        <v>31.549500000000002</v>
      </c>
      <c r="G172" s="325">
        <v>70.11</v>
      </c>
      <c r="H172" s="360"/>
    </row>
    <row r="173" spans="2:8" outlineLevel="1" x14ac:dyDescent="0.35">
      <c r="B173" s="48" t="s">
        <v>113</v>
      </c>
      <c r="C173" s="62" t="s">
        <v>223</v>
      </c>
      <c r="D173" s="326">
        <v>0</v>
      </c>
      <c r="E173" s="364"/>
      <c r="F173" s="326"/>
      <c r="G173" s="325"/>
      <c r="H173" s="360"/>
    </row>
    <row r="174" spans="2:8" outlineLevel="1" x14ac:dyDescent="0.35">
      <c r="B174" s="48" t="s">
        <v>114</v>
      </c>
      <c r="C174" s="62" t="s">
        <v>223</v>
      </c>
      <c r="D174" s="326">
        <v>49.333500000000001</v>
      </c>
      <c r="E174" s="364">
        <v>109.63</v>
      </c>
      <c r="F174" s="326">
        <v>31.549500000000002</v>
      </c>
      <c r="G174" s="325">
        <v>70.11</v>
      </c>
      <c r="H174" s="360"/>
    </row>
    <row r="175" spans="2:8" outlineLevel="1" x14ac:dyDescent="0.35">
      <c r="B175" s="48" t="s">
        <v>115</v>
      </c>
      <c r="C175" s="62" t="s">
        <v>223</v>
      </c>
      <c r="D175" s="326">
        <v>41.719499999999996</v>
      </c>
      <c r="E175" s="364">
        <v>92.71</v>
      </c>
      <c r="F175" s="326">
        <v>31.549500000000002</v>
      </c>
      <c r="G175" s="325">
        <v>70.11</v>
      </c>
      <c r="H175" s="360"/>
    </row>
    <row r="176" spans="2:8" outlineLevel="1" x14ac:dyDescent="0.35">
      <c r="B176" s="48" t="s">
        <v>116</v>
      </c>
      <c r="C176" s="62" t="s">
        <v>223</v>
      </c>
      <c r="D176" s="326">
        <v>59.359499999999997</v>
      </c>
      <c r="E176" s="364">
        <v>131.91</v>
      </c>
      <c r="F176" s="326">
        <v>31.549500000000002</v>
      </c>
      <c r="G176" s="325">
        <v>70.11</v>
      </c>
      <c r="H176" s="360"/>
    </row>
    <row r="177" spans="2:35" outlineLevel="1" x14ac:dyDescent="0.35">
      <c r="B177" s="48" t="s">
        <v>117</v>
      </c>
      <c r="C177" s="62" t="s">
        <v>223</v>
      </c>
      <c r="D177" s="326">
        <v>61.096500000000006</v>
      </c>
      <c r="E177" s="364">
        <v>135.77000000000001</v>
      </c>
      <c r="F177" s="326">
        <v>31.549500000000002</v>
      </c>
      <c r="G177" s="325">
        <v>70.11</v>
      </c>
      <c r="H177" s="360"/>
    </row>
    <row r="178" spans="2:35" outlineLevel="1" x14ac:dyDescent="0.35">
      <c r="B178" s="48" t="s">
        <v>118</v>
      </c>
      <c r="C178" s="62" t="s">
        <v>223</v>
      </c>
      <c r="D178" s="326">
        <v>45.490500000000004</v>
      </c>
      <c r="E178" s="364">
        <v>101.09</v>
      </c>
      <c r="F178" s="326">
        <v>31.549500000000002</v>
      </c>
      <c r="G178" s="325">
        <v>70.11</v>
      </c>
      <c r="H178" s="360"/>
    </row>
    <row r="179" spans="2:35" outlineLevel="1" x14ac:dyDescent="0.35">
      <c r="B179" s="48" t="s">
        <v>119</v>
      </c>
      <c r="C179" s="62" t="s">
        <v>223</v>
      </c>
      <c r="D179" s="326">
        <v>33.1875</v>
      </c>
      <c r="E179" s="364">
        <v>73.75</v>
      </c>
      <c r="F179" s="326"/>
      <c r="G179" s="325"/>
      <c r="H179" s="360"/>
    </row>
    <row r="180" spans="2:35" outlineLevel="1" x14ac:dyDescent="0.35">
      <c r="B180" s="48" t="s">
        <v>120</v>
      </c>
      <c r="C180" s="62" t="s">
        <v>223</v>
      </c>
      <c r="D180" s="326">
        <v>46.017000000000003</v>
      </c>
      <c r="E180" s="364">
        <v>102.26</v>
      </c>
      <c r="F180" s="326">
        <v>31.549500000000002</v>
      </c>
      <c r="G180" s="325">
        <v>70.11</v>
      </c>
      <c r="H180" s="360"/>
    </row>
    <row r="181" spans="2:35" outlineLevel="1" x14ac:dyDescent="0.35">
      <c r="B181" s="48" t="s">
        <v>121</v>
      </c>
      <c r="C181" s="62" t="s">
        <v>223</v>
      </c>
      <c r="D181" s="326">
        <v>83.776499999999999</v>
      </c>
      <c r="E181" s="364">
        <v>186.17</v>
      </c>
      <c r="F181" s="326">
        <v>31.549500000000002</v>
      </c>
      <c r="G181" s="325">
        <v>70.11</v>
      </c>
      <c r="H181" s="360"/>
    </row>
    <row r="182" spans="2:35" outlineLevel="1" x14ac:dyDescent="0.35">
      <c r="B182" s="48" t="s">
        <v>137</v>
      </c>
      <c r="C182" s="62" t="s">
        <v>223</v>
      </c>
      <c r="D182" s="326">
        <v>0</v>
      </c>
      <c r="E182" s="364"/>
      <c r="F182" s="326"/>
      <c r="G182" s="325"/>
      <c r="H182" s="360"/>
    </row>
    <row r="183" spans="2:35" outlineLevel="1" x14ac:dyDescent="0.35">
      <c r="B183" s="48" t="s">
        <v>123</v>
      </c>
      <c r="C183" s="62" t="s">
        <v>223</v>
      </c>
      <c r="D183" s="326">
        <v>46.957499999999996</v>
      </c>
      <c r="E183" s="364">
        <v>104.35</v>
      </c>
      <c r="F183" s="326">
        <v>31.549500000000002</v>
      </c>
      <c r="G183" s="325">
        <v>70.11</v>
      </c>
      <c r="H183" s="360"/>
    </row>
    <row r="184" spans="2:35" outlineLevel="1" x14ac:dyDescent="0.35">
      <c r="B184" s="48" t="s">
        <v>124</v>
      </c>
      <c r="C184" s="62" t="s">
        <v>223</v>
      </c>
      <c r="D184" s="326">
        <v>157.93199999999999</v>
      </c>
      <c r="E184" s="364">
        <v>350.96</v>
      </c>
      <c r="F184" s="326">
        <v>31.549500000000002</v>
      </c>
      <c r="G184" s="325">
        <v>70.11</v>
      </c>
      <c r="H184" s="360"/>
    </row>
    <row r="185" spans="2:35" outlineLevel="1" x14ac:dyDescent="0.35">
      <c r="B185" s="48" t="s">
        <v>125</v>
      </c>
      <c r="C185" s="62" t="s">
        <v>223</v>
      </c>
      <c r="D185" s="326">
        <v>274.5</v>
      </c>
      <c r="E185" s="364">
        <v>610</v>
      </c>
      <c r="F185" s="326">
        <v>31.549500000000002</v>
      </c>
      <c r="G185" s="325">
        <v>70.11</v>
      </c>
      <c r="H185" s="360"/>
    </row>
    <row r="186" spans="2:35" outlineLevel="1" x14ac:dyDescent="0.35">
      <c r="B186" s="48" t="s">
        <v>126</v>
      </c>
      <c r="C186" s="62" t="s">
        <v>223</v>
      </c>
      <c r="D186" s="326">
        <v>43.938000000000002</v>
      </c>
      <c r="E186" s="364">
        <v>97.64</v>
      </c>
      <c r="F186" s="326">
        <v>31.549500000000002</v>
      </c>
      <c r="G186" s="325">
        <v>70.11</v>
      </c>
      <c r="H186" s="360"/>
    </row>
    <row r="187" spans="2:35" outlineLevel="1" x14ac:dyDescent="0.35">
      <c r="B187" s="48" t="s">
        <v>127</v>
      </c>
      <c r="C187" s="62" t="s">
        <v>223</v>
      </c>
      <c r="D187" s="84"/>
      <c r="E187" s="367"/>
      <c r="F187" s="326"/>
      <c r="G187" s="325"/>
    </row>
    <row r="189" spans="2:35" ht="15.5" x14ac:dyDescent="0.35">
      <c r="B189" s="419" t="s">
        <v>152</v>
      </c>
      <c r="C189" s="419"/>
      <c r="D189" s="419"/>
      <c r="E189" s="419"/>
      <c r="F189" s="419"/>
      <c r="G189" s="419"/>
    </row>
    <row r="190" spans="2:35" ht="5.9" hidden="1" customHeight="1" outlineLevel="1" x14ac:dyDescent="0.35">
      <c r="B190" s="103"/>
      <c r="C190" s="103"/>
      <c r="D190" s="103"/>
      <c r="E190" s="366"/>
      <c r="F190" s="103"/>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103"/>
      <c r="AF190" s="103"/>
      <c r="AG190" s="103"/>
      <c r="AH190" s="103"/>
      <c r="AI190" s="103"/>
    </row>
    <row r="191" spans="2:35" hidden="1" outlineLevel="1" x14ac:dyDescent="0.35">
      <c r="B191" s="459"/>
      <c r="C191" s="481" t="s">
        <v>134</v>
      </c>
      <c r="D191" s="439" t="s">
        <v>169</v>
      </c>
      <c r="E191" s="458"/>
      <c r="F191" s="439" t="s">
        <v>170</v>
      </c>
      <c r="G191" s="458"/>
    </row>
    <row r="192" spans="2:35" hidden="1" outlineLevel="1" x14ac:dyDescent="0.35">
      <c r="B192" s="460"/>
      <c r="C192" s="482"/>
      <c r="D192" s="439" t="str">
        <f>($C$3-5)&amp;" - "&amp;($C$3-1)</f>
        <v>2019 - 2023</v>
      </c>
      <c r="E192" s="458"/>
      <c r="F192" s="439" t="str">
        <f>$C$3&amp;" - "&amp;$E$3</f>
        <v>2024 - 2028</v>
      </c>
      <c r="G192" s="458"/>
    </row>
    <row r="193" spans="2:35" hidden="1" outlineLevel="1" x14ac:dyDescent="0.35">
      <c r="B193" s="461"/>
      <c r="C193" s="483"/>
      <c r="D193" s="78" t="s">
        <v>221</v>
      </c>
      <c r="E193" s="82" t="s">
        <v>222</v>
      </c>
      <c r="F193" s="78" t="s">
        <v>221</v>
      </c>
      <c r="G193" s="82" t="s">
        <v>222</v>
      </c>
    </row>
    <row r="194" spans="2:35" hidden="1" outlineLevel="1" x14ac:dyDescent="0.35">
      <c r="B194" s="48"/>
      <c r="C194" s="62" t="s">
        <v>223</v>
      </c>
      <c r="D194" s="84"/>
      <c r="E194" s="367"/>
      <c r="F194" s="84"/>
      <c r="G194" s="85"/>
    </row>
    <row r="195" spans="2:35" collapsed="1" x14ac:dyDescent="0.35"/>
    <row r="196" spans="2:35" ht="15.5" x14ac:dyDescent="0.35">
      <c r="B196" s="419" t="s">
        <v>144</v>
      </c>
      <c r="C196" s="419"/>
      <c r="D196" s="419"/>
      <c r="E196" s="419"/>
      <c r="F196" s="419"/>
      <c r="G196" s="419"/>
    </row>
    <row r="197" spans="2:35" ht="5.9" customHeight="1" outlineLevel="1" x14ac:dyDescent="0.35">
      <c r="B197" s="103"/>
      <c r="C197" s="103"/>
      <c r="D197" s="103"/>
      <c r="E197" s="366"/>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row>
    <row r="198" spans="2:35" outlineLevel="1" x14ac:dyDescent="0.35">
      <c r="B198" s="459"/>
      <c r="C198" s="481" t="s">
        <v>134</v>
      </c>
      <c r="D198" s="439" t="s">
        <v>169</v>
      </c>
      <c r="E198" s="458"/>
      <c r="F198" s="439" t="s">
        <v>170</v>
      </c>
      <c r="G198" s="458"/>
    </row>
    <row r="199" spans="2:35" outlineLevel="1" x14ac:dyDescent="0.35">
      <c r="B199" s="460"/>
      <c r="C199" s="482"/>
      <c r="D199" s="439" t="str">
        <f>($C$3-5)&amp;" - "&amp;($C$3-1)</f>
        <v>2019 - 2023</v>
      </c>
      <c r="E199" s="458"/>
      <c r="F199" s="439" t="s">
        <v>220</v>
      </c>
      <c r="G199" s="458"/>
    </row>
    <row r="200" spans="2:35" outlineLevel="1" x14ac:dyDescent="0.35">
      <c r="B200" s="461"/>
      <c r="C200" s="483"/>
      <c r="D200" s="78" t="s">
        <v>221</v>
      </c>
      <c r="E200" s="82" t="s">
        <v>222</v>
      </c>
      <c r="F200" s="78" t="s">
        <v>221</v>
      </c>
      <c r="G200" s="82" t="s">
        <v>222</v>
      </c>
    </row>
    <row r="201" spans="2:35" outlineLevel="1" x14ac:dyDescent="0.35">
      <c r="B201" s="48" t="s">
        <v>74</v>
      </c>
      <c r="C201" s="62" t="s">
        <v>223</v>
      </c>
      <c r="D201" s="326">
        <v>982.71000000000015</v>
      </c>
      <c r="E201" s="364">
        <v>2183.8000000000002</v>
      </c>
      <c r="F201" s="84"/>
      <c r="G201" s="325"/>
      <c r="H201" s="360"/>
      <c r="I201" s="360"/>
    </row>
    <row r="202" spans="2:35" outlineLevel="1" x14ac:dyDescent="0.35">
      <c r="B202" s="48" t="s">
        <v>75</v>
      </c>
      <c r="C202" s="62" t="s">
        <v>223</v>
      </c>
      <c r="D202" s="326"/>
      <c r="E202" s="364"/>
      <c r="F202" s="84"/>
      <c r="G202" s="325"/>
      <c r="H202" s="360"/>
      <c r="I202" s="360"/>
    </row>
    <row r="203" spans="2:35" outlineLevel="1" x14ac:dyDescent="0.35">
      <c r="B203" s="48" t="s">
        <v>76</v>
      </c>
      <c r="C203" s="62" t="s">
        <v>223</v>
      </c>
      <c r="D203" s="326"/>
      <c r="E203" s="364"/>
      <c r="F203" s="84"/>
      <c r="G203" s="325"/>
      <c r="H203" s="360"/>
      <c r="I203" s="360"/>
    </row>
    <row r="204" spans="2:35" outlineLevel="1" x14ac:dyDescent="0.35">
      <c r="B204" s="48" t="s">
        <v>77</v>
      </c>
      <c r="C204" s="62" t="s">
        <v>223</v>
      </c>
      <c r="D204" s="326"/>
      <c r="E204" s="364"/>
      <c r="F204" s="84"/>
      <c r="G204" s="325"/>
      <c r="H204" s="360"/>
      <c r="I204" s="360"/>
    </row>
    <row r="205" spans="2:35" outlineLevel="1" x14ac:dyDescent="0.35">
      <c r="B205" s="48" t="s">
        <v>78</v>
      </c>
      <c r="C205" s="62" t="s">
        <v>223</v>
      </c>
      <c r="D205" s="326">
        <v>1402.0650000000001</v>
      </c>
      <c r="E205" s="364">
        <v>3115.7000000000003</v>
      </c>
      <c r="F205" s="84"/>
      <c r="G205" s="325"/>
      <c r="H205" s="360"/>
      <c r="I205" s="360"/>
    </row>
    <row r="206" spans="2:35" outlineLevel="1" x14ac:dyDescent="0.35">
      <c r="B206" s="48" t="s">
        <v>79</v>
      </c>
      <c r="C206" s="62" t="s">
        <v>223</v>
      </c>
      <c r="D206" s="326">
        <v>26391.375</v>
      </c>
      <c r="E206" s="364">
        <v>58647.5</v>
      </c>
      <c r="F206" s="84"/>
      <c r="G206" s="325"/>
      <c r="H206" s="360"/>
      <c r="I206" s="360"/>
    </row>
    <row r="207" spans="2:35" outlineLevel="1" x14ac:dyDescent="0.35">
      <c r="B207" s="48" t="s">
        <v>80</v>
      </c>
      <c r="C207" s="62" t="s">
        <v>223</v>
      </c>
      <c r="D207" s="326">
        <v>1106.5725000000002</v>
      </c>
      <c r="E207" s="364">
        <v>2459.0500000000002</v>
      </c>
      <c r="F207" s="84"/>
      <c r="G207" s="325"/>
      <c r="H207" s="360"/>
      <c r="I207" s="360"/>
    </row>
    <row r="208" spans="2:35" outlineLevel="1" x14ac:dyDescent="0.35">
      <c r="B208" s="48" t="s">
        <v>81</v>
      </c>
      <c r="C208" s="62" t="s">
        <v>223</v>
      </c>
      <c r="D208" s="326"/>
      <c r="E208" s="364"/>
      <c r="F208" s="84"/>
      <c r="G208" s="325"/>
      <c r="H208" s="360"/>
      <c r="I208" s="360"/>
    </row>
    <row r="209" spans="2:9" outlineLevel="1" x14ac:dyDescent="0.35">
      <c r="B209" s="48" t="s">
        <v>82</v>
      </c>
      <c r="C209" s="62" t="s">
        <v>223</v>
      </c>
      <c r="D209" s="326">
        <v>10434.812142857141</v>
      </c>
      <c r="E209" s="364">
        <v>23188.471428571425</v>
      </c>
      <c r="F209" s="84"/>
      <c r="G209" s="325"/>
      <c r="H209" s="360"/>
      <c r="I209" s="360"/>
    </row>
    <row r="210" spans="2:9" outlineLevel="1" x14ac:dyDescent="0.35">
      <c r="B210" s="48" t="s">
        <v>83</v>
      </c>
      <c r="C210" s="62" t="s">
        <v>223</v>
      </c>
      <c r="D210" s="326">
        <v>1737.815625</v>
      </c>
      <c r="E210" s="364">
        <v>3861.8125</v>
      </c>
      <c r="F210" s="84"/>
      <c r="G210" s="325"/>
      <c r="H210" s="360"/>
      <c r="I210" s="360"/>
    </row>
    <row r="211" spans="2:9" outlineLevel="1" x14ac:dyDescent="0.35">
      <c r="B211" s="48" t="s">
        <v>84</v>
      </c>
      <c r="C211" s="62" t="s">
        <v>223</v>
      </c>
      <c r="D211" s="326"/>
      <c r="E211" s="364"/>
      <c r="F211" s="84"/>
      <c r="G211" s="325"/>
      <c r="H211" s="360"/>
      <c r="I211" s="360"/>
    </row>
    <row r="212" spans="2:9" outlineLevel="1" x14ac:dyDescent="0.35">
      <c r="B212" s="48" t="s">
        <v>85</v>
      </c>
      <c r="C212" s="62" t="s">
        <v>223</v>
      </c>
      <c r="D212" s="326"/>
      <c r="E212" s="364"/>
      <c r="F212" s="84"/>
      <c r="G212" s="325"/>
      <c r="H212" s="360"/>
      <c r="I212" s="360"/>
    </row>
    <row r="213" spans="2:9" outlineLevel="1" x14ac:dyDescent="0.35">
      <c r="B213" s="48" t="s">
        <v>86</v>
      </c>
      <c r="C213" s="62" t="s">
        <v>223</v>
      </c>
      <c r="D213" s="326"/>
      <c r="E213" s="364"/>
      <c r="F213" s="84"/>
      <c r="G213" s="325"/>
      <c r="H213" s="360"/>
      <c r="I213" s="360"/>
    </row>
    <row r="214" spans="2:9" outlineLevel="1" x14ac:dyDescent="0.35">
      <c r="B214" s="48" t="s">
        <v>87</v>
      </c>
      <c r="C214" s="62" t="s">
        <v>223</v>
      </c>
      <c r="D214" s="326"/>
      <c r="E214" s="364"/>
      <c r="F214" s="84"/>
      <c r="G214" s="325"/>
      <c r="H214" s="360"/>
      <c r="I214" s="360"/>
    </row>
    <row r="215" spans="2:9" outlineLevel="1" x14ac:dyDescent="0.35">
      <c r="B215" s="48" t="s">
        <v>88</v>
      </c>
      <c r="C215" s="62" t="s">
        <v>223</v>
      </c>
      <c r="D215" s="326"/>
      <c r="E215" s="364"/>
      <c r="F215" s="84"/>
      <c r="G215" s="325"/>
      <c r="H215" s="360"/>
      <c r="I215" s="360"/>
    </row>
    <row r="216" spans="2:9" outlineLevel="1" x14ac:dyDescent="0.35">
      <c r="B216" s="48" t="s">
        <v>89</v>
      </c>
      <c r="C216" s="62" t="s">
        <v>223</v>
      </c>
      <c r="D216" s="326">
        <v>486.18000000000006</v>
      </c>
      <c r="E216" s="364">
        <v>1080.4000000000001</v>
      </c>
      <c r="F216" s="84"/>
      <c r="G216" s="325"/>
      <c r="H216" s="360"/>
      <c r="I216" s="360"/>
    </row>
    <row r="217" spans="2:9" outlineLevel="1" x14ac:dyDescent="0.35">
      <c r="B217" s="48" t="s">
        <v>90</v>
      </c>
      <c r="C217" s="62" t="s">
        <v>223</v>
      </c>
      <c r="D217" s="326">
        <v>9043.5450000000001</v>
      </c>
      <c r="E217" s="364">
        <v>20096.766666666666</v>
      </c>
      <c r="F217" s="326">
        <v>4022.73</v>
      </c>
      <c r="G217" s="325">
        <v>8045.45</v>
      </c>
      <c r="H217" s="360"/>
      <c r="I217" s="360"/>
    </row>
    <row r="218" spans="2:9" outlineLevel="1" x14ac:dyDescent="0.35">
      <c r="B218" s="48" t="s">
        <v>91</v>
      </c>
      <c r="C218" s="62" t="s">
        <v>223</v>
      </c>
      <c r="D218" s="326"/>
      <c r="E218" s="364">
        <v>0</v>
      </c>
      <c r="F218" s="326">
        <v>2873.38</v>
      </c>
      <c r="G218" s="325">
        <v>5746.75</v>
      </c>
      <c r="H218" s="360"/>
      <c r="I218" s="360"/>
    </row>
    <row r="219" spans="2:9" outlineLevel="1" x14ac:dyDescent="0.35">
      <c r="B219" s="48" t="s">
        <v>92</v>
      </c>
      <c r="C219" s="62" t="s">
        <v>223</v>
      </c>
      <c r="D219" s="326"/>
      <c r="E219" s="364"/>
      <c r="F219" s="84"/>
      <c r="G219" s="325"/>
      <c r="H219" s="360"/>
      <c r="I219" s="360"/>
    </row>
    <row r="220" spans="2:9" outlineLevel="1" x14ac:dyDescent="0.35">
      <c r="B220" s="48" t="s">
        <v>93</v>
      </c>
      <c r="C220" s="62" t="s">
        <v>223</v>
      </c>
      <c r="D220" s="326"/>
      <c r="E220" s="364"/>
      <c r="F220" s="84"/>
      <c r="G220" s="325"/>
      <c r="H220" s="360"/>
      <c r="I220" s="360"/>
    </row>
    <row r="221" spans="2:9" outlineLevel="1" x14ac:dyDescent="0.35">
      <c r="B221" s="48" t="s">
        <v>94</v>
      </c>
      <c r="C221" s="62" t="s">
        <v>223</v>
      </c>
      <c r="D221" s="326"/>
      <c r="E221" s="364"/>
      <c r="F221" s="84"/>
      <c r="G221" s="325"/>
      <c r="H221" s="360"/>
      <c r="I221" s="360"/>
    </row>
    <row r="222" spans="2:9" outlineLevel="1" x14ac:dyDescent="0.35">
      <c r="B222" s="48" t="s">
        <v>95</v>
      </c>
      <c r="C222" s="62" t="s">
        <v>223</v>
      </c>
      <c r="D222" s="326"/>
      <c r="E222" s="364"/>
      <c r="F222" s="84"/>
      <c r="G222" s="325"/>
      <c r="H222" s="360"/>
      <c r="I222" s="360"/>
    </row>
    <row r="223" spans="2:9" outlineLevel="1" x14ac:dyDescent="0.35">
      <c r="B223" s="48" t="s">
        <v>96</v>
      </c>
      <c r="C223" s="62" t="s">
        <v>223</v>
      </c>
      <c r="D223" s="326"/>
      <c r="E223" s="364"/>
      <c r="F223" s="84"/>
      <c r="G223" s="325"/>
      <c r="H223" s="360"/>
      <c r="I223" s="360"/>
    </row>
    <row r="224" spans="2:9" outlineLevel="1" x14ac:dyDescent="0.35">
      <c r="B224" s="48" t="s">
        <v>97</v>
      </c>
      <c r="C224" s="62" t="s">
        <v>223</v>
      </c>
      <c r="D224" s="326"/>
      <c r="E224" s="364"/>
      <c r="F224" s="84"/>
      <c r="G224" s="325"/>
      <c r="H224" s="360"/>
      <c r="I224" s="360"/>
    </row>
    <row r="225" spans="2:9" outlineLevel="1" x14ac:dyDescent="0.35">
      <c r="B225" s="48" t="s">
        <v>98</v>
      </c>
      <c r="C225" s="62" t="s">
        <v>223</v>
      </c>
      <c r="D225" s="326">
        <v>2717.415</v>
      </c>
      <c r="E225" s="364">
        <v>6038.7</v>
      </c>
      <c r="F225" s="84"/>
      <c r="G225" s="325"/>
      <c r="H225" s="360"/>
      <c r="I225" s="360"/>
    </row>
    <row r="226" spans="2:9" outlineLevel="1" x14ac:dyDescent="0.35">
      <c r="B226" s="48" t="s">
        <v>99</v>
      </c>
      <c r="C226" s="62" t="s">
        <v>223</v>
      </c>
      <c r="D226" s="326">
        <v>4710.0510000000004</v>
      </c>
      <c r="E226" s="364">
        <v>10466.780000000001</v>
      </c>
      <c r="F226" s="326">
        <v>3677.92</v>
      </c>
      <c r="G226" s="325">
        <v>4597.3999999999996</v>
      </c>
      <c r="H226" s="360"/>
      <c r="I226" s="360"/>
    </row>
    <row r="227" spans="2:9" outlineLevel="1" x14ac:dyDescent="0.35">
      <c r="B227" s="48" t="s">
        <v>100</v>
      </c>
      <c r="C227" s="62" t="s">
        <v>223</v>
      </c>
      <c r="D227" s="326"/>
      <c r="E227" s="364"/>
      <c r="F227" s="84"/>
      <c r="G227" s="325"/>
      <c r="H227" s="360"/>
      <c r="I227" s="360"/>
    </row>
    <row r="228" spans="2:9" outlineLevel="1" x14ac:dyDescent="0.35">
      <c r="B228" s="48" t="s">
        <v>101</v>
      </c>
      <c r="C228" s="62" t="s">
        <v>223</v>
      </c>
      <c r="D228" s="326">
        <v>3395.7550000000006</v>
      </c>
      <c r="E228" s="364">
        <v>7546.1222222222232</v>
      </c>
      <c r="F228" s="326">
        <v>2011.36</v>
      </c>
      <c r="G228" s="325">
        <v>4022.73</v>
      </c>
      <c r="H228" s="360"/>
      <c r="I228" s="360"/>
    </row>
    <row r="229" spans="2:9" outlineLevel="1" x14ac:dyDescent="0.35">
      <c r="B229" s="48" t="s">
        <v>102</v>
      </c>
      <c r="C229" s="62" t="s">
        <v>223</v>
      </c>
      <c r="D229" s="326"/>
      <c r="E229" s="364"/>
      <c r="F229" s="84"/>
      <c r="G229" s="325"/>
      <c r="H229" s="360"/>
      <c r="I229" s="360"/>
    </row>
    <row r="230" spans="2:9" outlineLevel="1" x14ac:dyDescent="0.35">
      <c r="B230" s="48" t="s">
        <v>103</v>
      </c>
      <c r="C230" s="62" t="s">
        <v>223</v>
      </c>
      <c r="D230" s="326">
        <v>3070.7606250000003</v>
      </c>
      <c r="E230" s="364">
        <v>6823.9125000000004</v>
      </c>
      <c r="F230" s="84"/>
      <c r="G230" s="325"/>
      <c r="H230" s="360"/>
      <c r="I230" s="360"/>
    </row>
    <row r="231" spans="2:9" outlineLevel="1" x14ac:dyDescent="0.35">
      <c r="B231" s="48" t="s">
        <v>104</v>
      </c>
      <c r="C231" s="62" t="s">
        <v>223</v>
      </c>
      <c r="D231" s="326"/>
      <c r="E231" s="364"/>
      <c r="F231" s="84"/>
      <c r="G231" s="325"/>
      <c r="H231" s="360"/>
      <c r="I231" s="360"/>
    </row>
    <row r="232" spans="2:9" outlineLevel="1" x14ac:dyDescent="0.35">
      <c r="B232" s="48" t="s">
        <v>136</v>
      </c>
      <c r="C232" s="62" t="s">
        <v>223</v>
      </c>
      <c r="D232" s="326"/>
      <c r="E232" s="364"/>
      <c r="F232" s="84"/>
      <c r="G232" s="325"/>
      <c r="H232" s="360"/>
      <c r="I232" s="360"/>
    </row>
    <row r="233" spans="2:9" outlineLevel="1" x14ac:dyDescent="0.35">
      <c r="B233" s="48" t="s">
        <v>106</v>
      </c>
      <c r="C233" s="62" t="s">
        <v>223</v>
      </c>
      <c r="D233" s="326">
        <v>7629.6749999999993</v>
      </c>
      <c r="E233" s="364">
        <v>16954.833333333332</v>
      </c>
      <c r="F233" s="326">
        <v>1922.29</v>
      </c>
      <c r="G233" s="325">
        <v>2563.0500000000002</v>
      </c>
      <c r="H233" s="360"/>
      <c r="I233" s="360"/>
    </row>
    <row r="234" spans="2:9" outlineLevel="1" x14ac:dyDescent="0.35">
      <c r="B234" s="48" t="s">
        <v>107</v>
      </c>
      <c r="C234" s="62" t="s">
        <v>223</v>
      </c>
      <c r="D234" s="326">
        <v>1469.925</v>
      </c>
      <c r="E234" s="364">
        <v>3266.5</v>
      </c>
      <c r="F234" s="84"/>
      <c r="G234" s="325"/>
      <c r="H234" s="360"/>
      <c r="I234" s="360"/>
    </row>
    <row r="235" spans="2:9" outlineLevel="1" x14ac:dyDescent="0.35">
      <c r="B235" s="48" t="s">
        <v>108</v>
      </c>
      <c r="C235" s="62" t="s">
        <v>223</v>
      </c>
      <c r="D235" s="326"/>
      <c r="E235" s="364"/>
      <c r="F235" s="84"/>
      <c r="G235" s="325"/>
      <c r="H235" s="360"/>
      <c r="I235" s="360"/>
    </row>
    <row r="236" spans="2:9" outlineLevel="1" x14ac:dyDescent="0.35">
      <c r="B236" s="48" t="s">
        <v>109</v>
      </c>
      <c r="C236" s="62" t="s">
        <v>223</v>
      </c>
      <c r="D236" s="326"/>
      <c r="E236" s="364"/>
      <c r="F236" s="84"/>
      <c r="G236" s="325"/>
      <c r="H236" s="360"/>
      <c r="I236" s="360"/>
    </row>
    <row r="237" spans="2:9" outlineLevel="1" x14ac:dyDescent="0.35">
      <c r="B237" s="48" t="s">
        <v>110</v>
      </c>
      <c r="C237" s="62" t="s">
        <v>223</v>
      </c>
      <c r="D237" s="326"/>
      <c r="E237" s="364"/>
      <c r="F237" s="84"/>
      <c r="G237" s="325"/>
      <c r="H237" s="360"/>
      <c r="I237" s="360"/>
    </row>
    <row r="238" spans="2:9" outlineLevel="1" x14ac:dyDescent="0.35">
      <c r="B238" s="48" t="s">
        <v>111</v>
      </c>
      <c r="C238" s="62" t="s">
        <v>223</v>
      </c>
      <c r="D238" s="326">
        <v>3513.915</v>
      </c>
      <c r="E238" s="364">
        <v>7808.7</v>
      </c>
      <c r="F238" s="84"/>
      <c r="G238" s="325"/>
      <c r="H238" s="360"/>
      <c r="I238" s="360"/>
    </row>
    <row r="239" spans="2:9" outlineLevel="1" x14ac:dyDescent="0.35">
      <c r="B239" s="48" t="s">
        <v>112</v>
      </c>
      <c r="C239" s="62" t="s">
        <v>223</v>
      </c>
      <c r="D239" s="326">
        <v>2265.2437500000001</v>
      </c>
      <c r="E239" s="364">
        <v>5033.875</v>
      </c>
      <c r="F239" s="84"/>
      <c r="G239" s="325"/>
      <c r="H239" s="360"/>
      <c r="I239" s="360"/>
    </row>
    <row r="240" spans="2:9" outlineLevel="1" x14ac:dyDescent="0.35">
      <c r="B240" s="48" t="s">
        <v>113</v>
      </c>
      <c r="C240" s="62" t="s">
        <v>223</v>
      </c>
      <c r="D240" s="326">
        <v>1034.415</v>
      </c>
      <c r="E240" s="364">
        <v>2298.6999999999998</v>
      </c>
      <c r="F240" s="84"/>
      <c r="G240" s="325"/>
      <c r="H240" s="360"/>
      <c r="I240" s="360"/>
    </row>
    <row r="241" spans="2:8" outlineLevel="1" x14ac:dyDescent="0.35">
      <c r="B241" s="48" t="s">
        <v>114</v>
      </c>
      <c r="C241" s="62" t="s">
        <v>223</v>
      </c>
      <c r="D241" s="326"/>
      <c r="E241" s="364"/>
      <c r="F241" s="84"/>
      <c r="G241" s="325"/>
      <c r="H241" s="360"/>
    </row>
    <row r="242" spans="2:8" outlineLevel="1" x14ac:dyDescent="0.35">
      <c r="B242" s="48" t="s">
        <v>115</v>
      </c>
      <c r="C242" s="62" t="s">
        <v>223</v>
      </c>
      <c r="D242" s="326"/>
      <c r="E242" s="364"/>
      <c r="F242" s="326">
        <v>2873.38</v>
      </c>
      <c r="G242" s="325">
        <v>5746.75</v>
      </c>
      <c r="H242" s="360"/>
    </row>
    <row r="243" spans="2:8" outlineLevel="1" x14ac:dyDescent="0.35">
      <c r="B243" s="48" t="s">
        <v>116</v>
      </c>
      <c r="C243" s="62" t="s">
        <v>223</v>
      </c>
      <c r="D243" s="326"/>
      <c r="E243" s="364"/>
      <c r="F243" s="84"/>
      <c r="G243" s="325"/>
      <c r="H243" s="360"/>
    </row>
    <row r="244" spans="2:8" outlineLevel="1" x14ac:dyDescent="0.35">
      <c r="B244" s="48" t="s">
        <v>117</v>
      </c>
      <c r="C244" s="62" t="s">
        <v>223</v>
      </c>
      <c r="D244" s="326">
        <v>10702.844999999999</v>
      </c>
      <c r="E244" s="364">
        <v>23784.1</v>
      </c>
      <c r="F244" s="84"/>
      <c r="G244" s="325"/>
      <c r="H244" s="360"/>
    </row>
    <row r="245" spans="2:8" outlineLevel="1" x14ac:dyDescent="0.35">
      <c r="B245" s="48" t="s">
        <v>118</v>
      </c>
      <c r="C245" s="62" t="s">
        <v>223</v>
      </c>
      <c r="D245" s="326"/>
      <c r="E245" s="364"/>
      <c r="F245" s="84"/>
      <c r="G245" s="325"/>
      <c r="H245" s="360"/>
    </row>
    <row r="246" spans="2:8" outlineLevel="1" x14ac:dyDescent="0.35">
      <c r="B246" s="48" t="s">
        <v>119</v>
      </c>
      <c r="C246" s="62" t="s">
        <v>223</v>
      </c>
      <c r="D246" s="326"/>
      <c r="E246" s="364"/>
      <c r="F246" s="325">
        <v>1341.29</v>
      </c>
      <c r="G246" s="325">
        <v>1341.29</v>
      </c>
      <c r="H246" s="360"/>
    </row>
    <row r="247" spans="2:8" outlineLevel="1" x14ac:dyDescent="0.35">
      <c r="B247" s="48" t="s">
        <v>120</v>
      </c>
      <c r="C247" s="62" t="s">
        <v>223</v>
      </c>
      <c r="D247" s="326">
        <v>3103.2450000000003</v>
      </c>
      <c r="E247" s="364">
        <v>6896.1</v>
      </c>
      <c r="F247" s="84"/>
      <c r="G247" s="325"/>
      <c r="H247" s="360"/>
    </row>
    <row r="248" spans="2:8" outlineLevel="1" x14ac:dyDescent="0.35">
      <c r="B248" s="48" t="s">
        <v>121</v>
      </c>
      <c r="C248" s="62" t="s">
        <v>223</v>
      </c>
      <c r="D248" s="326"/>
      <c r="E248" s="364"/>
      <c r="F248" s="84"/>
      <c r="G248" s="325"/>
      <c r="H248" s="360"/>
    </row>
    <row r="249" spans="2:8" outlineLevel="1" x14ac:dyDescent="0.35">
      <c r="B249" s="48" t="s">
        <v>137</v>
      </c>
      <c r="C249" s="62" t="s">
        <v>223</v>
      </c>
      <c r="D249" s="326"/>
      <c r="E249" s="364"/>
      <c r="F249" s="84"/>
      <c r="G249" s="325"/>
      <c r="H249" s="360"/>
    </row>
    <row r="250" spans="2:8" outlineLevel="1" x14ac:dyDescent="0.35">
      <c r="B250" s="48" t="s">
        <v>123</v>
      </c>
      <c r="C250" s="62" t="s">
        <v>223</v>
      </c>
      <c r="D250" s="326"/>
      <c r="E250" s="364"/>
      <c r="F250" s="84"/>
      <c r="G250" s="325"/>
      <c r="H250" s="360"/>
    </row>
    <row r="251" spans="2:8" outlineLevel="1" x14ac:dyDescent="0.35">
      <c r="B251" s="48" t="s">
        <v>124</v>
      </c>
      <c r="C251" s="62" t="s">
        <v>223</v>
      </c>
      <c r="D251" s="326"/>
      <c r="E251" s="364"/>
      <c r="F251" s="84"/>
      <c r="G251" s="325"/>
      <c r="H251" s="360"/>
    </row>
    <row r="252" spans="2:8" outlineLevel="1" x14ac:dyDescent="0.35">
      <c r="B252" s="48" t="s">
        <v>125</v>
      </c>
      <c r="C252" s="62" t="s">
        <v>223</v>
      </c>
      <c r="D252" s="326"/>
      <c r="E252" s="364"/>
      <c r="F252" s="84"/>
      <c r="G252" s="325"/>
      <c r="H252" s="360"/>
    </row>
    <row r="253" spans="2:8" outlineLevel="1" x14ac:dyDescent="0.35">
      <c r="B253" s="48" t="s">
        <v>126</v>
      </c>
      <c r="C253" s="62" t="s">
        <v>223</v>
      </c>
      <c r="D253" s="326"/>
      <c r="E253" s="364"/>
      <c r="F253" s="84"/>
      <c r="G253" s="325"/>
      <c r="H253" s="360"/>
    </row>
    <row r="254" spans="2:8" outlineLevel="1" x14ac:dyDescent="0.35">
      <c r="B254" s="48" t="s">
        <v>127</v>
      </c>
      <c r="C254" s="62" t="s">
        <v>223</v>
      </c>
      <c r="D254" s="326">
        <v>65.924999999999997</v>
      </c>
      <c r="E254" s="364">
        <v>146.5</v>
      </c>
      <c r="F254" s="326">
        <v>4597.3999999999996</v>
      </c>
      <c r="G254" s="325">
        <v>9194.7999999999993</v>
      </c>
      <c r="H254" s="360"/>
    </row>
    <row r="255" spans="2:8" ht="15" customHeight="1" x14ac:dyDescent="0.35"/>
    <row r="256" spans="2:8" ht="15.5" x14ac:dyDescent="0.35">
      <c r="B256" s="419" t="s">
        <v>145</v>
      </c>
      <c r="C256" s="419"/>
      <c r="D256" s="419"/>
      <c r="E256" s="419"/>
      <c r="F256" s="419"/>
      <c r="G256" s="419"/>
    </row>
    <row r="257" spans="2:35" ht="5.9" customHeight="1" outlineLevel="1" x14ac:dyDescent="0.35">
      <c r="B257" s="103"/>
      <c r="C257" s="103"/>
      <c r="D257" s="103"/>
      <c r="E257" s="366"/>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row>
    <row r="258" spans="2:35" outlineLevel="1" x14ac:dyDescent="0.35">
      <c r="B258" s="459"/>
      <c r="C258" s="481" t="s">
        <v>134</v>
      </c>
      <c r="D258" s="439" t="s">
        <v>169</v>
      </c>
      <c r="E258" s="458"/>
      <c r="F258" s="439" t="s">
        <v>170</v>
      </c>
      <c r="G258" s="458"/>
    </row>
    <row r="259" spans="2:35" outlineLevel="1" x14ac:dyDescent="0.35">
      <c r="B259" s="460"/>
      <c r="C259" s="482"/>
      <c r="D259" s="439" t="str">
        <f>($C$3-5)&amp;" - "&amp;($C$3-1)</f>
        <v>2019 - 2023</v>
      </c>
      <c r="E259" s="458"/>
      <c r="F259" s="439" t="s">
        <v>220</v>
      </c>
      <c r="G259" s="458"/>
    </row>
    <row r="260" spans="2:35" outlineLevel="1" x14ac:dyDescent="0.35">
      <c r="B260" s="461"/>
      <c r="C260" s="483"/>
      <c r="D260" s="78" t="s">
        <v>221</v>
      </c>
      <c r="E260" s="82" t="s">
        <v>222</v>
      </c>
      <c r="F260" s="78" t="s">
        <v>221</v>
      </c>
      <c r="G260" s="82" t="s">
        <v>222</v>
      </c>
    </row>
    <row r="261" spans="2:35" outlineLevel="1" x14ac:dyDescent="0.35">
      <c r="B261" s="48" t="s">
        <v>74</v>
      </c>
      <c r="C261" s="62" t="s">
        <v>223</v>
      </c>
      <c r="D261" s="84"/>
      <c r="E261" s="367"/>
      <c r="F261" s="84"/>
      <c r="G261" s="325"/>
    </row>
    <row r="262" spans="2:35" outlineLevel="1" x14ac:dyDescent="0.35">
      <c r="B262" s="48" t="s">
        <v>75</v>
      </c>
      <c r="C262" s="62" t="s">
        <v>223</v>
      </c>
      <c r="D262" s="84">
        <v>7515.0449999999992</v>
      </c>
      <c r="E262" s="367">
        <v>16700.099999999999</v>
      </c>
      <c r="F262" s="84"/>
      <c r="G262" s="325"/>
    </row>
    <row r="263" spans="2:35" outlineLevel="1" x14ac:dyDescent="0.35">
      <c r="B263" s="48" t="s">
        <v>76</v>
      </c>
      <c r="C263" s="62" t="s">
        <v>223</v>
      </c>
      <c r="D263" s="84"/>
      <c r="E263" s="367"/>
      <c r="F263" s="84"/>
      <c r="G263" s="325"/>
    </row>
    <row r="264" spans="2:35" outlineLevel="1" x14ac:dyDescent="0.35">
      <c r="B264" s="48" t="s">
        <v>77</v>
      </c>
      <c r="C264" s="62" t="s">
        <v>223</v>
      </c>
      <c r="D264" s="84"/>
      <c r="E264" s="367"/>
      <c r="F264" s="84"/>
      <c r="G264" s="325"/>
    </row>
    <row r="265" spans="2:35" outlineLevel="1" x14ac:dyDescent="0.35">
      <c r="B265" s="48" t="s">
        <v>78</v>
      </c>
      <c r="C265" s="62" t="s">
        <v>223</v>
      </c>
      <c r="D265" s="84"/>
      <c r="E265" s="367"/>
      <c r="F265" s="326">
        <v>2011.35</v>
      </c>
      <c r="G265" s="325">
        <v>4022.7</v>
      </c>
    </row>
    <row r="266" spans="2:35" outlineLevel="1" x14ac:dyDescent="0.35">
      <c r="B266" s="48" t="s">
        <v>79</v>
      </c>
      <c r="C266" s="62" t="s">
        <v>223</v>
      </c>
      <c r="D266" s="84"/>
      <c r="E266" s="367"/>
      <c r="F266" s="84"/>
      <c r="G266" s="325"/>
    </row>
    <row r="267" spans="2:35" outlineLevel="1" x14ac:dyDescent="0.35">
      <c r="B267" s="48" t="s">
        <v>80</v>
      </c>
      <c r="C267" s="62" t="s">
        <v>223</v>
      </c>
      <c r="D267" s="84"/>
      <c r="E267" s="367"/>
      <c r="F267" s="84"/>
      <c r="G267" s="325"/>
    </row>
    <row r="268" spans="2:35" outlineLevel="1" x14ac:dyDescent="0.35">
      <c r="B268" s="48" t="s">
        <v>81</v>
      </c>
      <c r="C268" s="62" t="s">
        <v>223</v>
      </c>
      <c r="D268" s="84"/>
      <c r="E268" s="367"/>
      <c r="F268" s="84"/>
      <c r="G268" s="325"/>
    </row>
    <row r="269" spans="2:35" outlineLevel="1" x14ac:dyDescent="0.35">
      <c r="B269" s="48" t="s">
        <v>82</v>
      </c>
      <c r="C269" s="62" t="s">
        <v>223</v>
      </c>
      <c r="D269" s="84">
        <v>2813.625</v>
      </c>
      <c r="E269" s="367">
        <v>6252.5</v>
      </c>
      <c r="F269" s="84"/>
      <c r="G269" s="325"/>
    </row>
    <row r="270" spans="2:35" outlineLevel="1" x14ac:dyDescent="0.35">
      <c r="B270" s="48" t="s">
        <v>83</v>
      </c>
      <c r="C270" s="62" t="s">
        <v>223</v>
      </c>
      <c r="D270" s="84"/>
      <c r="E270" s="367"/>
      <c r="F270" s="84"/>
      <c r="G270" s="325"/>
    </row>
    <row r="271" spans="2:35" outlineLevel="1" x14ac:dyDescent="0.35">
      <c r="B271" s="48" t="s">
        <v>84</v>
      </c>
      <c r="C271" s="62" t="s">
        <v>223</v>
      </c>
      <c r="D271" s="84"/>
      <c r="E271" s="367"/>
      <c r="F271" s="84"/>
      <c r="G271" s="325"/>
    </row>
    <row r="272" spans="2:35" outlineLevel="1" x14ac:dyDescent="0.35">
      <c r="B272" s="48" t="s">
        <v>85</v>
      </c>
      <c r="C272" s="62" t="s">
        <v>223</v>
      </c>
      <c r="D272" s="84"/>
      <c r="E272" s="367"/>
      <c r="F272" s="84"/>
      <c r="G272" s="325"/>
    </row>
    <row r="273" spans="2:7" outlineLevel="1" x14ac:dyDescent="0.35">
      <c r="B273" s="48" t="s">
        <v>86</v>
      </c>
      <c r="C273" s="62" t="s">
        <v>223</v>
      </c>
      <c r="D273" s="84"/>
      <c r="E273" s="367"/>
      <c r="F273" s="84"/>
      <c r="G273" s="325"/>
    </row>
    <row r="274" spans="2:7" outlineLevel="1" x14ac:dyDescent="0.35">
      <c r="B274" s="48" t="s">
        <v>87</v>
      </c>
      <c r="C274" s="62" t="s">
        <v>223</v>
      </c>
      <c r="D274" s="84"/>
      <c r="E274" s="367"/>
      <c r="F274" s="84"/>
      <c r="G274" s="325"/>
    </row>
    <row r="275" spans="2:7" outlineLevel="1" x14ac:dyDescent="0.35">
      <c r="B275" s="48" t="s">
        <v>88</v>
      </c>
      <c r="C275" s="62" t="s">
        <v>223</v>
      </c>
      <c r="D275" s="84"/>
      <c r="E275" s="367"/>
      <c r="F275" s="84"/>
      <c r="G275" s="325"/>
    </row>
    <row r="276" spans="2:7" outlineLevel="1" x14ac:dyDescent="0.35">
      <c r="B276" s="48" t="s">
        <v>89</v>
      </c>
      <c r="C276" s="62" t="s">
        <v>223</v>
      </c>
      <c r="D276" s="84"/>
      <c r="E276" s="367"/>
      <c r="F276" s="84"/>
      <c r="G276" s="325"/>
    </row>
    <row r="277" spans="2:7" outlineLevel="1" x14ac:dyDescent="0.35">
      <c r="B277" s="48" t="s">
        <v>90</v>
      </c>
      <c r="C277" s="62" t="s">
        <v>223</v>
      </c>
      <c r="D277" s="84"/>
      <c r="E277" s="367"/>
      <c r="F277" s="84"/>
      <c r="G277" s="325"/>
    </row>
    <row r="278" spans="2:7" outlineLevel="1" x14ac:dyDescent="0.35">
      <c r="B278" s="48" t="s">
        <v>91</v>
      </c>
      <c r="C278" s="62" t="s">
        <v>223</v>
      </c>
      <c r="D278" s="84"/>
      <c r="E278" s="367"/>
      <c r="F278" s="84"/>
      <c r="G278" s="325"/>
    </row>
    <row r="279" spans="2:7" outlineLevel="1" x14ac:dyDescent="0.35">
      <c r="B279" s="48" t="s">
        <v>92</v>
      </c>
      <c r="C279" s="62" t="s">
        <v>223</v>
      </c>
      <c r="D279" s="84"/>
      <c r="E279" s="367"/>
      <c r="F279" s="84"/>
      <c r="G279" s="325"/>
    </row>
    <row r="280" spans="2:7" outlineLevel="1" x14ac:dyDescent="0.35">
      <c r="B280" s="48" t="s">
        <v>93</v>
      </c>
      <c r="C280" s="62" t="s">
        <v>223</v>
      </c>
      <c r="D280" s="84"/>
      <c r="E280" s="367"/>
      <c r="F280" s="84"/>
      <c r="G280" s="325"/>
    </row>
    <row r="281" spans="2:7" outlineLevel="1" x14ac:dyDescent="0.35">
      <c r="B281" s="48" t="s">
        <v>94</v>
      </c>
      <c r="C281" s="62" t="s">
        <v>223</v>
      </c>
      <c r="D281" s="84">
        <v>6064.2449999999999</v>
      </c>
      <c r="E281" s="367">
        <v>13476.1</v>
      </c>
      <c r="F281" s="84"/>
      <c r="G281" s="325"/>
    </row>
    <row r="282" spans="2:7" outlineLevel="1" x14ac:dyDescent="0.35">
      <c r="B282" s="48" t="s">
        <v>95</v>
      </c>
      <c r="C282" s="62" t="s">
        <v>223</v>
      </c>
      <c r="D282" s="84"/>
      <c r="E282" s="367"/>
      <c r="F282" s="326">
        <v>2011.35</v>
      </c>
      <c r="G282" s="325">
        <v>4022.7</v>
      </c>
    </row>
    <row r="283" spans="2:7" outlineLevel="1" x14ac:dyDescent="0.35">
      <c r="B283" s="48" t="s">
        <v>96</v>
      </c>
      <c r="C283" s="62" t="s">
        <v>223</v>
      </c>
      <c r="D283" s="84"/>
      <c r="E283" s="367"/>
      <c r="F283" s="84"/>
      <c r="G283" s="325"/>
    </row>
    <row r="284" spans="2:7" outlineLevel="1" x14ac:dyDescent="0.35">
      <c r="B284" s="48" t="s">
        <v>97</v>
      </c>
      <c r="C284" s="62" t="s">
        <v>223</v>
      </c>
      <c r="D284" s="84"/>
      <c r="E284" s="367"/>
      <c r="F284" s="84"/>
      <c r="G284" s="325"/>
    </row>
    <row r="285" spans="2:7" outlineLevel="1" x14ac:dyDescent="0.35">
      <c r="B285" s="48" t="s">
        <v>98</v>
      </c>
      <c r="C285" s="62" t="s">
        <v>223</v>
      </c>
      <c r="D285" s="84"/>
      <c r="E285" s="367"/>
      <c r="F285" s="84"/>
      <c r="G285" s="325"/>
    </row>
    <row r="286" spans="2:7" outlineLevel="1" x14ac:dyDescent="0.35">
      <c r="B286" s="48" t="s">
        <v>99</v>
      </c>
      <c r="C286" s="62" t="s">
        <v>223</v>
      </c>
      <c r="D286" s="84">
        <v>9082.17</v>
      </c>
      <c r="E286" s="367">
        <v>20182.599999999999</v>
      </c>
      <c r="F286" s="84"/>
      <c r="G286" s="325"/>
    </row>
    <row r="287" spans="2:7" outlineLevel="1" x14ac:dyDescent="0.35">
      <c r="B287" s="48" t="s">
        <v>100</v>
      </c>
      <c r="C287" s="62" t="s">
        <v>223</v>
      </c>
      <c r="D287" s="84"/>
      <c r="E287" s="367"/>
      <c r="F287" s="84"/>
      <c r="G287" s="325"/>
    </row>
    <row r="288" spans="2:7" outlineLevel="1" x14ac:dyDescent="0.35">
      <c r="B288" s="48" t="s">
        <v>101</v>
      </c>
      <c r="C288" s="62" t="s">
        <v>223</v>
      </c>
      <c r="D288" s="84">
        <v>4654.8900000000003</v>
      </c>
      <c r="E288" s="367">
        <v>10344.200000000001</v>
      </c>
      <c r="F288" s="84"/>
      <c r="G288" s="325"/>
    </row>
    <row r="289" spans="2:7" outlineLevel="1" x14ac:dyDescent="0.35">
      <c r="B289" s="48" t="s">
        <v>102</v>
      </c>
      <c r="C289" s="62" t="s">
        <v>223</v>
      </c>
      <c r="D289" s="84"/>
      <c r="E289" s="367"/>
      <c r="F289" s="84"/>
      <c r="G289" s="325"/>
    </row>
    <row r="290" spans="2:7" outlineLevel="1" x14ac:dyDescent="0.35">
      <c r="B290" s="48" t="s">
        <v>103</v>
      </c>
      <c r="C290" s="62" t="s">
        <v>223</v>
      </c>
      <c r="D290" s="84"/>
      <c r="E290" s="367"/>
      <c r="F290" s="84"/>
      <c r="G290" s="325"/>
    </row>
    <row r="291" spans="2:7" outlineLevel="1" x14ac:dyDescent="0.35">
      <c r="B291" s="48" t="s">
        <v>104</v>
      </c>
      <c r="C291" s="62" t="s">
        <v>223</v>
      </c>
      <c r="D291" s="84"/>
      <c r="E291" s="367"/>
      <c r="F291" s="84"/>
      <c r="G291" s="325"/>
    </row>
    <row r="292" spans="2:7" outlineLevel="1" x14ac:dyDescent="0.35">
      <c r="B292" s="48" t="s">
        <v>136</v>
      </c>
      <c r="C292" s="62" t="s">
        <v>223</v>
      </c>
      <c r="D292" s="84"/>
      <c r="E292" s="367"/>
      <c r="F292" s="84"/>
      <c r="G292" s="325"/>
    </row>
    <row r="293" spans="2:7" outlineLevel="1" x14ac:dyDescent="0.35">
      <c r="B293" s="48" t="s">
        <v>106</v>
      </c>
      <c r="C293" s="62" t="s">
        <v>223</v>
      </c>
      <c r="D293" s="84"/>
      <c r="E293" s="367"/>
      <c r="F293" s="84"/>
      <c r="G293" s="325"/>
    </row>
    <row r="294" spans="2:7" outlineLevel="1" x14ac:dyDescent="0.35">
      <c r="B294" s="48" t="s">
        <v>107</v>
      </c>
      <c r="C294" s="62" t="s">
        <v>223</v>
      </c>
      <c r="D294" s="84"/>
      <c r="E294" s="367"/>
      <c r="F294" s="84"/>
      <c r="G294" s="325"/>
    </row>
    <row r="295" spans="2:7" outlineLevel="1" x14ac:dyDescent="0.35">
      <c r="B295" s="48" t="s">
        <v>108</v>
      </c>
      <c r="C295" s="62" t="s">
        <v>223</v>
      </c>
      <c r="D295" s="84"/>
      <c r="E295" s="367"/>
      <c r="F295" s="84"/>
      <c r="G295" s="325"/>
    </row>
    <row r="296" spans="2:7" outlineLevel="1" x14ac:dyDescent="0.35">
      <c r="B296" s="48" t="s">
        <v>109</v>
      </c>
      <c r="C296" s="62" t="s">
        <v>223</v>
      </c>
      <c r="D296" s="84"/>
      <c r="E296" s="367"/>
      <c r="F296" s="84"/>
      <c r="G296" s="325"/>
    </row>
    <row r="297" spans="2:7" outlineLevel="1" x14ac:dyDescent="0.35">
      <c r="B297" s="48" t="s">
        <v>110</v>
      </c>
      <c r="C297" s="62" t="s">
        <v>223</v>
      </c>
      <c r="D297" s="84">
        <v>10188.99</v>
      </c>
      <c r="E297" s="367">
        <v>22642.2</v>
      </c>
      <c r="F297" s="84"/>
      <c r="G297" s="325"/>
    </row>
    <row r="298" spans="2:7" outlineLevel="1" x14ac:dyDescent="0.35">
      <c r="B298" s="48" t="s">
        <v>111</v>
      </c>
      <c r="C298" s="62" t="s">
        <v>223</v>
      </c>
      <c r="D298" s="84"/>
      <c r="E298" s="367"/>
      <c r="F298" s="84"/>
      <c r="G298" s="325"/>
    </row>
    <row r="299" spans="2:7" outlineLevel="1" x14ac:dyDescent="0.35">
      <c r="B299" s="48" t="s">
        <v>112</v>
      </c>
      <c r="C299" s="62" t="s">
        <v>223</v>
      </c>
      <c r="D299" s="84">
        <v>26894.79</v>
      </c>
      <c r="E299" s="367">
        <v>59766.2</v>
      </c>
      <c r="F299" s="84"/>
      <c r="G299" s="325"/>
    </row>
    <row r="300" spans="2:7" outlineLevel="1" x14ac:dyDescent="0.35">
      <c r="B300" s="48" t="s">
        <v>113</v>
      </c>
      <c r="C300" s="62" t="s">
        <v>223</v>
      </c>
      <c r="D300" s="84"/>
      <c r="E300" s="367"/>
      <c r="F300" s="326">
        <v>2011.35</v>
      </c>
      <c r="G300" s="325">
        <v>4022.7</v>
      </c>
    </row>
    <row r="301" spans="2:7" outlineLevel="1" x14ac:dyDescent="0.35">
      <c r="B301" s="48" t="s">
        <v>114</v>
      </c>
      <c r="C301" s="62" t="s">
        <v>223</v>
      </c>
      <c r="D301" s="84"/>
      <c r="E301" s="367"/>
      <c r="F301" s="326">
        <v>2183.75</v>
      </c>
      <c r="G301" s="325">
        <v>4367.5</v>
      </c>
    </row>
    <row r="302" spans="2:7" outlineLevel="1" x14ac:dyDescent="0.35">
      <c r="B302" s="48" t="s">
        <v>115</v>
      </c>
      <c r="C302" s="62" t="s">
        <v>223</v>
      </c>
      <c r="D302" s="84"/>
      <c r="E302" s="367"/>
      <c r="F302" s="84"/>
      <c r="G302" s="325"/>
    </row>
    <row r="303" spans="2:7" outlineLevel="1" x14ac:dyDescent="0.35">
      <c r="B303" s="48" t="s">
        <v>116</v>
      </c>
      <c r="C303" s="62" t="s">
        <v>223</v>
      </c>
      <c r="D303" s="84"/>
      <c r="E303" s="367"/>
      <c r="F303" s="84"/>
      <c r="G303" s="325"/>
    </row>
    <row r="304" spans="2:7" outlineLevel="1" x14ac:dyDescent="0.35">
      <c r="B304" s="48" t="s">
        <v>117</v>
      </c>
      <c r="C304" s="62" t="s">
        <v>223</v>
      </c>
      <c r="D304" s="84"/>
      <c r="E304" s="367"/>
      <c r="F304" s="84"/>
      <c r="G304" s="325"/>
    </row>
    <row r="305" spans="2:7" outlineLevel="1" x14ac:dyDescent="0.35">
      <c r="B305" s="48" t="s">
        <v>118</v>
      </c>
      <c r="C305" s="62" t="s">
        <v>223</v>
      </c>
      <c r="D305" s="84"/>
      <c r="E305" s="367"/>
      <c r="F305" s="84"/>
      <c r="G305" s="325"/>
    </row>
    <row r="306" spans="2:7" outlineLevel="1" x14ac:dyDescent="0.35">
      <c r="B306" s="48" t="s">
        <v>119</v>
      </c>
      <c r="C306" s="62" t="s">
        <v>223</v>
      </c>
      <c r="D306" s="84"/>
      <c r="E306" s="367"/>
      <c r="F306" s="84"/>
      <c r="G306" s="325"/>
    </row>
    <row r="307" spans="2:7" outlineLevel="1" x14ac:dyDescent="0.35">
      <c r="B307" s="48" t="s">
        <v>120</v>
      </c>
      <c r="C307" s="62" t="s">
        <v>223</v>
      </c>
      <c r="D307" s="84"/>
      <c r="E307" s="367"/>
      <c r="F307" s="326">
        <v>2298.6999999999998</v>
      </c>
      <c r="G307" s="325">
        <v>4597.3999999999996</v>
      </c>
    </row>
    <row r="308" spans="2:7" outlineLevel="1" x14ac:dyDescent="0.35">
      <c r="B308" s="48" t="s">
        <v>121</v>
      </c>
      <c r="C308" s="62" t="s">
        <v>223</v>
      </c>
      <c r="D308" s="84"/>
      <c r="E308" s="367"/>
      <c r="F308" s="84"/>
      <c r="G308" s="325"/>
    </row>
    <row r="309" spans="2:7" outlineLevel="1" x14ac:dyDescent="0.35">
      <c r="B309" s="48" t="s">
        <v>137</v>
      </c>
      <c r="C309" s="62" t="s">
        <v>223</v>
      </c>
      <c r="D309" s="84"/>
      <c r="E309" s="367"/>
      <c r="F309" s="84"/>
      <c r="G309" s="325"/>
    </row>
    <row r="310" spans="2:7" outlineLevel="1" x14ac:dyDescent="0.35">
      <c r="B310" s="48" t="s">
        <v>123</v>
      </c>
      <c r="C310" s="62" t="s">
        <v>223</v>
      </c>
      <c r="D310" s="84"/>
      <c r="E310" s="367"/>
      <c r="F310" s="84"/>
      <c r="G310" s="325"/>
    </row>
    <row r="311" spans="2:7" outlineLevel="1" x14ac:dyDescent="0.35">
      <c r="B311" s="48" t="s">
        <v>124</v>
      </c>
      <c r="C311" s="62" t="s">
        <v>223</v>
      </c>
      <c r="D311" s="84"/>
      <c r="E311" s="367"/>
      <c r="F311" s="84"/>
      <c r="G311" s="325"/>
    </row>
    <row r="312" spans="2:7" outlineLevel="1" x14ac:dyDescent="0.35">
      <c r="B312" s="48" t="s">
        <v>125</v>
      </c>
      <c r="C312" s="62" t="s">
        <v>223</v>
      </c>
      <c r="D312" s="84">
        <v>2878.2450000000003</v>
      </c>
      <c r="E312" s="367">
        <v>6396.1</v>
      </c>
      <c r="F312" s="84"/>
      <c r="G312" s="325"/>
    </row>
    <row r="313" spans="2:7" outlineLevel="1" x14ac:dyDescent="0.35">
      <c r="B313" s="48" t="s">
        <v>126</v>
      </c>
      <c r="C313" s="62" t="s">
        <v>223</v>
      </c>
      <c r="D313" s="84"/>
      <c r="E313" s="367"/>
      <c r="F313" s="84"/>
      <c r="G313" s="325"/>
    </row>
    <row r="314" spans="2:7" outlineLevel="1" x14ac:dyDescent="0.35">
      <c r="B314" s="48" t="s">
        <v>127</v>
      </c>
      <c r="C314" s="62" t="s">
        <v>223</v>
      </c>
      <c r="D314" s="84"/>
      <c r="E314" s="367"/>
      <c r="F314" s="84"/>
      <c r="G314" s="325"/>
    </row>
    <row r="316" spans="2:7" x14ac:dyDescent="0.35">
      <c r="B316" s="17"/>
    </row>
    <row r="317" spans="2:7" x14ac:dyDescent="0.35">
      <c r="B317" s="17"/>
    </row>
  </sheetData>
  <mergeCells count="45">
    <mergeCell ref="D198:E198"/>
    <mergeCell ref="F198:G198"/>
    <mergeCell ref="B196:G196"/>
    <mergeCell ref="B198:B200"/>
    <mergeCell ref="C198:C200"/>
    <mergeCell ref="D199:E199"/>
    <mergeCell ref="F199:G199"/>
    <mergeCell ref="H2:J2"/>
    <mergeCell ref="B5:G5"/>
    <mergeCell ref="B71:B73"/>
    <mergeCell ref="C71:C73"/>
    <mergeCell ref="B131:B133"/>
    <mergeCell ref="C131:C133"/>
    <mergeCell ref="D131:E131"/>
    <mergeCell ref="F131:G131"/>
    <mergeCell ref="D132:E132"/>
    <mergeCell ref="F132:G132"/>
    <mergeCell ref="C2:G2"/>
    <mergeCell ref="B9:G9"/>
    <mergeCell ref="D12:E12"/>
    <mergeCell ref="F12:G12"/>
    <mergeCell ref="B69:G69"/>
    <mergeCell ref="D11:E11"/>
    <mergeCell ref="F11:G11"/>
    <mergeCell ref="C11:C13"/>
    <mergeCell ref="B11:B13"/>
    <mergeCell ref="D71:E71"/>
    <mergeCell ref="F71:G71"/>
    <mergeCell ref="D72:E72"/>
    <mergeCell ref="F72:G72"/>
    <mergeCell ref="B129:G129"/>
    <mergeCell ref="B189:G189"/>
    <mergeCell ref="B191:B193"/>
    <mergeCell ref="C191:C193"/>
    <mergeCell ref="D191:E191"/>
    <mergeCell ref="F191:G191"/>
    <mergeCell ref="D192:E192"/>
    <mergeCell ref="F192:G192"/>
    <mergeCell ref="B256:G256"/>
    <mergeCell ref="B258:B260"/>
    <mergeCell ref="C258:C260"/>
    <mergeCell ref="D258:E258"/>
    <mergeCell ref="F258:G258"/>
    <mergeCell ref="D259:E259"/>
    <mergeCell ref="F259:G259"/>
  </mergeCells>
  <hyperlinks>
    <hyperlink ref="H2" location="'Αρχική σελίδα'!A1" display="Πίσω στην αρχική σελίδα" xr:uid="{2D26E8C5-EDCD-423F-8548-9526BCC9C694}"/>
  </hyperlinks>
  <pageMargins left="0.7" right="0.7" top="0.75" bottom="0.75" header="0.3" footer="0.3"/>
  <customProperties>
    <customPr name="_pios_id" r:id="rId1"/>
  </customPropertie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DA470-EBE3-4FD8-9696-40B6FE359B9D}">
  <sheetPr codeName="Sheet10">
    <tabColor theme="4" tint="0.79998168889431442"/>
  </sheetPr>
  <dimension ref="B2:AS392"/>
  <sheetViews>
    <sheetView showGridLines="0" topLeftCell="A93" zoomScale="70" zoomScaleNormal="70" workbookViewId="0">
      <pane xSplit="2" topLeftCell="C1" activePane="topRight" state="frozen"/>
      <selection pane="topRight" activeCell="K132" sqref="K132"/>
    </sheetView>
  </sheetViews>
  <sheetFormatPr defaultColWidth="8.54296875" defaultRowHeight="14.5" outlineLevelRow="1" x14ac:dyDescent="0.35"/>
  <cols>
    <col min="1" max="1" width="4.453125" customWidth="1"/>
    <col min="2" max="2" width="38.54296875" customWidth="1"/>
    <col min="3" max="3" width="11.54296875" customWidth="1"/>
    <col min="4" max="13" width="13.453125" customWidth="1"/>
    <col min="14" max="14" width="18.453125" customWidth="1"/>
    <col min="15" max="15" width="1.453125" customWidth="1"/>
    <col min="16" max="16" width="23.453125" customWidth="1"/>
    <col min="17" max="17" width="24.54296875" customWidth="1"/>
    <col min="18" max="18" width="14.54296875" customWidth="1"/>
    <col min="19" max="19" width="13.453125" customWidth="1"/>
    <col min="20" max="21" width="23.453125" customWidth="1"/>
    <col min="22" max="22" width="12.54296875" customWidth="1"/>
    <col min="23" max="23" width="24.54296875" customWidth="1"/>
    <col min="24" max="24" width="14.54296875" customWidth="1"/>
    <col min="25" max="25" width="13.453125" customWidth="1"/>
    <col min="26" max="27" width="23.453125" customWidth="1"/>
    <col min="28" max="28" width="12.54296875" customWidth="1"/>
    <col min="29" max="29" width="24.54296875" customWidth="1"/>
    <col min="30" max="30" width="14.54296875" customWidth="1"/>
    <col min="31" max="31" width="13.453125" customWidth="1"/>
    <col min="32" max="33" width="23.453125" customWidth="1"/>
    <col min="34" max="34" width="12.54296875" customWidth="1"/>
    <col min="35" max="35" width="24.54296875" customWidth="1"/>
    <col min="36" max="36" width="14.54296875" customWidth="1"/>
    <col min="37" max="37" width="13.453125" customWidth="1"/>
    <col min="38" max="39" width="23.453125" customWidth="1"/>
    <col min="40" max="40" width="12.54296875" customWidth="1"/>
    <col min="41" max="41" width="24.54296875" customWidth="1"/>
    <col min="42" max="42" width="14.54296875" customWidth="1"/>
    <col min="43" max="43" width="13.453125" customWidth="1"/>
    <col min="44" max="44" width="22.453125" customWidth="1"/>
    <col min="45" max="45" width="18.453125" customWidth="1"/>
  </cols>
  <sheetData>
    <row r="2" spans="2:45" ht="18.5" x14ac:dyDescent="0.45">
      <c r="B2" s="1" t="s">
        <v>0</v>
      </c>
      <c r="C2" s="420">
        <f>'[1]Αρχική σελίδα'!C3</f>
        <v>0</v>
      </c>
      <c r="D2" s="420"/>
      <c r="E2" s="420"/>
      <c r="F2" s="420"/>
      <c r="G2" s="420"/>
      <c r="H2" s="98"/>
      <c r="J2" s="339" t="s">
        <v>58</v>
      </c>
    </row>
    <row r="3" spans="2:45" ht="18.5" x14ac:dyDescent="0.45">
      <c r="B3" s="2" t="s">
        <v>1</v>
      </c>
      <c r="C3" s="99">
        <v>2024</v>
      </c>
      <c r="D3" s="46" t="s">
        <v>2</v>
      </c>
      <c r="E3" s="46">
        <f>C3+4</f>
        <v>2028</v>
      </c>
    </row>
    <row r="4" spans="2:45" ht="14.9" customHeight="1" x14ac:dyDescent="0.45">
      <c r="C4" s="2"/>
      <c r="D4" s="46"/>
      <c r="E4" s="46"/>
    </row>
    <row r="5" spans="2:45" ht="101.9" customHeight="1" x14ac:dyDescent="0.35">
      <c r="B5" s="422" t="s">
        <v>224</v>
      </c>
      <c r="C5" s="422"/>
      <c r="D5" s="422"/>
      <c r="E5" s="422"/>
      <c r="F5" s="422"/>
      <c r="G5" s="422"/>
      <c r="H5" s="422"/>
      <c r="I5" s="422"/>
    </row>
    <row r="6" spans="2:45" x14ac:dyDescent="0.35">
      <c r="B6" s="226"/>
      <c r="C6" s="226"/>
      <c r="D6" s="226"/>
      <c r="E6" s="226"/>
      <c r="F6" s="226"/>
      <c r="G6" s="226"/>
      <c r="H6" s="226"/>
    </row>
    <row r="7" spans="2:45" ht="18.5" x14ac:dyDescent="0.45">
      <c r="B7" s="100" t="str">
        <f>"Ποσότητες αερίου που διανέμονται μέσω του δικτύου διανομής ιστορικά ("&amp;(C3-5)&amp;" - "&amp;(C3-1)&amp;") και για το Πρόγραμμα Ανάπτυξης  "&amp;C3&amp;" - "&amp;E3</f>
        <v>Ποσότητες αερίου που διανέμονται μέσω του δικτύου διανομής ιστορικά (2019 - 2023) και για το Πρόγραμμα Ανάπτυξης  2024 - 2028</v>
      </c>
      <c r="C7" s="101"/>
      <c r="D7" s="101"/>
      <c r="E7" s="101"/>
      <c r="F7" s="101"/>
      <c r="G7" s="101"/>
      <c r="H7" s="98"/>
      <c r="I7" s="98"/>
      <c r="J7" s="98"/>
    </row>
    <row r="8" spans="2:45" ht="18.5" x14ac:dyDescent="0.45">
      <c r="B8" s="232"/>
      <c r="C8" s="54"/>
      <c r="D8" s="54"/>
      <c r="E8" s="54"/>
      <c r="F8" s="54"/>
      <c r="G8" s="54"/>
    </row>
    <row r="9" spans="2:45" ht="15.5" x14ac:dyDescent="0.35">
      <c r="B9" s="419" t="s">
        <v>209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row>
    <row r="10" spans="2:45" ht="5.9" customHeight="1" outlineLevel="1" x14ac:dyDescent="0.3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row>
    <row r="11" spans="2:45" outlineLevel="1" x14ac:dyDescent="0.35">
      <c r="B11" s="459"/>
      <c r="C11" s="450" t="s">
        <v>134</v>
      </c>
      <c r="D11" s="435" t="s">
        <v>169</v>
      </c>
      <c r="E11" s="436"/>
      <c r="F11" s="436"/>
      <c r="G11" s="436"/>
      <c r="H11" s="436"/>
      <c r="I11" s="436"/>
      <c r="J11" s="436"/>
      <c r="K11" s="436"/>
      <c r="L11" s="437"/>
      <c r="M11" s="431" t="str">
        <f xml:space="preserve"> D12&amp;" - "&amp;K12</f>
        <v>2019 - 2023</v>
      </c>
      <c r="N11" s="456"/>
      <c r="P11" s="476" t="s">
        <v>170</v>
      </c>
      <c r="Q11" s="469"/>
      <c r="R11" s="469"/>
      <c r="S11" s="469"/>
      <c r="T11" s="469"/>
      <c r="U11" s="469"/>
      <c r="V11" s="469"/>
      <c r="W11" s="469"/>
      <c r="X11" s="469"/>
      <c r="Y11" s="469"/>
      <c r="Z11" s="469"/>
      <c r="AA11" s="469"/>
      <c r="AB11" s="469"/>
      <c r="AC11" s="469"/>
      <c r="AD11" s="469"/>
      <c r="AE11" s="469"/>
      <c r="AF11" s="469"/>
      <c r="AG11" s="469"/>
      <c r="AH11" s="469"/>
      <c r="AI11" s="469"/>
      <c r="AJ11" s="469"/>
      <c r="AK11" s="469"/>
      <c r="AL11" s="436"/>
      <c r="AM11" s="436"/>
      <c r="AN11" s="436"/>
      <c r="AO11" s="436"/>
      <c r="AP11" s="436"/>
      <c r="AQ11" s="436"/>
      <c r="AR11" s="436"/>
      <c r="AS11" s="437"/>
    </row>
    <row r="12" spans="2:45" outlineLevel="1" x14ac:dyDescent="0.35">
      <c r="B12" s="460"/>
      <c r="C12" s="451"/>
      <c r="D12" s="79">
        <f>$C$3-5</f>
        <v>2019</v>
      </c>
      <c r="E12" s="435">
        <f>$C$3-4</f>
        <v>2020</v>
      </c>
      <c r="F12" s="437"/>
      <c r="G12" s="435">
        <f>$C$3-3</f>
        <v>2021</v>
      </c>
      <c r="H12" s="437"/>
      <c r="I12" s="435">
        <f>$C$3-2</f>
        <v>2022</v>
      </c>
      <c r="J12" s="437"/>
      <c r="K12" s="435">
        <f>$C$3-1</f>
        <v>2023</v>
      </c>
      <c r="L12" s="437"/>
      <c r="M12" s="433"/>
      <c r="N12" s="457"/>
      <c r="P12" s="514">
        <f>$C$3</f>
        <v>2024</v>
      </c>
      <c r="Q12" s="515"/>
      <c r="R12" s="515"/>
      <c r="S12" s="516"/>
      <c r="T12" s="517">
        <f>$C$3+1</f>
        <v>2025</v>
      </c>
      <c r="U12" s="505"/>
      <c r="V12" s="505"/>
      <c r="W12" s="505"/>
      <c r="X12" s="505"/>
      <c r="Y12" s="506"/>
      <c r="Z12" s="471">
        <f>$C$3+2</f>
        <v>2026</v>
      </c>
      <c r="AA12" s="472"/>
      <c r="AB12" s="472"/>
      <c r="AC12" s="472"/>
      <c r="AD12" s="472"/>
      <c r="AE12" s="472"/>
      <c r="AF12" s="511">
        <f>$C$3+3</f>
        <v>2027</v>
      </c>
      <c r="AG12" s="512"/>
      <c r="AH12" s="512"/>
      <c r="AI12" s="512"/>
      <c r="AJ12" s="512"/>
      <c r="AK12" s="513"/>
      <c r="AL12" s="436">
        <f>$C$3+4</f>
        <v>2028</v>
      </c>
      <c r="AM12" s="436"/>
      <c r="AN12" s="436"/>
      <c r="AO12" s="436"/>
      <c r="AP12" s="436"/>
      <c r="AQ12" s="437"/>
      <c r="AR12" s="439" t="str">
        <f>P12&amp;" - "&amp;AL12</f>
        <v>2024 - 2028</v>
      </c>
      <c r="AS12" s="458"/>
    </row>
    <row r="13" spans="2:45" ht="14.9" customHeight="1" outlineLevel="1" x14ac:dyDescent="0.35">
      <c r="B13" s="460"/>
      <c r="C13" s="451"/>
      <c r="D13" s="492" t="s">
        <v>225</v>
      </c>
      <c r="E13" s="494" t="s">
        <v>225</v>
      </c>
      <c r="F13" s="496" t="s">
        <v>173</v>
      </c>
      <c r="G13" s="494" t="s">
        <v>225</v>
      </c>
      <c r="H13" s="496" t="s">
        <v>173</v>
      </c>
      <c r="I13" s="494" t="s">
        <v>225</v>
      </c>
      <c r="J13" s="470" t="s">
        <v>173</v>
      </c>
      <c r="K13" s="494" t="s">
        <v>225</v>
      </c>
      <c r="L13" s="470" t="s">
        <v>173</v>
      </c>
      <c r="M13" s="494" t="s">
        <v>164</v>
      </c>
      <c r="N13" s="498" t="s">
        <v>174</v>
      </c>
      <c r="P13" s="509" t="str">
        <f>"Διανεμόμενες ποσότητες σε πελάτες που συνδέθηκαν το "&amp;P12</f>
        <v>Διανεμόμενες ποσότητες σε πελάτες που συνδέθηκαν το 2024</v>
      </c>
      <c r="Q13" s="484" t="s">
        <v>226</v>
      </c>
      <c r="R13" s="484" t="s">
        <v>227</v>
      </c>
      <c r="S13" s="508" t="s">
        <v>173</v>
      </c>
      <c r="T13" s="438" t="s">
        <v>228</v>
      </c>
      <c r="U13" s="491"/>
      <c r="V13" s="491"/>
      <c r="W13" s="484" t="s">
        <v>226</v>
      </c>
      <c r="X13" s="484" t="s">
        <v>227</v>
      </c>
      <c r="Y13" s="485" t="s">
        <v>173</v>
      </c>
      <c r="Z13" s="490" t="s">
        <v>228</v>
      </c>
      <c r="AA13" s="491"/>
      <c r="AB13" s="491"/>
      <c r="AC13" s="484" t="s">
        <v>226</v>
      </c>
      <c r="AD13" s="484" t="s">
        <v>227</v>
      </c>
      <c r="AE13" s="503" t="s">
        <v>173</v>
      </c>
      <c r="AF13" s="518" t="s">
        <v>228</v>
      </c>
      <c r="AG13" s="491"/>
      <c r="AH13" s="491"/>
      <c r="AI13" s="484" t="s">
        <v>226</v>
      </c>
      <c r="AJ13" s="484" t="s">
        <v>227</v>
      </c>
      <c r="AK13" s="507" t="s">
        <v>173</v>
      </c>
      <c r="AL13" s="438" t="s">
        <v>228</v>
      </c>
      <c r="AM13" s="491"/>
      <c r="AN13" s="491"/>
      <c r="AO13" s="484" t="s">
        <v>226</v>
      </c>
      <c r="AP13" s="484" t="s">
        <v>227</v>
      </c>
      <c r="AQ13" s="485" t="s">
        <v>173</v>
      </c>
      <c r="AR13" s="486" t="s">
        <v>164</v>
      </c>
      <c r="AS13" s="488" t="s">
        <v>174</v>
      </c>
    </row>
    <row r="14" spans="2:45" ht="54.75" customHeight="1" outlineLevel="1" x14ac:dyDescent="0.35">
      <c r="B14" s="461"/>
      <c r="C14" s="452"/>
      <c r="D14" s="493"/>
      <c r="E14" s="495"/>
      <c r="F14" s="497"/>
      <c r="G14" s="495"/>
      <c r="H14" s="497"/>
      <c r="I14" s="495"/>
      <c r="J14" s="455"/>
      <c r="K14" s="495"/>
      <c r="L14" s="455"/>
      <c r="M14" s="495"/>
      <c r="N14" s="499"/>
      <c r="P14" s="510"/>
      <c r="Q14" s="484"/>
      <c r="R14" s="484"/>
      <c r="S14" s="508"/>
      <c r="T14" s="305" t="str">
        <f>"Διανεμόμενες ποσότητες σε πελάτες που συνδέθηκαν το "&amp;T12</f>
        <v>Διανεμόμενες ποσότητες σε πελάτες που συνδέθηκαν το 2025</v>
      </c>
      <c r="U14" s="105" t="str">
        <f>"Διανεμόμενες ποσότητες σε πελάτες που συνδέθηκαν το "&amp;P12</f>
        <v>Διανεμόμενες ποσότητες σε πελάτες που συνδέθηκαν το 2024</v>
      </c>
      <c r="V14" s="57" t="s">
        <v>229</v>
      </c>
      <c r="W14" s="484"/>
      <c r="X14" s="484"/>
      <c r="Y14" s="485"/>
      <c r="Z14" s="122" t="str">
        <f>"Διανεμόμενες ποσότητες σε πελάτες που συνδέθηκαν το "&amp;Z12</f>
        <v>Διανεμόμενες ποσότητες σε πελάτες που συνδέθηκαν το 2026</v>
      </c>
      <c r="AA14" s="105" t="str">
        <f>"Διανεμόμενες ποσότητες σε πελάτες που συνδέθηκαν το "&amp;$P$12&amp;" - "&amp;T12</f>
        <v>Διανεμόμενες ποσότητες σε πελάτες που συνδέθηκαν το 2024 - 2025</v>
      </c>
      <c r="AB14" s="57" t="s">
        <v>229</v>
      </c>
      <c r="AC14" s="484"/>
      <c r="AD14" s="484"/>
      <c r="AE14" s="503"/>
      <c r="AF14" s="378" t="str">
        <f>"Διανεμόμενες ποσότητες σε πελάτες που συνδέθηκαν το "&amp;AF12</f>
        <v>Διανεμόμενες ποσότητες σε πελάτες που συνδέθηκαν το 2027</v>
      </c>
      <c r="AG14" s="105" t="str">
        <f>"Διανεμόμενες ποσότητες σε πελάτες που συνδέθηκαν το "&amp;$P$12&amp;" - "&amp;Z12</f>
        <v>Διανεμόμενες ποσότητες σε πελάτες που συνδέθηκαν το 2024 - 2026</v>
      </c>
      <c r="AH14" s="57" t="s">
        <v>229</v>
      </c>
      <c r="AI14" s="484"/>
      <c r="AJ14" s="484"/>
      <c r="AK14" s="507"/>
      <c r="AL14" s="305" t="str">
        <f>"Διανεμόμενες ποσότητες σε πελάτες που συνδέθηκαν το "&amp;AL12</f>
        <v>Διανεμόμενες ποσότητες σε πελάτες που συνδέθηκαν το 2028</v>
      </c>
      <c r="AM14" s="105" t="str">
        <f>"Διανεμόμενες ποσότητες σε πελάτες που συνδέθηκαν το "&amp;$P$12&amp;" - "&amp;AF12</f>
        <v>Διανεμόμενες ποσότητες σε πελάτες που συνδέθηκαν το 2024 - 2027</v>
      </c>
      <c r="AN14" s="57" t="s">
        <v>229</v>
      </c>
      <c r="AO14" s="484"/>
      <c r="AP14" s="484"/>
      <c r="AQ14" s="485"/>
      <c r="AR14" s="487"/>
      <c r="AS14" s="489"/>
    </row>
    <row r="15" spans="2:45" outlineLevel="1" x14ac:dyDescent="0.35">
      <c r="B15" s="48" t="s">
        <v>74</v>
      </c>
      <c r="C15" s="62" t="s">
        <v>147</v>
      </c>
      <c r="D15" s="184">
        <f t="shared" ref="D15:E34" si="0">D78+D140+D202+D276+D338</f>
        <v>11140.426058384401</v>
      </c>
      <c r="E15" s="184">
        <f t="shared" si="0"/>
        <v>12823.589091059668</v>
      </c>
      <c r="F15" s="167">
        <f t="shared" ref="F15:F69" si="1">IFERROR((E15-D15)/D15,0)</f>
        <v>0.15108605576251741</v>
      </c>
      <c r="G15" s="184">
        <f t="shared" ref="G15:G46" si="2">G78+G140+G202+G276+G338</f>
        <v>14310.196745128047</v>
      </c>
      <c r="H15" s="166">
        <f>IFERROR((G15-E15)/E15,0)</f>
        <v>0.11592758029846807</v>
      </c>
      <c r="I15" s="184">
        <f t="shared" ref="I15:I46" si="3">I78+I140+I202+I276+I338</f>
        <v>11917.9</v>
      </c>
      <c r="J15" s="166">
        <f>IFERROR((I15-G15)/G15,0)</f>
        <v>-0.16717427354326994</v>
      </c>
      <c r="K15" s="184">
        <f t="shared" ref="K15:K46" si="4">K78+K140+K202+K276+K338</f>
        <v>9356</v>
      </c>
      <c r="L15" s="166">
        <f>IFERROR((K15-I15)/I15,0)</f>
        <v>-0.21496236753119255</v>
      </c>
      <c r="M15" s="164">
        <f>D15+E15+G15+I15+K15</f>
        <v>59548.111894572117</v>
      </c>
      <c r="N15" s="165">
        <f t="shared" ref="N15:N68" si="5">IFERROR((K15/D15)^(1/4)-1,0)</f>
        <v>-4.2702106713913501E-2</v>
      </c>
      <c r="P15" s="371">
        <f t="shared" ref="P15:R34" si="6">P78+P140+P202+P276+P338</f>
        <v>150.22</v>
      </c>
      <c r="Q15" s="157">
        <f t="shared" si="6"/>
        <v>15356.44</v>
      </c>
      <c r="R15" s="157">
        <f t="shared" si="6"/>
        <v>15506.66</v>
      </c>
      <c r="S15" s="372">
        <f t="shared" ref="S15:S68" si="7">IFERROR((R15-K15)/K15,0)</f>
        <v>0.65740273621205647</v>
      </c>
      <c r="T15" s="173">
        <f t="shared" ref="T15:W34" si="8">T78+T140+T202+T276+T338</f>
        <v>366.07</v>
      </c>
      <c r="U15" s="157">
        <f t="shared" si="8"/>
        <v>332.86</v>
      </c>
      <c r="V15" s="157">
        <f t="shared" si="8"/>
        <v>698.93000000000006</v>
      </c>
      <c r="W15" s="157">
        <f t="shared" si="8"/>
        <v>15356.44</v>
      </c>
      <c r="X15" s="138">
        <f>V15+W15</f>
        <v>16055.37</v>
      </c>
      <c r="Y15" s="167">
        <f>IFERROR((X15-R15)/R15,0)</f>
        <v>3.5385440836389073E-2</v>
      </c>
      <c r="Z15" s="158">
        <f t="shared" ref="Z15:AC34" si="9">Z78+Z140+Z202+Z276+Z338</f>
        <v>689.76</v>
      </c>
      <c r="AA15" s="157">
        <f t="shared" si="9"/>
        <v>1161.6299999999999</v>
      </c>
      <c r="AB15" s="157">
        <f t="shared" si="9"/>
        <v>1851.39</v>
      </c>
      <c r="AC15" s="157">
        <f t="shared" si="9"/>
        <v>15356.44</v>
      </c>
      <c r="AD15" s="138">
        <f>AB15+AC15</f>
        <v>17207.830000000002</v>
      </c>
      <c r="AE15" s="181">
        <f t="shared" ref="AE15:AE68" si="10">IFERROR((AD15-X15)/X15,0)</f>
        <v>7.1780345143089258E-2</v>
      </c>
      <c r="AF15" s="371">
        <f t="shared" ref="AF15:AI34" si="11">AF78+AF140+AF202+AF276+AF338</f>
        <v>651.22</v>
      </c>
      <c r="AG15" s="157">
        <f t="shared" si="11"/>
        <v>2714.22</v>
      </c>
      <c r="AH15" s="157">
        <f t="shared" si="11"/>
        <v>3365.44</v>
      </c>
      <c r="AI15" s="157">
        <f t="shared" si="11"/>
        <v>15356.44</v>
      </c>
      <c r="AJ15" s="138">
        <f>AH15+AI15</f>
        <v>18721.88</v>
      </c>
      <c r="AK15" s="379">
        <f t="shared" ref="AK15:AK69" si="12">IFERROR((AJ15-AD15)/AD15,0)</f>
        <v>8.7986108649376421E-2</v>
      </c>
      <c r="AL15" s="173">
        <f t="shared" ref="AL15:AO34" si="13">AL78+AL140+AL202+AL276+AL338</f>
        <v>543.95000000000005</v>
      </c>
      <c r="AM15" s="157">
        <f t="shared" si="13"/>
        <v>4170.7199999999993</v>
      </c>
      <c r="AN15" s="157">
        <f t="shared" si="13"/>
        <v>4714.67</v>
      </c>
      <c r="AO15" s="157">
        <f t="shared" si="13"/>
        <v>15356.44</v>
      </c>
      <c r="AP15" s="138">
        <f>AN15+AO15</f>
        <v>20071.11</v>
      </c>
      <c r="AQ15" s="167">
        <f>IFERROR((AP15-AJ15)/AJ15,0)</f>
        <v>7.2067014637418866E-2</v>
      </c>
      <c r="AR15" s="164">
        <f>SUM(R15,X15,AD15,AJ15,AP15)</f>
        <v>87562.85</v>
      </c>
      <c r="AS15" s="165">
        <f t="shared" ref="AS15:AS68" si="14">IFERROR((AP15/R15)^(1/4)-1,0)</f>
        <v>6.6628740433325451E-2</v>
      </c>
    </row>
    <row r="16" spans="2:45" outlineLevel="1" x14ac:dyDescent="0.35">
      <c r="B16" s="294" t="s">
        <v>75</v>
      </c>
      <c r="C16" s="62" t="s">
        <v>147</v>
      </c>
      <c r="D16" s="184">
        <f t="shared" si="0"/>
        <v>111798.18736611943</v>
      </c>
      <c r="E16" s="184">
        <f t="shared" si="0"/>
        <v>130387.38362492876</v>
      </c>
      <c r="F16" s="167">
        <f t="shared" si="1"/>
        <v>0.16627457650930402</v>
      </c>
      <c r="G16" s="184">
        <f t="shared" si="2"/>
        <v>150387.93789328032</v>
      </c>
      <c r="H16" s="166">
        <f t="shared" ref="H16:J69" si="15">IFERROR((G16-E16)/E16,0)</f>
        <v>0.15339332466310537</v>
      </c>
      <c r="I16" s="184">
        <f t="shared" si="3"/>
        <v>138150.79999999999</v>
      </c>
      <c r="J16" s="166">
        <f t="shared" ref="J16:J68" si="16">IFERROR((I16-G16)/G16,0)</f>
        <v>-8.1370474685038677E-2</v>
      </c>
      <c r="K16" s="184">
        <f t="shared" si="4"/>
        <v>115280.4</v>
      </c>
      <c r="L16" s="166">
        <f t="shared" ref="L16:L68" si="17">IFERROR((K16-I16)/I16,0)</f>
        <v>-0.16554663454717597</v>
      </c>
      <c r="M16" s="164">
        <f t="shared" ref="M16:M68" si="18">D16+E16+G16+I16+K16</f>
        <v>646004.70888432849</v>
      </c>
      <c r="N16" s="165">
        <f t="shared" si="5"/>
        <v>7.6974930658579854E-3</v>
      </c>
      <c r="P16" s="371">
        <f t="shared" si="6"/>
        <v>3027.24</v>
      </c>
      <c r="Q16" s="157">
        <f t="shared" si="6"/>
        <v>176203.66000000003</v>
      </c>
      <c r="R16" s="157">
        <f t="shared" si="6"/>
        <v>179230.9</v>
      </c>
      <c r="S16" s="372">
        <f t="shared" si="7"/>
        <v>0.55473870666652791</v>
      </c>
      <c r="T16" s="173">
        <f t="shared" si="8"/>
        <v>3737.07</v>
      </c>
      <c r="U16" s="157">
        <f t="shared" si="8"/>
        <v>6666.61</v>
      </c>
      <c r="V16" s="157">
        <f t="shared" si="8"/>
        <v>10403.679999999998</v>
      </c>
      <c r="W16" s="157">
        <f t="shared" si="8"/>
        <v>176203.66000000003</v>
      </c>
      <c r="X16" s="138">
        <f t="shared" ref="X16:X68" si="19">V16+W16</f>
        <v>186607.34000000003</v>
      </c>
      <c r="Y16" s="167">
        <f t="shared" ref="Y16:Y68" si="20">IFERROR((X16-R16)/R16,0)</f>
        <v>4.1156072976255946E-2</v>
      </c>
      <c r="Z16" s="158">
        <f t="shared" si="9"/>
        <v>4148.42</v>
      </c>
      <c r="AA16" s="157">
        <f t="shared" si="9"/>
        <v>15139.68</v>
      </c>
      <c r="AB16" s="157">
        <f t="shared" si="9"/>
        <v>19288.099999999999</v>
      </c>
      <c r="AC16" s="157">
        <f t="shared" si="9"/>
        <v>176203.66000000003</v>
      </c>
      <c r="AD16" s="138">
        <f t="shared" ref="AD16:AD68" si="21">AB16+AC16</f>
        <v>195491.76000000004</v>
      </c>
      <c r="AE16" s="181">
        <f t="shared" si="10"/>
        <v>4.7610238696934488E-2</v>
      </c>
      <c r="AF16" s="371">
        <f t="shared" si="11"/>
        <v>3759.9900000000002</v>
      </c>
      <c r="AG16" s="157">
        <f t="shared" si="11"/>
        <v>24496.29</v>
      </c>
      <c r="AH16" s="157">
        <f t="shared" si="11"/>
        <v>28256.28</v>
      </c>
      <c r="AI16" s="157">
        <f t="shared" si="11"/>
        <v>176203.66000000003</v>
      </c>
      <c r="AJ16" s="138">
        <f t="shared" ref="AJ16:AJ68" si="22">AH16+AI16</f>
        <v>204459.94000000003</v>
      </c>
      <c r="AK16" s="379">
        <f t="shared" si="12"/>
        <v>4.5874977032279989E-2</v>
      </c>
      <c r="AL16" s="173">
        <f t="shared" si="13"/>
        <v>3056.86</v>
      </c>
      <c r="AM16" s="157">
        <f t="shared" si="13"/>
        <v>32915.880000000005</v>
      </c>
      <c r="AN16" s="157">
        <f t="shared" si="13"/>
        <v>35972.74</v>
      </c>
      <c r="AO16" s="157">
        <f t="shared" si="13"/>
        <v>176203.66000000003</v>
      </c>
      <c r="AP16" s="138">
        <f t="shared" ref="AP16:AP68" si="23">AN16+AO16</f>
        <v>212176.40000000002</v>
      </c>
      <c r="AQ16" s="167">
        <f t="shared" ref="AQ16:AQ68" si="24">IFERROR((AP16-AJ16)/AJ16,0)</f>
        <v>3.7740693849367221E-2</v>
      </c>
      <c r="AR16" s="164">
        <f t="shared" ref="AR16:AR68" si="25">SUM(R16,X16,AD16,AJ16,AP16)</f>
        <v>977966.34000000008</v>
      </c>
      <c r="AS16" s="165">
        <f t="shared" si="14"/>
        <v>4.3088236675581815E-2</v>
      </c>
    </row>
    <row r="17" spans="2:45" outlineLevel="1" x14ac:dyDescent="0.35">
      <c r="B17" s="294" t="s">
        <v>76</v>
      </c>
      <c r="C17" s="62" t="s">
        <v>147</v>
      </c>
      <c r="D17" s="184">
        <f t="shared" si="0"/>
        <v>21184.699055060893</v>
      </c>
      <c r="E17" s="184">
        <f t="shared" si="0"/>
        <v>21436.08063595722</v>
      </c>
      <c r="F17" s="167">
        <f t="shared" si="1"/>
        <v>1.1866186073399652E-2</v>
      </c>
      <c r="G17" s="184">
        <f t="shared" si="2"/>
        <v>24528.723430694634</v>
      </c>
      <c r="H17" s="166">
        <f t="shared" si="15"/>
        <v>0.14427277295970636</v>
      </c>
      <c r="I17" s="184">
        <f t="shared" si="3"/>
        <v>23047.1</v>
      </c>
      <c r="J17" s="166">
        <f t="shared" si="16"/>
        <v>-6.0403609461410809E-2</v>
      </c>
      <c r="K17" s="184">
        <f t="shared" si="4"/>
        <v>19707</v>
      </c>
      <c r="L17" s="166">
        <f t="shared" si="17"/>
        <v>-0.14492495802074876</v>
      </c>
      <c r="M17" s="164">
        <f t="shared" si="18"/>
        <v>109903.60312171275</v>
      </c>
      <c r="N17" s="165">
        <f t="shared" si="5"/>
        <v>-1.7913922288028239E-2</v>
      </c>
      <c r="P17" s="371">
        <f t="shared" si="6"/>
        <v>990.2</v>
      </c>
      <c r="Q17" s="157">
        <f t="shared" si="6"/>
        <v>38177.81</v>
      </c>
      <c r="R17" s="157">
        <f t="shared" si="6"/>
        <v>39168.01</v>
      </c>
      <c r="S17" s="372">
        <f t="shared" si="7"/>
        <v>0.98751763332825915</v>
      </c>
      <c r="T17" s="173">
        <f t="shared" si="8"/>
        <v>1249.43</v>
      </c>
      <c r="U17" s="157">
        <f t="shared" si="8"/>
        <v>2126.6999999999998</v>
      </c>
      <c r="V17" s="157">
        <f t="shared" si="8"/>
        <v>3376.13</v>
      </c>
      <c r="W17" s="157">
        <f t="shared" si="8"/>
        <v>38177.81</v>
      </c>
      <c r="X17" s="138">
        <f t="shared" si="19"/>
        <v>41553.939999999995</v>
      </c>
      <c r="Y17" s="167">
        <f t="shared" si="20"/>
        <v>6.0915272437889821E-2</v>
      </c>
      <c r="Z17" s="158">
        <f t="shared" si="9"/>
        <v>1899.73</v>
      </c>
      <c r="AA17" s="157">
        <f t="shared" si="9"/>
        <v>4954.9400000000005</v>
      </c>
      <c r="AB17" s="157">
        <f t="shared" si="9"/>
        <v>6854.67</v>
      </c>
      <c r="AC17" s="157">
        <f t="shared" si="9"/>
        <v>38177.81</v>
      </c>
      <c r="AD17" s="138">
        <f t="shared" si="21"/>
        <v>45032.479999999996</v>
      </c>
      <c r="AE17" s="181">
        <f t="shared" si="10"/>
        <v>8.3711436268137304E-2</v>
      </c>
      <c r="AF17" s="371">
        <f t="shared" si="11"/>
        <v>1940.0700000000002</v>
      </c>
      <c r="AG17" s="157">
        <f t="shared" si="11"/>
        <v>9232.9</v>
      </c>
      <c r="AH17" s="157">
        <f t="shared" si="11"/>
        <v>11172.970000000001</v>
      </c>
      <c r="AI17" s="157">
        <f t="shared" si="11"/>
        <v>38177.81</v>
      </c>
      <c r="AJ17" s="138">
        <f t="shared" si="22"/>
        <v>49350.78</v>
      </c>
      <c r="AK17" s="379">
        <f t="shared" si="12"/>
        <v>9.5893008779441041E-2</v>
      </c>
      <c r="AL17" s="173">
        <f t="shared" si="13"/>
        <v>1836.67</v>
      </c>
      <c r="AM17" s="157">
        <f t="shared" si="13"/>
        <v>13573.39</v>
      </c>
      <c r="AN17" s="157">
        <f t="shared" si="13"/>
        <v>15410.06</v>
      </c>
      <c r="AO17" s="157">
        <f t="shared" si="13"/>
        <v>38177.81</v>
      </c>
      <c r="AP17" s="138">
        <f t="shared" si="23"/>
        <v>53587.869999999995</v>
      </c>
      <c r="AQ17" s="167">
        <f t="shared" si="24"/>
        <v>8.5856596390168433E-2</v>
      </c>
      <c r="AR17" s="164">
        <f t="shared" si="25"/>
        <v>228693.08</v>
      </c>
      <c r="AS17" s="165">
        <f t="shared" si="14"/>
        <v>8.1517987833698013E-2</v>
      </c>
    </row>
    <row r="18" spans="2:45" outlineLevel="1" x14ac:dyDescent="0.35">
      <c r="B18" s="294" t="s">
        <v>77</v>
      </c>
      <c r="C18" s="62" t="s">
        <v>147</v>
      </c>
      <c r="D18" s="184">
        <f t="shared" si="0"/>
        <v>5282.3750001788867</v>
      </c>
      <c r="E18" s="184">
        <f t="shared" si="0"/>
        <v>5424.122948796221</v>
      </c>
      <c r="F18" s="167">
        <f t="shared" si="1"/>
        <v>2.6834132111509309E-2</v>
      </c>
      <c r="G18" s="184">
        <f t="shared" si="2"/>
        <v>6169.1328828361557</v>
      </c>
      <c r="H18" s="166">
        <f t="shared" si="15"/>
        <v>0.13735122545577166</v>
      </c>
      <c r="I18" s="184">
        <f t="shared" si="3"/>
        <v>7135.9</v>
      </c>
      <c r="J18" s="166">
        <f t="shared" si="16"/>
        <v>0.15671037332549545</v>
      </c>
      <c r="K18" s="184">
        <f t="shared" si="4"/>
        <v>5075.5</v>
      </c>
      <c r="L18" s="166">
        <f t="shared" si="17"/>
        <v>-0.28873723006208041</v>
      </c>
      <c r="M18" s="164">
        <f t="shared" si="18"/>
        <v>29087.030831811266</v>
      </c>
      <c r="N18" s="165">
        <f t="shared" si="5"/>
        <v>-9.9379798953087572E-3</v>
      </c>
      <c r="P18" s="371">
        <f t="shared" si="6"/>
        <v>215.06</v>
      </c>
      <c r="Q18" s="157">
        <f t="shared" si="6"/>
        <v>8538.16</v>
      </c>
      <c r="R18" s="157">
        <f t="shared" si="6"/>
        <v>8753.2199999999993</v>
      </c>
      <c r="S18" s="372">
        <f t="shared" si="7"/>
        <v>0.72460250221653022</v>
      </c>
      <c r="T18" s="173">
        <f t="shared" si="8"/>
        <v>219.3</v>
      </c>
      <c r="U18" s="157">
        <f t="shared" si="8"/>
        <v>462.45</v>
      </c>
      <c r="V18" s="157">
        <f t="shared" si="8"/>
        <v>681.75</v>
      </c>
      <c r="W18" s="157">
        <f t="shared" si="8"/>
        <v>8538.16</v>
      </c>
      <c r="X18" s="138">
        <f t="shared" si="19"/>
        <v>9219.91</v>
      </c>
      <c r="Y18" s="167">
        <f t="shared" si="20"/>
        <v>5.3316379572317447E-2</v>
      </c>
      <c r="Z18" s="158">
        <f t="shared" si="9"/>
        <v>283.93</v>
      </c>
      <c r="AA18" s="157">
        <f t="shared" si="9"/>
        <v>958.01</v>
      </c>
      <c r="AB18" s="157">
        <f t="shared" si="9"/>
        <v>1241.94</v>
      </c>
      <c r="AC18" s="157">
        <f t="shared" si="9"/>
        <v>8538.16</v>
      </c>
      <c r="AD18" s="138">
        <f t="shared" si="21"/>
        <v>9780.1</v>
      </c>
      <c r="AE18" s="181">
        <f t="shared" si="10"/>
        <v>6.0758727579770355E-2</v>
      </c>
      <c r="AF18" s="371">
        <f t="shared" si="11"/>
        <v>326.05999999999995</v>
      </c>
      <c r="AG18" s="157">
        <f t="shared" si="11"/>
        <v>1597.1799999999998</v>
      </c>
      <c r="AH18" s="157">
        <f t="shared" si="11"/>
        <v>1923.24</v>
      </c>
      <c r="AI18" s="157">
        <f t="shared" si="11"/>
        <v>8538.16</v>
      </c>
      <c r="AJ18" s="138">
        <f t="shared" si="22"/>
        <v>10461.4</v>
      </c>
      <c r="AK18" s="379">
        <f t="shared" si="12"/>
        <v>6.9661864398114462E-2</v>
      </c>
      <c r="AL18" s="173">
        <f t="shared" si="13"/>
        <v>240.76999999999998</v>
      </c>
      <c r="AM18" s="157">
        <f t="shared" si="13"/>
        <v>2326.0300000000002</v>
      </c>
      <c r="AN18" s="157">
        <f t="shared" si="13"/>
        <v>2566.8000000000002</v>
      </c>
      <c r="AO18" s="157">
        <f t="shared" si="13"/>
        <v>8538.16</v>
      </c>
      <c r="AP18" s="138">
        <f t="shared" si="23"/>
        <v>11104.96</v>
      </c>
      <c r="AQ18" s="167">
        <f t="shared" si="24"/>
        <v>6.1517578909132571E-2</v>
      </c>
      <c r="AR18" s="164">
        <f t="shared" si="25"/>
        <v>49319.59</v>
      </c>
      <c r="AS18" s="165">
        <f t="shared" si="14"/>
        <v>6.1297860299871054E-2</v>
      </c>
    </row>
    <row r="19" spans="2:45" outlineLevel="1" x14ac:dyDescent="0.35">
      <c r="B19" s="294" t="s">
        <v>78</v>
      </c>
      <c r="C19" s="62" t="s">
        <v>147</v>
      </c>
      <c r="D19" s="184">
        <f t="shared" si="0"/>
        <v>951701.83103477291</v>
      </c>
      <c r="E19" s="184">
        <f t="shared" si="0"/>
        <v>927746.95671004918</v>
      </c>
      <c r="F19" s="167">
        <f t="shared" si="1"/>
        <v>-2.5170566603489569E-2</v>
      </c>
      <c r="G19" s="184">
        <f t="shared" si="2"/>
        <v>976203.50878047314</v>
      </c>
      <c r="H19" s="166">
        <f t="shared" si="15"/>
        <v>5.2230354106748304E-2</v>
      </c>
      <c r="I19" s="184">
        <f t="shared" si="3"/>
        <v>905769.4</v>
      </c>
      <c r="J19" s="166">
        <f t="shared" si="16"/>
        <v>-7.2151050623105492E-2</v>
      </c>
      <c r="K19" s="184">
        <f t="shared" si="4"/>
        <v>768764.7</v>
      </c>
      <c r="L19" s="166">
        <f t="shared" si="17"/>
        <v>-0.15125781462699012</v>
      </c>
      <c r="M19" s="164">
        <f t="shared" si="18"/>
        <v>4530186.3965252945</v>
      </c>
      <c r="N19" s="165">
        <f t="shared" si="5"/>
        <v>-5.1967704702032602E-2</v>
      </c>
      <c r="P19" s="371">
        <f t="shared" si="6"/>
        <v>18197.28</v>
      </c>
      <c r="Q19" s="157">
        <f t="shared" si="6"/>
        <v>1014629.0500000002</v>
      </c>
      <c r="R19" s="157">
        <f t="shared" si="6"/>
        <v>1032826.3300000002</v>
      </c>
      <c r="S19" s="372">
        <f t="shared" si="7"/>
        <v>0.34348823508675702</v>
      </c>
      <c r="T19" s="173">
        <f t="shared" si="8"/>
        <v>15401.59</v>
      </c>
      <c r="U19" s="157">
        <f t="shared" si="8"/>
        <v>42979.5</v>
      </c>
      <c r="V19" s="157">
        <f t="shared" si="8"/>
        <v>58381.090000000004</v>
      </c>
      <c r="W19" s="157">
        <f t="shared" si="8"/>
        <v>1014629.0500000002</v>
      </c>
      <c r="X19" s="138">
        <f t="shared" si="19"/>
        <v>1073010.1400000001</v>
      </c>
      <c r="Y19" s="167">
        <f t="shared" si="20"/>
        <v>3.8906647548383022E-2</v>
      </c>
      <c r="Z19" s="158">
        <f t="shared" si="9"/>
        <v>19191.25</v>
      </c>
      <c r="AA19" s="157">
        <f t="shared" si="9"/>
        <v>77789.36</v>
      </c>
      <c r="AB19" s="157">
        <f t="shared" si="9"/>
        <v>96980.61</v>
      </c>
      <c r="AC19" s="157">
        <f t="shared" si="9"/>
        <v>1014629.0500000002</v>
      </c>
      <c r="AD19" s="138">
        <f t="shared" si="21"/>
        <v>1111609.6600000001</v>
      </c>
      <c r="AE19" s="181">
        <f t="shared" si="10"/>
        <v>3.5973117644535972E-2</v>
      </c>
      <c r="AF19" s="371">
        <f t="shared" si="11"/>
        <v>16670.09</v>
      </c>
      <c r="AG19" s="157">
        <f t="shared" si="11"/>
        <v>121852.48</v>
      </c>
      <c r="AH19" s="157">
        <f t="shared" si="11"/>
        <v>138522.57000000004</v>
      </c>
      <c r="AI19" s="157">
        <f t="shared" si="11"/>
        <v>1014629.0500000002</v>
      </c>
      <c r="AJ19" s="138">
        <f t="shared" si="22"/>
        <v>1153151.6200000001</v>
      </c>
      <c r="AK19" s="379">
        <f t="shared" si="12"/>
        <v>3.7370995858384277E-2</v>
      </c>
      <c r="AL19" s="173">
        <f t="shared" si="13"/>
        <v>14742.97</v>
      </c>
      <c r="AM19" s="157">
        <f t="shared" si="13"/>
        <v>160310.48000000001</v>
      </c>
      <c r="AN19" s="157">
        <f t="shared" si="13"/>
        <v>175053.45</v>
      </c>
      <c r="AO19" s="157">
        <f t="shared" si="13"/>
        <v>1014629.0500000002</v>
      </c>
      <c r="AP19" s="138">
        <f t="shared" si="23"/>
        <v>1189682.5000000002</v>
      </c>
      <c r="AQ19" s="167">
        <f t="shared" si="24"/>
        <v>3.1679164618439434E-2</v>
      </c>
      <c r="AR19" s="164">
        <f t="shared" si="25"/>
        <v>5560280.25</v>
      </c>
      <c r="AS19" s="165">
        <f t="shared" si="14"/>
        <v>3.5978978588026234E-2</v>
      </c>
    </row>
    <row r="20" spans="2:45" outlineLevel="1" x14ac:dyDescent="0.35">
      <c r="B20" s="294" t="s">
        <v>79</v>
      </c>
      <c r="C20" s="62" t="s">
        <v>147</v>
      </c>
      <c r="D20" s="184">
        <f t="shared" si="0"/>
        <v>225909.18656357445</v>
      </c>
      <c r="E20" s="184">
        <f t="shared" si="0"/>
        <v>226460.40699469944</v>
      </c>
      <c r="F20" s="167">
        <f t="shared" si="1"/>
        <v>2.4400089235409334E-3</v>
      </c>
      <c r="G20" s="184">
        <f t="shared" si="2"/>
        <v>233107.27344297516</v>
      </c>
      <c r="H20" s="166">
        <f t="shared" si="15"/>
        <v>2.9351119414138E-2</v>
      </c>
      <c r="I20" s="184">
        <f t="shared" si="3"/>
        <v>235233.2</v>
      </c>
      <c r="J20" s="166">
        <f t="shared" si="16"/>
        <v>9.1199494791607914E-3</v>
      </c>
      <c r="K20" s="184">
        <f t="shared" si="4"/>
        <v>218630.5</v>
      </c>
      <c r="L20" s="166">
        <f t="shared" si="17"/>
        <v>-7.0579748096782302E-2</v>
      </c>
      <c r="M20" s="164">
        <f t="shared" si="18"/>
        <v>1139340.5670012489</v>
      </c>
      <c r="N20" s="165">
        <f t="shared" si="5"/>
        <v>-8.1540734366190026E-3</v>
      </c>
      <c r="P20" s="371">
        <f t="shared" si="6"/>
        <v>1032.28</v>
      </c>
      <c r="Q20" s="157">
        <f t="shared" si="6"/>
        <v>243962.07</v>
      </c>
      <c r="R20" s="157">
        <f t="shared" si="6"/>
        <v>244994.35</v>
      </c>
      <c r="S20" s="372">
        <f t="shared" si="7"/>
        <v>0.12058633173322114</v>
      </c>
      <c r="T20" s="173">
        <f t="shared" si="8"/>
        <v>1104.6000000000001</v>
      </c>
      <c r="U20" s="157">
        <f t="shared" si="8"/>
        <v>2266.35</v>
      </c>
      <c r="V20" s="157">
        <f t="shared" si="8"/>
        <v>3370.95</v>
      </c>
      <c r="W20" s="157">
        <f t="shared" si="8"/>
        <v>243962.07</v>
      </c>
      <c r="X20" s="138">
        <f t="shared" si="19"/>
        <v>247333.02000000002</v>
      </c>
      <c r="Y20" s="167">
        <f t="shared" si="20"/>
        <v>9.5458119748476344E-3</v>
      </c>
      <c r="Z20" s="158">
        <f t="shared" si="9"/>
        <v>1160.5800000000002</v>
      </c>
      <c r="AA20" s="157">
        <f t="shared" si="9"/>
        <v>4770.99</v>
      </c>
      <c r="AB20" s="157">
        <f t="shared" si="9"/>
        <v>5931.5700000000006</v>
      </c>
      <c r="AC20" s="157">
        <f t="shared" si="9"/>
        <v>243962.07</v>
      </c>
      <c r="AD20" s="138">
        <f t="shared" si="21"/>
        <v>249893.64</v>
      </c>
      <c r="AE20" s="181">
        <f t="shared" si="10"/>
        <v>1.0352924166777227E-2</v>
      </c>
      <c r="AF20" s="371">
        <f t="shared" si="11"/>
        <v>1026.47</v>
      </c>
      <c r="AG20" s="157">
        <f t="shared" si="11"/>
        <v>7388.73</v>
      </c>
      <c r="AH20" s="157">
        <f t="shared" si="11"/>
        <v>8415.2000000000007</v>
      </c>
      <c r="AI20" s="157">
        <f t="shared" si="11"/>
        <v>243962.07</v>
      </c>
      <c r="AJ20" s="138">
        <f t="shared" si="22"/>
        <v>252377.27000000002</v>
      </c>
      <c r="AK20" s="379">
        <f t="shared" si="12"/>
        <v>9.9387483410942525E-3</v>
      </c>
      <c r="AL20" s="173">
        <f t="shared" si="13"/>
        <v>1026.2</v>
      </c>
      <c r="AM20" s="157">
        <f t="shared" si="13"/>
        <v>9687.27</v>
      </c>
      <c r="AN20" s="157">
        <f t="shared" si="13"/>
        <v>10713.470000000001</v>
      </c>
      <c r="AO20" s="157">
        <f t="shared" si="13"/>
        <v>243962.07</v>
      </c>
      <c r="AP20" s="138">
        <f t="shared" si="23"/>
        <v>254675.54</v>
      </c>
      <c r="AQ20" s="167">
        <f t="shared" si="24"/>
        <v>9.1064856989696002E-3</v>
      </c>
      <c r="AR20" s="164">
        <f t="shared" si="25"/>
        <v>1249273.82</v>
      </c>
      <c r="AS20" s="165">
        <f t="shared" si="14"/>
        <v>9.7358868035648527E-3</v>
      </c>
    </row>
    <row r="21" spans="2:45" outlineLevel="1" x14ac:dyDescent="0.35">
      <c r="B21" s="294" t="s">
        <v>80</v>
      </c>
      <c r="C21" s="62" t="s">
        <v>147</v>
      </c>
      <c r="D21" s="184">
        <f t="shared" si="0"/>
        <v>33416.809341184737</v>
      </c>
      <c r="E21" s="184">
        <f t="shared" si="0"/>
        <v>33999.592001691402</v>
      </c>
      <c r="F21" s="167">
        <f t="shared" si="1"/>
        <v>1.7439805654587491E-2</v>
      </c>
      <c r="G21" s="184">
        <f t="shared" si="2"/>
        <v>35109.218924866167</v>
      </c>
      <c r="H21" s="166">
        <f t="shared" si="15"/>
        <v>3.2636477611836141E-2</v>
      </c>
      <c r="I21" s="184">
        <f t="shared" si="3"/>
        <v>35558.6</v>
      </c>
      <c r="J21" s="166">
        <f t="shared" si="16"/>
        <v>1.2799517872941243E-2</v>
      </c>
      <c r="K21" s="184">
        <f t="shared" si="4"/>
        <v>29674.400000000001</v>
      </c>
      <c r="L21" s="166">
        <f t="shared" si="17"/>
        <v>-0.16547895586440403</v>
      </c>
      <c r="M21" s="164">
        <f t="shared" si="18"/>
        <v>167758.62026774231</v>
      </c>
      <c r="N21" s="165">
        <f t="shared" si="5"/>
        <v>-2.9257058379598466E-2</v>
      </c>
      <c r="P21" s="371">
        <f t="shared" si="6"/>
        <v>1291.3099999999997</v>
      </c>
      <c r="Q21" s="157">
        <f t="shared" si="6"/>
        <v>44427.23</v>
      </c>
      <c r="R21" s="157">
        <f t="shared" si="6"/>
        <v>45718.54</v>
      </c>
      <c r="S21" s="372">
        <f t="shared" si="7"/>
        <v>0.54067276844687673</v>
      </c>
      <c r="T21" s="173">
        <f t="shared" si="8"/>
        <v>1409.48</v>
      </c>
      <c r="U21" s="157">
        <f t="shared" si="8"/>
        <v>2779.62</v>
      </c>
      <c r="V21" s="157">
        <f t="shared" si="8"/>
        <v>4189.0999999999995</v>
      </c>
      <c r="W21" s="157">
        <f t="shared" si="8"/>
        <v>44427.23</v>
      </c>
      <c r="X21" s="138">
        <f t="shared" si="19"/>
        <v>48616.33</v>
      </c>
      <c r="Y21" s="167">
        <f t="shared" si="20"/>
        <v>6.3383257645585375E-2</v>
      </c>
      <c r="Z21" s="158">
        <f t="shared" si="9"/>
        <v>1453.29</v>
      </c>
      <c r="AA21" s="157">
        <f t="shared" si="9"/>
        <v>5968.86</v>
      </c>
      <c r="AB21" s="157">
        <f t="shared" si="9"/>
        <v>7422.1500000000005</v>
      </c>
      <c r="AC21" s="157">
        <f t="shared" si="9"/>
        <v>44427.23</v>
      </c>
      <c r="AD21" s="138">
        <f t="shared" si="21"/>
        <v>51849.380000000005</v>
      </c>
      <c r="AE21" s="181">
        <f t="shared" si="10"/>
        <v>6.6501317561403803E-2</v>
      </c>
      <c r="AF21" s="371">
        <f t="shared" si="11"/>
        <v>1274.49</v>
      </c>
      <c r="AG21" s="157">
        <f t="shared" si="11"/>
        <v>9242.7800000000025</v>
      </c>
      <c r="AH21" s="157">
        <f t="shared" si="11"/>
        <v>10517.270000000002</v>
      </c>
      <c r="AI21" s="157">
        <f t="shared" si="11"/>
        <v>44427.23</v>
      </c>
      <c r="AJ21" s="138">
        <f t="shared" si="22"/>
        <v>54944.500000000007</v>
      </c>
      <c r="AK21" s="379">
        <f t="shared" si="12"/>
        <v>5.9694445719505274E-2</v>
      </c>
      <c r="AL21" s="173">
        <f t="shared" si="13"/>
        <v>1076.57</v>
      </c>
      <c r="AM21" s="157">
        <f t="shared" si="13"/>
        <v>12094.56</v>
      </c>
      <c r="AN21" s="157">
        <f t="shared" si="13"/>
        <v>13171.13</v>
      </c>
      <c r="AO21" s="157">
        <f t="shared" si="13"/>
        <v>44427.23</v>
      </c>
      <c r="AP21" s="138">
        <f t="shared" si="23"/>
        <v>57598.36</v>
      </c>
      <c r="AQ21" s="167">
        <f t="shared" si="24"/>
        <v>4.8300739837472233E-2</v>
      </c>
      <c r="AR21" s="164">
        <f t="shared" si="25"/>
        <v>258727.11</v>
      </c>
      <c r="AS21" s="165">
        <f t="shared" si="14"/>
        <v>5.9447501820442117E-2</v>
      </c>
    </row>
    <row r="22" spans="2:45" outlineLevel="1" x14ac:dyDescent="0.35">
      <c r="B22" s="294" t="s">
        <v>81</v>
      </c>
      <c r="C22" s="62" t="s">
        <v>147</v>
      </c>
      <c r="D22" s="184">
        <f t="shared" si="0"/>
        <v>240175.06596907857</v>
      </c>
      <c r="E22" s="184">
        <f t="shared" si="0"/>
        <v>248479.16692581566</v>
      </c>
      <c r="F22" s="167">
        <f t="shared" si="1"/>
        <v>3.4575200065964415E-2</v>
      </c>
      <c r="G22" s="184">
        <f t="shared" si="2"/>
        <v>247734.3525162157</v>
      </c>
      <c r="H22" s="166">
        <f t="shared" si="15"/>
        <v>-2.9974923806080152E-3</v>
      </c>
      <c r="I22" s="184">
        <f t="shared" si="3"/>
        <v>220167.2</v>
      </c>
      <c r="J22" s="166">
        <f t="shared" si="16"/>
        <v>-0.11127706850591605</v>
      </c>
      <c r="K22" s="184">
        <f t="shared" si="4"/>
        <v>197040.09999999998</v>
      </c>
      <c r="L22" s="166">
        <f t="shared" si="17"/>
        <v>-0.10504334887303846</v>
      </c>
      <c r="M22" s="164">
        <f t="shared" si="18"/>
        <v>1153595.8854111098</v>
      </c>
      <c r="N22" s="165">
        <f t="shared" si="5"/>
        <v>-4.828552406371156E-2</v>
      </c>
      <c r="P22" s="371">
        <f t="shared" si="6"/>
        <v>2913.04</v>
      </c>
      <c r="Q22" s="157">
        <f t="shared" si="6"/>
        <v>242480.79</v>
      </c>
      <c r="R22" s="157">
        <f t="shared" si="6"/>
        <v>245393.83</v>
      </c>
      <c r="S22" s="372">
        <f t="shared" si="7"/>
        <v>0.24540045401925809</v>
      </c>
      <c r="T22" s="173">
        <f t="shared" si="8"/>
        <v>3128.13</v>
      </c>
      <c r="U22" s="157">
        <f t="shared" si="8"/>
        <v>6360.35</v>
      </c>
      <c r="V22" s="157">
        <f t="shared" si="8"/>
        <v>9488.48</v>
      </c>
      <c r="W22" s="157">
        <f t="shared" si="8"/>
        <v>242480.79</v>
      </c>
      <c r="X22" s="138">
        <f t="shared" si="19"/>
        <v>251969.27000000002</v>
      </c>
      <c r="Y22" s="167">
        <f t="shared" si="20"/>
        <v>2.6795457734206406E-2</v>
      </c>
      <c r="Z22" s="158">
        <f t="shared" si="9"/>
        <v>3313.45</v>
      </c>
      <c r="AA22" s="157">
        <f t="shared" si="9"/>
        <v>13451.65</v>
      </c>
      <c r="AB22" s="157">
        <f t="shared" si="9"/>
        <v>16765.099999999999</v>
      </c>
      <c r="AC22" s="157">
        <f t="shared" si="9"/>
        <v>242480.79</v>
      </c>
      <c r="AD22" s="138">
        <f t="shared" si="21"/>
        <v>259245.89</v>
      </c>
      <c r="AE22" s="181">
        <f t="shared" si="10"/>
        <v>2.8878997823821907E-2</v>
      </c>
      <c r="AF22" s="371">
        <f t="shared" si="11"/>
        <v>2889.52</v>
      </c>
      <c r="AG22" s="157">
        <f t="shared" si="11"/>
        <v>20924</v>
      </c>
      <c r="AH22" s="157">
        <f t="shared" si="11"/>
        <v>23813.519999999997</v>
      </c>
      <c r="AI22" s="157">
        <f t="shared" si="11"/>
        <v>242480.79</v>
      </c>
      <c r="AJ22" s="138">
        <f t="shared" si="22"/>
        <v>266294.31</v>
      </c>
      <c r="AK22" s="379">
        <f t="shared" si="12"/>
        <v>2.718816487312483E-2</v>
      </c>
      <c r="AL22" s="173">
        <f t="shared" si="13"/>
        <v>2317.67</v>
      </c>
      <c r="AM22" s="157">
        <f t="shared" si="13"/>
        <v>27394.32</v>
      </c>
      <c r="AN22" s="157">
        <f t="shared" si="13"/>
        <v>29711.989999999998</v>
      </c>
      <c r="AO22" s="157">
        <f t="shared" si="13"/>
        <v>242480.79</v>
      </c>
      <c r="AP22" s="138">
        <f t="shared" si="23"/>
        <v>272192.78000000003</v>
      </c>
      <c r="AQ22" s="167">
        <f t="shared" si="24"/>
        <v>2.2150191643223734E-2</v>
      </c>
      <c r="AR22" s="164">
        <f t="shared" si="25"/>
        <v>1295096.08</v>
      </c>
      <c r="AS22" s="165">
        <f t="shared" si="14"/>
        <v>2.625016645183198E-2</v>
      </c>
    </row>
    <row r="23" spans="2:45" outlineLevel="1" x14ac:dyDescent="0.35">
      <c r="B23" s="294" t="s">
        <v>82</v>
      </c>
      <c r="C23" s="62" t="s">
        <v>147</v>
      </c>
      <c r="D23" s="184">
        <f t="shared" si="0"/>
        <v>158040.58519791457</v>
      </c>
      <c r="E23" s="184">
        <f t="shared" si="0"/>
        <v>147060.77756210032</v>
      </c>
      <c r="F23" s="167">
        <f t="shared" si="1"/>
        <v>-6.9474607564026708E-2</v>
      </c>
      <c r="G23" s="184">
        <f t="shared" si="2"/>
        <v>137893.68006604115</v>
      </c>
      <c r="H23" s="166">
        <f t="shared" si="15"/>
        <v>-6.2335434695958411E-2</v>
      </c>
      <c r="I23" s="184">
        <f t="shared" si="3"/>
        <v>109161.4</v>
      </c>
      <c r="J23" s="166">
        <f t="shared" si="16"/>
        <v>-0.20836545991288696</v>
      </c>
      <c r="K23" s="184">
        <f t="shared" si="4"/>
        <v>173706.59999999998</v>
      </c>
      <c r="L23" s="166">
        <f t="shared" si="17"/>
        <v>0.59128226644216719</v>
      </c>
      <c r="M23" s="164">
        <f t="shared" si="18"/>
        <v>725863.04282605601</v>
      </c>
      <c r="N23" s="165">
        <f t="shared" si="5"/>
        <v>2.3910325646683717E-2</v>
      </c>
      <c r="P23" s="371">
        <f t="shared" si="6"/>
        <v>0</v>
      </c>
      <c r="Q23" s="157">
        <f t="shared" si="6"/>
        <v>169417.06</v>
      </c>
      <c r="R23" s="157">
        <f t="shared" si="6"/>
        <v>169417.06</v>
      </c>
      <c r="S23" s="372">
        <f t="shared" si="7"/>
        <v>-2.4694168212376383E-2</v>
      </c>
      <c r="T23" s="173">
        <f t="shared" si="8"/>
        <v>0</v>
      </c>
      <c r="U23" s="157">
        <f t="shared" si="8"/>
        <v>0</v>
      </c>
      <c r="V23" s="157">
        <f t="shared" si="8"/>
        <v>0</v>
      </c>
      <c r="W23" s="157">
        <f t="shared" si="8"/>
        <v>169417.06</v>
      </c>
      <c r="X23" s="138">
        <f t="shared" si="19"/>
        <v>169417.06</v>
      </c>
      <c r="Y23" s="167">
        <f t="shared" si="20"/>
        <v>0</v>
      </c>
      <c r="Z23" s="158">
        <f t="shared" si="9"/>
        <v>0</v>
      </c>
      <c r="AA23" s="157">
        <f t="shared" si="9"/>
        <v>0</v>
      </c>
      <c r="AB23" s="157">
        <f t="shared" si="9"/>
        <v>0</v>
      </c>
      <c r="AC23" s="157">
        <f t="shared" si="9"/>
        <v>169417.06</v>
      </c>
      <c r="AD23" s="138">
        <f t="shared" si="21"/>
        <v>169417.06</v>
      </c>
      <c r="AE23" s="181">
        <f t="shared" si="10"/>
        <v>0</v>
      </c>
      <c r="AF23" s="371">
        <f t="shared" si="11"/>
        <v>0</v>
      </c>
      <c r="AG23" s="157">
        <f t="shared" si="11"/>
        <v>0</v>
      </c>
      <c r="AH23" s="157">
        <f t="shared" si="11"/>
        <v>0</v>
      </c>
      <c r="AI23" s="157">
        <f t="shared" si="11"/>
        <v>169417.06</v>
      </c>
      <c r="AJ23" s="138">
        <f t="shared" si="22"/>
        <v>169417.06</v>
      </c>
      <c r="AK23" s="379">
        <f t="shared" si="12"/>
        <v>0</v>
      </c>
      <c r="AL23" s="173">
        <f t="shared" si="13"/>
        <v>0</v>
      </c>
      <c r="AM23" s="157">
        <f t="shared" si="13"/>
        <v>0</v>
      </c>
      <c r="AN23" s="157">
        <f t="shared" si="13"/>
        <v>0</v>
      </c>
      <c r="AO23" s="157">
        <f t="shared" si="13"/>
        <v>169417.06</v>
      </c>
      <c r="AP23" s="138">
        <f t="shared" si="23"/>
        <v>169417.06</v>
      </c>
      <c r="AQ23" s="167">
        <f t="shared" si="24"/>
        <v>0</v>
      </c>
      <c r="AR23" s="164">
        <f t="shared" si="25"/>
        <v>847085.3</v>
      </c>
      <c r="AS23" s="165">
        <f t="shared" si="14"/>
        <v>0</v>
      </c>
    </row>
    <row r="24" spans="2:45" outlineLevel="1" x14ac:dyDescent="0.35">
      <c r="B24" s="294" t="s">
        <v>83</v>
      </c>
      <c r="C24" s="62" t="s">
        <v>147</v>
      </c>
      <c r="D24" s="184">
        <f t="shared" si="0"/>
        <v>53280.326963266773</v>
      </c>
      <c r="E24" s="184">
        <f t="shared" si="0"/>
        <v>58045.016452499396</v>
      </c>
      <c r="F24" s="167">
        <f t="shared" si="1"/>
        <v>8.9426806493090011E-2</v>
      </c>
      <c r="G24" s="184">
        <f t="shared" si="2"/>
        <v>69353.280863038322</v>
      </c>
      <c r="H24" s="166">
        <f t="shared" si="15"/>
        <v>0.19481886821055414</v>
      </c>
      <c r="I24" s="184">
        <f t="shared" si="3"/>
        <v>75323.5</v>
      </c>
      <c r="J24" s="166">
        <f t="shared" si="16"/>
        <v>8.6084163036957248E-2</v>
      </c>
      <c r="K24" s="184">
        <f t="shared" si="4"/>
        <v>64456.5</v>
      </c>
      <c r="L24" s="166">
        <f t="shared" si="17"/>
        <v>-0.1442710442292246</v>
      </c>
      <c r="M24" s="164">
        <f t="shared" si="18"/>
        <v>320458.62427880452</v>
      </c>
      <c r="N24" s="165">
        <f t="shared" si="5"/>
        <v>4.8757210067291057E-2</v>
      </c>
      <c r="P24" s="371">
        <f t="shared" si="6"/>
        <v>1767.99</v>
      </c>
      <c r="Q24" s="157">
        <f t="shared" si="6"/>
        <v>70376.48000000001</v>
      </c>
      <c r="R24" s="157">
        <f t="shared" si="6"/>
        <v>72144.47</v>
      </c>
      <c r="S24" s="372">
        <f t="shared" si="7"/>
        <v>0.1192737737854212</v>
      </c>
      <c r="T24" s="173">
        <f t="shared" si="8"/>
        <v>666.1</v>
      </c>
      <c r="U24" s="157">
        <f t="shared" si="8"/>
        <v>3222.14</v>
      </c>
      <c r="V24" s="157">
        <f t="shared" si="8"/>
        <v>3888.24</v>
      </c>
      <c r="W24" s="157">
        <f t="shared" si="8"/>
        <v>70376.48000000001</v>
      </c>
      <c r="X24" s="138">
        <f t="shared" si="19"/>
        <v>74264.720000000016</v>
      </c>
      <c r="Y24" s="167">
        <f t="shared" si="20"/>
        <v>2.9388946928295606E-2</v>
      </c>
      <c r="Z24" s="158">
        <f t="shared" si="9"/>
        <v>796.63</v>
      </c>
      <c r="AA24" s="157">
        <f t="shared" si="9"/>
        <v>4727.09</v>
      </c>
      <c r="AB24" s="157">
        <f t="shared" si="9"/>
        <v>5523.7199999999993</v>
      </c>
      <c r="AC24" s="157">
        <f t="shared" si="9"/>
        <v>70376.48000000001</v>
      </c>
      <c r="AD24" s="138">
        <f t="shared" si="21"/>
        <v>75900.200000000012</v>
      </c>
      <c r="AE24" s="181">
        <f t="shared" si="10"/>
        <v>2.2022300764077418E-2</v>
      </c>
      <c r="AF24" s="371">
        <f t="shared" si="11"/>
        <v>843.81</v>
      </c>
      <c r="AG24" s="157">
        <f t="shared" si="11"/>
        <v>6519.7800000000007</v>
      </c>
      <c r="AH24" s="157">
        <f t="shared" si="11"/>
        <v>7363.59</v>
      </c>
      <c r="AI24" s="157">
        <f t="shared" si="11"/>
        <v>70376.48000000001</v>
      </c>
      <c r="AJ24" s="138">
        <f t="shared" si="22"/>
        <v>77740.070000000007</v>
      </c>
      <c r="AK24" s="379">
        <f t="shared" si="12"/>
        <v>2.424064758722632E-2</v>
      </c>
      <c r="AL24" s="173">
        <f t="shared" si="13"/>
        <v>778.28</v>
      </c>
      <c r="AM24" s="157">
        <f t="shared" si="13"/>
        <v>8407.0499999999993</v>
      </c>
      <c r="AN24" s="157">
        <f t="shared" si="13"/>
        <v>9185.33</v>
      </c>
      <c r="AO24" s="157">
        <f t="shared" si="13"/>
        <v>70376.48000000001</v>
      </c>
      <c r="AP24" s="138">
        <f t="shared" si="23"/>
        <v>79561.810000000012</v>
      </c>
      <c r="AQ24" s="167">
        <f t="shared" si="24"/>
        <v>2.3433732436824471E-2</v>
      </c>
      <c r="AR24" s="164">
        <f t="shared" si="25"/>
        <v>379611.27</v>
      </c>
      <c r="AS24" s="165">
        <f t="shared" si="14"/>
        <v>2.4767637594818037E-2</v>
      </c>
    </row>
    <row r="25" spans="2:45" outlineLevel="1" x14ac:dyDescent="0.35">
      <c r="B25" s="294" t="s">
        <v>84</v>
      </c>
      <c r="C25" s="62" t="s">
        <v>147</v>
      </c>
      <c r="D25" s="184">
        <f t="shared" si="0"/>
        <v>25259.050941268259</v>
      </c>
      <c r="E25" s="184">
        <f t="shared" si="0"/>
        <v>26740.432249780366</v>
      </c>
      <c r="F25" s="167">
        <f t="shared" si="1"/>
        <v>5.8647544278547112E-2</v>
      </c>
      <c r="G25" s="184">
        <f t="shared" si="2"/>
        <v>29125.653125915582</v>
      </c>
      <c r="H25" s="166">
        <f t="shared" si="15"/>
        <v>8.9199039636122815E-2</v>
      </c>
      <c r="I25" s="184">
        <f t="shared" si="3"/>
        <v>28667.8</v>
      </c>
      <c r="J25" s="166">
        <f t="shared" si="16"/>
        <v>-1.5719926483234514E-2</v>
      </c>
      <c r="K25" s="184">
        <f t="shared" si="4"/>
        <v>25239.199999999997</v>
      </c>
      <c r="L25" s="166">
        <f t="shared" si="17"/>
        <v>-0.1195975973042927</v>
      </c>
      <c r="M25" s="164">
        <f t="shared" si="18"/>
        <v>135032.1363169642</v>
      </c>
      <c r="N25" s="165">
        <f t="shared" si="5"/>
        <v>-1.9653147573839291E-4</v>
      </c>
      <c r="P25" s="371">
        <f t="shared" si="6"/>
        <v>2397.4899999999998</v>
      </c>
      <c r="Q25" s="157">
        <f t="shared" si="6"/>
        <v>35475.629999999997</v>
      </c>
      <c r="R25" s="157">
        <f t="shared" si="6"/>
        <v>37873.120000000003</v>
      </c>
      <c r="S25" s="372">
        <f t="shared" si="7"/>
        <v>0.50056737139053564</v>
      </c>
      <c r="T25" s="173">
        <f t="shared" si="8"/>
        <v>1000.29</v>
      </c>
      <c r="U25" s="157">
        <f t="shared" si="8"/>
        <v>7245.51</v>
      </c>
      <c r="V25" s="157">
        <f t="shared" si="8"/>
        <v>8245.8000000000011</v>
      </c>
      <c r="W25" s="157">
        <f t="shared" si="8"/>
        <v>35475.629999999997</v>
      </c>
      <c r="X25" s="138">
        <f t="shared" si="19"/>
        <v>43721.43</v>
      </c>
      <c r="Y25" s="167">
        <f t="shared" si="20"/>
        <v>0.15441848994748775</v>
      </c>
      <c r="Z25" s="158">
        <f t="shared" si="9"/>
        <v>1503.8400000000001</v>
      </c>
      <c r="AA25" s="157">
        <f t="shared" si="9"/>
        <v>9509.68</v>
      </c>
      <c r="AB25" s="157">
        <f t="shared" si="9"/>
        <v>11013.52</v>
      </c>
      <c r="AC25" s="157">
        <f t="shared" si="9"/>
        <v>35475.629999999997</v>
      </c>
      <c r="AD25" s="138">
        <f t="shared" si="21"/>
        <v>46489.149999999994</v>
      </c>
      <c r="AE25" s="181">
        <f t="shared" si="10"/>
        <v>6.3303510429553511E-2</v>
      </c>
      <c r="AF25" s="371">
        <f t="shared" si="11"/>
        <v>1732.1100000000001</v>
      </c>
      <c r="AG25" s="157">
        <f t="shared" si="11"/>
        <v>12897.68</v>
      </c>
      <c r="AH25" s="157">
        <f t="shared" si="11"/>
        <v>14629.79</v>
      </c>
      <c r="AI25" s="157">
        <f t="shared" si="11"/>
        <v>35475.629999999997</v>
      </c>
      <c r="AJ25" s="138">
        <f t="shared" si="22"/>
        <v>50105.42</v>
      </c>
      <c r="AK25" s="379">
        <f t="shared" si="12"/>
        <v>7.7787397704625796E-2</v>
      </c>
      <c r="AL25" s="173">
        <f t="shared" si="13"/>
        <v>1522.62</v>
      </c>
      <c r="AM25" s="157">
        <f t="shared" si="13"/>
        <v>16773.68</v>
      </c>
      <c r="AN25" s="157">
        <f t="shared" si="13"/>
        <v>18296.3</v>
      </c>
      <c r="AO25" s="157">
        <f t="shared" si="13"/>
        <v>35475.629999999997</v>
      </c>
      <c r="AP25" s="138">
        <f t="shared" si="23"/>
        <v>53771.929999999993</v>
      </c>
      <c r="AQ25" s="167">
        <f t="shared" si="24"/>
        <v>7.3175915898918614E-2</v>
      </c>
      <c r="AR25" s="164">
        <f t="shared" si="25"/>
        <v>231961.05</v>
      </c>
      <c r="AS25" s="165">
        <f t="shared" si="14"/>
        <v>9.1581420786716716E-2</v>
      </c>
    </row>
    <row r="26" spans="2:45" outlineLevel="1" x14ac:dyDescent="0.35">
      <c r="B26" s="294" t="s">
        <v>85</v>
      </c>
      <c r="C26" s="62" t="s">
        <v>147</v>
      </c>
      <c r="D26" s="184">
        <f t="shared" si="0"/>
        <v>39189.123983396777</v>
      </c>
      <c r="E26" s="184">
        <f t="shared" si="0"/>
        <v>51908.553275420607</v>
      </c>
      <c r="F26" s="167">
        <f t="shared" si="1"/>
        <v>0.32456528748671848</v>
      </c>
      <c r="G26" s="184">
        <f t="shared" si="2"/>
        <v>62648.740405390068</v>
      </c>
      <c r="H26" s="166">
        <f t="shared" si="15"/>
        <v>0.20690592305632766</v>
      </c>
      <c r="I26" s="184">
        <f t="shared" si="3"/>
        <v>55110.7</v>
      </c>
      <c r="J26" s="166">
        <f t="shared" si="16"/>
        <v>-0.12032229788839499</v>
      </c>
      <c r="K26" s="184">
        <f t="shared" si="4"/>
        <v>45608</v>
      </c>
      <c r="L26" s="166">
        <f t="shared" si="17"/>
        <v>-0.17242931046058202</v>
      </c>
      <c r="M26" s="164">
        <f t="shared" si="18"/>
        <v>254465.11766420747</v>
      </c>
      <c r="N26" s="165">
        <f t="shared" si="5"/>
        <v>3.8649145408995444E-2</v>
      </c>
      <c r="P26" s="371">
        <f t="shared" si="6"/>
        <v>1356.6200000000001</v>
      </c>
      <c r="Q26" s="157">
        <f t="shared" si="6"/>
        <v>75918.929999999993</v>
      </c>
      <c r="R26" s="157">
        <f t="shared" si="6"/>
        <v>77275.549999999988</v>
      </c>
      <c r="S26" s="372">
        <f t="shared" si="7"/>
        <v>0.6943420014032623</v>
      </c>
      <c r="T26" s="173">
        <f t="shared" si="8"/>
        <v>1660.42</v>
      </c>
      <c r="U26" s="157">
        <f t="shared" si="8"/>
        <v>3002.1299999999997</v>
      </c>
      <c r="V26" s="157">
        <f t="shared" si="8"/>
        <v>4662.55</v>
      </c>
      <c r="W26" s="157">
        <f t="shared" si="8"/>
        <v>75918.929999999993</v>
      </c>
      <c r="X26" s="138">
        <f t="shared" si="19"/>
        <v>80581.48</v>
      </c>
      <c r="Y26" s="167">
        <f t="shared" si="20"/>
        <v>4.2781060762427547E-2</v>
      </c>
      <c r="Z26" s="158">
        <f t="shared" si="9"/>
        <v>1770.9099999999999</v>
      </c>
      <c r="AA26" s="157">
        <f t="shared" si="9"/>
        <v>6767.2199999999993</v>
      </c>
      <c r="AB26" s="157">
        <f t="shared" si="9"/>
        <v>8538.130000000001</v>
      </c>
      <c r="AC26" s="157">
        <f t="shared" si="9"/>
        <v>75918.929999999993</v>
      </c>
      <c r="AD26" s="138">
        <f t="shared" si="21"/>
        <v>84457.06</v>
      </c>
      <c r="AE26" s="181">
        <f t="shared" si="10"/>
        <v>4.8095170255001547E-2</v>
      </c>
      <c r="AF26" s="371">
        <f t="shared" si="11"/>
        <v>1539.07</v>
      </c>
      <c r="AG26" s="157">
        <f t="shared" si="11"/>
        <v>10761.73</v>
      </c>
      <c r="AH26" s="157">
        <f t="shared" si="11"/>
        <v>12300.8</v>
      </c>
      <c r="AI26" s="157">
        <f t="shared" si="11"/>
        <v>75918.929999999993</v>
      </c>
      <c r="AJ26" s="138">
        <f t="shared" si="22"/>
        <v>88219.73</v>
      </c>
      <c r="AK26" s="379">
        <f t="shared" si="12"/>
        <v>4.45512784840012E-2</v>
      </c>
      <c r="AL26" s="173">
        <f t="shared" si="13"/>
        <v>1261.83</v>
      </c>
      <c r="AM26" s="157">
        <f t="shared" si="13"/>
        <v>14208.24</v>
      </c>
      <c r="AN26" s="157">
        <f t="shared" si="13"/>
        <v>15470.070000000002</v>
      </c>
      <c r="AO26" s="157">
        <f t="shared" si="13"/>
        <v>75918.929999999993</v>
      </c>
      <c r="AP26" s="138">
        <f t="shared" si="23"/>
        <v>91389</v>
      </c>
      <c r="AQ26" s="167">
        <f t="shared" si="24"/>
        <v>3.5924730216245322E-2</v>
      </c>
      <c r="AR26" s="164">
        <f t="shared" si="25"/>
        <v>421922.81999999995</v>
      </c>
      <c r="AS26" s="165">
        <f t="shared" si="14"/>
        <v>4.2828652201821082E-2</v>
      </c>
    </row>
    <row r="27" spans="2:45" outlineLevel="1" x14ac:dyDescent="0.35">
      <c r="B27" s="294" t="s">
        <v>86</v>
      </c>
      <c r="C27" s="62" t="s">
        <v>147</v>
      </c>
      <c r="D27" s="184">
        <f t="shared" si="0"/>
        <v>21773.67527566741</v>
      </c>
      <c r="E27" s="184">
        <f t="shared" si="0"/>
        <v>22700.444755347391</v>
      </c>
      <c r="F27" s="167">
        <f t="shared" si="1"/>
        <v>4.2563759583374841E-2</v>
      </c>
      <c r="G27" s="184">
        <f t="shared" si="2"/>
        <v>26198.832310858452</v>
      </c>
      <c r="H27" s="166">
        <f t="shared" si="15"/>
        <v>0.15411096977238603</v>
      </c>
      <c r="I27" s="184">
        <f t="shared" si="3"/>
        <v>25169.4</v>
      </c>
      <c r="J27" s="166">
        <f t="shared" si="16"/>
        <v>-3.9293060799194035E-2</v>
      </c>
      <c r="K27" s="184">
        <f t="shared" si="4"/>
        <v>20177</v>
      </c>
      <c r="L27" s="166">
        <f t="shared" si="17"/>
        <v>-0.1983519670711261</v>
      </c>
      <c r="M27" s="164">
        <f t="shared" si="18"/>
        <v>116019.35234187325</v>
      </c>
      <c r="N27" s="165">
        <f t="shared" si="5"/>
        <v>-1.8859477492794818E-2</v>
      </c>
      <c r="P27" s="371">
        <f t="shared" si="6"/>
        <v>1019.5699999999999</v>
      </c>
      <c r="Q27" s="157">
        <f t="shared" si="6"/>
        <v>37291.630000000005</v>
      </c>
      <c r="R27" s="157">
        <f t="shared" si="6"/>
        <v>38311.200000000004</v>
      </c>
      <c r="S27" s="372">
        <f t="shared" si="7"/>
        <v>0.89875600931753996</v>
      </c>
      <c r="T27" s="173">
        <f t="shared" si="8"/>
        <v>1955.21</v>
      </c>
      <c r="U27" s="157">
        <f t="shared" si="8"/>
        <v>2228.9199999999996</v>
      </c>
      <c r="V27" s="157">
        <f t="shared" si="8"/>
        <v>4184.13</v>
      </c>
      <c r="W27" s="157">
        <f t="shared" si="8"/>
        <v>37291.630000000005</v>
      </c>
      <c r="X27" s="138">
        <f t="shared" si="19"/>
        <v>41475.760000000002</v>
      </c>
      <c r="Y27" s="167">
        <f t="shared" si="20"/>
        <v>8.2601432479274914E-2</v>
      </c>
      <c r="Z27" s="158">
        <f t="shared" si="9"/>
        <v>2923.73</v>
      </c>
      <c r="AA27" s="157">
        <f t="shared" si="9"/>
        <v>6654.01</v>
      </c>
      <c r="AB27" s="157">
        <f t="shared" si="9"/>
        <v>9577.74</v>
      </c>
      <c r="AC27" s="157">
        <f t="shared" si="9"/>
        <v>37291.630000000005</v>
      </c>
      <c r="AD27" s="138">
        <f t="shared" si="21"/>
        <v>46869.37</v>
      </c>
      <c r="AE27" s="181">
        <f t="shared" si="10"/>
        <v>0.13004246335691017</v>
      </c>
      <c r="AF27" s="371">
        <f t="shared" si="11"/>
        <v>2891.34</v>
      </c>
      <c r="AG27" s="157">
        <f t="shared" si="11"/>
        <v>13237.85</v>
      </c>
      <c r="AH27" s="157">
        <f t="shared" si="11"/>
        <v>16129.19</v>
      </c>
      <c r="AI27" s="157">
        <f t="shared" si="11"/>
        <v>37291.630000000005</v>
      </c>
      <c r="AJ27" s="138">
        <f t="shared" si="22"/>
        <v>53420.820000000007</v>
      </c>
      <c r="AK27" s="379">
        <f t="shared" si="12"/>
        <v>0.13978105530328239</v>
      </c>
      <c r="AL27" s="173">
        <f t="shared" si="13"/>
        <v>2424.63</v>
      </c>
      <c r="AM27" s="157">
        <f t="shared" si="13"/>
        <v>19706.490000000002</v>
      </c>
      <c r="AN27" s="157">
        <f t="shared" si="13"/>
        <v>22131.119999999999</v>
      </c>
      <c r="AO27" s="157">
        <f t="shared" si="13"/>
        <v>37291.630000000005</v>
      </c>
      <c r="AP27" s="138">
        <f t="shared" si="23"/>
        <v>59422.75</v>
      </c>
      <c r="AQ27" s="167">
        <f t="shared" si="24"/>
        <v>0.11235188827127686</v>
      </c>
      <c r="AR27" s="164">
        <f t="shared" si="25"/>
        <v>239499.90000000002</v>
      </c>
      <c r="AS27" s="165">
        <f t="shared" si="14"/>
        <v>0.11598086416908537</v>
      </c>
    </row>
    <row r="28" spans="2:45" outlineLevel="1" x14ac:dyDescent="0.35">
      <c r="B28" s="294" t="s">
        <v>87</v>
      </c>
      <c r="C28" s="62" t="s">
        <v>147</v>
      </c>
      <c r="D28" s="184">
        <f t="shared" si="0"/>
        <v>46284.609064669654</v>
      </c>
      <c r="E28" s="184">
        <f t="shared" si="0"/>
        <v>47329.949955512137</v>
      </c>
      <c r="F28" s="167">
        <f t="shared" si="1"/>
        <v>2.258506471086132E-2</v>
      </c>
      <c r="G28" s="184">
        <f t="shared" si="2"/>
        <v>51698.988097961119</v>
      </c>
      <c r="H28" s="166">
        <f t="shared" si="15"/>
        <v>9.2310221045145135E-2</v>
      </c>
      <c r="I28" s="184">
        <f t="shared" si="3"/>
        <v>45304.100000000006</v>
      </c>
      <c r="J28" s="166">
        <f t="shared" si="16"/>
        <v>-0.12369464728872154</v>
      </c>
      <c r="K28" s="184">
        <f t="shared" si="4"/>
        <v>34382.199999999997</v>
      </c>
      <c r="L28" s="166">
        <f t="shared" si="17"/>
        <v>-0.24107972567604272</v>
      </c>
      <c r="M28" s="164">
        <f t="shared" si="18"/>
        <v>224999.84711814293</v>
      </c>
      <c r="N28" s="165">
        <f t="shared" si="5"/>
        <v>-7.1623228577374243E-2</v>
      </c>
      <c r="P28" s="371">
        <f t="shared" si="6"/>
        <v>1556.46</v>
      </c>
      <c r="Q28" s="157">
        <f t="shared" si="6"/>
        <v>63246.799999999996</v>
      </c>
      <c r="R28" s="157">
        <f t="shared" si="6"/>
        <v>64803.259999999995</v>
      </c>
      <c r="S28" s="372">
        <f t="shared" si="7"/>
        <v>0.88479096741918783</v>
      </c>
      <c r="T28" s="173">
        <f t="shared" si="8"/>
        <v>1485.47</v>
      </c>
      <c r="U28" s="157">
        <f t="shared" si="8"/>
        <v>4317.55</v>
      </c>
      <c r="V28" s="157">
        <f t="shared" si="8"/>
        <v>5803.02</v>
      </c>
      <c r="W28" s="157">
        <f t="shared" si="8"/>
        <v>63246.799999999996</v>
      </c>
      <c r="X28" s="138">
        <f t="shared" si="19"/>
        <v>69049.819999999992</v>
      </c>
      <c r="Y28" s="167">
        <f t="shared" si="20"/>
        <v>6.5530036606183048E-2</v>
      </c>
      <c r="Z28" s="158">
        <f t="shared" si="9"/>
        <v>1632.01</v>
      </c>
      <c r="AA28" s="157">
        <f t="shared" si="9"/>
        <v>7680.31</v>
      </c>
      <c r="AB28" s="157">
        <f t="shared" si="9"/>
        <v>9312.32</v>
      </c>
      <c r="AC28" s="157">
        <f t="shared" si="9"/>
        <v>63246.799999999996</v>
      </c>
      <c r="AD28" s="138">
        <f t="shared" si="21"/>
        <v>72559.12</v>
      </c>
      <c r="AE28" s="181">
        <f t="shared" si="10"/>
        <v>5.082272480942026E-2</v>
      </c>
      <c r="AF28" s="371">
        <f t="shared" si="11"/>
        <v>1300.83</v>
      </c>
      <c r="AG28" s="157">
        <f t="shared" si="11"/>
        <v>11357</v>
      </c>
      <c r="AH28" s="157">
        <f t="shared" si="11"/>
        <v>12657.83</v>
      </c>
      <c r="AI28" s="157">
        <f t="shared" si="11"/>
        <v>63246.799999999996</v>
      </c>
      <c r="AJ28" s="138">
        <f t="shared" si="22"/>
        <v>75904.62999999999</v>
      </c>
      <c r="AK28" s="379">
        <f t="shared" si="12"/>
        <v>4.6107367344036074E-2</v>
      </c>
      <c r="AL28" s="173">
        <f t="shared" si="13"/>
        <v>1375.15</v>
      </c>
      <c r="AM28" s="157">
        <f t="shared" si="13"/>
        <v>14268.08</v>
      </c>
      <c r="AN28" s="157">
        <f t="shared" si="13"/>
        <v>15643.229999999998</v>
      </c>
      <c r="AO28" s="157">
        <f t="shared" si="13"/>
        <v>63246.799999999996</v>
      </c>
      <c r="AP28" s="138">
        <f t="shared" si="23"/>
        <v>78890.03</v>
      </c>
      <c r="AQ28" s="167">
        <f t="shared" si="24"/>
        <v>3.9330934094534274E-2</v>
      </c>
      <c r="AR28" s="164">
        <f t="shared" si="25"/>
        <v>361206.86</v>
      </c>
      <c r="AS28" s="165">
        <f t="shared" si="14"/>
        <v>5.0403878772681265E-2</v>
      </c>
    </row>
    <row r="29" spans="2:45" outlineLevel="1" x14ac:dyDescent="0.35">
      <c r="B29" s="294" t="s">
        <v>88</v>
      </c>
      <c r="C29" s="62" t="s">
        <v>147</v>
      </c>
      <c r="D29" s="184">
        <f t="shared" si="0"/>
        <v>58876.312149388745</v>
      </c>
      <c r="E29" s="184">
        <f t="shared" si="0"/>
        <v>58467.406299873139</v>
      </c>
      <c r="F29" s="167">
        <f t="shared" si="1"/>
        <v>-6.945167497551071E-3</v>
      </c>
      <c r="G29" s="184">
        <f t="shared" si="2"/>
        <v>65377.245777204786</v>
      </c>
      <c r="H29" s="166">
        <f t="shared" si="15"/>
        <v>0.11818276052629753</v>
      </c>
      <c r="I29" s="184">
        <f t="shared" si="3"/>
        <v>62125.900000000009</v>
      </c>
      <c r="J29" s="166">
        <f t="shared" si="16"/>
        <v>-4.9732070211168641E-2</v>
      </c>
      <c r="K29" s="184">
        <f t="shared" si="4"/>
        <v>51337.200000000004</v>
      </c>
      <c r="L29" s="166">
        <f t="shared" si="17"/>
        <v>-0.173658651222759</v>
      </c>
      <c r="M29" s="164">
        <f t="shared" si="18"/>
        <v>296184.0642264667</v>
      </c>
      <c r="N29" s="165">
        <f t="shared" si="5"/>
        <v>-3.3675713588754097E-2</v>
      </c>
      <c r="P29" s="371">
        <f t="shared" si="6"/>
        <v>1798.7199999999998</v>
      </c>
      <c r="Q29" s="157">
        <f t="shared" si="6"/>
        <v>70815.69</v>
      </c>
      <c r="R29" s="157">
        <f t="shared" si="6"/>
        <v>72614.41</v>
      </c>
      <c r="S29" s="372">
        <f t="shared" si="7"/>
        <v>0.4144598848398432</v>
      </c>
      <c r="T29" s="173">
        <f t="shared" si="8"/>
        <v>2342.15</v>
      </c>
      <c r="U29" s="157">
        <f t="shared" si="8"/>
        <v>3871.64</v>
      </c>
      <c r="V29" s="157">
        <f t="shared" si="8"/>
        <v>6213.79</v>
      </c>
      <c r="W29" s="157">
        <f t="shared" si="8"/>
        <v>70815.69</v>
      </c>
      <c r="X29" s="138">
        <f t="shared" si="19"/>
        <v>77029.48</v>
      </c>
      <c r="Y29" s="167">
        <f t="shared" si="20"/>
        <v>6.0801568173589678E-2</v>
      </c>
      <c r="Z29" s="158">
        <f t="shared" si="9"/>
        <v>2961.2700000000004</v>
      </c>
      <c r="AA29" s="157">
        <f t="shared" si="9"/>
        <v>9169.25</v>
      </c>
      <c r="AB29" s="157">
        <f t="shared" si="9"/>
        <v>12130.52</v>
      </c>
      <c r="AC29" s="157">
        <f t="shared" si="9"/>
        <v>70815.69</v>
      </c>
      <c r="AD29" s="138">
        <f t="shared" si="21"/>
        <v>82946.210000000006</v>
      </c>
      <c r="AE29" s="181">
        <f t="shared" si="10"/>
        <v>7.681124161814426E-2</v>
      </c>
      <c r="AF29" s="371">
        <f t="shared" si="11"/>
        <v>2609.81</v>
      </c>
      <c r="AG29" s="157">
        <f t="shared" si="11"/>
        <v>15836.4</v>
      </c>
      <c r="AH29" s="157">
        <f t="shared" si="11"/>
        <v>18446.21</v>
      </c>
      <c r="AI29" s="157">
        <f t="shared" si="11"/>
        <v>70815.69</v>
      </c>
      <c r="AJ29" s="138">
        <f t="shared" si="22"/>
        <v>89261.9</v>
      </c>
      <c r="AK29" s="379">
        <f t="shared" si="12"/>
        <v>7.6141996120136016E-2</v>
      </c>
      <c r="AL29" s="173">
        <f t="shared" si="13"/>
        <v>2472.27</v>
      </c>
      <c r="AM29" s="157">
        <f t="shared" si="13"/>
        <v>21675.13</v>
      </c>
      <c r="AN29" s="157">
        <f t="shared" si="13"/>
        <v>24147.4</v>
      </c>
      <c r="AO29" s="157">
        <f t="shared" si="13"/>
        <v>70815.69</v>
      </c>
      <c r="AP29" s="138">
        <f t="shared" si="23"/>
        <v>94963.09</v>
      </c>
      <c r="AQ29" s="167">
        <f t="shared" si="24"/>
        <v>6.387036350335365E-2</v>
      </c>
      <c r="AR29" s="164">
        <f t="shared" si="25"/>
        <v>416815.08999999997</v>
      </c>
      <c r="AS29" s="165">
        <f t="shared" si="14"/>
        <v>6.9382335977186571E-2</v>
      </c>
    </row>
    <row r="30" spans="2:45" outlineLevel="1" x14ac:dyDescent="0.35">
      <c r="B30" s="294" t="s">
        <v>89</v>
      </c>
      <c r="C30" s="62" t="s">
        <v>147</v>
      </c>
      <c r="D30" s="184">
        <f t="shared" si="0"/>
        <v>24756.086763148603</v>
      </c>
      <c r="E30" s="184">
        <f t="shared" si="0"/>
        <v>26678.445873255689</v>
      </c>
      <c r="F30" s="167">
        <f t="shared" si="1"/>
        <v>7.7651978218490861E-2</v>
      </c>
      <c r="G30" s="184">
        <f t="shared" si="2"/>
        <v>28108.186383350207</v>
      </c>
      <c r="H30" s="166">
        <f t="shared" si="15"/>
        <v>5.3591596635236848E-2</v>
      </c>
      <c r="I30" s="184">
        <f t="shared" si="3"/>
        <v>24449.199999999997</v>
      </c>
      <c r="J30" s="166">
        <f t="shared" si="16"/>
        <v>-0.13017511458930692</v>
      </c>
      <c r="K30" s="184">
        <f t="shared" si="4"/>
        <v>19129.099999999999</v>
      </c>
      <c r="L30" s="166">
        <f t="shared" si="17"/>
        <v>-0.21759812181993682</v>
      </c>
      <c r="M30" s="164">
        <f t="shared" si="18"/>
        <v>123121.01901975449</v>
      </c>
      <c r="N30" s="165">
        <f t="shared" si="5"/>
        <v>-6.2431224406591879E-2</v>
      </c>
      <c r="P30" s="371">
        <f t="shared" si="6"/>
        <v>699.99</v>
      </c>
      <c r="Q30" s="157">
        <f t="shared" si="6"/>
        <v>42638.360000000008</v>
      </c>
      <c r="R30" s="157">
        <f t="shared" si="6"/>
        <v>43338.350000000006</v>
      </c>
      <c r="S30" s="372">
        <f t="shared" si="7"/>
        <v>1.2655718251250716</v>
      </c>
      <c r="T30" s="173">
        <f t="shared" si="8"/>
        <v>806.3599999999999</v>
      </c>
      <c r="U30" s="157">
        <f t="shared" si="8"/>
        <v>1500.35</v>
      </c>
      <c r="V30" s="157">
        <f t="shared" si="8"/>
        <v>2306.71</v>
      </c>
      <c r="W30" s="157">
        <f t="shared" si="8"/>
        <v>42638.360000000008</v>
      </c>
      <c r="X30" s="138">
        <f t="shared" si="19"/>
        <v>44945.070000000007</v>
      </c>
      <c r="Y30" s="167">
        <f t="shared" si="20"/>
        <v>3.7073861833687737E-2</v>
      </c>
      <c r="Z30" s="158">
        <f t="shared" si="9"/>
        <v>1023.99</v>
      </c>
      <c r="AA30" s="157">
        <f t="shared" si="9"/>
        <v>3325.2599999999998</v>
      </c>
      <c r="AB30" s="157">
        <f t="shared" si="9"/>
        <v>4349.25</v>
      </c>
      <c r="AC30" s="157">
        <f t="shared" si="9"/>
        <v>42638.360000000008</v>
      </c>
      <c r="AD30" s="138">
        <f t="shared" si="21"/>
        <v>46987.610000000008</v>
      </c>
      <c r="AE30" s="181">
        <f t="shared" si="10"/>
        <v>4.5445251281175013E-2</v>
      </c>
      <c r="AF30" s="371">
        <f t="shared" si="11"/>
        <v>1155.76</v>
      </c>
      <c r="AG30" s="157">
        <f t="shared" si="11"/>
        <v>5631.1200000000008</v>
      </c>
      <c r="AH30" s="157">
        <f t="shared" si="11"/>
        <v>6786.88</v>
      </c>
      <c r="AI30" s="157">
        <f t="shared" si="11"/>
        <v>42638.360000000008</v>
      </c>
      <c r="AJ30" s="138">
        <f t="shared" si="22"/>
        <v>49425.240000000005</v>
      </c>
      <c r="AK30" s="379">
        <f t="shared" si="12"/>
        <v>5.1878144046909325E-2</v>
      </c>
      <c r="AL30" s="173">
        <f t="shared" si="13"/>
        <v>1083.78</v>
      </c>
      <c r="AM30" s="157">
        <f t="shared" si="13"/>
        <v>8217.0400000000009</v>
      </c>
      <c r="AN30" s="157">
        <f t="shared" si="13"/>
        <v>9300.82</v>
      </c>
      <c r="AO30" s="157">
        <f t="shared" si="13"/>
        <v>42638.360000000008</v>
      </c>
      <c r="AP30" s="138">
        <f t="shared" si="23"/>
        <v>51939.180000000008</v>
      </c>
      <c r="AQ30" s="167">
        <f t="shared" si="24"/>
        <v>5.0863485943619134E-2</v>
      </c>
      <c r="AR30" s="164">
        <f t="shared" si="25"/>
        <v>236635.45</v>
      </c>
      <c r="AS30" s="165">
        <f t="shared" si="14"/>
        <v>4.6298683945321883E-2</v>
      </c>
    </row>
    <row r="31" spans="2:45" outlineLevel="1" x14ac:dyDescent="0.35">
      <c r="B31" s="294" t="s">
        <v>90</v>
      </c>
      <c r="C31" s="62" t="s">
        <v>147</v>
      </c>
      <c r="D31" s="184">
        <f t="shared" si="0"/>
        <v>114424.59208821699</v>
      </c>
      <c r="E31" s="184">
        <f t="shared" si="0"/>
        <v>120652.50950931666</v>
      </c>
      <c r="F31" s="167">
        <f t="shared" si="1"/>
        <v>5.4428137408592946E-2</v>
      </c>
      <c r="G31" s="184">
        <f t="shared" si="2"/>
        <v>119829.51229257483</v>
      </c>
      <c r="H31" s="166">
        <f t="shared" si="15"/>
        <v>-6.8212192194666279E-3</v>
      </c>
      <c r="I31" s="184">
        <f t="shared" si="3"/>
        <v>126373.4</v>
      </c>
      <c r="J31" s="166">
        <f t="shared" si="16"/>
        <v>5.460998365283886E-2</v>
      </c>
      <c r="K31" s="184">
        <f t="shared" si="4"/>
        <v>128653.8</v>
      </c>
      <c r="L31" s="166">
        <f t="shared" si="17"/>
        <v>1.8044936671799672E-2</v>
      </c>
      <c r="M31" s="164">
        <f t="shared" si="18"/>
        <v>609933.81389010849</v>
      </c>
      <c r="N31" s="165">
        <f t="shared" si="5"/>
        <v>2.9735799024253495E-2</v>
      </c>
      <c r="P31" s="371">
        <f t="shared" si="6"/>
        <v>4508.7299999999996</v>
      </c>
      <c r="Q31" s="157">
        <f t="shared" si="6"/>
        <v>125160.76</v>
      </c>
      <c r="R31" s="157">
        <f t="shared" si="6"/>
        <v>129669.48999999999</v>
      </c>
      <c r="S31" s="372">
        <f t="shared" si="7"/>
        <v>7.8947532058904427E-3</v>
      </c>
      <c r="T31" s="173">
        <f t="shared" si="8"/>
        <v>39.32</v>
      </c>
      <c r="U31" s="157">
        <f t="shared" si="8"/>
        <v>8052.7</v>
      </c>
      <c r="V31" s="157">
        <f t="shared" si="8"/>
        <v>8092.0199999999995</v>
      </c>
      <c r="W31" s="157">
        <f t="shared" si="8"/>
        <v>125160.76</v>
      </c>
      <c r="X31" s="138">
        <f t="shared" si="19"/>
        <v>133252.78</v>
      </c>
      <c r="Y31" s="167">
        <f t="shared" si="20"/>
        <v>2.7634025552194338E-2</v>
      </c>
      <c r="Z31" s="158">
        <f t="shared" si="9"/>
        <v>48.45</v>
      </c>
      <c r="AA31" s="157">
        <f t="shared" si="9"/>
        <v>8141.88</v>
      </c>
      <c r="AB31" s="157">
        <f t="shared" si="9"/>
        <v>8190.33</v>
      </c>
      <c r="AC31" s="157">
        <f t="shared" si="9"/>
        <v>125160.76</v>
      </c>
      <c r="AD31" s="138">
        <f t="shared" si="21"/>
        <v>133351.09</v>
      </c>
      <c r="AE31" s="181">
        <f t="shared" si="10"/>
        <v>7.3777072418299775E-4</v>
      </c>
      <c r="AF31" s="371">
        <f t="shared" si="11"/>
        <v>91.66</v>
      </c>
      <c r="AG31" s="157">
        <f t="shared" si="11"/>
        <v>8251.18</v>
      </c>
      <c r="AH31" s="157">
        <f t="shared" si="11"/>
        <v>8342.84</v>
      </c>
      <c r="AI31" s="157">
        <f t="shared" si="11"/>
        <v>125160.76</v>
      </c>
      <c r="AJ31" s="138">
        <f t="shared" si="22"/>
        <v>133503.6</v>
      </c>
      <c r="AK31" s="379">
        <f t="shared" si="12"/>
        <v>1.1436726913893942E-3</v>
      </c>
      <c r="AL31" s="173">
        <f t="shared" si="13"/>
        <v>93.71</v>
      </c>
      <c r="AM31" s="157">
        <f t="shared" si="13"/>
        <v>8456.4599999999991</v>
      </c>
      <c r="AN31" s="157">
        <f t="shared" si="13"/>
        <v>8550.17</v>
      </c>
      <c r="AO31" s="157">
        <f t="shared" si="13"/>
        <v>125160.76</v>
      </c>
      <c r="AP31" s="138">
        <f t="shared" si="23"/>
        <v>133710.93</v>
      </c>
      <c r="AQ31" s="167">
        <f t="shared" si="24"/>
        <v>1.5529918294337171E-3</v>
      </c>
      <c r="AR31" s="164">
        <f t="shared" si="25"/>
        <v>663487.8899999999</v>
      </c>
      <c r="AS31" s="165">
        <f t="shared" si="14"/>
        <v>7.7023623650716022E-3</v>
      </c>
    </row>
    <row r="32" spans="2:45" outlineLevel="1" x14ac:dyDescent="0.35">
      <c r="B32" s="294" t="s">
        <v>91</v>
      </c>
      <c r="C32" s="62" t="s">
        <v>147</v>
      </c>
      <c r="D32" s="184">
        <f t="shared" si="0"/>
        <v>2942.643458025068</v>
      </c>
      <c r="E32" s="184">
        <f t="shared" si="0"/>
        <v>2988.8705218265277</v>
      </c>
      <c r="F32" s="167">
        <f t="shared" si="1"/>
        <v>1.5709366241904367E-2</v>
      </c>
      <c r="G32" s="184">
        <f t="shared" si="2"/>
        <v>3506.5540124259351</v>
      </c>
      <c r="H32" s="166">
        <f t="shared" si="15"/>
        <v>0.17320371920395067</v>
      </c>
      <c r="I32" s="184">
        <f t="shared" si="3"/>
        <v>3436</v>
      </c>
      <c r="J32" s="166">
        <f t="shared" si="16"/>
        <v>-2.0120611910131043E-2</v>
      </c>
      <c r="K32" s="184">
        <f t="shared" si="4"/>
        <v>3060.2</v>
      </c>
      <c r="L32" s="166">
        <f t="shared" si="17"/>
        <v>-0.10937136204889411</v>
      </c>
      <c r="M32" s="164">
        <f t="shared" si="18"/>
        <v>15934.267992277531</v>
      </c>
      <c r="N32" s="165">
        <f t="shared" si="5"/>
        <v>9.8410983789540829E-3</v>
      </c>
      <c r="P32" s="371">
        <f t="shared" si="6"/>
        <v>3249.1499999999996</v>
      </c>
      <c r="Q32" s="157">
        <f t="shared" si="6"/>
        <v>3196.9</v>
      </c>
      <c r="R32" s="157">
        <f t="shared" si="6"/>
        <v>6446.0499999999993</v>
      </c>
      <c r="S32" s="372">
        <f t="shared" si="7"/>
        <v>1.1064146134239592</v>
      </c>
      <c r="T32" s="173">
        <f t="shared" si="8"/>
        <v>53.16</v>
      </c>
      <c r="U32" s="157">
        <f t="shared" si="8"/>
        <v>5815.12</v>
      </c>
      <c r="V32" s="157">
        <f t="shared" si="8"/>
        <v>5868.28</v>
      </c>
      <c r="W32" s="157">
        <f t="shared" si="8"/>
        <v>3196.9</v>
      </c>
      <c r="X32" s="138">
        <f t="shared" si="19"/>
        <v>9065.18</v>
      </c>
      <c r="Y32" s="167">
        <f t="shared" si="20"/>
        <v>0.40631549553602614</v>
      </c>
      <c r="Z32" s="158">
        <f t="shared" si="9"/>
        <v>78.989999999999995</v>
      </c>
      <c r="AA32" s="157">
        <f t="shared" si="9"/>
        <v>5935.72</v>
      </c>
      <c r="AB32" s="157">
        <f t="shared" si="9"/>
        <v>6014.71</v>
      </c>
      <c r="AC32" s="157">
        <f t="shared" si="9"/>
        <v>3196.9</v>
      </c>
      <c r="AD32" s="138">
        <f t="shared" si="21"/>
        <v>9211.61</v>
      </c>
      <c r="AE32" s="181">
        <f t="shared" si="10"/>
        <v>1.6153016266637871E-2</v>
      </c>
      <c r="AF32" s="371">
        <f t="shared" si="11"/>
        <v>71.58</v>
      </c>
      <c r="AG32" s="157">
        <f t="shared" si="11"/>
        <v>6113.93</v>
      </c>
      <c r="AH32" s="157">
        <f t="shared" si="11"/>
        <v>6185.51</v>
      </c>
      <c r="AI32" s="157">
        <f t="shared" si="11"/>
        <v>3196.9</v>
      </c>
      <c r="AJ32" s="138">
        <f t="shared" si="22"/>
        <v>9382.41</v>
      </c>
      <c r="AK32" s="379">
        <f t="shared" si="12"/>
        <v>1.854181842262094E-2</v>
      </c>
      <c r="AL32" s="173">
        <f t="shared" si="13"/>
        <v>71.790000000000006</v>
      </c>
      <c r="AM32" s="157">
        <f t="shared" si="13"/>
        <v>6274.25</v>
      </c>
      <c r="AN32" s="157">
        <f t="shared" si="13"/>
        <v>6346.04</v>
      </c>
      <c r="AO32" s="157">
        <f t="shared" si="13"/>
        <v>3196.9</v>
      </c>
      <c r="AP32" s="138">
        <f t="shared" si="23"/>
        <v>9542.94</v>
      </c>
      <c r="AQ32" s="167">
        <f t="shared" si="24"/>
        <v>1.7109676511685233E-2</v>
      </c>
      <c r="AR32" s="164">
        <f t="shared" si="25"/>
        <v>43648.19</v>
      </c>
      <c r="AS32" s="165">
        <f t="shared" si="14"/>
        <v>0.10305490674524953</v>
      </c>
    </row>
    <row r="33" spans="2:45" outlineLevel="1" x14ac:dyDescent="0.35">
      <c r="B33" s="294" t="s">
        <v>92</v>
      </c>
      <c r="C33" s="62" t="s">
        <v>147</v>
      </c>
      <c r="D33" s="184">
        <f t="shared" si="0"/>
        <v>19546.977162254472</v>
      </c>
      <c r="E33" s="184">
        <f t="shared" si="0"/>
        <v>19325.767025942569</v>
      </c>
      <c r="F33" s="167">
        <f t="shared" si="1"/>
        <v>-1.1316846307011805E-2</v>
      </c>
      <c r="G33" s="184">
        <f t="shared" si="2"/>
        <v>22975.442979555424</v>
      </c>
      <c r="H33" s="166">
        <f t="shared" si="15"/>
        <v>0.18885025099979708</v>
      </c>
      <c r="I33" s="184">
        <f t="shared" si="3"/>
        <v>24364.1</v>
      </c>
      <c r="J33" s="166">
        <f t="shared" si="16"/>
        <v>6.0440924759547113E-2</v>
      </c>
      <c r="K33" s="184">
        <f t="shared" si="4"/>
        <v>20587.300000000003</v>
      </c>
      <c r="L33" s="166">
        <f t="shared" si="17"/>
        <v>-0.15501496053619859</v>
      </c>
      <c r="M33" s="164">
        <f t="shared" si="18"/>
        <v>106799.58716775247</v>
      </c>
      <c r="N33" s="165">
        <f t="shared" si="5"/>
        <v>1.3047821348162403E-2</v>
      </c>
      <c r="P33" s="371">
        <f t="shared" si="6"/>
        <v>1248.2</v>
      </c>
      <c r="Q33" s="157">
        <f t="shared" si="6"/>
        <v>37795.4</v>
      </c>
      <c r="R33" s="157">
        <f t="shared" si="6"/>
        <v>39043.599999999999</v>
      </c>
      <c r="S33" s="372">
        <f t="shared" si="7"/>
        <v>0.89648958338393048</v>
      </c>
      <c r="T33" s="173">
        <f t="shared" si="8"/>
        <v>1483.6100000000001</v>
      </c>
      <c r="U33" s="157">
        <f t="shared" si="8"/>
        <v>2704.03</v>
      </c>
      <c r="V33" s="157">
        <f t="shared" si="8"/>
        <v>4187.6400000000003</v>
      </c>
      <c r="W33" s="157">
        <f t="shared" si="8"/>
        <v>37795.4</v>
      </c>
      <c r="X33" s="138">
        <f t="shared" si="19"/>
        <v>41983.040000000001</v>
      </c>
      <c r="Y33" s="167">
        <f t="shared" si="20"/>
        <v>7.5286090421989832E-2</v>
      </c>
      <c r="Z33" s="158">
        <f t="shared" si="9"/>
        <v>1798.8700000000001</v>
      </c>
      <c r="AA33" s="157">
        <f t="shared" si="9"/>
        <v>6062.51</v>
      </c>
      <c r="AB33" s="157">
        <f t="shared" si="9"/>
        <v>7861.38</v>
      </c>
      <c r="AC33" s="157">
        <f t="shared" si="9"/>
        <v>37795.4</v>
      </c>
      <c r="AD33" s="138">
        <f t="shared" si="21"/>
        <v>45656.78</v>
      </c>
      <c r="AE33" s="181">
        <f t="shared" si="10"/>
        <v>8.7505335487854094E-2</v>
      </c>
      <c r="AF33" s="371">
        <f t="shared" si="11"/>
        <v>1588.8</v>
      </c>
      <c r="AG33" s="157">
        <f t="shared" si="11"/>
        <v>10114.68</v>
      </c>
      <c r="AH33" s="157">
        <f t="shared" si="11"/>
        <v>11703.480000000001</v>
      </c>
      <c r="AI33" s="157">
        <f t="shared" si="11"/>
        <v>37795.4</v>
      </c>
      <c r="AJ33" s="138">
        <f t="shared" si="22"/>
        <v>49498.880000000005</v>
      </c>
      <c r="AK33" s="379">
        <f t="shared" si="12"/>
        <v>8.4151795198873114E-2</v>
      </c>
      <c r="AL33" s="173">
        <f t="shared" si="13"/>
        <v>1941.8200000000002</v>
      </c>
      <c r="AM33" s="157">
        <f t="shared" si="13"/>
        <v>13670.240000000002</v>
      </c>
      <c r="AN33" s="157">
        <f t="shared" si="13"/>
        <v>15612.06</v>
      </c>
      <c r="AO33" s="157">
        <f t="shared" si="13"/>
        <v>37795.4</v>
      </c>
      <c r="AP33" s="138">
        <f t="shared" si="23"/>
        <v>53407.46</v>
      </c>
      <c r="AQ33" s="167">
        <f t="shared" si="24"/>
        <v>7.8962998758759673E-2</v>
      </c>
      <c r="AR33" s="164">
        <f t="shared" si="25"/>
        <v>229589.75999999998</v>
      </c>
      <c r="AS33" s="165">
        <f t="shared" si="14"/>
        <v>8.1466366016661462E-2</v>
      </c>
    </row>
    <row r="34" spans="2:45" outlineLevel="1" x14ac:dyDescent="0.35">
      <c r="B34" s="294" t="s">
        <v>93</v>
      </c>
      <c r="C34" s="62" t="s">
        <v>147</v>
      </c>
      <c r="D34" s="184">
        <f t="shared" si="0"/>
        <v>43588.475792424179</v>
      </c>
      <c r="E34" s="184">
        <f t="shared" si="0"/>
        <v>43628.888496111656</v>
      </c>
      <c r="F34" s="167">
        <f t="shared" si="1"/>
        <v>9.2714193265050525E-4</v>
      </c>
      <c r="G34" s="184">
        <f t="shared" si="2"/>
        <v>43160.406197912889</v>
      </c>
      <c r="H34" s="166">
        <f t="shared" si="15"/>
        <v>-1.0737892124859424E-2</v>
      </c>
      <c r="I34" s="184">
        <f t="shared" si="3"/>
        <v>45030.7</v>
      </c>
      <c r="J34" s="166">
        <f t="shared" si="16"/>
        <v>4.3333554218902365E-2</v>
      </c>
      <c r="K34" s="184">
        <f t="shared" si="4"/>
        <v>42055.9</v>
      </c>
      <c r="L34" s="166">
        <f t="shared" si="17"/>
        <v>-6.6061597976491498E-2</v>
      </c>
      <c r="M34" s="164">
        <f t="shared" si="18"/>
        <v>217464.37048644872</v>
      </c>
      <c r="N34" s="165">
        <f t="shared" si="5"/>
        <v>-8.9083615581386777E-3</v>
      </c>
      <c r="P34" s="371">
        <f t="shared" si="6"/>
        <v>1689.09</v>
      </c>
      <c r="Q34" s="157">
        <f t="shared" si="6"/>
        <v>57015.96</v>
      </c>
      <c r="R34" s="157">
        <f t="shared" si="6"/>
        <v>58705.05</v>
      </c>
      <c r="S34" s="372">
        <f t="shared" si="7"/>
        <v>0.39588143399618131</v>
      </c>
      <c r="T34" s="173">
        <f t="shared" si="8"/>
        <v>2257.62</v>
      </c>
      <c r="U34" s="157">
        <f t="shared" si="8"/>
        <v>3663.7</v>
      </c>
      <c r="V34" s="157">
        <f t="shared" si="8"/>
        <v>5921.32</v>
      </c>
      <c r="W34" s="157">
        <f t="shared" si="8"/>
        <v>57015.96</v>
      </c>
      <c r="X34" s="138">
        <f t="shared" si="19"/>
        <v>62937.279999999999</v>
      </c>
      <c r="Y34" s="167">
        <f t="shared" si="20"/>
        <v>7.2093116350296874E-2</v>
      </c>
      <c r="Z34" s="158">
        <f t="shared" si="9"/>
        <v>3840.06</v>
      </c>
      <c r="AA34" s="157">
        <f t="shared" si="9"/>
        <v>8773.41</v>
      </c>
      <c r="AB34" s="157">
        <f t="shared" si="9"/>
        <v>12613.47</v>
      </c>
      <c r="AC34" s="157">
        <f t="shared" si="9"/>
        <v>57015.96</v>
      </c>
      <c r="AD34" s="138">
        <f t="shared" si="21"/>
        <v>69629.429999999993</v>
      </c>
      <c r="AE34" s="181">
        <f t="shared" si="10"/>
        <v>0.10633046105583201</v>
      </c>
      <c r="AF34" s="371">
        <f t="shared" si="11"/>
        <v>4130.42</v>
      </c>
      <c r="AG34" s="157">
        <f t="shared" si="11"/>
        <v>17422.060000000001</v>
      </c>
      <c r="AH34" s="157">
        <f t="shared" si="11"/>
        <v>21552.48</v>
      </c>
      <c r="AI34" s="157">
        <f t="shared" si="11"/>
        <v>57015.96</v>
      </c>
      <c r="AJ34" s="138">
        <f t="shared" si="22"/>
        <v>78568.44</v>
      </c>
      <c r="AK34" s="379">
        <f t="shared" si="12"/>
        <v>0.12837976700369386</v>
      </c>
      <c r="AL34" s="173">
        <f t="shared" si="13"/>
        <v>3584.91</v>
      </c>
      <c r="AM34" s="157">
        <f t="shared" si="13"/>
        <v>26663.09</v>
      </c>
      <c r="AN34" s="157">
        <f t="shared" si="13"/>
        <v>30248.000000000004</v>
      </c>
      <c r="AO34" s="157">
        <f t="shared" si="13"/>
        <v>57015.96</v>
      </c>
      <c r="AP34" s="138">
        <f t="shared" si="23"/>
        <v>87263.96</v>
      </c>
      <c r="AQ34" s="167">
        <f t="shared" si="24"/>
        <v>0.11067446419962015</v>
      </c>
      <c r="AR34" s="164">
        <f t="shared" si="25"/>
        <v>357104.16000000003</v>
      </c>
      <c r="AS34" s="165">
        <f t="shared" si="14"/>
        <v>0.10417996751331238</v>
      </c>
    </row>
    <row r="35" spans="2:45" outlineLevel="1" x14ac:dyDescent="0.35">
      <c r="B35" s="294" t="s">
        <v>94</v>
      </c>
      <c r="C35" s="62" t="s">
        <v>147</v>
      </c>
      <c r="D35" s="184">
        <f t="shared" ref="D35:E54" si="26">D98+D160+D222+D296+D358</f>
        <v>44640.552332908141</v>
      </c>
      <c r="E35" s="184">
        <f t="shared" si="26"/>
        <v>51188.099490083223</v>
      </c>
      <c r="F35" s="167">
        <f t="shared" si="1"/>
        <v>0.14667262869748049</v>
      </c>
      <c r="G35" s="184">
        <f t="shared" si="2"/>
        <v>59439.243715314486</v>
      </c>
      <c r="H35" s="166">
        <f t="shared" si="15"/>
        <v>0.16119262694700698</v>
      </c>
      <c r="I35" s="184">
        <f t="shared" si="3"/>
        <v>55922.7</v>
      </c>
      <c r="J35" s="166">
        <f t="shared" si="16"/>
        <v>-5.9161986181335835E-2</v>
      </c>
      <c r="K35" s="184">
        <f t="shared" si="4"/>
        <v>55949.3</v>
      </c>
      <c r="L35" s="166">
        <f t="shared" si="17"/>
        <v>4.7565657595226665E-4</v>
      </c>
      <c r="M35" s="164">
        <f t="shared" si="18"/>
        <v>267139.89553830586</v>
      </c>
      <c r="N35" s="165">
        <f t="shared" si="5"/>
        <v>5.8074564838617171E-2</v>
      </c>
      <c r="P35" s="371">
        <f t="shared" ref="P35:R54" si="27">P98+P160+P222+P296+P358</f>
        <v>1185.03</v>
      </c>
      <c r="Q35" s="157">
        <f t="shared" si="27"/>
        <v>80189.39</v>
      </c>
      <c r="R35" s="157">
        <f t="shared" si="27"/>
        <v>81374.42</v>
      </c>
      <c r="S35" s="372">
        <f t="shared" si="7"/>
        <v>0.45443142273451131</v>
      </c>
      <c r="T35" s="173">
        <f t="shared" ref="T35:W54" si="28">T98+T160+T222+T296+T358</f>
        <v>1565.19</v>
      </c>
      <c r="U35" s="157">
        <f t="shared" si="28"/>
        <v>2592.6099999999997</v>
      </c>
      <c r="V35" s="157">
        <f t="shared" si="28"/>
        <v>4157.8</v>
      </c>
      <c r="W35" s="157">
        <f t="shared" si="28"/>
        <v>80189.39</v>
      </c>
      <c r="X35" s="138">
        <f t="shared" si="19"/>
        <v>84347.19</v>
      </c>
      <c r="Y35" s="167">
        <f t="shared" si="20"/>
        <v>3.6531996172753108E-2</v>
      </c>
      <c r="Z35" s="158">
        <f t="shared" ref="Z35:AC54" si="29">Z98+Z160+Z222+Z296+Z358</f>
        <v>1948.63</v>
      </c>
      <c r="AA35" s="157">
        <f t="shared" si="29"/>
        <v>6138.21</v>
      </c>
      <c r="AB35" s="157">
        <f t="shared" si="29"/>
        <v>8086.84</v>
      </c>
      <c r="AC35" s="157">
        <f t="shared" si="29"/>
        <v>80189.39</v>
      </c>
      <c r="AD35" s="138">
        <f t="shared" si="21"/>
        <v>88276.23</v>
      </c>
      <c r="AE35" s="181">
        <f t="shared" si="10"/>
        <v>4.6581753345902734E-2</v>
      </c>
      <c r="AF35" s="371">
        <f t="shared" ref="AF35:AI54" si="30">AF98+AF160+AF222+AF296+AF358</f>
        <v>1890.7</v>
      </c>
      <c r="AG35" s="157">
        <f t="shared" si="30"/>
        <v>10528.69</v>
      </c>
      <c r="AH35" s="157">
        <f t="shared" si="30"/>
        <v>12419.390000000001</v>
      </c>
      <c r="AI35" s="157">
        <f t="shared" si="30"/>
        <v>80189.39</v>
      </c>
      <c r="AJ35" s="138">
        <f t="shared" si="22"/>
        <v>92608.78</v>
      </c>
      <c r="AK35" s="379">
        <f t="shared" si="12"/>
        <v>4.907946340708029E-2</v>
      </c>
      <c r="AL35" s="173">
        <f t="shared" ref="AL35:AO54" si="31">AL98+AL160+AL222+AL296+AL358</f>
        <v>1754.2800000000002</v>
      </c>
      <c r="AM35" s="157">
        <f t="shared" si="31"/>
        <v>14760.5</v>
      </c>
      <c r="AN35" s="157">
        <f t="shared" si="31"/>
        <v>16514.78</v>
      </c>
      <c r="AO35" s="157">
        <f t="shared" si="31"/>
        <v>80189.39</v>
      </c>
      <c r="AP35" s="138">
        <f t="shared" si="23"/>
        <v>96704.17</v>
      </c>
      <c r="AQ35" s="167">
        <f t="shared" si="24"/>
        <v>4.4222480849008046E-2</v>
      </c>
      <c r="AR35" s="164">
        <f t="shared" si="25"/>
        <v>443310.79</v>
      </c>
      <c r="AS35" s="165">
        <f t="shared" si="14"/>
        <v>4.4093336138529171E-2</v>
      </c>
    </row>
    <row r="36" spans="2:45" outlineLevel="1" x14ac:dyDescent="0.35">
      <c r="B36" s="294" t="s">
        <v>95</v>
      </c>
      <c r="C36" s="62" t="s">
        <v>147</v>
      </c>
      <c r="D36" s="184">
        <f t="shared" si="26"/>
        <v>39355.146437423988</v>
      </c>
      <c r="E36" s="184">
        <f t="shared" si="26"/>
        <v>43821.347466108229</v>
      </c>
      <c r="F36" s="167">
        <f t="shared" si="1"/>
        <v>0.11348454860371697</v>
      </c>
      <c r="G36" s="184">
        <f t="shared" si="2"/>
        <v>47840.408657611311</v>
      </c>
      <c r="H36" s="166">
        <f t="shared" si="15"/>
        <v>9.1714687564353317E-2</v>
      </c>
      <c r="I36" s="184">
        <f t="shared" si="3"/>
        <v>52783</v>
      </c>
      <c r="J36" s="166">
        <f t="shared" si="16"/>
        <v>0.10331415389367357</v>
      </c>
      <c r="K36" s="184">
        <f t="shared" si="4"/>
        <v>33388</v>
      </c>
      <c r="L36" s="166">
        <f t="shared" si="17"/>
        <v>-0.36744785252827616</v>
      </c>
      <c r="M36" s="164">
        <f t="shared" si="18"/>
        <v>217187.90256114354</v>
      </c>
      <c r="N36" s="165">
        <f t="shared" si="5"/>
        <v>-4.0274093772578623E-2</v>
      </c>
      <c r="P36" s="371">
        <f t="shared" si="27"/>
        <v>2242.84</v>
      </c>
      <c r="Q36" s="157">
        <f t="shared" si="27"/>
        <v>70134.92</v>
      </c>
      <c r="R36" s="157">
        <f t="shared" si="27"/>
        <v>72377.759999999995</v>
      </c>
      <c r="S36" s="372">
        <f t="shared" si="7"/>
        <v>1.167777644662753</v>
      </c>
      <c r="T36" s="173">
        <f t="shared" si="28"/>
        <v>1159.3000000000002</v>
      </c>
      <c r="U36" s="157">
        <f t="shared" si="28"/>
        <v>6034.95</v>
      </c>
      <c r="V36" s="157">
        <f t="shared" si="28"/>
        <v>7194.25</v>
      </c>
      <c r="W36" s="157">
        <f t="shared" si="28"/>
        <v>70134.92</v>
      </c>
      <c r="X36" s="138">
        <f t="shared" si="19"/>
        <v>77329.17</v>
      </c>
      <c r="Y36" s="167">
        <f t="shared" si="20"/>
        <v>6.8410655427855238E-2</v>
      </c>
      <c r="Z36" s="158">
        <f t="shared" si="29"/>
        <v>1568.98</v>
      </c>
      <c r="AA36" s="157">
        <f t="shared" si="29"/>
        <v>8662.77</v>
      </c>
      <c r="AB36" s="157">
        <f t="shared" si="29"/>
        <v>10231.75</v>
      </c>
      <c r="AC36" s="157">
        <f t="shared" si="29"/>
        <v>70134.92</v>
      </c>
      <c r="AD36" s="138">
        <f t="shared" si="21"/>
        <v>80366.67</v>
      </c>
      <c r="AE36" s="181">
        <f t="shared" si="10"/>
        <v>3.9280131934689072E-2</v>
      </c>
      <c r="AF36" s="371">
        <f t="shared" si="30"/>
        <v>1706.88</v>
      </c>
      <c r="AG36" s="157">
        <f t="shared" si="30"/>
        <v>12200.14</v>
      </c>
      <c r="AH36" s="157">
        <f t="shared" si="30"/>
        <v>13907.02</v>
      </c>
      <c r="AI36" s="157">
        <f t="shared" si="30"/>
        <v>70134.92</v>
      </c>
      <c r="AJ36" s="138">
        <f t="shared" si="22"/>
        <v>84041.94</v>
      </c>
      <c r="AK36" s="379">
        <f t="shared" si="12"/>
        <v>4.5731271433792194E-2</v>
      </c>
      <c r="AL36" s="173">
        <f t="shared" si="31"/>
        <v>1370.2600000000002</v>
      </c>
      <c r="AM36" s="157">
        <f t="shared" si="31"/>
        <v>16021.01</v>
      </c>
      <c r="AN36" s="157">
        <f t="shared" si="31"/>
        <v>17391.27</v>
      </c>
      <c r="AO36" s="157">
        <f t="shared" si="31"/>
        <v>70134.92</v>
      </c>
      <c r="AP36" s="138">
        <f t="shared" si="23"/>
        <v>87526.19</v>
      </c>
      <c r="AQ36" s="167">
        <f t="shared" si="24"/>
        <v>4.1458467046334248E-2</v>
      </c>
      <c r="AR36" s="164">
        <f t="shared" si="25"/>
        <v>401641.73</v>
      </c>
      <c r="AS36" s="165">
        <f t="shared" si="14"/>
        <v>4.8656423631885382E-2</v>
      </c>
    </row>
    <row r="37" spans="2:45" outlineLevel="1" x14ac:dyDescent="0.35">
      <c r="B37" s="294" t="s">
        <v>96</v>
      </c>
      <c r="C37" s="62" t="s">
        <v>147</v>
      </c>
      <c r="D37" s="184">
        <f t="shared" si="26"/>
        <v>33093.32999943402</v>
      </c>
      <c r="E37" s="184">
        <f t="shared" si="26"/>
        <v>31226.041517251651</v>
      </c>
      <c r="F37" s="167">
        <f t="shared" si="1"/>
        <v>-5.6424919529533706E-2</v>
      </c>
      <c r="G37" s="184">
        <f t="shared" si="2"/>
        <v>33747.572015767597</v>
      </c>
      <c r="H37" s="166">
        <f t="shared" si="15"/>
        <v>8.0750885350705098E-2</v>
      </c>
      <c r="I37" s="184">
        <f t="shared" si="3"/>
        <v>30703.599999999999</v>
      </c>
      <c r="J37" s="166">
        <f t="shared" si="16"/>
        <v>-9.019825231709673E-2</v>
      </c>
      <c r="K37" s="184">
        <f t="shared" si="4"/>
        <v>24692.400000000001</v>
      </c>
      <c r="L37" s="166">
        <f t="shared" si="17"/>
        <v>-0.19578160215740165</v>
      </c>
      <c r="M37" s="164">
        <f t="shared" si="18"/>
        <v>153462.94353245327</v>
      </c>
      <c r="N37" s="165">
        <f t="shared" si="5"/>
        <v>-7.0593493754727898E-2</v>
      </c>
      <c r="P37" s="371">
        <f t="shared" si="27"/>
        <v>655.11</v>
      </c>
      <c r="Q37" s="157">
        <f t="shared" si="27"/>
        <v>41132.879999999997</v>
      </c>
      <c r="R37" s="157">
        <f t="shared" si="27"/>
        <v>41787.99</v>
      </c>
      <c r="S37" s="372">
        <f t="shared" si="7"/>
        <v>0.69234217816008148</v>
      </c>
      <c r="T37" s="173">
        <f t="shared" si="28"/>
        <v>870.70999999999992</v>
      </c>
      <c r="U37" s="157">
        <f t="shared" si="28"/>
        <v>1433.82</v>
      </c>
      <c r="V37" s="157">
        <f t="shared" si="28"/>
        <v>2304.5300000000002</v>
      </c>
      <c r="W37" s="157">
        <f t="shared" si="28"/>
        <v>41132.879999999997</v>
      </c>
      <c r="X37" s="138">
        <f t="shared" si="19"/>
        <v>43437.409999999996</v>
      </c>
      <c r="Y37" s="167">
        <f t="shared" si="20"/>
        <v>3.9471149485773266E-2</v>
      </c>
      <c r="Z37" s="158">
        <f t="shared" si="29"/>
        <v>1199.0700000000002</v>
      </c>
      <c r="AA37" s="157">
        <f t="shared" si="29"/>
        <v>3406.0099999999998</v>
      </c>
      <c r="AB37" s="157">
        <f t="shared" si="29"/>
        <v>4605.08</v>
      </c>
      <c r="AC37" s="157">
        <f t="shared" si="29"/>
        <v>41132.879999999997</v>
      </c>
      <c r="AD37" s="138">
        <f t="shared" si="21"/>
        <v>45737.96</v>
      </c>
      <c r="AE37" s="181">
        <f t="shared" si="10"/>
        <v>5.2962411893342699E-2</v>
      </c>
      <c r="AF37" s="371">
        <f t="shared" si="30"/>
        <v>1112.97</v>
      </c>
      <c r="AG37" s="157">
        <f t="shared" si="30"/>
        <v>6107.8099999999995</v>
      </c>
      <c r="AH37" s="157">
        <f t="shared" si="30"/>
        <v>7220.78</v>
      </c>
      <c r="AI37" s="157">
        <f t="shared" si="30"/>
        <v>41132.879999999997</v>
      </c>
      <c r="AJ37" s="138">
        <f t="shared" si="22"/>
        <v>48353.659999999996</v>
      </c>
      <c r="AK37" s="379">
        <f t="shared" si="12"/>
        <v>5.7188820839407732E-2</v>
      </c>
      <c r="AL37" s="173">
        <f t="shared" si="31"/>
        <v>986.16000000000008</v>
      </c>
      <c r="AM37" s="157">
        <f t="shared" si="31"/>
        <v>8598.56</v>
      </c>
      <c r="AN37" s="157">
        <f t="shared" si="31"/>
        <v>9584.7199999999993</v>
      </c>
      <c r="AO37" s="157">
        <f t="shared" si="31"/>
        <v>41132.879999999997</v>
      </c>
      <c r="AP37" s="138">
        <f t="shared" si="23"/>
        <v>50717.599999999999</v>
      </c>
      <c r="AQ37" s="167">
        <f t="shared" si="24"/>
        <v>4.8888543287105929E-2</v>
      </c>
      <c r="AR37" s="164">
        <f t="shared" si="25"/>
        <v>230034.62</v>
      </c>
      <c r="AS37" s="165">
        <f t="shared" si="14"/>
        <v>4.9607204451465492E-2</v>
      </c>
    </row>
    <row r="38" spans="2:45" outlineLevel="1" x14ac:dyDescent="0.35">
      <c r="B38" s="294" t="s">
        <v>97</v>
      </c>
      <c r="C38" s="62" t="s">
        <v>147</v>
      </c>
      <c r="D38" s="184">
        <f t="shared" si="26"/>
        <v>59821.894502884352</v>
      </c>
      <c r="E38" s="184">
        <f t="shared" si="26"/>
        <v>60417.764939904919</v>
      </c>
      <c r="F38" s="167">
        <f t="shared" si="1"/>
        <v>9.9607416644392072E-3</v>
      </c>
      <c r="G38" s="184">
        <f t="shared" si="2"/>
        <v>66098.08113683424</v>
      </c>
      <c r="H38" s="166">
        <f t="shared" si="15"/>
        <v>9.4017317631317543E-2</v>
      </c>
      <c r="I38" s="184">
        <f t="shared" si="3"/>
        <v>60103.899999999994</v>
      </c>
      <c r="J38" s="166">
        <f t="shared" si="16"/>
        <v>-9.0686159624290372E-2</v>
      </c>
      <c r="K38" s="184">
        <f t="shared" si="4"/>
        <v>48059.9</v>
      </c>
      <c r="L38" s="166">
        <f t="shared" si="17"/>
        <v>-0.20038633100347888</v>
      </c>
      <c r="M38" s="164">
        <f t="shared" si="18"/>
        <v>294501.54057962348</v>
      </c>
      <c r="N38" s="165">
        <f t="shared" si="5"/>
        <v>-5.3260112273607163E-2</v>
      </c>
      <c r="P38" s="371">
        <f t="shared" si="27"/>
        <v>1788.38</v>
      </c>
      <c r="Q38" s="157">
        <f t="shared" si="27"/>
        <v>80056.790000000008</v>
      </c>
      <c r="R38" s="157">
        <f t="shared" si="27"/>
        <v>81845.17</v>
      </c>
      <c r="S38" s="372">
        <f t="shared" si="7"/>
        <v>0.70298252805353312</v>
      </c>
      <c r="T38" s="173">
        <f t="shared" si="28"/>
        <v>2698.46</v>
      </c>
      <c r="U38" s="157">
        <f t="shared" si="28"/>
        <v>3796.3199999999997</v>
      </c>
      <c r="V38" s="157">
        <f t="shared" si="28"/>
        <v>6494.7800000000007</v>
      </c>
      <c r="W38" s="157">
        <f t="shared" si="28"/>
        <v>80056.790000000008</v>
      </c>
      <c r="X38" s="138">
        <f t="shared" si="19"/>
        <v>86551.57</v>
      </c>
      <c r="Y38" s="167">
        <f t="shared" si="20"/>
        <v>5.7503698752168382E-2</v>
      </c>
      <c r="Z38" s="158">
        <f t="shared" si="29"/>
        <v>3059.33</v>
      </c>
      <c r="AA38" s="157">
        <f t="shared" si="29"/>
        <v>9898.380000000001</v>
      </c>
      <c r="AB38" s="157">
        <f t="shared" si="29"/>
        <v>12957.710000000001</v>
      </c>
      <c r="AC38" s="157">
        <f t="shared" si="29"/>
        <v>80056.790000000008</v>
      </c>
      <c r="AD38" s="138">
        <f t="shared" si="21"/>
        <v>93014.500000000015</v>
      </c>
      <c r="AE38" s="181">
        <f t="shared" si="10"/>
        <v>7.4671435769449443E-2</v>
      </c>
      <c r="AF38" s="371">
        <f t="shared" si="30"/>
        <v>2471.1099999999997</v>
      </c>
      <c r="AG38" s="157">
        <f t="shared" si="30"/>
        <v>16785.91</v>
      </c>
      <c r="AH38" s="157">
        <f t="shared" si="30"/>
        <v>19257.02</v>
      </c>
      <c r="AI38" s="157">
        <f t="shared" si="30"/>
        <v>80056.790000000008</v>
      </c>
      <c r="AJ38" s="138">
        <f t="shared" si="22"/>
        <v>99313.810000000012</v>
      </c>
      <c r="AK38" s="379">
        <f t="shared" si="12"/>
        <v>6.7723957017454234E-2</v>
      </c>
      <c r="AL38" s="173">
        <f t="shared" si="31"/>
        <v>2653.29</v>
      </c>
      <c r="AM38" s="157">
        <f t="shared" si="31"/>
        <v>22314</v>
      </c>
      <c r="AN38" s="157">
        <f t="shared" si="31"/>
        <v>24967.290000000005</v>
      </c>
      <c r="AO38" s="157">
        <f t="shared" si="31"/>
        <v>80056.790000000008</v>
      </c>
      <c r="AP38" s="138">
        <f t="shared" si="23"/>
        <v>105024.08000000002</v>
      </c>
      <c r="AQ38" s="167">
        <f t="shared" si="24"/>
        <v>5.7497240313305907E-2</v>
      </c>
      <c r="AR38" s="164">
        <f t="shared" si="25"/>
        <v>465749.13</v>
      </c>
      <c r="AS38" s="165">
        <f t="shared" si="14"/>
        <v>6.43242506836883E-2</v>
      </c>
    </row>
    <row r="39" spans="2:45" outlineLevel="1" x14ac:dyDescent="0.35">
      <c r="B39" s="294" t="s">
        <v>98</v>
      </c>
      <c r="C39" s="62" t="s">
        <v>147</v>
      </c>
      <c r="D39" s="184">
        <f t="shared" si="26"/>
        <v>43535.593842996925</v>
      </c>
      <c r="E39" s="184">
        <f t="shared" si="26"/>
        <v>46466.483320269595</v>
      </c>
      <c r="F39" s="167">
        <f t="shared" si="1"/>
        <v>6.7321683674337426E-2</v>
      </c>
      <c r="G39" s="184">
        <f t="shared" si="2"/>
        <v>44448.533442409796</v>
      </c>
      <c r="H39" s="166">
        <f t="shared" si="15"/>
        <v>-4.3428074036744022E-2</v>
      </c>
      <c r="I39" s="184">
        <f t="shared" si="3"/>
        <v>40902.300000000003</v>
      </c>
      <c r="J39" s="166">
        <f t="shared" si="16"/>
        <v>-7.9782912230490291E-2</v>
      </c>
      <c r="K39" s="184">
        <f t="shared" si="4"/>
        <v>23404.6</v>
      </c>
      <c r="L39" s="166">
        <f t="shared" si="17"/>
        <v>-0.4277925691220299</v>
      </c>
      <c r="M39" s="164">
        <f t="shared" si="18"/>
        <v>198757.5106056763</v>
      </c>
      <c r="N39" s="165">
        <f t="shared" si="5"/>
        <v>-0.14372317988457206</v>
      </c>
      <c r="P39" s="371">
        <f t="shared" si="27"/>
        <v>335.95</v>
      </c>
      <c r="Q39" s="157">
        <f t="shared" si="27"/>
        <v>31243.599999999999</v>
      </c>
      <c r="R39" s="157">
        <f t="shared" si="27"/>
        <v>31579.550000000003</v>
      </c>
      <c r="S39" s="372">
        <f t="shared" si="7"/>
        <v>0.34928817411961771</v>
      </c>
      <c r="T39" s="173">
        <f t="shared" si="28"/>
        <v>648.02</v>
      </c>
      <c r="U39" s="157">
        <f t="shared" si="28"/>
        <v>727.06000000000006</v>
      </c>
      <c r="V39" s="157">
        <f t="shared" si="28"/>
        <v>1375.0800000000004</v>
      </c>
      <c r="W39" s="157">
        <f t="shared" si="28"/>
        <v>31243.599999999999</v>
      </c>
      <c r="X39" s="138">
        <f t="shared" si="19"/>
        <v>32618.68</v>
      </c>
      <c r="Y39" s="167">
        <f t="shared" si="20"/>
        <v>3.2905155393284494E-2</v>
      </c>
      <c r="Z39" s="158">
        <f t="shared" si="29"/>
        <v>959.67</v>
      </c>
      <c r="AA39" s="157">
        <f t="shared" si="29"/>
        <v>2192.62</v>
      </c>
      <c r="AB39" s="157">
        <f t="shared" si="29"/>
        <v>3152.29</v>
      </c>
      <c r="AC39" s="157">
        <f t="shared" si="29"/>
        <v>31243.599999999999</v>
      </c>
      <c r="AD39" s="138">
        <f t="shared" si="21"/>
        <v>34395.89</v>
      </c>
      <c r="AE39" s="181">
        <f t="shared" si="10"/>
        <v>5.4484424262416481E-2</v>
      </c>
      <c r="AF39" s="371">
        <f t="shared" si="30"/>
        <v>985.81</v>
      </c>
      <c r="AG39" s="157">
        <f t="shared" si="30"/>
        <v>4352.03</v>
      </c>
      <c r="AH39" s="157">
        <f t="shared" si="30"/>
        <v>5337.8399999999992</v>
      </c>
      <c r="AI39" s="157">
        <f t="shared" si="30"/>
        <v>31243.599999999999</v>
      </c>
      <c r="AJ39" s="138">
        <f t="shared" si="22"/>
        <v>36581.439999999995</v>
      </c>
      <c r="AK39" s="379">
        <f t="shared" si="12"/>
        <v>6.3541021906977718E-2</v>
      </c>
      <c r="AL39" s="173">
        <f t="shared" si="31"/>
        <v>1048.48</v>
      </c>
      <c r="AM39" s="157">
        <f t="shared" si="31"/>
        <v>6556.67</v>
      </c>
      <c r="AN39" s="157">
        <f t="shared" si="31"/>
        <v>7605.1500000000005</v>
      </c>
      <c r="AO39" s="157">
        <f t="shared" si="31"/>
        <v>31243.599999999999</v>
      </c>
      <c r="AP39" s="138">
        <f t="shared" si="23"/>
        <v>38848.75</v>
      </c>
      <c r="AQ39" s="167">
        <f t="shared" si="24"/>
        <v>6.197979084475639E-2</v>
      </c>
      <c r="AR39" s="164">
        <f t="shared" si="25"/>
        <v>174024.31</v>
      </c>
      <c r="AS39" s="165">
        <f t="shared" si="14"/>
        <v>5.3156173969370446E-2</v>
      </c>
    </row>
    <row r="40" spans="2:45" outlineLevel="1" x14ac:dyDescent="0.35">
      <c r="B40" s="294" t="s">
        <v>99</v>
      </c>
      <c r="C40" s="62" t="s">
        <v>147</v>
      </c>
      <c r="D40" s="184">
        <f t="shared" si="26"/>
        <v>234545.51163333104</v>
      </c>
      <c r="E40" s="184">
        <f t="shared" si="26"/>
        <v>256902.6644488629</v>
      </c>
      <c r="F40" s="167">
        <f t="shared" si="1"/>
        <v>9.532117097377317E-2</v>
      </c>
      <c r="G40" s="184">
        <f t="shared" si="2"/>
        <v>278944.0312958986</v>
      </c>
      <c r="H40" s="166">
        <f t="shared" si="15"/>
        <v>8.5796567716887567E-2</v>
      </c>
      <c r="I40" s="184">
        <f t="shared" si="3"/>
        <v>264292.69999999995</v>
      </c>
      <c r="J40" s="166">
        <f t="shared" si="16"/>
        <v>-5.2524268857205951E-2</v>
      </c>
      <c r="K40" s="184">
        <f t="shared" si="4"/>
        <v>229813.4</v>
      </c>
      <c r="L40" s="166">
        <f t="shared" si="17"/>
        <v>-0.13045876787364905</v>
      </c>
      <c r="M40" s="164">
        <f t="shared" si="18"/>
        <v>1264498.3073780925</v>
      </c>
      <c r="N40" s="165">
        <f t="shared" si="5"/>
        <v>-5.0825333021899954E-3</v>
      </c>
      <c r="P40" s="371">
        <f t="shared" si="27"/>
        <v>2543.52</v>
      </c>
      <c r="Q40" s="157">
        <f t="shared" si="27"/>
        <v>252278.56999999998</v>
      </c>
      <c r="R40" s="157">
        <f t="shared" si="27"/>
        <v>254822.09</v>
      </c>
      <c r="S40" s="372">
        <f t="shared" si="7"/>
        <v>0.10882172231906409</v>
      </c>
      <c r="T40" s="173">
        <f t="shared" si="28"/>
        <v>2862.09</v>
      </c>
      <c r="U40" s="157">
        <f t="shared" si="28"/>
        <v>5453.96</v>
      </c>
      <c r="V40" s="157">
        <f t="shared" si="28"/>
        <v>8316.0499999999993</v>
      </c>
      <c r="W40" s="157">
        <f t="shared" si="28"/>
        <v>252278.56999999998</v>
      </c>
      <c r="X40" s="138">
        <f t="shared" si="19"/>
        <v>260594.61999999997</v>
      </c>
      <c r="Y40" s="167">
        <f t="shared" si="20"/>
        <v>2.2653177359937555E-2</v>
      </c>
      <c r="Z40" s="158">
        <f t="shared" si="29"/>
        <v>3262.5899999999997</v>
      </c>
      <c r="AA40" s="157">
        <f t="shared" si="29"/>
        <v>11931.01</v>
      </c>
      <c r="AB40" s="157">
        <f t="shared" si="29"/>
        <v>15193.6</v>
      </c>
      <c r="AC40" s="157">
        <f t="shared" si="29"/>
        <v>252278.56999999998</v>
      </c>
      <c r="AD40" s="138">
        <f t="shared" si="21"/>
        <v>267472.17</v>
      </c>
      <c r="AE40" s="181">
        <f t="shared" si="10"/>
        <v>2.6391757435360784E-2</v>
      </c>
      <c r="AF40" s="371">
        <f t="shared" si="30"/>
        <v>7849.82</v>
      </c>
      <c r="AG40" s="157">
        <f t="shared" si="30"/>
        <v>19280.47</v>
      </c>
      <c r="AH40" s="157">
        <f t="shared" si="30"/>
        <v>27130.29</v>
      </c>
      <c r="AI40" s="157">
        <f t="shared" si="30"/>
        <v>252278.56999999998</v>
      </c>
      <c r="AJ40" s="138">
        <f t="shared" si="22"/>
        <v>279408.86</v>
      </c>
      <c r="AK40" s="379">
        <f t="shared" si="12"/>
        <v>4.4627783144691291E-2</v>
      </c>
      <c r="AL40" s="173">
        <f t="shared" si="31"/>
        <v>2780.4700000000003</v>
      </c>
      <c r="AM40" s="157">
        <f t="shared" si="31"/>
        <v>31161.590000000004</v>
      </c>
      <c r="AN40" s="157">
        <f t="shared" si="31"/>
        <v>33942.060000000005</v>
      </c>
      <c r="AO40" s="157">
        <f t="shared" si="31"/>
        <v>252278.56999999998</v>
      </c>
      <c r="AP40" s="138">
        <f t="shared" si="23"/>
        <v>286220.63</v>
      </c>
      <c r="AQ40" s="167">
        <f t="shared" si="24"/>
        <v>2.4379219757025668E-2</v>
      </c>
      <c r="AR40" s="164">
        <f t="shared" si="25"/>
        <v>1348518.3699999996</v>
      </c>
      <c r="AS40" s="165">
        <f t="shared" si="14"/>
        <v>2.9475380227569792E-2</v>
      </c>
    </row>
    <row r="41" spans="2:45" outlineLevel="1" x14ac:dyDescent="0.35">
      <c r="B41" s="294" t="s">
        <v>100</v>
      </c>
      <c r="C41" s="62" t="s">
        <v>147</v>
      </c>
      <c r="D41" s="184">
        <f t="shared" si="26"/>
        <v>13253.661902221009</v>
      </c>
      <c r="E41" s="184">
        <f t="shared" si="26"/>
        <v>14739.852466880899</v>
      </c>
      <c r="F41" s="167">
        <f t="shared" si="1"/>
        <v>0.11213433507088622</v>
      </c>
      <c r="G41" s="184">
        <f t="shared" si="2"/>
        <v>16320.801670126293</v>
      </c>
      <c r="H41" s="166">
        <f t="shared" si="15"/>
        <v>0.10725678610404296</v>
      </c>
      <c r="I41" s="184">
        <f t="shared" si="3"/>
        <v>14270.599999999999</v>
      </c>
      <c r="J41" s="166">
        <f t="shared" si="16"/>
        <v>-0.12561893169004054</v>
      </c>
      <c r="K41" s="184">
        <f t="shared" si="4"/>
        <v>10663.9</v>
      </c>
      <c r="L41" s="166">
        <f t="shared" si="17"/>
        <v>-0.25273639510602214</v>
      </c>
      <c r="M41" s="164">
        <f t="shared" si="18"/>
        <v>69248.816039228201</v>
      </c>
      <c r="N41" s="165">
        <f t="shared" si="5"/>
        <v>-5.2901728394266212E-2</v>
      </c>
      <c r="P41" s="371">
        <f t="shared" si="27"/>
        <v>612.79</v>
      </c>
      <c r="Q41" s="157">
        <f t="shared" si="27"/>
        <v>19358.54</v>
      </c>
      <c r="R41" s="157">
        <f t="shared" si="27"/>
        <v>19971.330000000002</v>
      </c>
      <c r="S41" s="372">
        <f t="shared" si="7"/>
        <v>0.87279794446684633</v>
      </c>
      <c r="T41" s="173">
        <f t="shared" si="28"/>
        <v>988.59</v>
      </c>
      <c r="U41" s="157">
        <f t="shared" si="28"/>
        <v>1259.45</v>
      </c>
      <c r="V41" s="157">
        <f t="shared" si="28"/>
        <v>2248.04</v>
      </c>
      <c r="W41" s="157">
        <f t="shared" si="28"/>
        <v>19358.54</v>
      </c>
      <c r="X41" s="138">
        <f t="shared" si="19"/>
        <v>21606.58</v>
      </c>
      <c r="Y41" s="167">
        <f t="shared" si="20"/>
        <v>8.1879874800526553E-2</v>
      </c>
      <c r="Z41" s="158">
        <f t="shared" si="29"/>
        <v>1356.44</v>
      </c>
      <c r="AA41" s="157">
        <f t="shared" si="29"/>
        <v>3491.6899999999996</v>
      </c>
      <c r="AB41" s="157">
        <f t="shared" si="29"/>
        <v>4848.13</v>
      </c>
      <c r="AC41" s="157">
        <f t="shared" si="29"/>
        <v>19358.54</v>
      </c>
      <c r="AD41" s="138">
        <f t="shared" si="21"/>
        <v>24206.670000000002</v>
      </c>
      <c r="AE41" s="181">
        <f t="shared" si="10"/>
        <v>0.12033787855366282</v>
      </c>
      <c r="AF41" s="371">
        <f t="shared" si="30"/>
        <v>1301.3000000000002</v>
      </c>
      <c r="AG41" s="157">
        <f t="shared" si="30"/>
        <v>6541.78</v>
      </c>
      <c r="AH41" s="157">
        <f t="shared" si="30"/>
        <v>7843.08</v>
      </c>
      <c r="AI41" s="157">
        <f t="shared" si="30"/>
        <v>19358.54</v>
      </c>
      <c r="AJ41" s="138">
        <f t="shared" si="22"/>
        <v>27201.620000000003</v>
      </c>
      <c r="AK41" s="379">
        <f t="shared" si="12"/>
        <v>0.12372416362928071</v>
      </c>
      <c r="AL41" s="173">
        <f t="shared" si="31"/>
        <v>1734.45</v>
      </c>
      <c r="AM41" s="157">
        <f t="shared" si="31"/>
        <v>9451.06</v>
      </c>
      <c r="AN41" s="157">
        <f t="shared" si="31"/>
        <v>11185.510000000002</v>
      </c>
      <c r="AO41" s="157">
        <f t="shared" si="31"/>
        <v>19358.54</v>
      </c>
      <c r="AP41" s="138">
        <f t="shared" si="23"/>
        <v>30544.050000000003</v>
      </c>
      <c r="AQ41" s="167">
        <f t="shared" si="24"/>
        <v>0.12287613752416217</v>
      </c>
      <c r="AR41" s="164">
        <f t="shared" si="25"/>
        <v>123530.25000000001</v>
      </c>
      <c r="AS41" s="165">
        <f t="shared" si="14"/>
        <v>0.11206432426084723</v>
      </c>
    </row>
    <row r="42" spans="2:45" outlineLevel="1" x14ac:dyDescent="0.35">
      <c r="B42" s="294" t="s">
        <v>101</v>
      </c>
      <c r="C42" s="62" t="s">
        <v>147</v>
      </c>
      <c r="D42" s="184">
        <f t="shared" si="26"/>
        <v>84561.422774136809</v>
      </c>
      <c r="E42" s="184">
        <f t="shared" si="26"/>
        <v>79351.816061553807</v>
      </c>
      <c r="F42" s="167">
        <f t="shared" si="1"/>
        <v>-6.160736824991507E-2</v>
      </c>
      <c r="G42" s="184">
        <f t="shared" si="2"/>
        <v>88183.362207059676</v>
      </c>
      <c r="H42" s="166">
        <f t="shared" si="15"/>
        <v>0.11129608097003314</v>
      </c>
      <c r="I42" s="184">
        <f t="shared" si="3"/>
        <v>85559.799999999988</v>
      </c>
      <c r="J42" s="166">
        <f t="shared" si="16"/>
        <v>-2.9751215437889635E-2</v>
      </c>
      <c r="K42" s="184">
        <f t="shared" si="4"/>
        <v>82404.100000000006</v>
      </c>
      <c r="L42" s="166">
        <f t="shared" si="17"/>
        <v>-3.6882975416024616E-2</v>
      </c>
      <c r="M42" s="164">
        <f t="shared" si="18"/>
        <v>420060.50104275031</v>
      </c>
      <c r="N42" s="165">
        <f t="shared" si="5"/>
        <v>-6.4399177900911209E-3</v>
      </c>
      <c r="P42" s="371">
        <f t="shared" si="27"/>
        <v>2272.4299999999998</v>
      </c>
      <c r="Q42" s="157">
        <f t="shared" si="27"/>
        <v>81623.219999999987</v>
      </c>
      <c r="R42" s="157">
        <f t="shared" si="27"/>
        <v>83895.65</v>
      </c>
      <c r="S42" s="372">
        <f t="shared" si="7"/>
        <v>1.8100434323049319E-2</v>
      </c>
      <c r="T42" s="173">
        <f t="shared" si="28"/>
        <v>21.31</v>
      </c>
      <c r="U42" s="157">
        <f t="shared" si="28"/>
        <v>4066.21</v>
      </c>
      <c r="V42" s="157">
        <f t="shared" si="28"/>
        <v>4087.52</v>
      </c>
      <c r="W42" s="157">
        <f t="shared" si="28"/>
        <v>81623.219999999987</v>
      </c>
      <c r="X42" s="138">
        <f t="shared" si="19"/>
        <v>85710.739999999991</v>
      </c>
      <c r="Y42" s="167">
        <f t="shared" si="20"/>
        <v>2.163509073474008E-2</v>
      </c>
      <c r="Z42" s="158">
        <f t="shared" si="29"/>
        <v>22.59</v>
      </c>
      <c r="AA42" s="157">
        <f t="shared" si="29"/>
        <v>4114.5600000000004</v>
      </c>
      <c r="AB42" s="157">
        <f t="shared" si="29"/>
        <v>4137.1499999999996</v>
      </c>
      <c r="AC42" s="157">
        <f t="shared" si="29"/>
        <v>81623.219999999987</v>
      </c>
      <c r="AD42" s="138">
        <f t="shared" si="21"/>
        <v>85760.369999999981</v>
      </c>
      <c r="AE42" s="181">
        <f t="shared" si="10"/>
        <v>5.7904061964685072E-4</v>
      </c>
      <c r="AF42" s="371">
        <f t="shared" si="30"/>
        <v>19.97</v>
      </c>
      <c r="AG42" s="157">
        <f t="shared" si="30"/>
        <v>4165.54</v>
      </c>
      <c r="AH42" s="157">
        <f t="shared" si="30"/>
        <v>4185.51</v>
      </c>
      <c r="AI42" s="157">
        <f t="shared" si="30"/>
        <v>81623.219999999987</v>
      </c>
      <c r="AJ42" s="138">
        <f t="shared" si="22"/>
        <v>85808.729999999981</v>
      </c>
      <c r="AK42" s="379">
        <f t="shared" si="12"/>
        <v>5.6389682087426389E-4</v>
      </c>
      <c r="AL42" s="173">
        <f t="shared" si="31"/>
        <v>15.93</v>
      </c>
      <c r="AM42" s="157">
        <f t="shared" si="31"/>
        <v>4210.2700000000004</v>
      </c>
      <c r="AN42" s="157">
        <f t="shared" si="31"/>
        <v>4226.2</v>
      </c>
      <c r="AO42" s="157">
        <f t="shared" si="31"/>
        <v>81623.219999999987</v>
      </c>
      <c r="AP42" s="138">
        <f t="shared" si="23"/>
        <v>85849.419999999984</v>
      </c>
      <c r="AQ42" s="167">
        <f t="shared" si="24"/>
        <v>4.741941758140732E-4</v>
      </c>
      <c r="AR42" s="164">
        <f t="shared" si="25"/>
        <v>427024.90999999992</v>
      </c>
      <c r="AS42" s="165">
        <f t="shared" si="14"/>
        <v>5.771860029833098E-3</v>
      </c>
    </row>
    <row r="43" spans="2:45" outlineLevel="1" x14ac:dyDescent="0.35">
      <c r="B43" s="294" t="s">
        <v>102</v>
      </c>
      <c r="C43" s="62" t="s">
        <v>147</v>
      </c>
      <c r="D43" s="184">
        <f t="shared" si="26"/>
        <v>53978.217268281041</v>
      </c>
      <c r="E43" s="184">
        <f t="shared" si="26"/>
        <v>62246.536492505424</v>
      </c>
      <c r="F43" s="167">
        <f t="shared" si="1"/>
        <v>0.15317881254079604</v>
      </c>
      <c r="G43" s="184">
        <f t="shared" si="2"/>
        <v>65502.987462297962</v>
      </c>
      <c r="H43" s="166">
        <f t="shared" si="15"/>
        <v>5.2315376136383429E-2</v>
      </c>
      <c r="I43" s="184">
        <f t="shared" si="3"/>
        <v>57026.799999999996</v>
      </c>
      <c r="J43" s="166">
        <f t="shared" si="16"/>
        <v>-0.1294015401538238</v>
      </c>
      <c r="K43" s="184">
        <f t="shared" si="4"/>
        <v>45318.9</v>
      </c>
      <c r="L43" s="166">
        <f t="shared" si="17"/>
        <v>-0.20530522491179576</v>
      </c>
      <c r="M43" s="164">
        <f t="shared" si="18"/>
        <v>284073.4412230844</v>
      </c>
      <c r="N43" s="165">
        <f t="shared" si="5"/>
        <v>-4.2772414402725611E-2</v>
      </c>
      <c r="P43" s="371">
        <f t="shared" si="27"/>
        <v>955.4</v>
      </c>
      <c r="Q43" s="157">
        <f t="shared" si="27"/>
        <v>82304.509999999995</v>
      </c>
      <c r="R43" s="157">
        <f t="shared" si="27"/>
        <v>83259.91</v>
      </c>
      <c r="S43" s="372">
        <f t="shared" si="7"/>
        <v>0.83720059401265257</v>
      </c>
      <c r="T43" s="173">
        <f t="shared" si="28"/>
        <v>1012.8</v>
      </c>
      <c r="U43" s="157">
        <f t="shared" si="28"/>
        <v>2080.86</v>
      </c>
      <c r="V43" s="157">
        <f t="shared" si="28"/>
        <v>3093.66</v>
      </c>
      <c r="W43" s="157">
        <f t="shared" si="28"/>
        <v>82304.509999999995</v>
      </c>
      <c r="X43" s="138">
        <f t="shared" si="19"/>
        <v>85398.17</v>
      </c>
      <c r="Y43" s="167">
        <f t="shared" si="20"/>
        <v>2.5681747674240755E-2</v>
      </c>
      <c r="Z43" s="158">
        <f t="shared" si="29"/>
        <v>1117.6399999999999</v>
      </c>
      <c r="AA43" s="157">
        <f t="shared" si="29"/>
        <v>4375.7699999999995</v>
      </c>
      <c r="AB43" s="157">
        <f t="shared" si="29"/>
        <v>5493.41</v>
      </c>
      <c r="AC43" s="157">
        <f t="shared" si="29"/>
        <v>82304.509999999995</v>
      </c>
      <c r="AD43" s="138">
        <f t="shared" si="21"/>
        <v>87797.92</v>
      </c>
      <c r="AE43" s="181">
        <f t="shared" si="10"/>
        <v>2.8100719254288472E-2</v>
      </c>
      <c r="AF43" s="371">
        <f t="shared" si="30"/>
        <v>1011.68</v>
      </c>
      <c r="AG43" s="157">
        <f t="shared" si="30"/>
        <v>6895.47</v>
      </c>
      <c r="AH43" s="157">
        <f t="shared" si="30"/>
        <v>7907.15</v>
      </c>
      <c r="AI43" s="157">
        <f t="shared" si="30"/>
        <v>82304.509999999995</v>
      </c>
      <c r="AJ43" s="138">
        <f t="shared" si="22"/>
        <v>90211.659999999989</v>
      </c>
      <c r="AK43" s="379">
        <f t="shared" si="12"/>
        <v>2.7491995254557179E-2</v>
      </c>
      <c r="AL43" s="173">
        <f t="shared" si="31"/>
        <v>775</v>
      </c>
      <c r="AM43" s="157">
        <f t="shared" si="31"/>
        <v>9160.2199999999993</v>
      </c>
      <c r="AN43" s="157">
        <f t="shared" si="31"/>
        <v>9935.2199999999993</v>
      </c>
      <c r="AO43" s="157">
        <f t="shared" si="31"/>
        <v>82304.509999999995</v>
      </c>
      <c r="AP43" s="138">
        <f t="shared" si="23"/>
        <v>92239.73</v>
      </c>
      <c r="AQ43" s="167">
        <f t="shared" si="24"/>
        <v>2.2481240229921578E-2</v>
      </c>
      <c r="AR43" s="164">
        <f t="shared" si="25"/>
        <v>438907.38999999996</v>
      </c>
      <c r="AS43" s="165">
        <f t="shared" si="14"/>
        <v>2.5936595415874564E-2</v>
      </c>
    </row>
    <row r="44" spans="2:45" outlineLevel="1" x14ac:dyDescent="0.35">
      <c r="B44" s="294" t="s">
        <v>103</v>
      </c>
      <c r="C44" s="62" t="s">
        <v>147</v>
      </c>
      <c r="D44" s="184">
        <f t="shared" si="26"/>
        <v>61329.879979619865</v>
      </c>
      <c r="E44" s="184">
        <f t="shared" si="26"/>
        <v>58673.509749400946</v>
      </c>
      <c r="F44" s="167">
        <f t="shared" si="1"/>
        <v>-4.3312822902990197E-2</v>
      </c>
      <c r="G44" s="184">
        <f t="shared" si="2"/>
        <v>65593.271000228371</v>
      </c>
      <c r="H44" s="166">
        <f t="shared" si="15"/>
        <v>0.11793671931988141</v>
      </c>
      <c r="I44" s="184">
        <f t="shared" si="3"/>
        <v>69369.100000000006</v>
      </c>
      <c r="J44" s="166">
        <f t="shared" si="16"/>
        <v>5.7564273624324799E-2</v>
      </c>
      <c r="K44" s="184">
        <f t="shared" si="4"/>
        <v>66853</v>
      </c>
      <c r="L44" s="166">
        <f t="shared" si="17"/>
        <v>-3.6271192793333136E-2</v>
      </c>
      <c r="M44" s="164">
        <f t="shared" si="18"/>
        <v>321818.76072924922</v>
      </c>
      <c r="N44" s="165">
        <f t="shared" si="5"/>
        <v>2.1791290417402687E-2</v>
      </c>
      <c r="P44" s="371">
        <f t="shared" si="27"/>
        <v>0</v>
      </c>
      <c r="Q44" s="157">
        <f t="shared" si="27"/>
        <v>65350.28</v>
      </c>
      <c r="R44" s="157">
        <f t="shared" si="27"/>
        <v>65350.28</v>
      </c>
      <c r="S44" s="372">
        <f t="shared" si="7"/>
        <v>-2.2477974062495343E-2</v>
      </c>
      <c r="T44" s="173">
        <f t="shared" si="28"/>
        <v>0</v>
      </c>
      <c r="U44" s="157">
        <f t="shared" si="28"/>
        <v>0</v>
      </c>
      <c r="V44" s="157">
        <f t="shared" si="28"/>
        <v>0</v>
      </c>
      <c r="W44" s="157">
        <f t="shared" si="28"/>
        <v>65350.28</v>
      </c>
      <c r="X44" s="138">
        <f t="shared" si="19"/>
        <v>65350.28</v>
      </c>
      <c r="Y44" s="167">
        <f t="shared" si="20"/>
        <v>0</v>
      </c>
      <c r="Z44" s="158">
        <f t="shared" si="29"/>
        <v>0</v>
      </c>
      <c r="AA44" s="157">
        <f t="shared" si="29"/>
        <v>0</v>
      </c>
      <c r="AB44" s="157">
        <f t="shared" si="29"/>
        <v>0</v>
      </c>
      <c r="AC44" s="157">
        <f t="shared" si="29"/>
        <v>65350.28</v>
      </c>
      <c r="AD44" s="138">
        <f t="shared" si="21"/>
        <v>65350.28</v>
      </c>
      <c r="AE44" s="181">
        <f t="shared" si="10"/>
        <v>0</v>
      </c>
      <c r="AF44" s="371">
        <f t="shared" si="30"/>
        <v>0</v>
      </c>
      <c r="AG44" s="157">
        <f t="shared" si="30"/>
        <v>0</v>
      </c>
      <c r="AH44" s="157">
        <f t="shared" si="30"/>
        <v>0</v>
      </c>
      <c r="AI44" s="157">
        <f t="shared" si="30"/>
        <v>65350.28</v>
      </c>
      <c r="AJ44" s="138">
        <f t="shared" si="22"/>
        <v>65350.28</v>
      </c>
      <c r="AK44" s="379">
        <f t="shared" si="12"/>
        <v>0</v>
      </c>
      <c r="AL44" s="173">
        <f t="shared" si="31"/>
        <v>0</v>
      </c>
      <c r="AM44" s="157">
        <f t="shared" si="31"/>
        <v>0</v>
      </c>
      <c r="AN44" s="157">
        <f t="shared" si="31"/>
        <v>0</v>
      </c>
      <c r="AO44" s="157">
        <f t="shared" si="31"/>
        <v>65350.28</v>
      </c>
      <c r="AP44" s="138">
        <f t="shared" si="23"/>
        <v>65350.28</v>
      </c>
      <c r="AQ44" s="167">
        <f t="shared" si="24"/>
        <v>0</v>
      </c>
      <c r="AR44" s="164">
        <f t="shared" si="25"/>
        <v>326751.40000000002</v>
      </c>
      <c r="AS44" s="165">
        <f t="shared" si="14"/>
        <v>0</v>
      </c>
    </row>
    <row r="45" spans="2:45" outlineLevel="1" x14ac:dyDescent="0.35">
      <c r="B45" s="294" t="s">
        <v>104</v>
      </c>
      <c r="C45" s="62" t="s">
        <v>147</v>
      </c>
      <c r="D45" s="184">
        <f t="shared" si="26"/>
        <v>27844.500565893959</v>
      </c>
      <c r="E45" s="184">
        <f t="shared" si="26"/>
        <v>26365.3415408088</v>
      </c>
      <c r="F45" s="167">
        <f t="shared" si="1"/>
        <v>-5.3122124477856282E-2</v>
      </c>
      <c r="G45" s="184">
        <f t="shared" si="2"/>
        <v>27109.604253880399</v>
      </c>
      <c r="H45" s="166">
        <f t="shared" si="15"/>
        <v>2.8228828817544977E-2</v>
      </c>
      <c r="I45" s="184">
        <f t="shared" si="3"/>
        <v>31181.3</v>
      </c>
      <c r="J45" s="166">
        <f t="shared" si="16"/>
        <v>0.15019384672636038</v>
      </c>
      <c r="K45" s="184">
        <f t="shared" si="4"/>
        <v>26116.1</v>
      </c>
      <c r="L45" s="166">
        <f t="shared" si="17"/>
        <v>-0.16244351582519012</v>
      </c>
      <c r="M45" s="164">
        <f t="shared" si="18"/>
        <v>138616.84636058315</v>
      </c>
      <c r="N45" s="165">
        <f t="shared" si="5"/>
        <v>-1.5893222962781506E-2</v>
      </c>
      <c r="P45" s="371">
        <f t="shared" si="27"/>
        <v>0</v>
      </c>
      <c r="Q45" s="157">
        <f t="shared" si="27"/>
        <v>26814.34</v>
      </c>
      <c r="R45" s="157">
        <f t="shared" si="27"/>
        <v>26814.34</v>
      </c>
      <c r="S45" s="372">
        <f t="shared" si="7"/>
        <v>2.6735998100788465E-2</v>
      </c>
      <c r="T45" s="173">
        <f t="shared" si="28"/>
        <v>0</v>
      </c>
      <c r="U45" s="157">
        <f t="shared" si="28"/>
        <v>0</v>
      </c>
      <c r="V45" s="157">
        <f t="shared" si="28"/>
        <v>0</v>
      </c>
      <c r="W45" s="157">
        <f t="shared" si="28"/>
        <v>26814.34</v>
      </c>
      <c r="X45" s="138">
        <f t="shared" si="19"/>
        <v>26814.34</v>
      </c>
      <c r="Y45" s="167">
        <f t="shared" si="20"/>
        <v>0</v>
      </c>
      <c r="Z45" s="158">
        <f t="shared" si="29"/>
        <v>0</v>
      </c>
      <c r="AA45" s="157">
        <f t="shared" si="29"/>
        <v>0</v>
      </c>
      <c r="AB45" s="157">
        <f t="shared" si="29"/>
        <v>0</v>
      </c>
      <c r="AC45" s="157">
        <f t="shared" si="29"/>
        <v>26814.34</v>
      </c>
      <c r="AD45" s="138">
        <f t="shared" si="21"/>
        <v>26814.34</v>
      </c>
      <c r="AE45" s="181">
        <f t="shared" si="10"/>
        <v>0</v>
      </c>
      <c r="AF45" s="371">
        <f t="shared" si="30"/>
        <v>238.5</v>
      </c>
      <c r="AG45" s="157">
        <f t="shared" si="30"/>
        <v>0</v>
      </c>
      <c r="AH45" s="157">
        <f t="shared" si="30"/>
        <v>238.5</v>
      </c>
      <c r="AI45" s="157">
        <f t="shared" si="30"/>
        <v>26814.34</v>
      </c>
      <c r="AJ45" s="138">
        <f t="shared" si="22"/>
        <v>27052.84</v>
      </c>
      <c r="AK45" s="379">
        <f t="shared" si="12"/>
        <v>8.894494513010576E-3</v>
      </c>
      <c r="AL45" s="173">
        <f t="shared" si="31"/>
        <v>483.85</v>
      </c>
      <c r="AM45" s="157">
        <f t="shared" si="31"/>
        <v>525.35</v>
      </c>
      <c r="AN45" s="157">
        <f t="shared" si="31"/>
        <v>1009.2</v>
      </c>
      <c r="AO45" s="157">
        <f t="shared" si="31"/>
        <v>26814.34</v>
      </c>
      <c r="AP45" s="138">
        <f t="shared" si="23"/>
        <v>27823.54</v>
      </c>
      <c r="AQ45" s="167">
        <f t="shared" si="24"/>
        <v>2.8488691020979711E-2</v>
      </c>
      <c r="AR45" s="164">
        <f t="shared" si="25"/>
        <v>135319.4</v>
      </c>
      <c r="AS45" s="165">
        <f t="shared" si="14"/>
        <v>9.2791886737197959E-3</v>
      </c>
    </row>
    <row r="46" spans="2:45" outlineLevel="1" x14ac:dyDescent="0.35">
      <c r="B46" s="294" t="s">
        <v>136</v>
      </c>
      <c r="C46" s="62" t="s">
        <v>147</v>
      </c>
      <c r="D46" s="184">
        <f t="shared" si="26"/>
        <v>0</v>
      </c>
      <c r="E46" s="184">
        <f t="shared" si="26"/>
        <v>0</v>
      </c>
      <c r="F46" s="167">
        <f t="shared" si="1"/>
        <v>0</v>
      </c>
      <c r="G46" s="184">
        <f t="shared" si="2"/>
        <v>0</v>
      </c>
      <c r="H46" s="166">
        <f t="shared" si="15"/>
        <v>0</v>
      </c>
      <c r="I46" s="184">
        <f t="shared" si="3"/>
        <v>0</v>
      </c>
      <c r="J46" s="166">
        <f t="shared" si="16"/>
        <v>0</v>
      </c>
      <c r="K46" s="184">
        <f t="shared" si="4"/>
        <v>0</v>
      </c>
      <c r="L46" s="166">
        <f t="shared" si="17"/>
        <v>0</v>
      </c>
      <c r="M46" s="164">
        <f t="shared" si="18"/>
        <v>0</v>
      </c>
      <c r="N46" s="165">
        <f t="shared" si="5"/>
        <v>0</v>
      </c>
      <c r="P46" s="371">
        <f t="shared" si="27"/>
        <v>0</v>
      </c>
      <c r="Q46" s="157">
        <f t="shared" si="27"/>
        <v>0</v>
      </c>
      <c r="R46" s="157">
        <f t="shared" si="27"/>
        <v>0</v>
      </c>
      <c r="S46" s="372">
        <f t="shared" si="7"/>
        <v>0</v>
      </c>
      <c r="T46" s="173">
        <f t="shared" si="28"/>
        <v>0</v>
      </c>
      <c r="U46" s="157">
        <f t="shared" si="28"/>
        <v>0</v>
      </c>
      <c r="V46" s="157">
        <f t="shared" si="28"/>
        <v>0</v>
      </c>
      <c r="W46" s="157">
        <f t="shared" si="28"/>
        <v>0</v>
      </c>
      <c r="X46" s="138">
        <f t="shared" si="19"/>
        <v>0</v>
      </c>
      <c r="Y46" s="167">
        <f t="shared" si="20"/>
        <v>0</v>
      </c>
      <c r="Z46" s="158">
        <f t="shared" si="29"/>
        <v>0</v>
      </c>
      <c r="AA46" s="157">
        <f t="shared" si="29"/>
        <v>0</v>
      </c>
      <c r="AB46" s="157">
        <f t="shared" si="29"/>
        <v>0</v>
      </c>
      <c r="AC46" s="157">
        <f t="shared" si="29"/>
        <v>0</v>
      </c>
      <c r="AD46" s="138">
        <f t="shared" si="21"/>
        <v>0</v>
      </c>
      <c r="AE46" s="181">
        <f t="shared" si="10"/>
        <v>0</v>
      </c>
      <c r="AF46" s="371">
        <f t="shared" si="30"/>
        <v>200.8</v>
      </c>
      <c r="AG46" s="157">
        <f t="shared" si="30"/>
        <v>0</v>
      </c>
      <c r="AH46" s="157">
        <f t="shared" si="30"/>
        <v>200.8</v>
      </c>
      <c r="AI46" s="157">
        <f t="shared" si="30"/>
        <v>0</v>
      </c>
      <c r="AJ46" s="138">
        <f t="shared" si="22"/>
        <v>200.8</v>
      </c>
      <c r="AK46" s="379">
        <f t="shared" si="12"/>
        <v>0</v>
      </c>
      <c r="AL46" s="173">
        <f t="shared" si="31"/>
        <v>347.16</v>
      </c>
      <c r="AM46" s="157">
        <f t="shared" si="31"/>
        <v>440.27000000000004</v>
      </c>
      <c r="AN46" s="157">
        <f t="shared" si="31"/>
        <v>787.43000000000006</v>
      </c>
      <c r="AO46" s="157">
        <f t="shared" si="31"/>
        <v>0</v>
      </c>
      <c r="AP46" s="138">
        <f t="shared" si="23"/>
        <v>787.43000000000006</v>
      </c>
      <c r="AQ46" s="167">
        <f t="shared" si="24"/>
        <v>2.9214641434262951</v>
      </c>
      <c r="AR46" s="164">
        <f t="shared" si="25"/>
        <v>988.23</v>
      </c>
      <c r="AS46" s="165">
        <f t="shared" si="14"/>
        <v>0</v>
      </c>
    </row>
    <row r="47" spans="2:45" outlineLevel="1" x14ac:dyDescent="0.35">
      <c r="B47" s="294" t="s">
        <v>106</v>
      </c>
      <c r="C47" s="62" t="s">
        <v>147</v>
      </c>
      <c r="D47" s="184">
        <f t="shared" si="26"/>
        <v>70971.410008864957</v>
      </c>
      <c r="E47" s="184">
        <f t="shared" si="26"/>
        <v>72811.985219681956</v>
      </c>
      <c r="F47" s="167">
        <f t="shared" si="1"/>
        <v>2.5934037531269199E-2</v>
      </c>
      <c r="G47" s="184">
        <f t="shared" ref="G47:G68" si="32">G110+G172+G234+G308+G370</f>
        <v>78541.806058138958</v>
      </c>
      <c r="H47" s="166">
        <f t="shared" si="15"/>
        <v>7.8693374740016878E-2</v>
      </c>
      <c r="I47" s="184">
        <f t="shared" ref="I47:I68" si="33">I110+I172+I234+I308+I370</f>
        <v>76481.7</v>
      </c>
      <c r="J47" s="166">
        <f t="shared" si="16"/>
        <v>-2.6229420502681209E-2</v>
      </c>
      <c r="K47" s="184">
        <f t="shared" ref="K47:K68" si="34">K110+K172+K234+K308+K370</f>
        <v>69160</v>
      </c>
      <c r="L47" s="166">
        <f t="shared" si="17"/>
        <v>-9.5731397183901473E-2</v>
      </c>
      <c r="M47" s="164">
        <f t="shared" si="18"/>
        <v>367966.9012866859</v>
      </c>
      <c r="N47" s="165">
        <f t="shared" si="5"/>
        <v>-6.4427705754741549E-3</v>
      </c>
      <c r="P47" s="371">
        <f t="shared" si="27"/>
        <v>1572.39</v>
      </c>
      <c r="Q47" s="157">
        <f t="shared" si="27"/>
        <v>82969.81</v>
      </c>
      <c r="R47" s="157">
        <f t="shared" si="27"/>
        <v>84542.200000000012</v>
      </c>
      <c r="S47" s="372">
        <f t="shared" si="7"/>
        <v>0.22241469057258548</v>
      </c>
      <c r="T47" s="173">
        <f t="shared" si="28"/>
        <v>4349.74</v>
      </c>
      <c r="U47" s="157">
        <f t="shared" si="28"/>
        <v>2126.5100000000002</v>
      </c>
      <c r="V47" s="157">
        <f t="shared" si="28"/>
        <v>6476.25</v>
      </c>
      <c r="W47" s="157">
        <f t="shared" si="28"/>
        <v>82969.81</v>
      </c>
      <c r="X47" s="138">
        <f t="shared" si="19"/>
        <v>89446.06</v>
      </c>
      <c r="Y47" s="167">
        <f t="shared" si="20"/>
        <v>5.8004878037240401E-2</v>
      </c>
      <c r="Z47" s="158">
        <f t="shared" si="29"/>
        <v>627.69999999999993</v>
      </c>
      <c r="AA47" s="157">
        <f t="shared" si="29"/>
        <v>7479.54</v>
      </c>
      <c r="AB47" s="157">
        <f t="shared" si="29"/>
        <v>8107.24</v>
      </c>
      <c r="AC47" s="157">
        <f t="shared" si="29"/>
        <v>82969.81</v>
      </c>
      <c r="AD47" s="138">
        <f t="shared" si="21"/>
        <v>91077.05</v>
      </c>
      <c r="AE47" s="181">
        <f t="shared" si="10"/>
        <v>1.823434145673946E-2</v>
      </c>
      <c r="AF47" s="371">
        <f t="shared" si="30"/>
        <v>615.04999999999995</v>
      </c>
      <c r="AG47" s="157">
        <f t="shared" si="30"/>
        <v>8894.51</v>
      </c>
      <c r="AH47" s="157">
        <f t="shared" si="30"/>
        <v>9509.5600000000013</v>
      </c>
      <c r="AI47" s="157">
        <f t="shared" si="30"/>
        <v>82969.81</v>
      </c>
      <c r="AJ47" s="138">
        <f t="shared" si="22"/>
        <v>92479.37</v>
      </c>
      <c r="AK47" s="379">
        <f t="shared" si="12"/>
        <v>1.5397073137524683E-2</v>
      </c>
      <c r="AL47" s="173">
        <f t="shared" si="31"/>
        <v>827.66000000000008</v>
      </c>
      <c r="AM47" s="157">
        <f t="shared" si="31"/>
        <v>10270.73</v>
      </c>
      <c r="AN47" s="157">
        <f t="shared" si="31"/>
        <v>11098.39</v>
      </c>
      <c r="AO47" s="157">
        <f t="shared" si="31"/>
        <v>82969.81</v>
      </c>
      <c r="AP47" s="138">
        <f t="shared" si="23"/>
        <v>94068.2</v>
      </c>
      <c r="AQ47" s="167">
        <f t="shared" si="24"/>
        <v>1.7180372227881761E-2</v>
      </c>
      <c r="AR47" s="164">
        <f t="shared" si="25"/>
        <v>451612.88</v>
      </c>
      <c r="AS47" s="165">
        <f t="shared" si="14"/>
        <v>2.7051738827249983E-2</v>
      </c>
    </row>
    <row r="48" spans="2:45" outlineLevel="1" x14ac:dyDescent="0.35">
      <c r="B48" s="294" t="s">
        <v>107</v>
      </c>
      <c r="C48" s="62" t="s">
        <v>147</v>
      </c>
      <c r="D48" s="184">
        <f t="shared" si="26"/>
        <v>42907.492131270163</v>
      </c>
      <c r="E48" s="184">
        <f t="shared" si="26"/>
        <v>26834.788760819967</v>
      </c>
      <c r="F48" s="167">
        <f t="shared" si="1"/>
        <v>-0.37458967122286591</v>
      </c>
      <c r="G48" s="184">
        <f t="shared" si="32"/>
        <v>27631.059246564018</v>
      </c>
      <c r="H48" s="166">
        <f t="shared" si="15"/>
        <v>2.9673067034037659E-2</v>
      </c>
      <c r="I48" s="184">
        <f t="shared" si="33"/>
        <v>26518.899999999998</v>
      </c>
      <c r="J48" s="166">
        <f t="shared" si="16"/>
        <v>-4.025032976983392E-2</v>
      </c>
      <c r="K48" s="184">
        <f t="shared" si="34"/>
        <v>21207.8</v>
      </c>
      <c r="L48" s="166">
        <f t="shared" si="17"/>
        <v>-0.20027602954873691</v>
      </c>
      <c r="M48" s="164">
        <f t="shared" si="18"/>
        <v>145100.04013865415</v>
      </c>
      <c r="N48" s="165">
        <f t="shared" si="5"/>
        <v>-0.16152402750762207</v>
      </c>
      <c r="P48" s="371">
        <f t="shared" si="27"/>
        <v>644.34</v>
      </c>
      <c r="Q48" s="157">
        <f t="shared" si="27"/>
        <v>32159.87</v>
      </c>
      <c r="R48" s="157">
        <f t="shared" si="27"/>
        <v>32804.21</v>
      </c>
      <c r="S48" s="372">
        <f t="shared" si="7"/>
        <v>0.54679929082695988</v>
      </c>
      <c r="T48" s="173">
        <f t="shared" si="28"/>
        <v>864.67000000000007</v>
      </c>
      <c r="U48" s="157">
        <f t="shared" si="28"/>
        <v>1377.79</v>
      </c>
      <c r="V48" s="157">
        <f t="shared" si="28"/>
        <v>2242.46</v>
      </c>
      <c r="W48" s="157">
        <f t="shared" si="28"/>
        <v>32159.87</v>
      </c>
      <c r="X48" s="138">
        <f t="shared" si="19"/>
        <v>34402.33</v>
      </c>
      <c r="Y48" s="167">
        <f t="shared" si="20"/>
        <v>4.8716917737083219E-2</v>
      </c>
      <c r="Z48" s="158">
        <f t="shared" si="29"/>
        <v>917.24</v>
      </c>
      <c r="AA48" s="157">
        <f t="shared" si="29"/>
        <v>3333.22</v>
      </c>
      <c r="AB48" s="157">
        <f t="shared" si="29"/>
        <v>4250.46</v>
      </c>
      <c r="AC48" s="157">
        <f t="shared" si="29"/>
        <v>32159.87</v>
      </c>
      <c r="AD48" s="138">
        <f t="shared" si="21"/>
        <v>36410.33</v>
      </c>
      <c r="AE48" s="181">
        <f t="shared" si="10"/>
        <v>5.8368139599846866E-2</v>
      </c>
      <c r="AF48" s="371">
        <f t="shared" si="30"/>
        <v>778.57</v>
      </c>
      <c r="AG48" s="157">
        <f t="shared" si="30"/>
        <v>5399.1600000000008</v>
      </c>
      <c r="AH48" s="157">
        <f t="shared" si="30"/>
        <v>6177.73</v>
      </c>
      <c r="AI48" s="157">
        <f t="shared" si="30"/>
        <v>32159.87</v>
      </c>
      <c r="AJ48" s="138">
        <f t="shared" si="22"/>
        <v>38337.599999999999</v>
      </c>
      <c r="AK48" s="379">
        <f t="shared" si="12"/>
        <v>5.2931956398088037E-2</v>
      </c>
      <c r="AL48" s="173">
        <f t="shared" si="31"/>
        <v>607.97</v>
      </c>
      <c r="AM48" s="157">
        <f t="shared" si="31"/>
        <v>7141</v>
      </c>
      <c r="AN48" s="157">
        <f t="shared" si="31"/>
        <v>7748.97</v>
      </c>
      <c r="AO48" s="157">
        <f t="shared" si="31"/>
        <v>32159.87</v>
      </c>
      <c r="AP48" s="138">
        <f t="shared" si="23"/>
        <v>39908.839999999997</v>
      </c>
      <c r="AQ48" s="167">
        <f t="shared" si="24"/>
        <v>4.0984307833562821E-2</v>
      </c>
      <c r="AR48" s="164">
        <f t="shared" si="25"/>
        <v>181863.31</v>
      </c>
      <c r="AS48" s="165">
        <f t="shared" si="14"/>
        <v>5.023111356598986E-2</v>
      </c>
    </row>
    <row r="49" spans="2:45" outlineLevel="1" x14ac:dyDescent="0.35">
      <c r="B49" s="294" t="s">
        <v>108</v>
      </c>
      <c r="C49" s="62" t="s">
        <v>147</v>
      </c>
      <c r="D49" s="184">
        <f t="shared" si="26"/>
        <v>35584.542604830458</v>
      </c>
      <c r="E49" s="184">
        <f t="shared" si="26"/>
        <v>39632.50465298802</v>
      </c>
      <c r="F49" s="167">
        <f t="shared" si="1"/>
        <v>0.11375619164507872</v>
      </c>
      <c r="G49" s="184">
        <f t="shared" si="32"/>
        <v>43078.550567387225</v>
      </c>
      <c r="H49" s="166">
        <f t="shared" si="15"/>
        <v>8.6949990785893883E-2</v>
      </c>
      <c r="I49" s="184">
        <f t="shared" si="33"/>
        <v>38536.9</v>
      </c>
      <c r="J49" s="166">
        <f t="shared" si="16"/>
        <v>-0.10542719073806296</v>
      </c>
      <c r="K49" s="184">
        <f t="shared" si="34"/>
        <v>31724</v>
      </c>
      <c r="L49" s="166">
        <f t="shared" si="17"/>
        <v>-0.17678899963411696</v>
      </c>
      <c r="M49" s="164">
        <f t="shared" si="18"/>
        <v>188556.4978252057</v>
      </c>
      <c r="N49" s="165">
        <f t="shared" si="5"/>
        <v>-2.8301262797620241E-2</v>
      </c>
      <c r="P49" s="371">
        <f t="shared" si="27"/>
        <v>1742.8000000000002</v>
      </c>
      <c r="Q49" s="157">
        <f t="shared" si="27"/>
        <v>67694.320000000007</v>
      </c>
      <c r="R49" s="157">
        <f t="shared" si="27"/>
        <v>69437.119999999995</v>
      </c>
      <c r="S49" s="372">
        <f t="shared" si="7"/>
        <v>1.1887882990795611</v>
      </c>
      <c r="T49" s="173">
        <f t="shared" si="28"/>
        <v>1829.68</v>
      </c>
      <c r="U49" s="157">
        <f t="shared" si="28"/>
        <v>3757.7499999999995</v>
      </c>
      <c r="V49" s="157">
        <f t="shared" si="28"/>
        <v>5587.43</v>
      </c>
      <c r="W49" s="157">
        <f t="shared" si="28"/>
        <v>67694.320000000007</v>
      </c>
      <c r="X49" s="138">
        <f t="shared" si="19"/>
        <v>73281.75</v>
      </c>
      <c r="Y49" s="167">
        <f t="shared" si="20"/>
        <v>5.5368511827679559E-2</v>
      </c>
      <c r="Z49" s="158">
        <f t="shared" si="29"/>
        <v>2874.68</v>
      </c>
      <c r="AA49" s="157">
        <f t="shared" si="29"/>
        <v>7901.49</v>
      </c>
      <c r="AB49" s="157">
        <f t="shared" si="29"/>
        <v>10776.17</v>
      </c>
      <c r="AC49" s="157">
        <f t="shared" si="29"/>
        <v>67694.320000000007</v>
      </c>
      <c r="AD49" s="138">
        <f t="shared" si="21"/>
        <v>78470.490000000005</v>
      </c>
      <c r="AE49" s="181">
        <f t="shared" si="10"/>
        <v>7.0805350581829796E-2</v>
      </c>
      <c r="AF49" s="371">
        <f t="shared" si="30"/>
        <v>3730.3100000000004</v>
      </c>
      <c r="AG49" s="157">
        <f t="shared" si="30"/>
        <v>14379.800000000001</v>
      </c>
      <c r="AH49" s="157">
        <f t="shared" si="30"/>
        <v>18110.11</v>
      </c>
      <c r="AI49" s="157">
        <f t="shared" si="30"/>
        <v>67694.320000000007</v>
      </c>
      <c r="AJ49" s="138">
        <f t="shared" si="22"/>
        <v>85804.430000000008</v>
      </c>
      <c r="AK49" s="379">
        <f t="shared" si="12"/>
        <v>9.346112149930505E-2</v>
      </c>
      <c r="AL49" s="173">
        <f t="shared" si="31"/>
        <v>3407.65</v>
      </c>
      <c r="AM49" s="157">
        <f t="shared" si="31"/>
        <v>22728.31</v>
      </c>
      <c r="AN49" s="157">
        <f t="shared" si="31"/>
        <v>26135.96</v>
      </c>
      <c r="AO49" s="157">
        <f t="shared" si="31"/>
        <v>67694.320000000007</v>
      </c>
      <c r="AP49" s="138">
        <f t="shared" si="23"/>
        <v>93830.28</v>
      </c>
      <c r="AQ49" s="167">
        <f t="shared" si="24"/>
        <v>9.3536545840348692E-2</v>
      </c>
      <c r="AR49" s="164">
        <f t="shared" si="25"/>
        <v>400824.06999999995</v>
      </c>
      <c r="AS49" s="165">
        <f t="shared" si="14"/>
        <v>7.8171451646970258E-2</v>
      </c>
    </row>
    <row r="50" spans="2:45" outlineLevel="1" x14ac:dyDescent="0.35">
      <c r="B50" s="294" t="s">
        <v>109</v>
      </c>
      <c r="C50" s="62" t="s">
        <v>147</v>
      </c>
      <c r="D50" s="184">
        <f t="shared" si="26"/>
        <v>89745.943338553581</v>
      </c>
      <c r="E50" s="184">
        <f t="shared" si="26"/>
        <v>93995.159990867192</v>
      </c>
      <c r="F50" s="167">
        <f t="shared" si="1"/>
        <v>4.7347172409610276E-2</v>
      </c>
      <c r="G50" s="184">
        <f t="shared" si="32"/>
        <v>98960.484846991749</v>
      </c>
      <c r="H50" s="166">
        <f t="shared" si="15"/>
        <v>5.2825324799776925E-2</v>
      </c>
      <c r="I50" s="184">
        <f t="shared" si="33"/>
        <v>94847.2</v>
      </c>
      <c r="J50" s="166">
        <f t="shared" si="16"/>
        <v>-4.1564922133834808E-2</v>
      </c>
      <c r="K50" s="184">
        <f t="shared" si="34"/>
        <v>81767.3</v>
      </c>
      <c r="L50" s="166">
        <f t="shared" si="17"/>
        <v>-0.13790496714715875</v>
      </c>
      <c r="M50" s="164">
        <f t="shared" si="18"/>
        <v>459316.08817641251</v>
      </c>
      <c r="N50" s="165">
        <f t="shared" si="5"/>
        <v>-2.3007549942291039E-2</v>
      </c>
      <c r="P50" s="371">
        <f t="shared" si="27"/>
        <v>2256.85</v>
      </c>
      <c r="Q50" s="157">
        <f t="shared" si="27"/>
        <v>114600.06</v>
      </c>
      <c r="R50" s="157">
        <f t="shared" si="27"/>
        <v>116856.91</v>
      </c>
      <c r="S50" s="372">
        <f t="shared" si="7"/>
        <v>0.42913988843951067</v>
      </c>
      <c r="T50" s="173">
        <f t="shared" si="28"/>
        <v>2392.92</v>
      </c>
      <c r="U50" s="157">
        <f t="shared" si="28"/>
        <v>4925.0399999999991</v>
      </c>
      <c r="V50" s="157">
        <f t="shared" si="28"/>
        <v>7317.9599999999991</v>
      </c>
      <c r="W50" s="157">
        <f t="shared" si="28"/>
        <v>114600.06</v>
      </c>
      <c r="X50" s="138">
        <f t="shared" si="19"/>
        <v>121918.01999999999</v>
      </c>
      <c r="Y50" s="167">
        <f t="shared" si="20"/>
        <v>4.3310318576796063E-2</v>
      </c>
      <c r="Z50" s="158">
        <f t="shared" si="29"/>
        <v>2621.88</v>
      </c>
      <c r="AA50" s="157">
        <f t="shared" si="29"/>
        <v>10348.449999999999</v>
      </c>
      <c r="AB50" s="157">
        <f t="shared" si="29"/>
        <v>12970.33</v>
      </c>
      <c r="AC50" s="157">
        <f t="shared" si="29"/>
        <v>114600.06</v>
      </c>
      <c r="AD50" s="138">
        <f t="shared" si="21"/>
        <v>127570.39</v>
      </c>
      <c r="AE50" s="181">
        <f t="shared" si="10"/>
        <v>4.6362055420519549E-2</v>
      </c>
      <c r="AF50" s="371">
        <f t="shared" si="30"/>
        <v>2336.4700000000003</v>
      </c>
      <c r="AG50" s="157">
        <f t="shared" si="30"/>
        <v>16260.32</v>
      </c>
      <c r="AH50" s="157">
        <f t="shared" si="30"/>
        <v>18596.79</v>
      </c>
      <c r="AI50" s="157">
        <f t="shared" si="30"/>
        <v>114600.06</v>
      </c>
      <c r="AJ50" s="138">
        <f t="shared" si="22"/>
        <v>133196.85</v>
      </c>
      <c r="AK50" s="379">
        <f t="shared" si="12"/>
        <v>4.4104748758704952E-2</v>
      </c>
      <c r="AL50" s="173">
        <f t="shared" si="31"/>
        <v>1864.73</v>
      </c>
      <c r="AM50" s="157">
        <f t="shared" si="31"/>
        <v>21491.86</v>
      </c>
      <c r="AN50" s="157">
        <f t="shared" si="31"/>
        <v>23356.59</v>
      </c>
      <c r="AO50" s="157">
        <f t="shared" si="31"/>
        <v>114600.06</v>
      </c>
      <c r="AP50" s="138">
        <f t="shared" si="23"/>
        <v>137956.65</v>
      </c>
      <c r="AQ50" s="167">
        <f t="shared" si="24"/>
        <v>3.5735079320569428E-2</v>
      </c>
      <c r="AR50" s="164">
        <f t="shared" si="25"/>
        <v>637498.82000000007</v>
      </c>
      <c r="AS50" s="165">
        <f t="shared" si="14"/>
        <v>4.2370376241317453E-2</v>
      </c>
    </row>
    <row r="51" spans="2:45" outlineLevel="1" x14ac:dyDescent="0.35">
      <c r="B51" s="294" t="s">
        <v>110</v>
      </c>
      <c r="C51" s="62" t="s">
        <v>147</v>
      </c>
      <c r="D51" s="184">
        <f t="shared" si="26"/>
        <v>26731.213721005784</v>
      </c>
      <c r="E51" s="184">
        <f t="shared" si="26"/>
        <v>30256.196651239698</v>
      </c>
      <c r="F51" s="167">
        <f t="shared" si="1"/>
        <v>0.13186767226599699</v>
      </c>
      <c r="G51" s="184">
        <f t="shared" si="32"/>
        <v>34946.013169182967</v>
      </c>
      <c r="H51" s="166">
        <f t="shared" si="15"/>
        <v>0.15500350463749091</v>
      </c>
      <c r="I51" s="184">
        <f t="shared" si="33"/>
        <v>36058.600000000006</v>
      </c>
      <c r="J51" s="166">
        <f t="shared" si="16"/>
        <v>3.1837303598287729E-2</v>
      </c>
      <c r="K51" s="184">
        <f t="shared" si="34"/>
        <v>34118.199999999997</v>
      </c>
      <c r="L51" s="166">
        <f t="shared" si="17"/>
        <v>-5.3812405362382576E-2</v>
      </c>
      <c r="M51" s="164">
        <f t="shared" si="18"/>
        <v>162110.22354142845</v>
      </c>
      <c r="N51" s="165">
        <f t="shared" si="5"/>
        <v>6.2898656549214449E-2</v>
      </c>
      <c r="P51" s="371">
        <f t="shared" si="27"/>
        <v>413.76</v>
      </c>
      <c r="Q51" s="157">
        <f t="shared" si="27"/>
        <v>46822.6</v>
      </c>
      <c r="R51" s="157">
        <f t="shared" si="27"/>
        <v>47236.36</v>
      </c>
      <c r="S51" s="372">
        <f t="shared" si="7"/>
        <v>0.38449156168848314</v>
      </c>
      <c r="T51" s="173">
        <f t="shared" si="28"/>
        <v>365.14</v>
      </c>
      <c r="U51" s="157">
        <f t="shared" si="28"/>
        <v>833.42000000000007</v>
      </c>
      <c r="V51" s="157">
        <f t="shared" si="28"/>
        <v>1198.56</v>
      </c>
      <c r="W51" s="157">
        <f t="shared" si="28"/>
        <v>46822.6</v>
      </c>
      <c r="X51" s="138">
        <f t="shared" si="19"/>
        <v>48021.159999999996</v>
      </c>
      <c r="Y51" s="167">
        <f t="shared" si="20"/>
        <v>1.6614319985705835E-2</v>
      </c>
      <c r="Z51" s="158">
        <f t="shared" si="29"/>
        <v>392.83000000000004</v>
      </c>
      <c r="AA51" s="157">
        <f t="shared" si="29"/>
        <v>1656.34</v>
      </c>
      <c r="AB51" s="157">
        <f t="shared" si="29"/>
        <v>2049.17</v>
      </c>
      <c r="AC51" s="157">
        <f t="shared" si="29"/>
        <v>46822.6</v>
      </c>
      <c r="AD51" s="138">
        <f t="shared" si="21"/>
        <v>48871.77</v>
      </c>
      <c r="AE51" s="181">
        <f t="shared" si="10"/>
        <v>1.7713233083082553E-2</v>
      </c>
      <c r="AF51" s="371">
        <f t="shared" si="30"/>
        <v>373.53000000000003</v>
      </c>
      <c r="AG51" s="157">
        <f t="shared" si="30"/>
        <v>2539.5300000000002</v>
      </c>
      <c r="AH51" s="157">
        <f t="shared" si="30"/>
        <v>2913.06</v>
      </c>
      <c r="AI51" s="157">
        <f t="shared" si="30"/>
        <v>46822.6</v>
      </c>
      <c r="AJ51" s="138">
        <f t="shared" si="22"/>
        <v>49735.659999999996</v>
      </c>
      <c r="AK51" s="379">
        <f t="shared" si="12"/>
        <v>1.7676666918345692E-2</v>
      </c>
      <c r="AL51" s="173">
        <f t="shared" si="31"/>
        <v>427.99</v>
      </c>
      <c r="AM51" s="157">
        <f t="shared" si="31"/>
        <v>3374.34</v>
      </c>
      <c r="AN51" s="157">
        <f t="shared" si="31"/>
        <v>3802.33</v>
      </c>
      <c r="AO51" s="157">
        <f t="shared" si="31"/>
        <v>46822.6</v>
      </c>
      <c r="AP51" s="138">
        <f t="shared" si="23"/>
        <v>50624.93</v>
      </c>
      <c r="AQ51" s="167">
        <f t="shared" si="24"/>
        <v>1.7879927601242331E-2</v>
      </c>
      <c r="AR51" s="164">
        <f t="shared" si="25"/>
        <v>244489.87999999998</v>
      </c>
      <c r="AS51" s="165">
        <f t="shared" si="14"/>
        <v>1.7470913742410277E-2</v>
      </c>
    </row>
    <row r="52" spans="2:45" outlineLevel="1" x14ac:dyDescent="0.35">
      <c r="B52" s="294" t="s">
        <v>111</v>
      </c>
      <c r="C52" s="62" t="s">
        <v>147</v>
      </c>
      <c r="D52" s="184">
        <f t="shared" si="26"/>
        <v>23447.573229003861</v>
      </c>
      <c r="E52" s="184">
        <f t="shared" si="26"/>
        <v>20186.1626634739</v>
      </c>
      <c r="F52" s="167">
        <f t="shared" si="1"/>
        <v>-0.13909373621214266</v>
      </c>
      <c r="G52" s="184">
        <f t="shared" si="32"/>
        <v>23739.078842163926</v>
      </c>
      <c r="H52" s="166">
        <f t="shared" si="15"/>
        <v>0.17600750761405948</v>
      </c>
      <c r="I52" s="184">
        <f t="shared" si="33"/>
        <v>24643.5</v>
      </c>
      <c r="J52" s="166">
        <f t="shared" si="16"/>
        <v>3.8098409961455415E-2</v>
      </c>
      <c r="K52" s="184">
        <f t="shared" si="34"/>
        <v>21418.2</v>
      </c>
      <c r="L52" s="166">
        <f t="shared" si="17"/>
        <v>-0.13087832491326309</v>
      </c>
      <c r="M52" s="164">
        <f t="shared" si="18"/>
        <v>113434.51473464169</v>
      </c>
      <c r="N52" s="165">
        <f t="shared" si="5"/>
        <v>-2.2377322439396052E-2</v>
      </c>
      <c r="P52" s="371">
        <f t="shared" si="27"/>
        <v>415.06000000000006</v>
      </c>
      <c r="Q52" s="157">
        <f t="shared" si="27"/>
        <v>30425.88</v>
      </c>
      <c r="R52" s="157">
        <f t="shared" si="27"/>
        <v>30840.940000000002</v>
      </c>
      <c r="S52" s="372">
        <f t="shared" si="7"/>
        <v>0.43994079801290498</v>
      </c>
      <c r="T52" s="173">
        <f t="shared" si="28"/>
        <v>538.14</v>
      </c>
      <c r="U52" s="157">
        <f t="shared" si="28"/>
        <v>887.7700000000001</v>
      </c>
      <c r="V52" s="157">
        <f t="shared" si="28"/>
        <v>1425.91</v>
      </c>
      <c r="W52" s="157">
        <f t="shared" si="28"/>
        <v>30425.88</v>
      </c>
      <c r="X52" s="138">
        <f t="shared" si="19"/>
        <v>31851.79</v>
      </c>
      <c r="Y52" s="167">
        <f t="shared" si="20"/>
        <v>3.2776238337741924E-2</v>
      </c>
      <c r="Z52" s="158">
        <f t="shared" si="29"/>
        <v>796.05</v>
      </c>
      <c r="AA52" s="157">
        <f t="shared" si="29"/>
        <v>2105.21</v>
      </c>
      <c r="AB52" s="157">
        <f t="shared" si="29"/>
        <v>2901.26</v>
      </c>
      <c r="AC52" s="157">
        <f t="shared" si="29"/>
        <v>30425.88</v>
      </c>
      <c r="AD52" s="138">
        <f t="shared" si="21"/>
        <v>33327.14</v>
      </c>
      <c r="AE52" s="181">
        <f t="shared" si="10"/>
        <v>4.6319217852434619E-2</v>
      </c>
      <c r="AF52" s="371">
        <f t="shared" si="30"/>
        <v>749.87</v>
      </c>
      <c r="AG52" s="157">
        <f t="shared" si="30"/>
        <v>3897.52</v>
      </c>
      <c r="AH52" s="157">
        <f t="shared" si="30"/>
        <v>4647.3899999999994</v>
      </c>
      <c r="AI52" s="157">
        <f t="shared" si="30"/>
        <v>30425.88</v>
      </c>
      <c r="AJ52" s="138">
        <f t="shared" si="22"/>
        <v>35073.270000000004</v>
      </c>
      <c r="AK52" s="379">
        <f t="shared" si="12"/>
        <v>5.2393634737334334E-2</v>
      </c>
      <c r="AL52" s="173">
        <f t="shared" si="31"/>
        <v>614.48</v>
      </c>
      <c r="AM52" s="157">
        <f t="shared" si="31"/>
        <v>5574.9400000000005</v>
      </c>
      <c r="AN52" s="157">
        <f t="shared" si="31"/>
        <v>6189.42</v>
      </c>
      <c r="AO52" s="157">
        <f t="shared" si="31"/>
        <v>30425.88</v>
      </c>
      <c r="AP52" s="138">
        <f t="shared" si="23"/>
        <v>36615.300000000003</v>
      </c>
      <c r="AQ52" s="167">
        <f t="shared" si="24"/>
        <v>4.3965960402323444E-2</v>
      </c>
      <c r="AR52" s="164">
        <f t="shared" si="25"/>
        <v>167708.44</v>
      </c>
      <c r="AS52" s="165">
        <f t="shared" si="14"/>
        <v>4.3839549498103203E-2</v>
      </c>
    </row>
    <row r="53" spans="2:45" outlineLevel="1" x14ac:dyDescent="0.35">
      <c r="B53" s="294" t="s">
        <v>112</v>
      </c>
      <c r="C53" s="62" t="s">
        <v>147</v>
      </c>
      <c r="D53" s="184">
        <f t="shared" si="26"/>
        <v>92765.345340901535</v>
      </c>
      <c r="E53" s="184">
        <f t="shared" si="26"/>
        <v>95535.634988685691</v>
      </c>
      <c r="F53" s="167">
        <f t="shared" si="1"/>
        <v>2.9863411143500562E-2</v>
      </c>
      <c r="G53" s="184">
        <f t="shared" si="32"/>
        <v>104204.37578258106</v>
      </c>
      <c r="H53" s="166">
        <f t="shared" si="15"/>
        <v>9.0738296709097194E-2</v>
      </c>
      <c r="I53" s="184">
        <f t="shared" si="33"/>
        <v>119152</v>
      </c>
      <c r="J53" s="166">
        <f t="shared" si="16"/>
        <v>0.1434452642239003</v>
      </c>
      <c r="K53" s="184">
        <f t="shared" si="34"/>
        <v>112334.5</v>
      </c>
      <c r="L53" s="166">
        <f t="shared" si="17"/>
        <v>-5.7216832281455618E-2</v>
      </c>
      <c r="M53" s="164">
        <f t="shared" si="18"/>
        <v>523991.85611216829</v>
      </c>
      <c r="N53" s="165">
        <f t="shared" si="5"/>
        <v>4.9015361015064318E-2</v>
      </c>
      <c r="P53" s="371">
        <f t="shared" si="27"/>
        <v>731.44</v>
      </c>
      <c r="Q53" s="157">
        <f t="shared" si="27"/>
        <v>125439.14</v>
      </c>
      <c r="R53" s="157">
        <f t="shared" si="27"/>
        <v>126170.58</v>
      </c>
      <c r="S53" s="372">
        <f t="shared" si="7"/>
        <v>0.123168572433224</v>
      </c>
      <c r="T53" s="173">
        <f t="shared" si="28"/>
        <v>996.57</v>
      </c>
      <c r="U53" s="157">
        <f t="shared" si="28"/>
        <v>1552.28</v>
      </c>
      <c r="V53" s="157">
        <f t="shared" si="28"/>
        <v>2548.85</v>
      </c>
      <c r="W53" s="157">
        <f t="shared" si="28"/>
        <v>125439.14</v>
      </c>
      <c r="X53" s="138">
        <f t="shared" si="19"/>
        <v>127987.99</v>
      </c>
      <c r="Y53" s="167">
        <f t="shared" si="20"/>
        <v>1.4404388091106527E-2</v>
      </c>
      <c r="Z53" s="158">
        <f t="shared" si="29"/>
        <v>1308.4100000000001</v>
      </c>
      <c r="AA53" s="157">
        <f t="shared" si="29"/>
        <v>3805.9799999999996</v>
      </c>
      <c r="AB53" s="157">
        <f t="shared" si="29"/>
        <v>5114.3900000000003</v>
      </c>
      <c r="AC53" s="157">
        <f t="shared" si="29"/>
        <v>125439.14</v>
      </c>
      <c r="AD53" s="138">
        <f t="shared" si="21"/>
        <v>130553.53</v>
      </c>
      <c r="AE53" s="181">
        <f t="shared" si="10"/>
        <v>2.0045162049970418E-2</v>
      </c>
      <c r="AF53" s="371">
        <f t="shared" si="30"/>
        <v>1288.2900000000002</v>
      </c>
      <c r="AG53" s="157">
        <f t="shared" si="30"/>
        <v>6750.33</v>
      </c>
      <c r="AH53" s="157">
        <f t="shared" si="30"/>
        <v>8038.62</v>
      </c>
      <c r="AI53" s="157">
        <f t="shared" si="30"/>
        <v>125439.14</v>
      </c>
      <c r="AJ53" s="138">
        <f t="shared" si="22"/>
        <v>133477.76000000001</v>
      </c>
      <c r="AK53" s="379">
        <f t="shared" si="12"/>
        <v>2.2398704960333211E-2</v>
      </c>
      <c r="AL53" s="173">
        <f t="shared" si="31"/>
        <v>1345.0800000000002</v>
      </c>
      <c r="AM53" s="157">
        <f t="shared" si="31"/>
        <v>9631.9</v>
      </c>
      <c r="AN53" s="157">
        <f t="shared" si="31"/>
        <v>10976.98</v>
      </c>
      <c r="AO53" s="157">
        <f t="shared" si="31"/>
        <v>125439.14</v>
      </c>
      <c r="AP53" s="138">
        <f t="shared" si="23"/>
        <v>136416.12</v>
      </c>
      <c r="AQ53" s="167">
        <f t="shared" si="24"/>
        <v>2.2013854592705075E-2</v>
      </c>
      <c r="AR53" s="164">
        <f t="shared" si="25"/>
        <v>654605.98</v>
      </c>
      <c r="AS53" s="165">
        <f t="shared" si="14"/>
        <v>1.9710516676909373E-2</v>
      </c>
    </row>
    <row r="54" spans="2:45" outlineLevel="1" x14ac:dyDescent="0.35">
      <c r="B54" s="294" t="s">
        <v>113</v>
      </c>
      <c r="C54" s="62" t="s">
        <v>147</v>
      </c>
      <c r="D54" s="184">
        <f t="shared" si="26"/>
        <v>0</v>
      </c>
      <c r="E54" s="184">
        <f t="shared" si="26"/>
        <v>0</v>
      </c>
      <c r="F54" s="167">
        <f t="shared" si="1"/>
        <v>0</v>
      </c>
      <c r="G54" s="184">
        <f t="shared" si="32"/>
        <v>0</v>
      </c>
      <c r="H54" s="166">
        <f t="shared" si="15"/>
        <v>0</v>
      </c>
      <c r="I54" s="184">
        <f t="shared" si="33"/>
        <v>0</v>
      </c>
      <c r="J54" s="166">
        <f t="shared" si="16"/>
        <v>0</v>
      </c>
      <c r="K54" s="184">
        <f t="shared" si="34"/>
        <v>295.7</v>
      </c>
      <c r="L54" s="166">
        <f t="shared" si="17"/>
        <v>0</v>
      </c>
      <c r="M54" s="164">
        <f t="shared" si="18"/>
        <v>295.7</v>
      </c>
      <c r="N54" s="165">
        <f t="shared" si="5"/>
        <v>0</v>
      </c>
      <c r="P54" s="371">
        <f t="shared" si="27"/>
        <v>0</v>
      </c>
      <c r="Q54" s="157">
        <f t="shared" si="27"/>
        <v>2298.6999999999998</v>
      </c>
      <c r="R54" s="157">
        <f t="shared" si="27"/>
        <v>2298.6999999999998</v>
      </c>
      <c r="S54" s="372">
        <f t="shared" si="7"/>
        <v>6.7737571863375035</v>
      </c>
      <c r="T54" s="173">
        <f t="shared" si="28"/>
        <v>0</v>
      </c>
      <c r="U54" s="157">
        <f t="shared" si="28"/>
        <v>0</v>
      </c>
      <c r="V54" s="157">
        <f t="shared" si="28"/>
        <v>0</v>
      </c>
      <c r="W54" s="157">
        <f t="shared" si="28"/>
        <v>2298.6999999999998</v>
      </c>
      <c r="X54" s="138">
        <f t="shared" si="19"/>
        <v>2298.6999999999998</v>
      </c>
      <c r="Y54" s="167">
        <f t="shared" si="20"/>
        <v>0</v>
      </c>
      <c r="Z54" s="158">
        <f t="shared" si="29"/>
        <v>3573.19</v>
      </c>
      <c r="AA54" s="157">
        <f t="shared" si="29"/>
        <v>0</v>
      </c>
      <c r="AB54" s="157">
        <f t="shared" si="29"/>
        <v>3573.19</v>
      </c>
      <c r="AC54" s="157">
        <f t="shared" si="29"/>
        <v>2298.6999999999998</v>
      </c>
      <c r="AD54" s="138">
        <f t="shared" si="21"/>
        <v>5871.8899999999994</v>
      </c>
      <c r="AE54" s="181">
        <f t="shared" si="10"/>
        <v>1.5544394657850089</v>
      </c>
      <c r="AF54" s="371">
        <f t="shared" si="30"/>
        <v>0</v>
      </c>
      <c r="AG54" s="157">
        <f t="shared" si="30"/>
        <v>4022.73</v>
      </c>
      <c r="AH54" s="157">
        <f t="shared" si="30"/>
        <v>4022.73</v>
      </c>
      <c r="AI54" s="157">
        <f t="shared" si="30"/>
        <v>2298.6999999999998</v>
      </c>
      <c r="AJ54" s="138">
        <f t="shared" si="22"/>
        <v>6321.43</v>
      </c>
      <c r="AK54" s="379">
        <f t="shared" si="12"/>
        <v>7.6557973667763013E-2</v>
      </c>
      <c r="AL54" s="173">
        <f t="shared" si="31"/>
        <v>0</v>
      </c>
      <c r="AM54" s="157">
        <f t="shared" si="31"/>
        <v>4022.73</v>
      </c>
      <c r="AN54" s="157">
        <f t="shared" si="31"/>
        <v>4022.73</v>
      </c>
      <c r="AO54" s="157">
        <f t="shared" si="31"/>
        <v>2298.6999999999998</v>
      </c>
      <c r="AP54" s="138">
        <f t="shared" si="23"/>
        <v>6321.43</v>
      </c>
      <c r="AQ54" s="167">
        <f t="shared" si="24"/>
        <v>0</v>
      </c>
      <c r="AR54" s="164">
        <f t="shared" si="25"/>
        <v>23112.15</v>
      </c>
      <c r="AS54" s="165">
        <f t="shared" si="14"/>
        <v>0.28775504309154298</v>
      </c>
    </row>
    <row r="55" spans="2:45" outlineLevel="1" x14ac:dyDescent="0.35">
      <c r="B55" s="294" t="s">
        <v>114</v>
      </c>
      <c r="C55" s="62" t="s">
        <v>147</v>
      </c>
      <c r="D55" s="184">
        <f t="shared" ref="D55:E68" si="35">D118+D180+D242+D316+D378</f>
        <v>103108.29365234994</v>
      </c>
      <c r="E55" s="184">
        <f t="shared" si="35"/>
        <v>110276.32777306941</v>
      </c>
      <c r="F55" s="167">
        <f t="shared" si="1"/>
        <v>6.9519471875734082E-2</v>
      </c>
      <c r="G55" s="184">
        <f t="shared" si="32"/>
        <v>112262.1943269227</v>
      </c>
      <c r="H55" s="166">
        <f t="shared" si="15"/>
        <v>1.8008094701338646E-2</v>
      </c>
      <c r="I55" s="184">
        <f t="shared" si="33"/>
        <v>109599.6</v>
      </c>
      <c r="J55" s="166">
        <f t="shared" si="16"/>
        <v>-2.3717640144899216E-2</v>
      </c>
      <c r="K55" s="184">
        <f t="shared" si="34"/>
        <v>75983.600000000006</v>
      </c>
      <c r="L55" s="166">
        <f t="shared" si="17"/>
        <v>-0.30671644787024771</v>
      </c>
      <c r="M55" s="164">
        <f t="shared" si="18"/>
        <v>511230.01575234206</v>
      </c>
      <c r="N55" s="165">
        <f t="shared" si="5"/>
        <v>-7.347622802840359E-2</v>
      </c>
      <c r="P55" s="371">
        <f t="shared" ref="P55:R68" si="36">P118+P180+P242+P316+P378</f>
        <v>5275.63</v>
      </c>
      <c r="Q55" s="157">
        <f t="shared" si="36"/>
        <v>109749.24</v>
      </c>
      <c r="R55" s="157">
        <f t="shared" si="36"/>
        <v>115024.87000000001</v>
      </c>
      <c r="S55" s="372">
        <f t="shared" si="7"/>
        <v>0.51381179622971274</v>
      </c>
      <c r="T55" s="173">
        <f t="shared" ref="T55:W68" si="37">T118+T180+T242+T316+T378</f>
        <v>2353.0500000000002</v>
      </c>
      <c r="U55" s="157">
        <f t="shared" si="37"/>
        <v>8860.2799999999988</v>
      </c>
      <c r="V55" s="157">
        <f t="shared" si="37"/>
        <v>11213.33</v>
      </c>
      <c r="W55" s="157">
        <f t="shared" si="37"/>
        <v>109749.24</v>
      </c>
      <c r="X55" s="138">
        <f t="shared" si="19"/>
        <v>120962.57</v>
      </c>
      <c r="Y55" s="167">
        <f t="shared" si="20"/>
        <v>5.1621010308466303E-2</v>
      </c>
      <c r="Z55" s="158">
        <f t="shared" ref="Z55:AC68" si="38">Z118+Z180+Z242+Z316+Z378</f>
        <v>2450.86</v>
      </c>
      <c r="AA55" s="157">
        <f t="shared" si="38"/>
        <v>14538.489999999998</v>
      </c>
      <c r="AB55" s="157">
        <f t="shared" si="38"/>
        <v>16989.349999999999</v>
      </c>
      <c r="AC55" s="157">
        <f t="shared" si="38"/>
        <v>109749.24</v>
      </c>
      <c r="AD55" s="138">
        <f t="shared" si="21"/>
        <v>126738.59</v>
      </c>
      <c r="AE55" s="181">
        <f t="shared" si="10"/>
        <v>4.7750473555579952E-2</v>
      </c>
      <c r="AF55" s="371">
        <f t="shared" ref="AF55:AI68" si="39">AF118+AF180+AF242+AF316+AF378</f>
        <v>2145.4700000000003</v>
      </c>
      <c r="AG55" s="157">
        <f t="shared" si="39"/>
        <v>20065.919999999998</v>
      </c>
      <c r="AH55" s="157">
        <f t="shared" si="39"/>
        <v>22211.389999999996</v>
      </c>
      <c r="AI55" s="157">
        <f t="shared" si="39"/>
        <v>109749.24</v>
      </c>
      <c r="AJ55" s="138">
        <f t="shared" si="22"/>
        <v>131960.63</v>
      </c>
      <c r="AK55" s="379">
        <f t="shared" si="12"/>
        <v>4.1203235731121897E-2</v>
      </c>
      <c r="AL55" s="173">
        <f t="shared" ref="AL55:AO68" si="40">AL118+AL180+AL242+AL316+AL378</f>
        <v>1722.2500000000002</v>
      </c>
      <c r="AM55" s="157">
        <f t="shared" si="40"/>
        <v>24870.41</v>
      </c>
      <c r="AN55" s="157">
        <f t="shared" si="40"/>
        <v>26592.659999999996</v>
      </c>
      <c r="AO55" s="157">
        <f t="shared" si="40"/>
        <v>109749.24</v>
      </c>
      <c r="AP55" s="138">
        <f t="shared" si="23"/>
        <v>136341.9</v>
      </c>
      <c r="AQ55" s="167">
        <f t="shared" si="24"/>
        <v>3.3201341945699937E-2</v>
      </c>
      <c r="AR55" s="164">
        <f t="shared" si="25"/>
        <v>631028.56000000006</v>
      </c>
      <c r="AS55" s="165">
        <f t="shared" si="14"/>
        <v>4.3420578479434147E-2</v>
      </c>
    </row>
    <row r="56" spans="2:45" outlineLevel="1" x14ac:dyDescent="0.35">
      <c r="B56" s="294" t="s">
        <v>115</v>
      </c>
      <c r="C56" s="62" t="s">
        <v>147</v>
      </c>
      <c r="D56" s="184">
        <f t="shared" si="35"/>
        <v>3439.2944161324003</v>
      </c>
      <c r="E56" s="184">
        <f t="shared" si="35"/>
        <v>13191.454885735682</v>
      </c>
      <c r="F56" s="167">
        <f t="shared" si="1"/>
        <v>2.8355119654367673</v>
      </c>
      <c r="G56" s="184">
        <f t="shared" si="32"/>
        <v>23520.007603579368</v>
      </c>
      <c r="H56" s="166">
        <f t="shared" si="15"/>
        <v>0.78297297813694999</v>
      </c>
      <c r="I56" s="184">
        <f t="shared" si="33"/>
        <v>105861.79999999999</v>
      </c>
      <c r="J56" s="166">
        <f t="shared" si="16"/>
        <v>3.5009254156826679</v>
      </c>
      <c r="K56" s="184">
        <f t="shared" si="34"/>
        <v>19134.599999999999</v>
      </c>
      <c r="L56" s="166">
        <f t="shared" si="17"/>
        <v>-0.81924924760395146</v>
      </c>
      <c r="M56" s="164">
        <f t="shared" si="18"/>
        <v>165147.15690544745</v>
      </c>
      <c r="N56" s="165">
        <f t="shared" si="5"/>
        <v>0.53581006111323304</v>
      </c>
      <c r="P56" s="371">
        <f t="shared" si="36"/>
        <v>4444.25</v>
      </c>
      <c r="Q56" s="157">
        <f t="shared" si="36"/>
        <v>32374.42</v>
      </c>
      <c r="R56" s="157">
        <f t="shared" si="36"/>
        <v>36818.670000000006</v>
      </c>
      <c r="S56" s="372">
        <f t="shared" si="7"/>
        <v>0.92419334608510284</v>
      </c>
      <c r="T56" s="173">
        <f t="shared" si="37"/>
        <v>1549.63</v>
      </c>
      <c r="U56" s="157">
        <f t="shared" si="37"/>
        <v>8448.23</v>
      </c>
      <c r="V56" s="157">
        <f t="shared" si="37"/>
        <v>9997.86</v>
      </c>
      <c r="W56" s="157">
        <f t="shared" si="37"/>
        <v>32374.42</v>
      </c>
      <c r="X56" s="138">
        <f t="shared" si="19"/>
        <v>42372.28</v>
      </c>
      <c r="Y56" s="167">
        <f t="shared" si="20"/>
        <v>0.15083679013935028</v>
      </c>
      <c r="Z56" s="158">
        <f t="shared" si="38"/>
        <v>1751.9400000000003</v>
      </c>
      <c r="AA56" s="157">
        <f t="shared" si="38"/>
        <v>11955.27</v>
      </c>
      <c r="AB56" s="157">
        <f t="shared" si="38"/>
        <v>13707.21</v>
      </c>
      <c r="AC56" s="157">
        <f t="shared" si="38"/>
        <v>32374.42</v>
      </c>
      <c r="AD56" s="138">
        <f t="shared" si="21"/>
        <v>46081.63</v>
      </c>
      <c r="AE56" s="181">
        <f t="shared" si="10"/>
        <v>8.7541902394678753E-2</v>
      </c>
      <c r="AF56" s="371">
        <f t="shared" si="39"/>
        <v>1715.3600000000001</v>
      </c>
      <c r="AG56" s="157">
        <f t="shared" si="39"/>
        <v>15902.1</v>
      </c>
      <c r="AH56" s="157">
        <f t="shared" si="39"/>
        <v>17617.46</v>
      </c>
      <c r="AI56" s="157">
        <f t="shared" si="39"/>
        <v>32374.42</v>
      </c>
      <c r="AJ56" s="138">
        <f t="shared" si="22"/>
        <v>49991.88</v>
      </c>
      <c r="AK56" s="379">
        <f t="shared" si="12"/>
        <v>8.4854854309624028E-2</v>
      </c>
      <c r="AL56" s="173">
        <f t="shared" si="40"/>
        <v>1612.9500000000003</v>
      </c>
      <c r="AM56" s="157">
        <f t="shared" si="40"/>
        <v>19741.03</v>
      </c>
      <c r="AN56" s="157">
        <f t="shared" si="40"/>
        <v>21353.98</v>
      </c>
      <c r="AO56" s="157">
        <f t="shared" si="40"/>
        <v>32374.42</v>
      </c>
      <c r="AP56" s="138">
        <f t="shared" si="23"/>
        <v>53728.399999999994</v>
      </c>
      <c r="AQ56" s="167">
        <f t="shared" si="24"/>
        <v>7.4742538188201701E-2</v>
      </c>
      <c r="AR56" s="164">
        <f t="shared" si="25"/>
        <v>228992.86000000002</v>
      </c>
      <c r="AS56" s="165">
        <f t="shared" si="14"/>
        <v>9.9091762255681726E-2</v>
      </c>
    </row>
    <row r="57" spans="2:45" outlineLevel="1" x14ac:dyDescent="0.35">
      <c r="B57" s="294" t="s">
        <v>116</v>
      </c>
      <c r="C57" s="62" t="s">
        <v>147</v>
      </c>
      <c r="D57" s="184">
        <f t="shared" si="35"/>
        <v>120508.18730493392</v>
      </c>
      <c r="E57" s="184">
        <f t="shared" si="35"/>
        <v>136753.03589385925</v>
      </c>
      <c r="F57" s="167">
        <f t="shared" si="1"/>
        <v>0.13480286237995906</v>
      </c>
      <c r="G57" s="184">
        <f t="shared" si="32"/>
        <v>143410.18518457009</v>
      </c>
      <c r="H57" s="166">
        <f t="shared" si="15"/>
        <v>4.8680084118043081E-2</v>
      </c>
      <c r="I57" s="184">
        <f t="shared" si="33"/>
        <v>122626.19999999998</v>
      </c>
      <c r="J57" s="166">
        <f t="shared" si="16"/>
        <v>-0.14492684154769722</v>
      </c>
      <c r="K57" s="184">
        <f t="shared" si="34"/>
        <v>97214</v>
      </c>
      <c r="L57" s="166">
        <f t="shared" si="17"/>
        <v>-0.20723303829034892</v>
      </c>
      <c r="M57" s="164">
        <f t="shared" si="18"/>
        <v>620511.60838336323</v>
      </c>
      <c r="N57" s="165">
        <f t="shared" si="5"/>
        <v>-5.2284322785093096E-2</v>
      </c>
      <c r="P57" s="371">
        <f t="shared" si="36"/>
        <v>2642.86</v>
      </c>
      <c r="Q57" s="157">
        <f t="shared" si="36"/>
        <v>161853.04999999999</v>
      </c>
      <c r="R57" s="157">
        <f t="shared" si="36"/>
        <v>164495.91</v>
      </c>
      <c r="S57" s="372">
        <f t="shared" si="7"/>
        <v>0.69210103483037422</v>
      </c>
      <c r="T57" s="173">
        <f t="shared" si="37"/>
        <v>2756.73</v>
      </c>
      <c r="U57" s="157">
        <f t="shared" si="37"/>
        <v>5746.2999999999993</v>
      </c>
      <c r="V57" s="157">
        <f t="shared" si="37"/>
        <v>8503.0299999999988</v>
      </c>
      <c r="W57" s="157">
        <f t="shared" si="37"/>
        <v>161853.04999999999</v>
      </c>
      <c r="X57" s="138">
        <f t="shared" si="19"/>
        <v>170356.08</v>
      </c>
      <c r="Y57" s="167">
        <f t="shared" si="20"/>
        <v>3.5625019491365977E-2</v>
      </c>
      <c r="Z57" s="158">
        <f t="shared" si="38"/>
        <v>2873.71</v>
      </c>
      <c r="AA57" s="157">
        <f t="shared" si="38"/>
        <v>11993.71</v>
      </c>
      <c r="AB57" s="157">
        <f t="shared" si="38"/>
        <v>14867.42</v>
      </c>
      <c r="AC57" s="157">
        <f t="shared" si="38"/>
        <v>161853.04999999999</v>
      </c>
      <c r="AD57" s="138">
        <f t="shared" si="21"/>
        <v>176720.47</v>
      </c>
      <c r="AE57" s="181">
        <f t="shared" si="10"/>
        <v>3.7359335810028114E-2</v>
      </c>
      <c r="AF57" s="371">
        <f t="shared" si="39"/>
        <v>2522.1400000000003</v>
      </c>
      <c r="AG57" s="157">
        <f t="shared" si="39"/>
        <v>18473.93</v>
      </c>
      <c r="AH57" s="157">
        <f t="shared" si="39"/>
        <v>20996.07</v>
      </c>
      <c r="AI57" s="157">
        <f t="shared" si="39"/>
        <v>161853.04999999999</v>
      </c>
      <c r="AJ57" s="138">
        <f t="shared" si="22"/>
        <v>182849.12</v>
      </c>
      <c r="AK57" s="379">
        <f t="shared" si="12"/>
        <v>3.4679910029664328E-2</v>
      </c>
      <c r="AL57" s="173">
        <f t="shared" si="40"/>
        <v>2028.14</v>
      </c>
      <c r="AM57" s="157">
        <f t="shared" si="40"/>
        <v>24121.38</v>
      </c>
      <c r="AN57" s="157">
        <f t="shared" si="40"/>
        <v>26149.519999999997</v>
      </c>
      <c r="AO57" s="157">
        <f t="shared" si="40"/>
        <v>161853.04999999999</v>
      </c>
      <c r="AP57" s="138">
        <f t="shared" si="23"/>
        <v>188002.56999999998</v>
      </c>
      <c r="AQ57" s="167">
        <f t="shared" si="24"/>
        <v>2.8184166267794904E-2</v>
      </c>
      <c r="AR57" s="164">
        <f t="shared" si="25"/>
        <v>882424.14999999991</v>
      </c>
      <c r="AS57" s="165">
        <f t="shared" si="14"/>
        <v>3.3956268393684486E-2</v>
      </c>
    </row>
    <row r="58" spans="2:45" outlineLevel="1" x14ac:dyDescent="0.35">
      <c r="B58" s="294" t="s">
        <v>117</v>
      </c>
      <c r="C58" s="62" t="s">
        <v>147</v>
      </c>
      <c r="D58" s="184">
        <f t="shared" si="35"/>
        <v>101979.60415014328</v>
      </c>
      <c r="E58" s="184">
        <f t="shared" si="35"/>
        <v>101927.18992111759</v>
      </c>
      <c r="F58" s="167">
        <f t="shared" si="1"/>
        <v>-5.1396776308836349E-4</v>
      </c>
      <c r="G58" s="184">
        <f t="shared" si="32"/>
        <v>109708.92713347288</v>
      </c>
      <c r="H58" s="166">
        <f t="shared" si="15"/>
        <v>7.6346038955627554E-2</v>
      </c>
      <c r="I58" s="184">
        <f t="shared" si="33"/>
        <v>110559.90000000001</v>
      </c>
      <c r="J58" s="166">
        <f t="shared" si="16"/>
        <v>7.7566419503111508E-3</v>
      </c>
      <c r="K58" s="184">
        <f t="shared" si="34"/>
        <v>101347.40000000001</v>
      </c>
      <c r="L58" s="166">
        <f t="shared" si="17"/>
        <v>-8.3325871315006614E-2</v>
      </c>
      <c r="M58" s="164">
        <f t="shared" si="18"/>
        <v>525523.02120473376</v>
      </c>
      <c r="N58" s="165">
        <f t="shared" si="5"/>
        <v>-1.5534459227998232E-3</v>
      </c>
      <c r="P58" s="371">
        <f t="shared" si="36"/>
        <v>2242.04</v>
      </c>
      <c r="Q58" s="157">
        <f t="shared" si="36"/>
        <v>116713.19</v>
      </c>
      <c r="R58" s="157">
        <f t="shared" si="36"/>
        <v>118955.23000000001</v>
      </c>
      <c r="S58" s="372">
        <f t="shared" si="7"/>
        <v>0.17373736277398336</v>
      </c>
      <c r="T58" s="173">
        <f t="shared" si="37"/>
        <v>3705.83</v>
      </c>
      <c r="U58" s="157">
        <f t="shared" si="37"/>
        <v>4732.7299999999996</v>
      </c>
      <c r="V58" s="157">
        <f t="shared" si="37"/>
        <v>8438.56</v>
      </c>
      <c r="W58" s="157">
        <f t="shared" si="37"/>
        <v>116713.19</v>
      </c>
      <c r="X58" s="138">
        <f t="shared" si="19"/>
        <v>125151.75</v>
      </c>
      <c r="Y58" s="167">
        <f t="shared" si="20"/>
        <v>5.2091194308984894E-2</v>
      </c>
      <c r="Z58" s="158">
        <f t="shared" si="38"/>
        <v>3789.3100000000004</v>
      </c>
      <c r="AA58" s="157">
        <f t="shared" si="38"/>
        <v>13350.02</v>
      </c>
      <c r="AB58" s="157">
        <f t="shared" si="38"/>
        <v>17139.330000000002</v>
      </c>
      <c r="AC58" s="157">
        <f t="shared" si="38"/>
        <v>116713.19</v>
      </c>
      <c r="AD58" s="138">
        <f t="shared" si="21"/>
        <v>133852.52000000002</v>
      </c>
      <c r="AE58" s="181">
        <f t="shared" si="10"/>
        <v>6.9521760582652803E-2</v>
      </c>
      <c r="AF58" s="371">
        <f t="shared" si="39"/>
        <v>4238.08</v>
      </c>
      <c r="AG58" s="157">
        <f t="shared" si="39"/>
        <v>22218.54</v>
      </c>
      <c r="AH58" s="157">
        <f t="shared" si="39"/>
        <v>26456.620000000003</v>
      </c>
      <c r="AI58" s="157">
        <f t="shared" si="39"/>
        <v>116713.19</v>
      </c>
      <c r="AJ58" s="138">
        <f t="shared" si="22"/>
        <v>143169.81</v>
      </c>
      <c r="AK58" s="379">
        <f t="shared" si="12"/>
        <v>6.9608625971330065E-2</v>
      </c>
      <c r="AL58" s="173">
        <f t="shared" si="40"/>
        <v>3982.1899999999996</v>
      </c>
      <c r="AM58" s="157">
        <f t="shared" si="40"/>
        <v>31696.329999999998</v>
      </c>
      <c r="AN58" s="157">
        <f t="shared" si="40"/>
        <v>35678.520000000004</v>
      </c>
      <c r="AO58" s="157">
        <f t="shared" si="40"/>
        <v>116713.19</v>
      </c>
      <c r="AP58" s="138">
        <f t="shared" si="23"/>
        <v>152391.71000000002</v>
      </c>
      <c r="AQ58" s="167">
        <f t="shared" si="24"/>
        <v>6.4412322681716372E-2</v>
      </c>
      <c r="AR58" s="164">
        <f t="shared" si="25"/>
        <v>673521.02</v>
      </c>
      <c r="AS58" s="165">
        <f t="shared" si="14"/>
        <v>6.3884423408007152E-2</v>
      </c>
    </row>
    <row r="59" spans="2:45" outlineLevel="1" x14ac:dyDescent="0.35">
      <c r="B59" s="294" t="s">
        <v>118</v>
      </c>
      <c r="C59" s="62" t="s">
        <v>147</v>
      </c>
      <c r="D59" s="184">
        <f t="shared" si="35"/>
        <v>41106.035338297072</v>
      </c>
      <c r="E59" s="184">
        <f t="shared" si="35"/>
        <v>50088.663931724135</v>
      </c>
      <c r="F59" s="167">
        <f t="shared" si="1"/>
        <v>0.21852335112110069</v>
      </c>
      <c r="G59" s="184">
        <f t="shared" si="32"/>
        <v>59850.07075690887</v>
      </c>
      <c r="H59" s="166">
        <f t="shared" si="15"/>
        <v>0.19488255543191388</v>
      </c>
      <c r="I59" s="184">
        <f t="shared" si="33"/>
        <v>53295.6</v>
      </c>
      <c r="J59" s="166">
        <f t="shared" si="16"/>
        <v>-0.10951483722602362</v>
      </c>
      <c r="K59" s="184">
        <f t="shared" si="34"/>
        <v>46880.9</v>
      </c>
      <c r="L59" s="166">
        <f t="shared" si="17"/>
        <v>-0.12036078025202826</v>
      </c>
      <c r="M59" s="164">
        <f t="shared" si="18"/>
        <v>251221.27002693008</v>
      </c>
      <c r="N59" s="165">
        <f t="shared" si="5"/>
        <v>3.340982758188038E-2</v>
      </c>
      <c r="P59" s="371">
        <f t="shared" si="36"/>
        <v>1208.99</v>
      </c>
      <c r="Q59" s="157">
        <f t="shared" si="36"/>
        <v>75980.33</v>
      </c>
      <c r="R59" s="157">
        <f t="shared" si="36"/>
        <v>77189.319999999992</v>
      </c>
      <c r="S59" s="372">
        <f t="shared" si="7"/>
        <v>0.64649825408641881</v>
      </c>
      <c r="T59" s="173">
        <f t="shared" si="37"/>
        <v>1276.73</v>
      </c>
      <c r="U59" s="157">
        <f t="shared" si="37"/>
        <v>2651.72</v>
      </c>
      <c r="V59" s="157">
        <f t="shared" si="37"/>
        <v>3928.45</v>
      </c>
      <c r="W59" s="157">
        <f t="shared" si="37"/>
        <v>75980.33</v>
      </c>
      <c r="X59" s="138">
        <f t="shared" si="19"/>
        <v>79908.78</v>
      </c>
      <c r="Y59" s="167">
        <f t="shared" si="20"/>
        <v>3.5231039734512581E-2</v>
      </c>
      <c r="Z59" s="158">
        <f t="shared" si="38"/>
        <v>1305.1500000000001</v>
      </c>
      <c r="AA59" s="157">
        <f t="shared" si="38"/>
        <v>5543.49</v>
      </c>
      <c r="AB59" s="157">
        <f t="shared" si="38"/>
        <v>6848.64</v>
      </c>
      <c r="AC59" s="157">
        <f t="shared" si="38"/>
        <v>75980.33</v>
      </c>
      <c r="AD59" s="138">
        <f t="shared" si="21"/>
        <v>82828.97</v>
      </c>
      <c r="AE59" s="181">
        <f t="shared" si="10"/>
        <v>3.6544044346566204E-2</v>
      </c>
      <c r="AF59" s="371">
        <f t="shared" si="39"/>
        <v>1153.3399999999999</v>
      </c>
      <c r="AG59" s="157">
        <f t="shared" si="39"/>
        <v>8486.119999999999</v>
      </c>
      <c r="AH59" s="157">
        <f t="shared" si="39"/>
        <v>9639.4599999999991</v>
      </c>
      <c r="AI59" s="157">
        <f t="shared" si="39"/>
        <v>75980.33</v>
      </c>
      <c r="AJ59" s="138">
        <f t="shared" si="22"/>
        <v>85619.790000000008</v>
      </c>
      <c r="AK59" s="379">
        <f t="shared" si="12"/>
        <v>3.3693766806468885E-2</v>
      </c>
      <c r="AL59" s="173">
        <f t="shared" si="40"/>
        <v>1011.13</v>
      </c>
      <c r="AM59" s="157">
        <f t="shared" si="40"/>
        <v>11068.279999999999</v>
      </c>
      <c r="AN59" s="157">
        <f t="shared" si="40"/>
        <v>12079.41</v>
      </c>
      <c r="AO59" s="157">
        <f t="shared" si="40"/>
        <v>75980.33</v>
      </c>
      <c r="AP59" s="138">
        <f t="shared" si="23"/>
        <v>88059.74</v>
      </c>
      <c r="AQ59" s="167">
        <f t="shared" si="24"/>
        <v>2.8497500402652202E-2</v>
      </c>
      <c r="AR59" s="164">
        <f t="shared" si="25"/>
        <v>413606.6</v>
      </c>
      <c r="AS59" s="165">
        <f t="shared" si="14"/>
        <v>3.348706627812037E-2</v>
      </c>
    </row>
    <row r="60" spans="2:45" outlineLevel="1" x14ac:dyDescent="0.35">
      <c r="B60" s="294" t="s">
        <v>119</v>
      </c>
      <c r="C60" s="62" t="s">
        <v>147</v>
      </c>
      <c r="D60" s="184">
        <f t="shared" si="35"/>
        <v>253.67858781112184</v>
      </c>
      <c r="E60" s="184">
        <f t="shared" si="35"/>
        <v>249.0281086967376</v>
      </c>
      <c r="F60" s="167">
        <f t="shared" si="1"/>
        <v>-1.8332170462281139E-2</v>
      </c>
      <c r="G60" s="184">
        <f t="shared" si="32"/>
        <v>754.90918891273805</v>
      </c>
      <c r="H60" s="166">
        <f t="shared" si="15"/>
        <v>2.0314216048279685</v>
      </c>
      <c r="I60" s="184">
        <f t="shared" si="33"/>
        <v>1185.5</v>
      </c>
      <c r="J60" s="166">
        <f t="shared" si="16"/>
        <v>0.57038756106204325</v>
      </c>
      <c r="K60" s="184">
        <f t="shared" si="34"/>
        <v>1550.3</v>
      </c>
      <c r="L60" s="166">
        <f t="shared" si="17"/>
        <v>0.30771826233656679</v>
      </c>
      <c r="M60" s="164">
        <f t="shared" si="18"/>
        <v>3993.4158854205971</v>
      </c>
      <c r="N60" s="165">
        <f t="shared" si="5"/>
        <v>0.57229120072368755</v>
      </c>
      <c r="P60" s="371">
        <f t="shared" si="36"/>
        <v>1341.29</v>
      </c>
      <c r="Q60" s="157">
        <f t="shared" si="36"/>
        <v>737.54</v>
      </c>
      <c r="R60" s="157">
        <f t="shared" si="36"/>
        <v>2078.83</v>
      </c>
      <c r="S60" s="372">
        <f t="shared" si="7"/>
        <v>0.34092111204283043</v>
      </c>
      <c r="T60" s="173">
        <f t="shared" si="37"/>
        <v>0</v>
      </c>
      <c r="U60" s="157">
        <f t="shared" si="37"/>
        <v>1341.29</v>
      </c>
      <c r="V60" s="157">
        <f t="shared" si="37"/>
        <v>1341.29</v>
      </c>
      <c r="W60" s="157">
        <f t="shared" si="37"/>
        <v>737.54</v>
      </c>
      <c r="X60" s="138">
        <f t="shared" si="19"/>
        <v>2078.83</v>
      </c>
      <c r="Y60" s="167">
        <f t="shared" si="20"/>
        <v>0</v>
      </c>
      <c r="Z60" s="158">
        <f t="shared" si="38"/>
        <v>0</v>
      </c>
      <c r="AA60" s="157">
        <f t="shared" si="38"/>
        <v>1341.29</v>
      </c>
      <c r="AB60" s="157">
        <f t="shared" si="38"/>
        <v>1341.29</v>
      </c>
      <c r="AC60" s="157">
        <f t="shared" si="38"/>
        <v>737.54</v>
      </c>
      <c r="AD60" s="138">
        <f t="shared" si="21"/>
        <v>2078.83</v>
      </c>
      <c r="AE60" s="181">
        <f t="shared" si="10"/>
        <v>0</v>
      </c>
      <c r="AF60" s="371">
        <f t="shared" si="39"/>
        <v>0</v>
      </c>
      <c r="AG60" s="157">
        <f t="shared" si="39"/>
        <v>1341.29</v>
      </c>
      <c r="AH60" s="157">
        <f t="shared" si="39"/>
        <v>1341.29</v>
      </c>
      <c r="AI60" s="157">
        <f t="shared" si="39"/>
        <v>737.54</v>
      </c>
      <c r="AJ60" s="138">
        <f t="shared" si="22"/>
        <v>2078.83</v>
      </c>
      <c r="AK60" s="379">
        <f t="shared" si="12"/>
        <v>0</v>
      </c>
      <c r="AL60" s="173">
        <f t="shared" si="40"/>
        <v>0</v>
      </c>
      <c r="AM60" s="157">
        <f t="shared" si="40"/>
        <v>1341.29</v>
      </c>
      <c r="AN60" s="157">
        <f t="shared" si="40"/>
        <v>1341.29</v>
      </c>
      <c r="AO60" s="157">
        <f t="shared" si="40"/>
        <v>737.54</v>
      </c>
      <c r="AP60" s="138">
        <f t="shared" si="23"/>
        <v>2078.83</v>
      </c>
      <c r="AQ60" s="167">
        <f t="shared" si="24"/>
        <v>0</v>
      </c>
      <c r="AR60" s="164">
        <f t="shared" si="25"/>
        <v>10394.15</v>
      </c>
      <c r="AS60" s="165">
        <f t="shared" si="14"/>
        <v>0</v>
      </c>
    </row>
    <row r="61" spans="2:45" outlineLevel="1" x14ac:dyDescent="0.35">
      <c r="B61" s="294" t="s">
        <v>120</v>
      </c>
      <c r="C61" s="62" t="s">
        <v>147</v>
      </c>
      <c r="D61" s="184">
        <f t="shared" si="35"/>
        <v>84653.58528671696</v>
      </c>
      <c r="E61" s="184">
        <f t="shared" si="35"/>
        <v>82594.12094824278</v>
      </c>
      <c r="F61" s="167">
        <f t="shared" si="1"/>
        <v>-2.4328140757404294E-2</v>
      </c>
      <c r="G61" s="184">
        <f t="shared" si="32"/>
        <v>90739.129879337546</v>
      </c>
      <c r="H61" s="166">
        <f t="shared" si="15"/>
        <v>9.8614875218525508E-2</v>
      </c>
      <c r="I61" s="184">
        <f t="shared" si="33"/>
        <v>83292.800000000003</v>
      </c>
      <c r="J61" s="166">
        <f t="shared" si="16"/>
        <v>-8.2063051400641296E-2</v>
      </c>
      <c r="K61" s="184">
        <f t="shared" si="34"/>
        <v>67734.2</v>
      </c>
      <c r="L61" s="166">
        <f t="shared" si="17"/>
        <v>-0.18679405662914447</v>
      </c>
      <c r="M61" s="164">
        <f t="shared" si="18"/>
        <v>409013.83611429727</v>
      </c>
      <c r="N61" s="165">
        <f t="shared" si="5"/>
        <v>-5.4218831779698773E-2</v>
      </c>
      <c r="P61" s="371">
        <f t="shared" si="36"/>
        <v>4695.37</v>
      </c>
      <c r="Q61" s="157">
        <f t="shared" si="36"/>
        <v>99121.94</v>
      </c>
      <c r="R61" s="157">
        <f t="shared" si="36"/>
        <v>103817.31000000001</v>
      </c>
      <c r="S61" s="372">
        <f t="shared" si="7"/>
        <v>0.5327162644572464</v>
      </c>
      <c r="T61" s="173">
        <f t="shared" si="37"/>
        <v>2273.98</v>
      </c>
      <c r="U61" s="157">
        <f t="shared" si="37"/>
        <v>8481.5400000000009</v>
      </c>
      <c r="V61" s="157">
        <f t="shared" si="37"/>
        <v>10755.52</v>
      </c>
      <c r="W61" s="157">
        <f t="shared" si="37"/>
        <v>99121.94</v>
      </c>
      <c r="X61" s="138">
        <f t="shared" si="19"/>
        <v>109877.46</v>
      </c>
      <c r="Y61" s="167">
        <f t="shared" si="20"/>
        <v>5.8373213484340845E-2</v>
      </c>
      <c r="Z61" s="158">
        <f t="shared" si="38"/>
        <v>2619.0099999999998</v>
      </c>
      <c r="AA61" s="157">
        <f t="shared" si="38"/>
        <v>13628.579999999998</v>
      </c>
      <c r="AB61" s="157">
        <f t="shared" si="38"/>
        <v>16247.589999999998</v>
      </c>
      <c r="AC61" s="157">
        <f t="shared" si="38"/>
        <v>99121.94</v>
      </c>
      <c r="AD61" s="138">
        <f t="shared" si="21"/>
        <v>115369.53</v>
      </c>
      <c r="AE61" s="181">
        <f t="shared" si="10"/>
        <v>4.9983590811072551E-2</v>
      </c>
      <c r="AF61" s="371">
        <f t="shared" si="39"/>
        <v>2408.44</v>
      </c>
      <c r="AG61" s="157">
        <f t="shared" si="39"/>
        <v>19527.73</v>
      </c>
      <c r="AH61" s="157">
        <f t="shared" si="39"/>
        <v>21936.170000000002</v>
      </c>
      <c r="AI61" s="157">
        <f t="shared" si="39"/>
        <v>99121.94</v>
      </c>
      <c r="AJ61" s="138">
        <f t="shared" si="22"/>
        <v>121058.11</v>
      </c>
      <c r="AK61" s="379">
        <f t="shared" si="12"/>
        <v>4.930747312570314E-2</v>
      </c>
      <c r="AL61" s="173">
        <f t="shared" si="40"/>
        <v>7256.8799999999992</v>
      </c>
      <c r="AM61" s="157">
        <f t="shared" si="40"/>
        <v>24916.959999999999</v>
      </c>
      <c r="AN61" s="157">
        <f t="shared" si="40"/>
        <v>32173.84</v>
      </c>
      <c r="AO61" s="157">
        <f t="shared" si="40"/>
        <v>99121.94</v>
      </c>
      <c r="AP61" s="138">
        <f t="shared" si="23"/>
        <v>131295.78</v>
      </c>
      <c r="AQ61" s="167">
        <f t="shared" si="24"/>
        <v>8.4568229257833263E-2</v>
      </c>
      <c r="AR61" s="164">
        <f t="shared" si="25"/>
        <v>581418.19000000006</v>
      </c>
      <c r="AS61" s="165">
        <f t="shared" si="14"/>
        <v>6.0462337204995276E-2</v>
      </c>
    </row>
    <row r="62" spans="2:45" outlineLevel="1" x14ac:dyDescent="0.35">
      <c r="B62" s="294" t="s">
        <v>121</v>
      </c>
      <c r="C62" s="62" t="s">
        <v>147</v>
      </c>
      <c r="D62" s="184">
        <f t="shared" si="35"/>
        <v>9268.210320379605</v>
      </c>
      <c r="E62" s="184">
        <f t="shared" si="35"/>
        <v>8336.8112972613217</v>
      </c>
      <c r="F62" s="167">
        <f t="shared" si="1"/>
        <v>-0.10049394553231668</v>
      </c>
      <c r="G62" s="184">
        <f t="shared" si="32"/>
        <v>11123.332682801914</v>
      </c>
      <c r="H62" s="166">
        <f t="shared" si="15"/>
        <v>0.33424306802481868</v>
      </c>
      <c r="I62" s="184">
        <f t="shared" si="33"/>
        <v>11519.399999999998</v>
      </c>
      <c r="J62" s="166">
        <f t="shared" si="16"/>
        <v>3.5606893050178549E-2</v>
      </c>
      <c r="K62" s="184">
        <f t="shared" si="34"/>
        <v>9827.9</v>
      </c>
      <c r="L62" s="166">
        <f t="shared" si="17"/>
        <v>-0.14683924509957103</v>
      </c>
      <c r="M62" s="164">
        <f t="shared" si="18"/>
        <v>50075.654300442846</v>
      </c>
      <c r="N62" s="165">
        <f t="shared" si="5"/>
        <v>1.4766711334432081E-2</v>
      </c>
      <c r="P62" s="371">
        <f t="shared" si="36"/>
        <v>571.20000000000005</v>
      </c>
      <c r="Q62" s="157">
        <f t="shared" si="36"/>
        <v>15998.41</v>
      </c>
      <c r="R62" s="157">
        <f t="shared" si="36"/>
        <v>16569.61</v>
      </c>
      <c r="S62" s="372">
        <f t="shared" si="7"/>
        <v>0.68597665828915655</v>
      </c>
      <c r="T62" s="173">
        <f t="shared" si="37"/>
        <v>777.31999999999994</v>
      </c>
      <c r="U62" s="157">
        <f t="shared" si="37"/>
        <v>1267.43</v>
      </c>
      <c r="V62" s="157">
        <f t="shared" si="37"/>
        <v>2044.75</v>
      </c>
      <c r="W62" s="157">
        <f t="shared" si="37"/>
        <v>15998.41</v>
      </c>
      <c r="X62" s="138">
        <f t="shared" si="19"/>
        <v>18043.16</v>
      </c>
      <c r="Y62" s="167">
        <f t="shared" si="20"/>
        <v>8.8930880087099165E-2</v>
      </c>
      <c r="Z62" s="158">
        <f t="shared" si="38"/>
        <v>1063.3900000000001</v>
      </c>
      <c r="AA62" s="157">
        <f t="shared" si="38"/>
        <v>3028.57</v>
      </c>
      <c r="AB62" s="157">
        <f t="shared" si="38"/>
        <v>4091.96</v>
      </c>
      <c r="AC62" s="157">
        <f t="shared" si="38"/>
        <v>15998.41</v>
      </c>
      <c r="AD62" s="138">
        <f t="shared" si="21"/>
        <v>20090.37</v>
      </c>
      <c r="AE62" s="181">
        <f t="shared" si="10"/>
        <v>0.11346183262798751</v>
      </c>
      <c r="AF62" s="371">
        <f t="shared" si="39"/>
        <v>1071.4199999999998</v>
      </c>
      <c r="AG62" s="157">
        <f t="shared" si="39"/>
        <v>5423.9</v>
      </c>
      <c r="AH62" s="157">
        <f t="shared" si="39"/>
        <v>6495.32</v>
      </c>
      <c r="AI62" s="157">
        <f t="shared" si="39"/>
        <v>15998.41</v>
      </c>
      <c r="AJ62" s="138">
        <f t="shared" si="22"/>
        <v>22493.73</v>
      </c>
      <c r="AK62" s="379">
        <f t="shared" si="12"/>
        <v>0.11962746330704714</v>
      </c>
      <c r="AL62" s="173">
        <f t="shared" si="40"/>
        <v>1229.72</v>
      </c>
      <c r="AM62" s="157">
        <f t="shared" si="40"/>
        <v>7821.4</v>
      </c>
      <c r="AN62" s="157">
        <f t="shared" si="40"/>
        <v>9051.1200000000026</v>
      </c>
      <c r="AO62" s="157">
        <f t="shared" si="40"/>
        <v>15998.41</v>
      </c>
      <c r="AP62" s="138">
        <f t="shared" si="23"/>
        <v>25049.530000000002</v>
      </c>
      <c r="AQ62" s="167">
        <f t="shared" si="24"/>
        <v>0.11362277399079668</v>
      </c>
      <c r="AR62" s="164">
        <f t="shared" si="25"/>
        <v>102246.39999999999</v>
      </c>
      <c r="AS62" s="165">
        <f t="shared" si="14"/>
        <v>0.10884750545137178</v>
      </c>
    </row>
    <row r="63" spans="2:45" outlineLevel="1" x14ac:dyDescent="0.35">
      <c r="B63" s="294" t="s">
        <v>137</v>
      </c>
      <c r="C63" s="62" t="s">
        <v>147</v>
      </c>
      <c r="D63" s="184">
        <f t="shared" si="35"/>
        <v>0</v>
      </c>
      <c r="E63" s="184">
        <f t="shared" si="35"/>
        <v>0</v>
      </c>
      <c r="F63" s="167">
        <f t="shared" si="1"/>
        <v>0</v>
      </c>
      <c r="G63" s="184">
        <f t="shared" si="32"/>
        <v>0</v>
      </c>
      <c r="H63" s="166">
        <f t="shared" si="15"/>
        <v>0</v>
      </c>
      <c r="I63" s="184">
        <f t="shared" si="33"/>
        <v>0</v>
      </c>
      <c r="J63" s="166">
        <f t="shared" si="16"/>
        <v>0</v>
      </c>
      <c r="K63" s="184">
        <f t="shared" si="34"/>
        <v>0</v>
      </c>
      <c r="L63" s="166">
        <f t="shared" si="17"/>
        <v>0</v>
      </c>
      <c r="M63" s="164">
        <f t="shared" si="18"/>
        <v>0</v>
      </c>
      <c r="N63" s="165">
        <f t="shared" si="5"/>
        <v>0</v>
      </c>
      <c r="P63" s="371">
        <f t="shared" si="36"/>
        <v>0</v>
      </c>
      <c r="Q63" s="157">
        <f t="shared" si="36"/>
        <v>0</v>
      </c>
      <c r="R63" s="157">
        <f t="shared" si="36"/>
        <v>0</v>
      </c>
      <c r="S63" s="372">
        <f t="shared" si="7"/>
        <v>0</v>
      </c>
      <c r="T63" s="173">
        <f t="shared" si="37"/>
        <v>0</v>
      </c>
      <c r="U63" s="157">
        <f t="shared" si="37"/>
        <v>0</v>
      </c>
      <c r="V63" s="157">
        <f t="shared" si="37"/>
        <v>0</v>
      </c>
      <c r="W63" s="157">
        <f t="shared" si="37"/>
        <v>0</v>
      </c>
      <c r="X63" s="138">
        <f t="shared" si="19"/>
        <v>0</v>
      </c>
      <c r="Y63" s="167">
        <f t="shared" si="20"/>
        <v>0</v>
      </c>
      <c r="Z63" s="158">
        <f t="shared" si="38"/>
        <v>0</v>
      </c>
      <c r="AA63" s="157">
        <f t="shared" si="38"/>
        <v>0</v>
      </c>
      <c r="AB63" s="157">
        <f t="shared" si="38"/>
        <v>0</v>
      </c>
      <c r="AC63" s="157">
        <f t="shared" si="38"/>
        <v>0</v>
      </c>
      <c r="AD63" s="138">
        <f t="shared" si="21"/>
        <v>0</v>
      </c>
      <c r="AE63" s="181">
        <f t="shared" si="10"/>
        <v>0</v>
      </c>
      <c r="AF63" s="371">
        <f t="shared" si="39"/>
        <v>31.58</v>
      </c>
      <c r="AG63" s="157">
        <f t="shared" si="39"/>
        <v>0</v>
      </c>
      <c r="AH63" s="157">
        <f t="shared" si="39"/>
        <v>31.58</v>
      </c>
      <c r="AI63" s="157">
        <f t="shared" si="39"/>
        <v>0</v>
      </c>
      <c r="AJ63" s="138">
        <f t="shared" si="22"/>
        <v>31.58</v>
      </c>
      <c r="AK63" s="379">
        <f t="shared" si="12"/>
        <v>0</v>
      </c>
      <c r="AL63" s="173">
        <f t="shared" si="40"/>
        <v>64.09</v>
      </c>
      <c r="AM63" s="157">
        <f t="shared" si="40"/>
        <v>70.11</v>
      </c>
      <c r="AN63" s="157">
        <f t="shared" si="40"/>
        <v>134.19999999999999</v>
      </c>
      <c r="AO63" s="157">
        <f t="shared" si="40"/>
        <v>0</v>
      </c>
      <c r="AP63" s="138">
        <f t="shared" si="23"/>
        <v>134.19999999999999</v>
      </c>
      <c r="AQ63" s="167">
        <f t="shared" si="24"/>
        <v>3.2495250158328055</v>
      </c>
      <c r="AR63" s="164">
        <f t="shared" si="25"/>
        <v>165.77999999999997</v>
      </c>
      <c r="AS63" s="165">
        <f t="shared" si="14"/>
        <v>0</v>
      </c>
    </row>
    <row r="64" spans="2:45" outlineLevel="1" x14ac:dyDescent="0.35">
      <c r="B64" s="294" t="s">
        <v>123</v>
      </c>
      <c r="C64" s="62" t="s">
        <v>147</v>
      </c>
      <c r="D64" s="184">
        <f t="shared" si="35"/>
        <v>94286.439936412295</v>
      </c>
      <c r="E64" s="184">
        <f t="shared" si="35"/>
        <v>106089.41041424974</v>
      </c>
      <c r="F64" s="167">
        <f t="shared" si="1"/>
        <v>0.12518205678141506</v>
      </c>
      <c r="G64" s="184">
        <f t="shared" si="32"/>
        <v>113028.15866614805</v>
      </c>
      <c r="H64" s="166">
        <f t="shared" si="15"/>
        <v>6.5404720648408049E-2</v>
      </c>
      <c r="I64" s="184">
        <f t="shared" si="33"/>
        <v>103932.79999999999</v>
      </c>
      <c r="J64" s="166">
        <f t="shared" si="16"/>
        <v>-8.0469847279500337E-2</v>
      </c>
      <c r="K64" s="184">
        <f t="shared" si="34"/>
        <v>83527.900000000009</v>
      </c>
      <c r="L64" s="166">
        <f t="shared" si="17"/>
        <v>-0.19632781951414743</v>
      </c>
      <c r="M64" s="164">
        <f t="shared" si="18"/>
        <v>500864.70901681011</v>
      </c>
      <c r="N64" s="165">
        <f t="shared" si="5"/>
        <v>-2.9835048269539977E-2</v>
      </c>
      <c r="P64" s="371">
        <f t="shared" si="36"/>
        <v>1368.58</v>
      </c>
      <c r="Q64" s="157">
        <f t="shared" si="36"/>
        <v>93016.94</v>
      </c>
      <c r="R64" s="157">
        <f t="shared" si="36"/>
        <v>94385.51999999999</v>
      </c>
      <c r="S64" s="372">
        <f t="shared" si="7"/>
        <v>0.12998794414800299</v>
      </c>
      <c r="T64" s="173">
        <f t="shared" si="37"/>
        <v>1549.5</v>
      </c>
      <c r="U64" s="157">
        <f t="shared" si="37"/>
        <v>3009.74</v>
      </c>
      <c r="V64" s="157">
        <f t="shared" si="37"/>
        <v>4559.24</v>
      </c>
      <c r="W64" s="157">
        <f t="shared" si="37"/>
        <v>93016.94</v>
      </c>
      <c r="X64" s="138">
        <f t="shared" si="19"/>
        <v>97576.180000000008</v>
      </c>
      <c r="Y64" s="167">
        <f t="shared" si="20"/>
        <v>3.3804549680925826E-2</v>
      </c>
      <c r="Z64" s="158">
        <f t="shared" si="38"/>
        <v>1887.15</v>
      </c>
      <c r="AA64" s="157">
        <f t="shared" si="38"/>
        <v>6523.6500000000005</v>
      </c>
      <c r="AB64" s="157">
        <f t="shared" si="38"/>
        <v>8410.7999999999993</v>
      </c>
      <c r="AC64" s="157">
        <f t="shared" si="38"/>
        <v>93016.94</v>
      </c>
      <c r="AD64" s="138">
        <f t="shared" si="21"/>
        <v>101427.74</v>
      </c>
      <c r="AE64" s="181">
        <f t="shared" si="10"/>
        <v>3.9472338433416819E-2</v>
      </c>
      <c r="AF64" s="371">
        <f t="shared" si="39"/>
        <v>1726.15</v>
      </c>
      <c r="AG64" s="157">
        <f t="shared" si="39"/>
        <v>10779.58</v>
      </c>
      <c r="AH64" s="157">
        <f t="shared" si="39"/>
        <v>12505.73</v>
      </c>
      <c r="AI64" s="157">
        <f t="shared" si="39"/>
        <v>93016.94</v>
      </c>
      <c r="AJ64" s="138">
        <f t="shared" si="22"/>
        <v>105522.67</v>
      </c>
      <c r="AK64" s="379">
        <f t="shared" si="12"/>
        <v>4.037288023966612E-2</v>
      </c>
      <c r="AL64" s="173">
        <f t="shared" si="40"/>
        <v>1522.92</v>
      </c>
      <c r="AM64" s="157">
        <f t="shared" si="40"/>
        <v>14644.58</v>
      </c>
      <c r="AN64" s="157">
        <f t="shared" si="40"/>
        <v>16167.5</v>
      </c>
      <c r="AO64" s="157">
        <f t="shared" si="40"/>
        <v>93016.94</v>
      </c>
      <c r="AP64" s="138">
        <f t="shared" si="23"/>
        <v>109184.44</v>
      </c>
      <c r="AQ64" s="167">
        <f t="shared" si="24"/>
        <v>3.4701263718971517E-2</v>
      </c>
      <c r="AR64" s="164">
        <f t="shared" si="25"/>
        <v>508096.55</v>
      </c>
      <c r="AS64" s="165">
        <f t="shared" si="14"/>
        <v>3.7083786184629375E-2</v>
      </c>
    </row>
    <row r="65" spans="2:45" outlineLevel="1" x14ac:dyDescent="0.35">
      <c r="B65" s="294" t="s">
        <v>124</v>
      </c>
      <c r="C65" s="62" t="s">
        <v>147</v>
      </c>
      <c r="D65" s="184">
        <f t="shared" si="35"/>
        <v>3757.7928509160338</v>
      </c>
      <c r="E65" s="184">
        <f t="shared" si="35"/>
        <v>2928.338253199704</v>
      </c>
      <c r="F65" s="167">
        <f t="shared" si="1"/>
        <v>-0.22072919679809769</v>
      </c>
      <c r="G65" s="184">
        <f t="shared" si="32"/>
        <v>3294.1382659360697</v>
      </c>
      <c r="H65" s="166">
        <f t="shared" si="15"/>
        <v>0.12491726744226608</v>
      </c>
      <c r="I65" s="184">
        <f t="shared" si="33"/>
        <v>5378.5999999999995</v>
      </c>
      <c r="J65" s="166">
        <f t="shared" si="16"/>
        <v>0.63277906565697972</v>
      </c>
      <c r="K65" s="184">
        <f t="shared" si="34"/>
        <v>4962.3</v>
      </c>
      <c r="L65" s="166">
        <f t="shared" si="17"/>
        <v>-7.73993232439667E-2</v>
      </c>
      <c r="M65" s="164">
        <f t="shared" si="18"/>
        <v>20321.169370051804</v>
      </c>
      <c r="N65" s="165">
        <f t="shared" si="5"/>
        <v>7.1982128576874471E-2</v>
      </c>
      <c r="P65" s="371">
        <f t="shared" si="36"/>
        <v>100.75</v>
      </c>
      <c r="Q65" s="157">
        <f t="shared" si="36"/>
        <v>5504.8700000000008</v>
      </c>
      <c r="R65" s="157">
        <f t="shared" si="36"/>
        <v>5605.6200000000008</v>
      </c>
      <c r="S65" s="372">
        <f t="shared" si="7"/>
        <v>0.12964149688652452</v>
      </c>
      <c r="T65" s="173">
        <f t="shared" si="37"/>
        <v>56.09</v>
      </c>
      <c r="U65" s="157">
        <f t="shared" si="37"/>
        <v>190.36</v>
      </c>
      <c r="V65" s="157">
        <f t="shared" si="37"/>
        <v>246.45000000000002</v>
      </c>
      <c r="W65" s="157">
        <f t="shared" si="37"/>
        <v>5504.8700000000008</v>
      </c>
      <c r="X65" s="138">
        <f t="shared" si="19"/>
        <v>5751.3200000000006</v>
      </c>
      <c r="Y65" s="167">
        <f t="shared" si="20"/>
        <v>2.5991772542555469E-2</v>
      </c>
      <c r="Z65" s="158">
        <f t="shared" si="38"/>
        <v>57.6</v>
      </c>
      <c r="AA65" s="157">
        <f t="shared" si="38"/>
        <v>316.23</v>
      </c>
      <c r="AB65" s="157">
        <f t="shared" si="38"/>
        <v>373.83000000000004</v>
      </c>
      <c r="AC65" s="157">
        <f t="shared" si="38"/>
        <v>5504.8700000000008</v>
      </c>
      <c r="AD65" s="138">
        <f t="shared" si="21"/>
        <v>5878.7000000000007</v>
      </c>
      <c r="AE65" s="181">
        <f t="shared" si="10"/>
        <v>2.2147959077220551E-2</v>
      </c>
      <c r="AF65" s="371">
        <f t="shared" si="39"/>
        <v>54.61</v>
      </c>
      <c r="AG65" s="157">
        <f t="shared" si="39"/>
        <v>445.12</v>
      </c>
      <c r="AH65" s="157">
        <f t="shared" si="39"/>
        <v>499.73</v>
      </c>
      <c r="AI65" s="157">
        <f t="shared" si="39"/>
        <v>5504.8700000000008</v>
      </c>
      <c r="AJ65" s="138">
        <f t="shared" si="22"/>
        <v>6004.6</v>
      </c>
      <c r="AK65" s="379">
        <f t="shared" si="12"/>
        <v>2.14162995220031E-2</v>
      </c>
      <c r="AL65" s="173">
        <f t="shared" si="40"/>
        <v>49.97</v>
      </c>
      <c r="AM65" s="157">
        <f t="shared" si="40"/>
        <v>566.82000000000005</v>
      </c>
      <c r="AN65" s="157">
        <f t="shared" si="40"/>
        <v>616.79000000000008</v>
      </c>
      <c r="AO65" s="157">
        <f t="shared" si="40"/>
        <v>5504.8700000000008</v>
      </c>
      <c r="AP65" s="138">
        <f t="shared" si="23"/>
        <v>6121.6600000000008</v>
      </c>
      <c r="AQ65" s="167">
        <f t="shared" si="24"/>
        <v>1.9495053792092796E-2</v>
      </c>
      <c r="AR65" s="164">
        <f t="shared" si="25"/>
        <v>29361.900000000005</v>
      </c>
      <c r="AS65" s="165">
        <f t="shared" si="14"/>
        <v>2.2260047385789239E-2</v>
      </c>
    </row>
    <row r="66" spans="2:45" outlineLevel="1" x14ac:dyDescent="0.35">
      <c r="B66" s="294" t="s">
        <v>125</v>
      </c>
      <c r="C66" s="64" t="s">
        <v>147</v>
      </c>
      <c r="D66" s="184">
        <f t="shared" si="35"/>
        <v>45216.817385274036</v>
      </c>
      <c r="E66" s="184">
        <f t="shared" si="35"/>
        <v>45129.108836193205</v>
      </c>
      <c r="F66" s="167">
        <f t="shared" si="1"/>
        <v>-1.9397329169256333E-3</v>
      </c>
      <c r="G66" s="184">
        <f t="shared" si="32"/>
        <v>47456.753184341345</v>
      </c>
      <c r="H66" s="166">
        <f t="shared" si="15"/>
        <v>5.1577449858291616E-2</v>
      </c>
      <c r="I66" s="184">
        <f t="shared" si="33"/>
        <v>46148.200000000004</v>
      </c>
      <c r="J66" s="166">
        <f t="shared" si="16"/>
        <v>-2.757359272469374E-2</v>
      </c>
      <c r="K66" s="184">
        <f t="shared" si="34"/>
        <v>43543.5</v>
      </c>
      <c r="L66" s="166">
        <f t="shared" si="17"/>
        <v>-5.6442071413402996E-2</v>
      </c>
      <c r="M66" s="164">
        <f t="shared" si="18"/>
        <v>227494.37940580858</v>
      </c>
      <c r="N66" s="165">
        <f t="shared" si="5"/>
        <v>-9.3828649346685555E-3</v>
      </c>
      <c r="P66" s="371">
        <f t="shared" si="36"/>
        <v>463.35</v>
      </c>
      <c r="Q66" s="157">
        <f t="shared" si="36"/>
        <v>50222.36</v>
      </c>
      <c r="R66" s="157">
        <f t="shared" si="36"/>
        <v>50685.71</v>
      </c>
      <c r="S66" s="372">
        <f t="shared" si="7"/>
        <v>0.16402471092126261</v>
      </c>
      <c r="T66" s="173">
        <f t="shared" si="37"/>
        <v>484.9</v>
      </c>
      <c r="U66" s="157">
        <f t="shared" si="37"/>
        <v>977.33</v>
      </c>
      <c r="V66" s="157">
        <f t="shared" si="37"/>
        <v>1462.23</v>
      </c>
      <c r="W66" s="157">
        <f t="shared" si="37"/>
        <v>50222.36</v>
      </c>
      <c r="X66" s="138">
        <f t="shared" si="19"/>
        <v>51684.590000000004</v>
      </c>
      <c r="Y66" s="167">
        <f t="shared" si="20"/>
        <v>1.970732973850035E-2</v>
      </c>
      <c r="Z66" s="158">
        <f t="shared" si="38"/>
        <v>487.03000000000003</v>
      </c>
      <c r="AA66" s="157">
        <f t="shared" si="38"/>
        <v>2073.0099999999998</v>
      </c>
      <c r="AB66" s="157">
        <f t="shared" si="38"/>
        <v>2560.04</v>
      </c>
      <c r="AC66" s="157">
        <f t="shared" si="38"/>
        <v>50222.36</v>
      </c>
      <c r="AD66" s="138">
        <f t="shared" si="21"/>
        <v>52782.400000000001</v>
      </c>
      <c r="AE66" s="181">
        <f t="shared" si="10"/>
        <v>2.1240567062638934E-2</v>
      </c>
      <c r="AF66" s="371">
        <f t="shared" si="39"/>
        <v>448.67999999999995</v>
      </c>
      <c r="AG66" s="157">
        <f t="shared" si="39"/>
        <v>3169.63</v>
      </c>
      <c r="AH66" s="157">
        <f t="shared" si="39"/>
        <v>3618.31</v>
      </c>
      <c r="AI66" s="157">
        <f t="shared" si="39"/>
        <v>50222.36</v>
      </c>
      <c r="AJ66" s="138">
        <f t="shared" si="22"/>
        <v>53840.67</v>
      </c>
      <c r="AK66" s="379">
        <f t="shared" si="12"/>
        <v>2.0049675649458851E-2</v>
      </c>
      <c r="AL66" s="173">
        <f t="shared" si="40"/>
        <v>339.17</v>
      </c>
      <c r="AM66" s="157">
        <f t="shared" si="40"/>
        <v>4173.28</v>
      </c>
      <c r="AN66" s="157">
        <f t="shared" si="40"/>
        <v>4512.45</v>
      </c>
      <c r="AO66" s="157">
        <f t="shared" si="40"/>
        <v>50222.36</v>
      </c>
      <c r="AP66" s="138">
        <f t="shared" si="23"/>
        <v>54734.81</v>
      </c>
      <c r="AQ66" s="167">
        <f t="shared" si="24"/>
        <v>1.6607148462305529E-2</v>
      </c>
      <c r="AR66" s="164">
        <f t="shared" si="25"/>
        <v>263728.18</v>
      </c>
      <c r="AS66" s="165">
        <f t="shared" si="14"/>
        <v>1.9399743814409787E-2</v>
      </c>
    </row>
    <row r="67" spans="2:45" ht="15" customHeight="1" outlineLevel="1" x14ac:dyDescent="0.35">
      <c r="B67" s="48" t="s">
        <v>126</v>
      </c>
      <c r="C67" s="53" t="s">
        <v>147</v>
      </c>
      <c r="D67" s="184">
        <f t="shared" si="35"/>
        <v>86854.224929075877</v>
      </c>
      <c r="E67" s="184">
        <f t="shared" si="35"/>
        <v>96941.535405278672</v>
      </c>
      <c r="F67" s="167">
        <f t="shared" si="1"/>
        <v>0.11614069994223046</v>
      </c>
      <c r="G67" s="184">
        <f t="shared" si="32"/>
        <v>107988.06262993273</v>
      </c>
      <c r="H67" s="166">
        <f t="shared" si="15"/>
        <v>0.11395040504023778</v>
      </c>
      <c r="I67" s="184">
        <f t="shared" si="33"/>
        <v>109273.7</v>
      </c>
      <c r="J67" s="166">
        <f t="shared" si="16"/>
        <v>1.1905365637246928E-2</v>
      </c>
      <c r="K67" s="184">
        <f t="shared" si="34"/>
        <v>87657.2</v>
      </c>
      <c r="L67" s="166">
        <f t="shared" si="17"/>
        <v>-0.19781978646279938</v>
      </c>
      <c r="M67" s="164">
        <f t="shared" si="18"/>
        <v>488714.72296428727</v>
      </c>
      <c r="N67" s="165">
        <f t="shared" si="5"/>
        <v>2.303302311636779E-3</v>
      </c>
      <c r="O67" s="18"/>
      <c r="P67" s="371">
        <f t="shared" si="36"/>
        <v>3387.9599999999996</v>
      </c>
      <c r="Q67" s="157">
        <f t="shared" si="36"/>
        <v>139617.64000000001</v>
      </c>
      <c r="R67" s="157">
        <f t="shared" si="36"/>
        <v>143005.6</v>
      </c>
      <c r="S67" s="372">
        <f t="shared" si="7"/>
        <v>0.63141875396430658</v>
      </c>
      <c r="T67" s="173">
        <f t="shared" si="37"/>
        <v>3913.1600000000003</v>
      </c>
      <c r="U67" s="157">
        <f t="shared" si="37"/>
        <v>7365.8</v>
      </c>
      <c r="V67" s="157">
        <f t="shared" si="37"/>
        <v>11278.960000000001</v>
      </c>
      <c r="W67" s="157">
        <f t="shared" si="37"/>
        <v>139617.64000000001</v>
      </c>
      <c r="X67" s="138">
        <f t="shared" si="19"/>
        <v>150896.6</v>
      </c>
      <c r="Y67" s="167">
        <f t="shared" si="20"/>
        <v>5.5179657300133696E-2</v>
      </c>
      <c r="Z67" s="158">
        <f t="shared" si="38"/>
        <v>4265.5600000000004</v>
      </c>
      <c r="AA67" s="157">
        <f t="shared" si="38"/>
        <v>16230.259999999998</v>
      </c>
      <c r="AB67" s="157">
        <f t="shared" si="38"/>
        <v>20495.820000000003</v>
      </c>
      <c r="AC67" s="157">
        <f t="shared" si="38"/>
        <v>139617.64000000001</v>
      </c>
      <c r="AD67" s="138">
        <f t="shared" si="21"/>
        <v>160113.46000000002</v>
      </c>
      <c r="AE67" s="181">
        <f t="shared" si="10"/>
        <v>6.108063402356325E-2</v>
      </c>
      <c r="AF67" s="371">
        <f t="shared" si="39"/>
        <v>3653.31</v>
      </c>
      <c r="AG67" s="157">
        <f t="shared" si="39"/>
        <v>25844.94</v>
      </c>
      <c r="AH67" s="157">
        <f t="shared" si="39"/>
        <v>29498.249999999996</v>
      </c>
      <c r="AI67" s="157">
        <f t="shared" si="39"/>
        <v>139617.64000000001</v>
      </c>
      <c r="AJ67" s="138">
        <f t="shared" si="22"/>
        <v>169115.89</v>
      </c>
      <c r="AK67" s="379">
        <f t="shared" si="12"/>
        <v>5.6225316722279262E-2</v>
      </c>
      <c r="AL67" s="173">
        <f t="shared" si="40"/>
        <v>3230.61</v>
      </c>
      <c r="AM67" s="157">
        <f t="shared" si="40"/>
        <v>34023.89</v>
      </c>
      <c r="AN67" s="157">
        <f t="shared" si="40"/>
        <v>37254.500000000007</v>
      </c>
      <c r="AO67" s="157">
        <f t="shared" si="40"/>
        <v>139617.64000000001</v>
      </c>
      <c r="AP67" s="138">
        <f t="shared" si="23"/>
        <v>176872.14</v>
      </c>
      <c r="AQ67" s="167">
        <f t="shared" si="24"/>
        <v>4.5863519980292797E-2</v>
      </c>
      <c r="AR67" s="164">
        <f t="shared" si="25"/>
        <v>800003.69000000006</v>
      </c>
      <c r="AS67" s="165">
        <f t="shared" si="14"/>
        <v>5.4572874946976047E-2</v>
      </c>
    </row>
    <row r="68" spans="2:45" ht="15" customHeight="1" outlineLevel="1" x14ac:dyDescent="0.35">
      <c r="B68" s="48" t="s">
        <v>127</v>
      </c>
      <c r="C68" s="53" t="s">
        <v>147</v>
      </c>
      <c r="D68" s="184">
        <f t="shared" si="35"/>
        <v>129.66999999999999</v>
      </c>
      <c r="E68" s="184">
        <f t="shared" si="35"/>
        <v>139.93299999999999</v>
      </c>
      <c r="F68" s="167">
        <f t="shared" si="1"/>
        <v>7.9147065628133006E-2</v>
      </c>
      <c r="G68" s="184">
        <f t="shared" si="32"/>
        <v>187.50700000000001</v>
      </c>
      <c r="H68" s="166">
        <f t="shared" si="15"/>
        <v>0.33997698898758705</v>
      </c>
      <c r="I68" s="184">
        <f t="shared" si="33"/>
        <v>129.19999999999999</v>
      </c>
      <c r="J68" s="166">
        <f t="shared" si="16"/>
        <v>-0.31095905752851899</v>
      </c>
      <c r="K68" s="184">
        <f t="shared" si="34"/>
        <v>148.30000000000001</v>
      </c>
      <c r="L68" s="166">
        <f t="shared" si="17"/>
        <v>0.14783281733746148</v>
      </c>
      <c r="M68" s="164">
        <f t="shared" si="18"/>
        <v>734.6099999999999</v>
      </c>
      <c r="N68" s="165">
        <f t="shared" si="5"/>
        <v>3.4130649820415027E-2</v>
      </c>
      <c r="O68" s="18"/>
      <c r="P68" s="371">
        <f t="shared" si="36"/>
        <v>5096.26</v>
      </c>
      <c r="Q68" s="157">
        <f t="shared" si="36"/>
        <v>146.54</v>
      </c>
      <c r="R68" s="157">
        <f t="shared" si="36"/>
        <v>5242.8</v>
      </c>
      <c r="S68" s="372">
        <f t="shared" si="7"/>
        <v>34.352663519892111</v>
      </c>
      <c r="T68" s="173">
        <f t="shared" si="37"/>
        <v>0</v>
      </c>
      <c r="U68" s="157">
        <f t="shared" si="37"/>
        <v>9194.7999999999993</v>
      </c>
      <c r="V68" s="157">
        <f t="shared" si="37"/>
        <v>9194.7999999999993</v>
      </c>
      <c r="W68" s="157">
        <f t="shared" si="37"/>
        <v>146.54</v>
      </c>
      <c r="X68" s="138">
        <f t="shared" si="19"/>
        <v>9341.34</v>
      </c>
      <c r="Y68" s="167">
        <f t="shared" si="20"/>
        <v>0.7817463950560769</v>
      </c>
      <c r="Z68" s="158">
        <f t="shared" si="38"/>
        <v>0</v>
      </c>
      <c r="AA68" s="157">
        <f t="shared" si="38"/>
        <v>9194.7999999999993</v>
      </c>
      <c r="AB68" s="157">
        <f t="shared" si="38"/>
        <v>9194.7999999999993</v>
      </c>
      <c r="AC68" s="157">
        <f t="shared" si="38"/>
        <v>146.54</v>
      </c>
      <c r="AD68" s="138">
        <f t="shared" si="21"/>
        <v>9341.34</v>
      </c>
      <c r="AE68" s="181">
        <f t="shared" si="10"/>
        <v>0</v>
      </c>
      <c r="AF68" s="371">
        <f t="shared" si="39"/>
        <v>0</v>
      </c>
      <c r="AG68" s="157">
        <f t="shared" si="39"/>
        <v>9194.7999999999993</v>
      </c>
      <c r="AH68" s="157">
        <f t="shared" si="39"/>
        <v>9194.7999999999993</v>
      </c>
      <c r="AI68" s="157">
        <f t="shared" si="39"/>
        <v>146.54</v>
      </c>
      <c r="AJ68" s="138">
        <f t="shared" si="22"/>
        <v>9341.34</v>
      </c>
      <c r="AK68" s="379">
        <f t="shared" si="12"/>
        <v>0</v>
      </c>
      <c r="AL68" s="173">
        <f t="shared" si="40"/>
        <v>0</v>
      </c>
      <c r="AM68" s="157">
        <f t="shared" si="40"/>
        <v>9194.7999999999993</v>
      </c>
      <c r="AN68" s="157">
        <f t="shared" si="40"/>
        <v>9194.7999999999993</v>
      </c>
      <c r="AO68" s="157">
        <f t="shared" si="40"/>
        <v>146.54</v>
      </c>
      <c r="AP68" s="138">
        <f t="shared" si="23"/>
        <v>9341.34</v>
      </c>
      <c r="AQ68" s="167">
        <f t="shared" si="24"/>
        <v>0</v>
      </c>
      <c r="AR68" s="164">
        <f t="shared" si="25"/>
        <v>42608.160000000003</v>
      </c>
      <c r="AS68" s="165">
        <f t="shared" si="14"/>
        <v>0.15534442274851745</v>
      </c>
    </row>
    <row r="69" spans="2:45" s="245" customFormat="1" ht="15" customHeight="1" outlineLevel="1" thickBot="1" x14ac:dyDescent="0.4">
      <c r="B69" s="246" t="s">
        <v>138</v>
      </c>
      <c r="C69" s="247" t="s">
        <v>147</v>
      </c>
      <c r="D69" s="248">
        <f>SUM(D15:D68)</f>
        <v>3981246.1049999986</v>
      </c>
      <c r="E69" s="248">
        <f>SUM(E15:E68)</f>
        <v>4097581.21</v>
      </c>
      <c r="F69" s="260">
        <f t="shared" si="1"/>
        <v>2.9220777096371293E-2</v>
      </c>
      <c r="G69" s="248">
        <f>SUM(G15:G68)</f>
        <v>4375079.509002001</v>
      </c>
      <c r="H69" s="266">
        <f t="shared" si="15"/>
        <v>6.7722464737190916E-2</v>
      </c>
      <c r="I69" s="248">
        <f>SUM(I15:I68)</f>
        <v>4242654.2</v>
      </c>
      <c r="J69" s="266">
        <f t="shared" si="15"/>
        <v>-3.0268091980849135E-2</v>
      </c>
      <c r="K69" s="248">
        <f>SUM(K15:K68)</f>
        <v>3650123</v>
      </c>
      <c r="L69" s="266">
        <f>IFERROR((K69-I69)/I69,0)</f>
        <v>-0.13966049837387176</v>
      </c>
      <c r="M69" s="248">
        <f>SUM(M15:M68)</f>
        <v>20346684.024002004</v>
      </c>
      <c r="N69" s="290">
        <f>IFERROR((K69/D69)^(1/4)-1,0)</f>
        <v>-2.1474565460507633E-2</v>
      </c>
      <c r="O69" s="376"/>
      <c r="P69" s="373">
        <f>SUM(P15:P68)</f>
        <v>102315.25999999998</v>
      </c>
      <c r="Q69" s="398">
        <f>SUM(Q15:Q68)</f>
        <v>4806058.7000000011</v>
      </c>
      <c r="R69" s="374">
        <f>SUM(R15:R68)</f>
        <v>4908373.96</v>
      </c>
      <c r="S69" s="375">
        <f>IFERROR((R69-K69)/K69,0)</f>
        <v>0.34471467399865702</v>
      </c>
      <c r="T69" s="272">
        <f>SUM(T15:T68)</f>
        <v>84225.62999999999</v>
      </c>
      <c r="U69" s="270">
        <f>SUM(U15:U68)</f>
        <v>214771.57999999996</v>
      </c>
      <c r="V69" s="270">
        <f>SUM(V15:V68)</f>
        <v>298997.21000000002</v>
      </c>
      <c r="W69" s="270">
        <f>SUM(W15:W68)</f>
        <v>4806058.7000000011</v>
      </c>
      <c r="X69" s="270">
        <f>SUM(X15:X68)</f>
        <v>5105055.91</v>
      </c>
      <c r="Y69" s="271">
        <f>IFERROR((X69-R69)/R69,0)</f>
        <v>4.0070693798563012E-2</v>
      </c>
      <c r="Z69" s="269">
        <f>SUM(Z15:Z68)</f>
        <v>100676.79000000001</v>
      </c>
      <c r="AA69" s="270">
        <f>SUM(AA15:AA68)</f>
        <v>401500.08000000007</v>
      </c>
      <c r="AB69" s="270">
        <f>SUM(AB15:AB68)</f>
        <v>502176.87</v>
      </c>
      <c r="AC69" s="270">
        <f>SUM(AC15:AC68)</f>
        <v>4806058.7000000011</v>
      </c>
      <c r="AD69" s="270">
        <f>SUM(AD15:AD68)</f>
        <v>5308235.5699999994</v>
      </c>
      <c r="AE69" s="309">
        <f>IFERROR((AD69-X69)/X69,0)</f>
        <v>3.9799693398460588E-2</v>
      </c>
      <c r="AF69" s="373">
        <f>SUM(AF15:AF68)</f>
        <v>96323.31</v>
      </c>
      <c r="AG69" s="374">
        <f>SUM(AG15:AG68)</f>
        <v>625467.32999999996</v>
      </c>
      <c r="AH69" s="374">
        <f>SUM(AH15:AH68)</f>
        <v>721790.64</v>
      </c>
      <c r="AI69" s="374">
        <f>SUM(AI15:AI68)</f>
        <v>4806058.7000000011</v>
      </c>
      <c r="AJ69" s="374">
        <f>SUM(AJ15:AJ68)</f>
        <v>5527849.339999998</v>
      </c>
      <c r="AK69" s="375">
        <f t="shared" si="12"/>
        <v>4.1372272783289206E-2</v>
      </c>
      <c r="AL69" s="259">
        <f>SUM(AL15:AL68)</f>
        <v>88547.36000000003</v>
      </c>
      <c r="AM69" s="248">
        <f>SUM(AM15:AM68)</f>
        <v>836478.27</v>
      </c>
      <c r="AN69" s="248">
        <f>SUM(AN15:AN68)</f>
        <v>925025.63</v>
      </c>
      <c r="AO69" s="248">
        <f>SUM(AO15:AO68)</f>
        <v>4806058.7000000011</v>
      </c>
      <c r="AP69" s="248">
        <f>SUM(AP15:AP68)</f>
        <v>5731084.3300000019</v>
      </c>
      <c r="AQ69" s="266">
        <f>IFERROR((AP69-AJ69)/AJ69,0)</f>
        <v>3.6765652878666191E-2</v>
      </c>
      <c r="AR69" s="248">
        <f>SUM(AR15:AR68)</f>
        <v>26580599.109999996</v>
      </c>
      <c r="AS69" s="290">
        <f>IFERROR((AP69/R69)^(1/4)-1,0)</f>
        <v>3.9500706598289081E-2</v>
      </c>
    </row>
    <row r="70" spans="2:45" ht="15" customHeight="1" x14ac:dyDescent="0.35">
      <c r="K70" s="52"/>
      <c r="AJ70" s="39">
        <f>AJ69-AJ45-AJ46</f>
        <v>5500595.6999999983</v>
      </c>
      <c r="AP70" s="39">
        <f>AP69-AP45-AP46</f>
        <v>5702473.3600000022</v>
      </c>
    </row>
    <row r="71" spans="2:45" ht="15" customHeight="1" x14ac:dyDescent="0.35">
      <c r="K71" s="52"/>
    </row>
    <row r="72" spans="2:45" ht="15.5" x14ac:dyDescent="0.35">
      <c r="B72" s="419" t="s">
        <v>133</v>
      </c>
      <c r="C72" s="419"/>
      <c r="D72" s="419"/>
      <c r="E72" s="419"/>
      <c r="F72" s="419"/>
      <c r="G72" s="419"/>
      <c r="H72" s="419"/>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c r="AJ72" s="419"/>
      <c r="AK72" s="419"/>
      <c r="AL72" s="419"/>
      <c r="AM72" s="419"/>
      <c r="AN72" s="419"/>
      <c r="AO72" s="419"/>
      <c r="AP72" s="419"/>
      <c r="AQ72" s="419"/>
      <c r="AR72" s="419"/>
      <c r="AS72" s="419"/>
    </row>
    <row r="73" spans="2:45" ht="5.9" customHeight="1" outlineLevel="1" thickBot="1" x14ac:dyDescent="0.4">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row>
    <row r="74" spans="2:45" ht="15" outlineLevel="1" thickBot="1" x14ac:dyDescent="0.4">
      <c r="B74" s="462"/>
      <c r="C74" s="465" t="s">
        <v>134</v>
      </c>
      <c r="D74" s="435" t="s">
        <v>169</v>
      </c>
      <c r="E74" s="436"/>
      <c r="F74" s="436"/>
      <c r="G74" s="436"/>
      <c r="H74" s="436"/>
      <c r="I74" s="436"/>
      <c r="J74" s="436"/>
      <c r="K74" s="436"/>
      <c r="L74" s="437"/>
      <c r="M74" s="431" t="str">
        <f xml:space="preserve"> D75&amp;" - "&amp;K75</f>
        <v>2019 - 2023</v>
      </c>
      <c r="N74" s="456"/>
      <c r="P74" s="471" t="s">
        <v>170</v>
      </c>
      <c r="Q74" s="472"/>
      <c r="R74" s="472"/>
      <c r="S74" s="472"/>
      <c r="T74" s="502"/>
      <c r="U74" s="502"/>
      <c r="V74" s="502"/>
      <c r="W74" s="502"/>
      <c r="X74" s="502"/>
      <c r="Y74" s="502"/>
      <c r="Z74" s="502"/>
      <c r="AA74" s="502"/>
      <c r="AB74" s="502"/>
      <c r="AC74" s="502"/>
      <c r="AD74" s="502"/>
      <c r="AE74" s="502"/>
      <c r="AF74" s="502"/>
      <c r="AG74" s="502"/>
      <c r="AH74" s="502"/>
      <c r="AI74" s="502"/>
      <c r="AJ74" s="502"/>
      <c r="AK74" s="502"/>
      <c r="AL74" s="472"/>
      <c r="AM74" s="472"/>
      <c r="AN74" s="472"/>
      <c r="AO74" s="472"/>
      <c r="AP74" s="472"/>
      <c r="AQ74" s="472"/>
      <c r="AR74" s="472"/>
      <c r="AS74" s="473"/>
    </row>
    <row r="75" spans="2:45" outlineLevel="1" x14ac:dyDescent="0.35">
      <c r="B75" s="463"/>
      <c r="C75" s="465"/>
      <c r="D75" s="79">
        <f>$C$3-5</f>
        <v>2019</v>
      </c>
      <c r="E75" s="435">
        <f>$C$3-4</f>
        <v>2020</v>
      </c>
      <c r="F75" s="437"/>
      <c r="G75" s="435">
        <f>$C$3-3</f>
        <v>2021</v>
      </c>
      <c r="H75" s="437"/>
      <c r="I75" s="435">
        <f>$C$3-2</f>
        <v>2022</v>
      </c>
      <c r="J75" s="437"/>
      <c r="K75" s="435">
        <f>$C$3-1</f>
        <v>2023</v>
      </c>
      <c r="L75" s="437"/>
      <c r="M75" s="433"/>
      <c r="N75" s="457"/>
      <c r="P75" s="490">
        <f>$C$3</f>
        <v>2024</v>
      </c>
      <c r="Q75" s="491"/>
      <c r="R75" s="491"/>
      <c r="S75" s="503"/>
      <c r="T75" s="504">
        <f>$C$3+1</f>
        <v>2025</v>
      </c>
      <c r="U75" s="505"/>
      <c r="V75" s="505"/>
      <c r="W75" s="505"/>
      <c r="X75" s="505"/>
      <c r="Y75" s="506"/>
      <c r="Z75" s="471">
        <f>$C$3+2</f>
        <v>2026</v>
      </c>
      <c r="AA75" s="472"/>
      <c r="AB75" s="472"/>
      <c r="AC75" s="472"/>
      <c r="AD75" s="472"/>
      <c r="AE75" s="473"/>
      <c r="AF75" s="471">
        <f>$C$3+3</f>
        <v>2027</v>
      </c>
      <c r="AG75" s="472"/>
      <c r="AH75" s="472"/>
      <c r="AI75" s="472"/>
      <c r="AJ75" s="472"/>
      <c r="AK75" s="473"/>
      <c r="AL75" s="435">
        <f>$C$3+4</f>
        <v>2028</v>
      </c>
      <c r="AM75" s="436"/>
      <c r="AN75" s="436"/>
      <c r="AO75" s="436"/>
      <c r="AP75" s="436"/>
      <c r="AQ75" s="437"/>
      <c r="AR75" s="439" t="str">
        <f>P75&amp;" - "&amp;AL75</f>
        <v>2024 - 2028</v>
      </c>
      <c r="AS75" s="458"/>
    </row>
    <row r="76" spans="2:45" ht="15" customHeight="1" outlineLevel="1" x14ac:dyDescent="0.35">
      <c r="B76" s="463"/>
      <c r="C76" s="465"/>
      <c r="D76" s="492" t="s">
        <v>225</v>
      </c>
      <c r="E76" s="494" t="s">
        <v>225</v>
      </c>
      <c r="F76" s="496" t="s">
        <v>173</v>
      </c>
      <c r="G76" s="494" t="s">
        <v>225</v>
      </c>
      <c r="H76" s="496" t="s">
        <v>173</v>
      </c>
      <c r="I76" s="494" t="s">
        <v>225</v>
      </c>
      <c r="J76" s="470" t="s">
        <v>173</v>
      </c>
      <c r="K76" s="494" t="s">
        <v>225</v>
      </c>
      <c r="L76" s="470" t="s">
        <v>173</v>
      </c>
      <c r="M76" s="494" t="s">
        <v>164</v>
      </c>
      <c r="N76" s="498" t="s">
        <v>174</v>
      </c>
      <c r="P76" s="494" t="str">
        <f>"Διανεμόμενες ποσότητες σε πελάτες που συνδέθηκαν το "&amp;P75</f>
        <v>Διανεμόμενες ποσότητες σε πελάτες που συνδέθηκαν το 2024</v>
      </c>
      <c r="Q76" s="484" t="s">
        <v>226</v>
      </c>
      <c r="R76" s="484" t="s">
        <v>227</v>
      </c>
      <c r="S76" s="501" t="s">
        <v>173</v>
      </c>
      <c r="T76" s="490" t="s">
        <v>228</v>
      </c>
      <c r="U76" s="491"/>
      <c r="V76" s="491"/>
      <c r="W76" s="484" t="s">
        <v>226</v>
      </c>
      <c r="X76" s="484" t="s">
        <v>227</v>
      </c>
      <c r="Y76" s="485" t="s">
        <v>173</v>
      </c>
      <c r="Z76" s="490" t="s">
        <v>228</v>
      </c>
      <c r="AA76" s="491"/>
      <c r="AB76" s="491"/>
      <c r="AC76" s="484" t="s">
        <v>226</v>
      </c>
      <c r="AD76" s="484" t="s">
        <v>227</v>
      </c>
      <c r="AE76" s="485" t="s">
        <v>173</v>
      </c>
      <c r="AF76" s="490" t="s">
        <v>228</v>
      </c>
      <c r="AG76" s="491"/>
      <c r="AH76" s="491"/>
      <c r="AI76" s="484" t="s">
        <v>226</v>
      </c>
      <c r="AJ76" s="484" t="s">
        <v>227</v>
      </c>
      <c r="AK76" s="485" t="s">
        <v>173</v>
      </c>
      <c r="AL76" s="490" t="s">
        <v>228</v>
      </c>
      <c r="AM76" s="491"/>
      <c r="AN76" s="491"/>
      <c r="AO76" s="484" t="s">
        <v>226</v>
      </c>
      <c r="AP76" s="484" t="s">
        <v>227</v>
      </c>
      <c r="AQ76" s="485" t="s">
        <v>173</v>
      </c>
      <c r="AR76" s="486" t="s">
        <v>164</v>
      </c>
      <c r="AS76" s="488" t="s">
        <v>174</v>
      </c>
    </row>
    <row r="77" spans="2:45" ht="58" outlineLevel="1" x14ac:dyDescent="0.35">
      <c r="B77" s="464"/>
      <c r="C77" s="465"/>
      <c r="D77" s="493"/>
      <c r="E77" s="495"/>
      <c r="F77" s="497"/>
      <c r="G77" s="495"/>
      <c r="H77" s="497"/>
      <c r="I77" s="495"/>
      <c r="J77" s="455"/>
      <c r="K77" s="495"/>
      <c r="L77" s="455"/>
      <c r="M77" s="495"/>
      <c r="N77" s="499"/>
      <c r="P77" s="495"/>
      <c r="Q77" s="484"/>
      <c r="R77" s="484"/>
      <c r="S77" s="501"/>
      <c r="T77" s="122" t="str">
        <f>"Διανεμόμενες ποσότητες σε πελάτες που συνδέθηκαν το "&amp;T75</f>
        <v>Διανεμόμενες ποσότητες σε πελάτες που συνδέθηκαν το 2025</v>
      </c>
      <c r="U77" s="105" t="str">
        <f>"Διανεμόμενες ποσότητες σε πελάτες που συνδέθηκαν το "&amp;P75</f>
        <v>Διανεμόμενες ποσότητες σε πελάτες που συνδέθηκαν το 2024</v>
      </c>
      <c r="V77" s="57" t="s">
        <v>229</v>
      </c>
      <c r="W77" s="484"/>
      <c r="X77" s="484"/>
      <c r="Y77" s="485"/>
      <c r="Z77" s="122" t="str">
        <f>"Διανεμόμενες ποσότητες σε πελάτες που συνδέθηκαν το "&amp;Z75</f>
        <v>Διανεμόμενες ποσότητες σε πελάτες που συνδέθηκαν το 2026</v>
      </c>
      <c r="AA77" s="105" t="str">
        <f>"Διανεμόμενες ποσότητες σε πελάτες που συνδέθηκαν το "&amp;$P$12&amp;" - "&amp;T75</f>
        <v>Διανεμόμενες ποσότητες σε πελάτες που συνδέθηκαν το 2024 - 2025</v>
      </c>
      <c r="AB77" s="57" t="s">
        <v>229</v>
      </c>
      <c r="AC77" s="484"/>
      <c r="AD77" s="484"/>
      <c r="AE77" s="485"/>
      <c r="AF77" s="122" t="str">
        <f>"Διανεμόμενες ποσότητες σε πελάτες που συνδέθηκαν το "&amp;AF75</f>
        <v>Διανεμόμενες ποσότητες σε πελάτες που συνδέθηκαν το 2027</v>
      </c>
      <c r="AG77" s="105" t="str">
        <f>"Διανεμόμενες ποσότητες σε πελάτες που συνδέθηκαν το "&amp;$P$12&amp;" - "&amp;Z75</f>
        <v>Διανεμόμενες ποσότητες σε πελάτες που συνδέθηκαν το 2024 - 2026</v>
      </c>
      <c r="AH77" s="57" t="s">
        <v>229</v>
      </c>
      <c r="AI77" s="484"/>
      <c r="AJ77" s="484"/>
      <c r="AK77" s="485"/>
      <c r="AL77" s="122" t="str">
        <f>"Διανεμόμενες ποσότητες σε πελάτες που συνδέθηκαν το "&amp;AL75</f>
        <v>Διανεμόμενες ποσότητες σε πελάτες που συνδέθηκαν το 2028</v>
      </c>
      <c r="AM77" s="105" t="str">
        <f>"Διανεμόμενες ποσότητες σε πελάτες που συνδέθηκαν το "&amp;$P$12&amp;" - "&amp;AF75</f>
        <v>Διανεμόμενες ποσότητες σε πελάτες που συνδέθηκαν το 2024 - 2027</v>
      </c>
      <c r="AN77" s="57" t="s">
        <v>229</v>
      </c>
      <c r="AO77" s="484"/>
      <c r="AP77" s="484"/>
      <c r="AQ77" s="485"/>
      <c r="AR77" s="487"/>
      <c r="AS77" s="489"/>
    </row>
    <row r="78" spans="2:45" outlineLevel="1" x14ac:dyDescent="0.35">
      <c r="B78" s="48" t="s">
        <v>74</v>
      </c>
      <c r="C78" s="62" t="s">
        <v>147</v>
      </c>
      <c r="D78" s="70">
        <v>7024.2885932770314</v>
      </c>
      <c r="E78" s="70">
        <v>7800.4287643585603</v>
      </c>
      <c r="F78" s="167">
        <f t="shared" ref="F78:F131" si="41">IFERROR((E78-D78)/D78,0)</f>
        <v>0.11049377609917325</v>
      </c>
      <c r="G78" s="70">
        <v>8419.34501276439</v>
      </c>
      <c r="H78" s="167">
        <f>IFERROR((G78-E78)/E78,0)</f>
        <v>7.9343875458969593E-2</v>
      </c>
      <c r="I78" s="70">
        <v>7074.9</v>
      </c>
      <c r="J78" s="167">
        <f>IFERROR((I78-G78)/G78,0)</f>
        <v>-0.15968522619349912</v>
      </c>
      <c r="K78" s="70">
        <v>4714.7</v>
      </c>
      <c r="L78" s="167">
        <f>IFERROR((K78-I78)/I78,0)</f>
        <v>-0.33360188836591331</v>
      </c>
      <c r="M78" s="164">
        <f>D78+E78+G78+I78+K78</f>
        <v>35033.662370399979</v>
      </c>
      <c r="N78" s="165">
        <f t="shared" ref="N78:N131" si="42">IFERROR((K78/D78)^(1/4)-1,0)</f>
        <v>-9.4865894804102568E-2</v>
      </c>
      <c r="P78" s="70">
        <v>150.22</v>
      </c>
      <c r="Q78" s="6">
        <v>10507.32</v>
      </c>
      <c r="R78" s="138">
        <f t="shared" ref="R78:R131" si="43">P78+Q78</f>
        <v>10657.539999999999</v>
      </c>
      <c r="S78" s="306">
        <f t="shared" ref="S78:S131" si="44">IFERROR((R78-K78)/K78,0)</f>
        <v>1.26049165376376</v>
      </c>
      <c r="T78" s="70">
        <v>334.55</v>
      </c>
      <c r="U78" s="6">
        <v>332.86</v>
      </c>
      <c r="V78" s="138">
        <f>T78+U78</f>
        <v>667.41000000000008</v>
      </c>
      <c r="W78" s="6">
        <v>10507.32</v>
      </c>
      <c r="X78" s="138">
        <f>V78+W78</f>
        <v>11174.73</v>
      </c>
      <c r="Y78" s="167">
        <f t="shared" ref="Y78:Y131" si="45">IFERROR((X78-R78)/R78,0)</f>
        <v>4.8528084342165316E-2</v>
      </c>
      <c r="Z78" s="70">
        <v>594.23</v>
      </c>
      <c r="AA78" s="6">
        <v>1091.52</v>
      </c>
      <c r="AB78" s="138">
        <f>Z78+AA78</f>
        <v>1685.75</v>
      </c>
      <c r="AC78" s="6">
        <v>10507.32</v>
      </c>
      <c r="AD78" s="138">
        <f>AB78+AC78</f>
        <v>12193.07</v>
      </c>
      <c r="AE78" s="167">
        <f>IFERROR((AD78-X78)/X78,0)</f>
        <v>9.1128823694174285E-2</v>
      </c>
      <c r="AF78" s="319">
        <v>555.61</v>
      </c>
      <c r="AG78" s="4">
        <v>2431.83</v>
      </c>
      <c r="AH78" s="138">
        <f>AF78+AG78</f>
        <v>2987.44</v>
      </c>
      <c r="AI78" s="6">
        <v>10507.32</v>
      </c>
      <c r="AJ78" s="138">
        <f>AH78+AI78</f>
        <v>13494.76</v>
      </c>
      <c r="AK78" s="167">
        <f>IFERROR((AJ78-AD78)/AD78,0)</f>
        <v>0.10675654285590098</v>
      </c>
      <c r="AL78" s="6">
        <v>449.14</v>
      </c>
      <c r="AM78" s="6">
        <v>3676.04</v>
      </c>
      <c r="AN78" s="138">
        <f>AL78+AM78</f>
        <v>4125.18</v>
      </c>
      <c r="AO78" s="6">
        <v>10507.32</v>
      </c>
      <c r="AP78" s="138">
        <f>AN78+AO78</f>
        <v>14632.5</v>
      </c>
      <c r="AQ78" s="167">
        <f>IFERROR((AP78-AJ78)/AJ78,0)</f>
        <v>8.4309761714917483E-2</v>
      </c>
      <c r="AR78" s="164">
        <f>R78+X78+AD78+AJ78+AP78</f>
        <v>62152.6</v>
      </c>
      <c r="AS78" s="165">
        <f t="shared" ref="AS78:AS131" si="46">IFERROR((AP78/R78)^(1/4)-1,0)</f>
        <v>8.2468807056252702E-2</v>
      </c>
    </row>
    <row r="79" spans="2:45" outlineLevel="1" x14ac:dyDescent="0.35">
      <c r="B79" s="294" t="s">
        <v>75</v>
      </c>
      <c r="C79" s="62" t="s">
        <v>147</v>
      </c>
      <c r="D79" s="70">
        <v>85790.518781002844</v>
      </c>
      <c r="E79" s="70">
        <v>102534.199701604</v>
      </c>
      <c r="F79" s="167">
        <f t="shared" si="41"/>
        <v>0.19516936321766148</v>
      </c>
      <c r="G79" s="70">
        <v>111582.9014161221</v>
      </c>
      <c r="H79" s="167">
        <f t="shared" ref="H79:J132" si="47">IFERROR((G79-E79)/E79,0)</f>
        <v>8.8250571427403918E-2</v>
      </c>
      <c r="I79" s="70">
        <v>110868.1</v>
      </c>
      <c r="J79" s="167">
        <f t="shared" ref="J79:J131" si="48">IFERROR((I79-G79)/G79,0)</f>
        <v>-6.406012095494895E-3</v>
      </c>
      <c r="K79" s="70">
        <v>76024.2</v>
      </c>
      <c r="L79" s="167">
        <f t="shared" ref="L79:L131" si="49">IFERROR((K79-I79)/I79,0)</f>
        <v>-0.31428246718397812</v>
      </c>
      <c r="M79" s="164">
        <f t="shared" ref="M79:M131" si="50">D79+E79+G79+I79+K79</f>
        <v>486799.9198987289</v>
      </c>
      <c r="N79" s="165">
        <f t="shared" si="42"/>
        <v>-2.976231023166731E-2</v>
      </c>
      <c r="P79" s="70">
        <v>2948.22</v>
      </c>
      <c r="Q79" s="6">
        <v>133700.01</v>
      </c>
      <c r="R79" s="138">
        <f t="shared" si="43"/>
        <v>136648.23000000001</v>
      </c>
      <c r="S79" s="306">
        <f t="shared" si="44"/>
        <v>0.79743068654454785</v>
      </c>
      <c r="T79" s="70">
        <v>3640.75</v>
      </c>
      <c r="U79" s="6">
        <v>6524.44</v>
      </c>
      <c r="V79" s="138">
        <f t="shared" ref="V79:V131" si="51">T79+U79</f>
        <v>10165.189999999999</v>
      </c>
      <c r="W79" s="6">
        <v>133700.01</v>
      </c>
      <c r="X79" s="138">
        <f t="shared" ref="X79:X131" si="52">V79+W79</f>
        <v>143865.20000000001</v>
      </c>
      <c r="Y79" s="167">
        <f t="shared" si="45"/>
        <v>5.2814222328382891E-2</v>
      </c>
      <c r="Z79" s="70">
        <v>4052.01</v>
      </c>
      <c r="AA79" s="6">
        <v>14783.27</v>
      </c>
      <c r="AB79" s="138">
        <f t="shared" ref="AB79:AB131" si="53">Z79+AA79</f>
        <v>18835.28</v>
      </c>
      <c r="AC79" s="6">
        <v>133700.01</v>
      </c>
      <c r="AD79" s="138">
        <f t="shared" ref="AD79:AD131" si="54">AB79+AC79</f>
        <v>152535.29</v>
      </c>
      <c r="AE79" s="167">
        <f t="shared" ref="AE79:AE132" si="55">IFERROR((AD79-X79)/X79,0)</f>
        <v>6.0265373419006098E-2</v>
      </c>
      <c r="AF79" s="319">
        <v>3663.5</v>
      </c>
      <c r="AG79" s="4">
        <v>23925.64</v>
      </c>
      <c r="AH79" s="138">
        <f t="shared" ref="AH79:AH131" si="56">AF79+AG79</f>
        <v>27589.14</v>
      </c>
      <c r="AI79" s="6">
        <v>133700.01</v>
      </c>
      <c r="AJ79" s="138">
        <f t="shared" ref="AJ79:AJ131" si="57">AH79+AI79</f>
        <v>161289.15000000002</v>
      </c>
      <c r="AK79" s="167">
        <f t="shared" ref="AK79:AK132" si="58">IFERROR((AJ79-AD79)/AD79,0)</f>
        <v>5.7389080258083321E-2</v>
      </c>
      <c r="AL79" s="6">
        <v>2960.29</v>
      </c>
      <c r="AM79" s="6">
        <v>32130.99</v>
      </c>
      <c r="AN79" s="138">
        <f t="shared" ref="AN79:AN131" si="59">AL79+AM79</f>
        <v>35091.279999999999</v>
      </c>
      <c r="AO79" s="6">
        <v>133700.01</v>
      </c>
      <c r="AP79" s="138">
        <f t="shared" ref="AP79:AP131" si="60">AN79+AO79</f>
        <v>168791.29</v>
      </c>
      <c r="AQ79" s="167">
        <f t="shared" ref="AQ79:AQ131" si="61">IFERROR((AP79-AJ79)/AJ79,0)</f>
        <v>4.6513606153916635E-2</v>
      </c>
      <c r="AR79" s="164">
        <f t="shared" ref="AR79:AR131" si="62">R79+X79+AD79+AJ79+AP79</f>
        <v>763129.16000000015</v>
      </c>
      <c r="AS79" s="165">
        <f t="shared" si="46"/>
        <v>5.42327545180048E-2</v>
      </c>
    </row>
    <row r="80" spans="2:45" outlineLevel="1" x14ac:dyDescent="0.35">
      <c r="B80" s="294" t="s">
        <v>76</v>
      </c>
      <c r="C80" s="62" t="s">
        <v>147</v>
      </c>
      <c r="D80" s="70">
        <v>15140.715449412834</v>
      </c>
      <c r="E80" s="70">
        <v>16165.021837095401</v>
      </c>
      <c r="F80" s="167">
        <f t="shared" si="41"/>
        <v>6.7652442918230166E-2</v>
      </c>
      <c r="G80" s="70">
        <v>18724.261010160939</v>
      </c>
      <c r="H80" s="167">
        <f t="shared" si="47"/>
        <v>0.15831956175850073</v>
      </c>
      <c r="I80" s="70">
        <v>17727.8</v>
      </c>
      <c r="J80" s="167">
        <f t="shared" si="48"/>
        <v>-5.3217641519748012E-2</v>
      </c>
      <c r="K80" s="70">
        <v>14524.9</v>
      </c>
      <c r="L80" s="167">
        <f t="shared" si="49"/>
        <v>-0.18067103645122348</v>
      </c>
      <c r="M80" s="164">
        <f t="shared" si="50"/>
        <v>82282.698296669172</v>
      </c>
      <c r="N80" s="165">
        <f t="shared" si="42"/>
        <v>-1.0327076861001983E-2</v>
      </c>
      <c r="P80" s="70">
        <v>832.18</v>
      </c>
      <c r="Q80" s="6">
        <v>30363.27</v>
      </c>
      <c r="R80" s="138">
        <f t="shared" si="43"/>
        <v>31195.45</v>
      </c>
      <c r="S80" s="306">
        <f t="shared" si="44"/>
        <v>1.1477221874160926</v>
      </c>
      <c r="T80" s="70">
        <v>1120.71</v>
      </c>
      <c r="U80" s="6">
        <v>1842.35</v>
      </c>
      <c r="V80" s="138">
        <f t="shared" si="51"/>
        <v>2963.06</v>
      </c>
      <c r="W80" s="6">
        <v>30363.27</v>
      </c>
      <c r="X80" s="138">
        <f t="shared" si="52"/>
        <v>33326.33</v>
      </c>
      <c r="Y80" s="167">
        <f t="shared" si="45"/>
        <v>6.830739739288906E-2</v>
      </c>
      <c r="Z80" s="70">
        <v>1676.24</v>
      </c>
      <c r="AA80" s="6">
        <v>4384.29</v>
      </c>
      <c r="AB80" s="138">
        <f t="shared" si="53"/>
        <v>6060.53</v>
      </c>
      <c r="AC80" s="6">
        <v>30363.27</v>
      </c>
      <c r="AD80" s="138">
        <f t="shared" si="54"/>
        <v>36423.800000000003</v>
      </c>
      <c r="AE80" s="167">
        <f t="shared" si="55"/>
        <v>9.2943627456128566E-2</v>
      </c>
      <c r="AF80" s="319">
        <v>1716.39</v>
      </c>
      <c r="AG80" s="4">
        <v>8165.61</v>
      </c>
      <c r="AH80" s="138">
        <f t="shared" si="56"/>
        <v>9882</v>
      </c>
      <c r="AI80" s="6">
        <v>30363.27</v>
      </c>
      <c r="AJ80" s="138">
        <f t="shared" si="57"/>
        <v>40245.270000000004</v>
      </c>
      <c r="AK80" s="167">
        <f t="shared" si="58"/>
        <v>0.10491684008807431</v>
      </c>
      <c r="AL80" s="6">
        <v>1581.2</v>
      </c>
      <c r="AM80" s="6">
        <v>12009.47</v>
      </c>
      <c r="AN80" s="138">
        <f t="shared" si="59"/>
        <v>13590.67</v>
      </c>
      <c r="AO80" s="6">
        <v>30363.27</v>
      </c>
      <c r="AP80" s="138">
        <f t="shared" si="60"/>
        <v>43953.94</v>
      </c>
      <c r="AQ80" s="167">
        <f t="shared" si="61"/>
        <v>9.2151698820755773E-2</v>
      </c>
      <c r="AR80" s="164">
        <f t="shared" si="62"/>
        <v>185144.79</v>
      </c>
      <c r="AS80" s="165">
        <f t="shared" si="46"/>
        <v>8.9498506019266566E-2</v>
      </c>
    </row>
    <row r="81" spans="2:45" outlineLevel="1" x14ac:dyDescent="0.35">
      <c r="B81" s="294" t="s">
        <v>77</v>
      </c>
      <c r="C81" s="62" t="s">
        <v>147</v>
      </c>
      <c r="D81" s="70">
        <v>3620.4972021315884</v>
      </c>
      <c r="E81" s="70">
        <v>4055.43568725762</v>
      </c>
      <c r="F81" s="167">
        <f t="shared" si="41"/>
        <v>0.12013225279388672</v>
      </c>
      <c r="G81" s="70">
        <v>4816.6472334940499</v>
      </c>
      <c r="H81" s="167">
        <f t="shared" si="47"/>
        <v>0.18770154551536705</v>
      </c>
      <c r="I81" s="70">
        <v>5635.3</v>
      </c>
      <c r="J81" s="167">
        <f t="shared" si="48"/>
        <v>0.16996319780555952</v>
      </c>
      <c r="K81" s="70">
        <v>3423.3</v>
      </c>
      <c r="L81" s="167">
        <f t="shared" si="49"/>
        <v>-0.39252568629886608</v>
      </c>
      <c r="M81" s="164">
        <f t="shared" si="50"/>
        <v>21551.180122883259</v>
      </c>
      <c r="N81" s="165">
        <f t="shared" si="42"/>
        <v>-1.3904025340568005E-2</v>
      </c>
      <c r="P81" s="70">
        <v>176.04</v>
      </c>
      <c r="Q81" s="6">
        <v>5970.4</v>
      </c>
      <c r="R81" s="138">
        <f t="shared" si="43"/>
        <v>6146.44</v>
      </c>
      <c r="S81" s="306">
        <f t="shared" si="44"/>
        <v>0.79547220518213402</v>
      </c>
      <c r="T81" s="70">
        <v>187.78</v>
      </c>
      <c r="U81" s="6">
        <v>392.34</v>
      </c>
      <c r="V81" s="138">
        <f t="shared" si="51"/>
        <v>580.12</v>
      </c>
      <c r="W81" s="6">
        <v>5970.4</v>
      </c>
      <c r="X81" s="138">
        <f t="shared" si="52"/>
        <v>6550.5199999999995</v>
      </c>
      <c r="Y81" s="167">
        <f t="shared" si="45"/>
        <v>6.5742120642192869E-2</v>
      </c>
      <c r="Z81" s="70">
        <v>252.38</v>
      </c>
      <c r="AA81" s="6">
        <v>817.79</v>
      </c>
      <c r="AB81" s="138">
        <f t="shared" si="53"/>
        <v>1070.17</v>
      </c>
      <c r="AC81" s="6">
        <v>5970.4</v>
      </c>
      <c r="AD81" s="138">
        <f t="shared" si="54"/>
        <v>7040.57</v>
      </c>
      <c r="AE81" s="167">
        <f t="shared" si="55"/>
        <v>7.4810854710771091E-2</v>
      </c>
      <c r="AF81" s="319">
        <v>262.89999999999998</v>
      </c>
      <c r="AG81" s="4">
        <v>1386.85</v>
      </c>
      <c r="AH81" s="138">
        <f t="shared" si="56"/>
        <v>1649.75</v>
      </c>
      <c r="AI81" s="6">
        <v>5970.4</v>
      </c>
      <c r="AJ81" s="138">
        <f t="shared" si="57"/>
        <v>7620.15</v>
      </c>
      <c r="AK81" s="167">
        <f t="shared" si="58"/>
        <v>8.2320039428625799E-2</v>
      </c>
      <c r="AL81" s="6">
        <v>209.17</v>
      </c>
      <c r="AM81" s="6">
        <v>1975.48</v>
      </c>
      <c r="AN81" s="138">
        <f t="shared" si="59"/>
        <v>2184.65</v>
      </c>
      <c r="AO81" s="6">
        <v>5970.4</v>
      </c>
      <c r="AP81" s="138">
        <f t="shared" si="60"/>
        <v>8155.0499999999993</v>
      </c>
      <c r="AQ81" s="167">
        <f t="shared" si="61"/>
        <v>7.0195468593137883E-2</v>
      </c>
      <c r="AR81" s="164">
        <f t="shared" si="62"/>
        <v>35512.729999999996</v>
      </c>
      <c r="AS81" s="165">
        <f t="shared" si="46"/>
        <v>7.3249624992363982E-2</v>
      </c>
    </row>
    <row r="82" spans="2:45" outlineLevel="1" x14ac:dyDescent="0.35">
      <c r="B82" s="294" t="s">
        <v>78</v>
      </c>
      <c r="C82" s="62" t="s">
        <v>147</v>
      </c>
      <c r="D82" s="70">
        <v>492252.41942018806</v>
      </c>
      <c r="E82" s="70">
        <v>539728.12587654172</v>
      </c>
      <c r="F82" s="167">
        <f t="shared" si="41"/>
        <v>9.6445857010259317E-2</v>
      </c>
      <c r="G82" s="70">
        <v>563781.59539685841</v>
      </c>
      <c r="H82" s="167">
        <f t="shared" si="47"/>
        <v>4.4565899694874754E-2</v>
      </c>
      <c r="I82" s="70">
        <v>493350.6</v>
      </c>
      <c r="J82" s="167">
        <f t="shared" si="48"/>
        <v>-0.12492602804332498</v>
      </c>
      <c r="K82" s="70">
        <v>362022</v>
      </c>
      <c r="L82" s="167">
        <f t="shared" si="49"/>
        <v>-0.26619730471595654</v>
      </c>
      <c r="M82" s="164">
        <f t="shared" si="50"/>
        <v>2451134.7406935883</v>
      </c>
      <c r="N82" s="165">
        <f t="shared" si="42"/>
        <v>-7.394501057206837E-2</v>
      </c>
      <c r="P82" s="70">
        <v>10468.06</v>
      </c>
      <c r="Q82" s="6">
        <v>572695.93000000005</v>
      </c>
      <c r="R82" s="138">
        <f t="shared" si="43"/>
        <v>583163.99000000011</v>
      </c>
      <c r="S82" s="306">
        <f t="shared" si="44"/>
        <v>0.61085235151454909</v>
      </c>
      <c r="T82" s="70">
        <v>12520.02</v>
      </c>
      <c r="U82" s="6">
        <v>23161.94</v>
      </c>
      <c r="V82" s="138">
        <f t="shared" si="51"/>
        <v>35681.96</v>
      </c>
      <c r="W82" s="6">
        <v>572695.93000000005</v>
      </c>
      <c r="X82" s="138">
        <f t="shared" si="52"/>
        <v>608377.89</v>
      </c>
      <c r="Y82" s="167">
        <f t="shared" si="45"/>
        <v>4.3236380216137661E-2</v>
      </c>
      <c r="Z82" s="70">
        <v>14404.05</v>
      </c>
      <c r="AA82" s="6">
        <v>51562.45</v>
      </c>
      <c r="AB82" s="138">
        <f t="shared" si="53"/>
        <v>65966.5</v>
      </c>
      <c r="AC82" s="6">
        <v>572695.93000000005</v>
      </c>
      <c r="AD82" s="138">
        <f t="shared" si="54"/>
        <v>638662.43000000005</v>
      </c>
      <c r="AE82" s="167">
        <f t="shared" si="55"/>
        <v>4.9779159462879294E-2</v>
      </c>
      <c r="AF82" s="319">
        <v>14162.38</v>
      </c>
      <c r="AG82" s="4">
        <v>84060.82</v>
      </c>
      <c r="AH82" s="138">
        <f t="shared" si="56"/>
        <v>98223.200000000012</v>
      </c>
      <c r="AI82" s="6">
        <v>572695.93000000005</v>
      </c>
      <c r="AJ82" s="138">
        <f t="shared" si="57"/>
        <v>670919.13000000012</v>
      </c>
      <c r="AK82" s="167">
        <f t="shared" si="58"/>
        <v>5.0506650281589398E-2</v>
      </c>
      <c r="AL82" s="6">
        <v>12581.6</v>
      </c>
      <c r="AM82" s="6">
        <v>115779.89</v>
      </c>
      <c r="AN82" s="138">
        <f t="shared" si="59"/>
        <v>128361.49</v>
      </c>
      <c r="AO82" s="6">
        <v>572695.93000000005</v>
      </c>
      <c r="AP82" s="138">
        <f t="shared" si="60"/>
        <v>701057.42</v>
      </c>
      <c r="AQ82" s="167">
        <f t="shared" si="61"/>
        <v>4.4920898290677622E-2</v>
      </c>
      <c r="AR82" s="164">
        <f t="shared" si="62"/>
        <v>3202180.8600000003</v>
      </c>
      <c r="AS82" s="165">
        <f t="shared" si="46"/>
        <v>4.7106180197081127E-2</v>
      </c>
    </row>
    <row r="83" spans="2:45" outlineLevel="1" x14ac:dyDescent="0.35">
      <c r="B83" s="294" t="s">
        <v>79</v>
      </c>
      <c r="C83" s="62" t="s">
        <v>147</v>
      </c>
      <c r="D83" s="70">
        <v>30550.403634913462</v>
      </c>
      <c r="E83" s="70">
        <v>34387.545018182296</v>
      </c>
      <c r="F83" s="167">
        <f t="shared" si="41"/>
        <v>0.12560034980630144</v>
      </c>
      <c r="G83" s="70">
        <v>37827.6070362846</v>
      </c>
      <c r="H83" s="167">
        <f t="shared" si="47"/>
        <v>0.10003802296102798</v>
      </c>
      <c r="I83" s="70">
        <v>34449.5</v>
      </c>
      <c r="J83" s="167">
        <f t="shared" si="48"/>
        <v>-8.9302689251378978E-2</v>
      </c>
      <c r="K83" s="70">
        <v>23413.7</v>
      </c>
      <c r="L83" s="167">
        <f t="shared" si="49"/>
        <v>-0.32034717485014297</v>
      </c>
      <c r="M83" s="164">
        <f t="shared" si="50"/>
        <v>160628.75568938037</v>
      </c>
      <c r="N83" s="165">
        <f t="shared" si="42"/>
        <v>-6.4350318224033587E-2</v>
      </c>
      <c r="P83" s="70">
        <v>992.28</v>
      </c>
      <c r="Q83" s="6">
        <v>48304.08</v>
      </c>
      <c r="R83" s="138">
        <f t="shared" si="43"/>
        <v>49296.36</v>
      </c>
      <c r="S83" s="306">
        <f t="shared" si="44"/>
        <v>1.1054493736573032</v>
      </c>
      <c r="T83" s="70">
        <v>1072.2</v>
      </c>
      <c r="U83" s="6">
        <v>2194.29</v>
      </c>
      <c r="V83" s="138">
        <f t="shared" si="51"/>
        <v>3266.49</v>
      </c>
      <c r="W83" s="6">
        <v>48304.08</v>
      </c>
      <c r="X83" s="138">
        <f t="shared" si="52"/>
        <v>51570.57</v>
      </c>
      <c r="Y83" s="167">
        <f t="shared" si="45"/>
        <v>4.6133426484227212E-2</v>
      </c>
      <c r="Z83" s="70">
        <v>1128.1500000000001</v>
      </c>
      <c r="AA83" s="6">
        <v>4626.8599999999997</v>
      </c>
      <c r="AB83" s="138">
        <f t="shared" si="53"/>
        <v>5755.01</v>
      </c>
      <c r="AC83" s="6">
        <v>48304.08</v>
      </c>
      <c r="AD83" s="138">
        <f t="shared" si="54"/>
        <v>54059.090000000004</v>
      </c>
      <c r="AE83" s="167">
        <f t="shared" si="55"/>
        <v>4.8254653768612682E-2</v>
      </c>
      <c r="AF83" s="319">
        <v>994.01</v>
      </c>
      <c r="AG83" s="4">
        <v>7172.54</v>
      </c>
      <c r="AH83" s="138">
        <f t="shared" si="56"/>
        <v>8166.55</v>
      </c>
      <c r="AI83" s="6">
        <v>48304.08</v>
      </c>
      <c r="AJ83" s="138">
        <f t="shared" si="57"/>
        <v>56470.630000000005</v>
      </c>
      <c r="AK83" s="167">
        <f t="shared" si="58"/>
        <v>4.4609333971400565E-2</v>
      </c>
      <c r="AL83" s="6">
        <v>962.11</v>
      </c>
      <c r="AM83" s="6">
        <v>9399.01</v>
      </c>
      <c r="AN83" s="138">
        <f t="shared" si="59"/>
        <v>10361.120000000001</v>
      </c>
      <c r="AO83" s="6">
        <v>48304.08</v>
      </c>
      <c r="AP83" s="138">
        <f t="shared" si="60"/>
        <v>58665.200000000004</v>
      </c>
      <c r="AQ83" s="167">
        <f t="shared" si="61"/>
        <v>3.8862148341536111E-2</v>
      </c>
      <c r="AR83" s="164">
        <f t="shared" si="62"/>
        <v>270061.84999999998</v>
      </c>
      <c r="AS83" s="165">
        <f t="shared" si="46"/>
        <v>4.4459070332502071E-2</v>
      </c>
    </row>
    <row r="84" spans="2:45" outlineLevel="1" x14ac:dyDescent="0.35">
      <c r="B84" s="294" t="s">
        <v>80</v>
      </c>
      <c r="C84" s="62" t="s">
        <v>147</v>
      </c>
      <c r="D84" s="70">
        <v>20862.587321319832</v>
      </c>
      <c r="E84" s="70">
        <v>22749.887751628878</v>
      </c>
      <c r="F84" s="167">
        <f t="shared" si="41"/>
        <v>9.0463392734628903E-2</v>
      </c>
      <c r="G84" s="70">
        <v>25356.524896700099</v>
      </c>
      <c r="H84" s="167">
        <f t="shared" si="47"/>
        <v>0.11457802225352025</v>
      </c>
      <c r="I84" s="70">
        <v>25173.200000000001</v>
      </c>
      <c r="J84" s="167">
        <f t="shared" si="48"/>
        <v>-7.2298904304491703E-3</v>
      </c>
      <c r="K84" s="70">
        <v>19430.3</v>
      </c>
      <c r="L84" s="167">
        <f t="shared" si="49"/>
        <v>-0.22813547741248635</v>
      </c>
      <c r="M84" s="164">
        <f t="shared" si="50"/>
        <v>113572.49996964881</v>
      </c>
      <c r="N84" s="165">
        <f t="shared" si="42"/>
        <v>-1.7623794636982715E-2</v>
      </c>
      <c r="P84" s="70">
        <v>1090.3599999999999</v>
      </c>
      <c r="Q84" s="6">
        <v>32874.879999999997</v>
      </c>
      <c r="R84" s="138">
        <f t="shared" si="43"/>
        <v>33965.24</v>
      </c>
      <c r="S84" s="306">
        <f t="shared" si="44"/>
        <v>0.74805535683957525</v>
      </c>
      <c r="T84" s="70">
        <v>1245.73</v>
      </c>
      <c r="U84" s="6">
        <v>2417.35</v>
      </c>
      <c r="V84" s="138">
        <f t="shared" si="51"/>
        <v>3663.08</v>
      </c>
      <c r="W84" s="6">
        <v>32874.879999999997</v>
      </c>
      <c r="X84" s="138">
        <f t="shared" si="52"/>
        <v>36537.96</v>
      </c>
      <c r="Y84" s="167">
        <f t="shared" si="45"/>
        <v>7.5745674106822189E-2</v>
      </c>
      <c r="Z84" s="70">
        <v>1321.81</v>
      </c>
      <c r="AA84" s="6">
        <v>5242.3599999999997</v>
      </c>
      <c r="AB84" s="138">
        <f t="shared" si="53"/>
        <v>6564.17</v>
      </c>
      <c r="AC84" s="6">
        <v>32874.879999999997</v>
      </c>
      <c r="AD84" s="138">
        <f t="shared" si="54"/>
        <v>39439.049999999996</v>
      </c>
      <c r="AE84" s="167">
        <f t="shared" si="55"/>
        <v>7.9399342492027375E-2</v>
      </c>
      <c r="AF84" s="319">
        <v>1143.78</v>
      </c>
      <c r="AG84" s="4">
        <v>8224.1200000000008</v>
      </c>
      <c r="AH84" s="138">
        <f t="shared" si="56"/>
        <v>9367.9000000000015</v>
      </c>
      <c r="AI84" s="6">
        <v>32874.879999999997</v>
      </c>
      <c r="AJ84" s="138">
        <f t="shared" si="57"/>
        <v>42242.78</v>
      </c>
      <c r="AK84" s="167">
        <f t="shared" si="58"/>
        <v>7.1090201209207712E-2</v>
      </c>
      <c r="AL84" s="6">
        <v>978.24</v>
      </c>
      <c r="AM84" s="6">
        <v>10785.68</v>
      </c>
      <c r="AN84" s="138">
        <f t="shared" si="59"/>
        <v>11763.92</v>
      </c>
      <c r="AO84" s="6">
        <v>32874.879999999997</v>
      </c>
      <c r="AP84" s="138">
        <f t="shared" si="60"/>
        <v>44638.799999999996</v>
      </c>
      <c r="AQ84" s="167">
        <f t="shared" si="61"/>
        <v>5.6720225326079315E-2</v>
      </c>
      <c r="AR84" s="164">
        <f t="shared" si="62"/>
        <v>196823.83</v>
      </c>
      <c r="AS84" s="165">
        <f t="shared" si="46"/>
        <v>7.0704075773780017E-2</v>
      </c>
    </row>
    <row r="85" spans="2:45" outlineLevel="1" x14ac:dyDescent="0.35">
      <c r="B85" s="294" t="s">
        <v>81</v>
      </c>
      <c r="C85" s="62" t="s">
        <v>147</v>
      </c>
      <c r="D85" s="70">
        <v>136282.02354274111</v>
      </c>
      <c r="E85" s="70">
        <v>151069.86335863499</v>
      </c>
      <c r="F85" s="167">
        <f t="shared" si="41"/>
        <v>0.10850910069776062</v>
      </c>
      <c r="G85" s="70">
        <v>153163.53440485281</v>
      </c>
      <c r="H85" s="167">
        <f t="shared" si="47"/>
        <v>1.385895902512011E-2</v>
      </c>
      <c r="I85" s="70">
        <v>127066.6</v>
      </c>
      <c r="J85" s="167">
        <f t="shared" si="48"/>
        <v>-0.17038608116649695</v>
      </c>
      <c r="K85" s="70">
        <v>110654.39999999999</v>
      </c>
      <c r="L85" s="167">
        <f t="shared" si="49"/>
        <v>-0.12916218738834603</v>
      </c>
      <c r="M85" s="164">
        <f t="shared" si="50"/>
        <v>678236.42130622885</v>
      </c>
      <c r="N85" s="165">
        <f t="shared" si="42"/>
        <v>-5.0745797397717451E-2</v>
      </c>
      <c r="P85" s="70">
        <v>2716</v>
      </c>
      <c r="Q85" s="6">
        <v>157444.4</v>
      </c>
      <c r="R85" s="138">
        <f t="shared" si="43"/>
        <v>160160.4</v>
      </c>
      <c r="S85" s="306">
        <f t="shared" si="44"/>
        <v>0.4473929640393875</v>
      </c>
      <c r="T85" s="70">
        <v>3000.29</v>
      </c>
      <c r="U85" s="6">
        <v>6005.89</v>
      </c>
      <c r="V85" s="138">
        <f t="shared" si="51"/>
        <v>9006.18</v>
      </c>
      <c r="W85" s="6">
        <v>157444.4</v>
      </c>
      <c r="X85" s="138">
        <f t="shared" si="52"/>
        <v>166450.57999999999</v>
      </c>
      <c r="Y85" s="167">
        <f t="shared" si="45"/>
        <v>3.927425256180675E-2</v>
      </c>
      <c r="Z85" s="70">
        <v>3185.49</v>
      </c>
      <c r="AA85" s="6">
        <v>12812.84</v>
      </c>
      <c r="AB85" s="138">
        <f t="shared" si="53"/>
        <v>15998.33</v>
      </c>
      <c r="AC85" s="6">
        <v>157444.4</v>
      </c>
      <c r="AD85" s="138">
        <f t="shared" si="54"/>
        <v>173442.72999999998</v>
      </c>
      <c r="AE85" s="167">
        <f t="shared" si="55"/>
        <v>4.2007363386778192E-2</v>
      </c>
      <c r="AF85" s="319">
        <v>2793.91</v>
      </c>
      <c r="AG85" s="4">
        <v>20000.849999999999</v>
      </c>
      <c r="AH85" s="138">
        <f t="shared" si="56"/>
        <v>22794.76</v>
      </c>
      <c r="AI85" s="6">
        <v>157444.4</v>
      </c>
      <c r="AJ85" s="138">
        <f t="shared" si="57"/>
        <v>180239.16</v>
      </c>
      <c r="AK85" s="167">
        <f t="shared" si="58"/>
        <v>3.9185441788191541E-2</v>
      </c>
      <c r="AL85" s="6">
        <v>2253.58</v>
      </c>
      <c r="AM85" s="6">
        <v>26258.87</v>
      </c>
      <c r="AN85" s="138">
        <f t="shared" si="59"/>
        <v>28512.449999999997</v>
      </c>
      <c r="AO85" s="6">
        <v>157444.4</v>
      </c>
      <c r="AP85" s="138">
        <f t="shared" si="60"/>
        <v>185956.84999999998</v>
      </c>
      <c r="AQ85" s="167">
        <f t="shared" si="61"/>
        <v>3.1722795423591486E-2</v>
      </c>
      <c r="AR85" s="164">
        <f t="shared" si="62"/>
        <v>866249.72</v>
      </c>
      <c r="AS85" s="165">
        <f t="shared" si="46"/>
        <v>3.8040406366573576E-2</v>
      </c>
    </row>
    <row r="86" spans="2:45" outlineLevel="1" x14ac:dyDescent="0.35">
      <c r="B86" s="294" t="s">
        <v>82</v>
      </c>
      <c r="C86" s="62" t="s">
        <v>147</v>
      </c>
      <c r="D86" s="70">
        <v>0</v>
      </c>
      <c r="E86" s="70">
        <v>0</v>
      </c>
      <c r="F86" s="167">
        <f t="shared" si="41"/>
        <v>0</v>
      </c>
      <c r="G86" s="70">
        <v>0</v>
      </c>
      <c r="H86" s="167">
        <f t="shared" si="47"/>
        <v>0</v>
      </c>
      <c r="I86" s="70">
        <v>0</v>
      </c>
      <c r="J86" s="167">
        <f t="shared" si="48"/>
        <v>0</v>
      </c>
      <c r="K86" s="70"/>
      <c r="L86" s="167">
        <f t="shared" si="49"/>
        <v>0</v>
      </c>
      <c r="M86" s="164">
        <f t="shared" si="50"/>
        <v>0</v>
      </c>
      <c r="N86" s="165">
        <f t="shared" si="42"/>
        <v>0</v>
      </c>
      <c r="P86" s="70"/>
      <c r="Q86" s="6"/>
      <c r="R86" s="138">
        <f t="shared" si="43"/>
        <v>0</v>
      </c>
      <c r="S86" s="306">
        <f t="shared" si="44"/>
        <v>0</v>
      </c>
      <c r="T86" s="70"/>
      <c r="U86" s="6"/>
      <c r="V86" s="138">
        <f t="shared" si="51"/>
        <v>0</v>
      </c>
      <c r="W86" s="6"/>
      <c r="X86" s="138">
        <f t="shared" si="52"/>
        <v>0</v>
      </c>
      <c r="Y86" s="167">
        <f t="shared" si="45"/>
        <v>0</v>
      </c>
      <c r="Z86" s="70"/>
      <c r="AA86" s="6"/>
      <c r="AB86" s="138">
        <f t="shared" si="53"/>
        <v>0</v>
      </c>
      <c r="AC86" s="6"/>
      <c r="AD86" s="138">
        <f t="shared" si="54"/>
        <v>0</v>
      </c>
      <c r="AE86" s="167">
        <f t="shared" si="55"/>
        <v>0</v>
      </c>
      <c r="AF86" s="319"/>
      <c r="AG86" s="4"/>
      <c r="AH86" s="138">
        <f t="shared" si="56"/>
        <v>0</v>
      </c>
      <c r="AI86" s="6"/>
      <c r="AJ86" s="138">
        <f t="shared" si="57"/>
        <v>0</v>
      </c>
      <c r="AK86" s="167">
        <f t="shared" si="58"/>
        <v>0</v>
      </c>
      <c r="AL86" s="6"/>
      <c r="AM86" s="6"/>
      <c r="AN86" s="138">
        <f t="shared" si="59"/>
        <v>0</v>
      </c>
      <c r="AO86" s="6"/>
      <c r="AP86" s="138">
        <f t="shared" si="60"/>
        <v>0</v>
      </c>
      <c r="AQ86" s="167">
        <f t="shared" si="61"/>
        <v>0</v>
      </c>
      <c r="AR86" s="164">
        <f t="shared" si="62"/>
        <v>0</v>
      </c>
      <c r="AS86" s="165">
        <f t="shared" si="46"/>
        <v>0</v>
      </c>
    </row>
    <row r="87" spans="2:45" outlineLevel="1" x14ac:dyDescent="0.35">
      <c r="B87" s="294" t="s">
        <v>83</v>
      </c>
      <c r="C87" s="62" t="s">
        <v>147</v>
      </c>
      <c r="D87" s="70">
        <v>30320.821898546881</v>
      </c>
      <c r="E87" s="70">
        <v>32778.842916034911</v>
      </c>
      <c r="F87" s="167">
        <f t="shared" si="41"/>
        <v>8.1067097247975006E-2</v>
      </c>
      <c r="G87" s="70">
        <v>34901.251836388117</v>
      </c>
      <c r="H87" s="167">
        <f t="shared" si="47"/>
        <v>6.4749354508635074E-2</v>
      </c>
      <c r="I87" s="70">
        <v>35617.9</v>
      </c>
      <c r="J87" s="167">
        <f t="shared" si="48"/>
        <v>2.0533594811195436E-2</v>
      </c>
      <c r="K87" s="70">
        <v>24951.5</v>
      </c>
      <c r="L87" s="167">
        <f t="shared" si="49"/>
        <v>-0.29946740262620763</v>
      </c>
      <c r="M87" s="164">
        <f t="shared" si="50"/>
        <v>158570.31665096991</v>
      </c>
      <c r="N87" s="165">
        <f t="shared" si="42"/>
        <v>-4.7557157648678294E-2</v>
      </c>
      <c r="P87" s="70">
        <v>289.58999999999997</v>
      </c>
      <c r="Q87" s="6">
        <v>35174.639999999999</v>
      </c>
      <c r="R87" s="138">
        <f t="shared" si="43"/>
        <v>35464.229999999996</v>
      </c>
      <c r="S87" s="306">
        <f t="shared" si="44"/>
        <v>0.42132657355269204</v>
      </c>
      <c r="T87" s="70">
        <v>540.02</v>
      </c>
      <c r="U87" s="6">
        <v>643</v>
      </c>
      <c r="V87" s="138">
        <f t="shared" si="51"/>
        <v>1183.02</v>
      </c>
      <c r="W87" s="6">
        <v>35174.639999999999</v>
      </c>
      <c r="X87" s="138">
        <f t="shared" si="52"/>
        <v>36357.659999999996</v>
      </c>
      <c r="Y87" s="167">
        <f t="shared" si="45"/>
        <v>2.5192426284174233E-2</v>
      </c>
      <c r="Z87" s="70">
        <v>670.43</v>
      </c>
      <c r="AA87" s="6">
        <v>1867.51</v>
      </c>
      <c r="AB87" s="138">
        <f t="shared" si="53"/>
        <v>2537.94</v>
      </c>
      <c r="AC87" s="6">
        <v>35174.639999999999</v>
      </c>
      <c r="AD87" s="138">
        <f t="shared" si="54"/>
        <v>37712.58</v>
      </c>
      <c r="AE87" s="167">
        <f t="shared" si="55"/>
        <v>3.7266424736905668E-2</v>
      </c>
      <c r="AF87" s="319">
        <v>717.5</v>
      </c>
      <c r="AG87" s="4">
        <v>3379.76</v>
      </c>
      <c r="AH87" s="138">
        <f t="shared" si="56"/>
        <v>4097.26</v>
      </c>
      <c r="AI87" s="6">
        <v>35174.639999999999</v>
      </c>
      <c r="AJ87" s="138">
        <f t="shared" si="57"/>
        <v>39271.9</v>
      </c>
      <c r="AK87" s="167">
        <f t="shared" si="58"/>
        <v>4.1347476094183946E-2</v>
      </c>
      <c r="AL87" s="6">
        <v>683.47</v>
      </c>
      <c r="AM87" s="6">
        <v>4986.58</v>
      </c>
      <c r="AN87" s="138">
        <f t="shared" si="59"/>
        <v>5670.05</v>
      </c>
      <c r="AO87" s="6">
        <v>35174.639999999999</v>
      </c>
      <c r="AP87" s="138">
        <f t="shared" si="60"/>
        <v>40844.69</v>
      </c>
      <c r="AQ87" s="167">
        <f t="shared" si="61"/>
        <v>4.0048737137749917E-2</v>
      </c>
      <c r="AR87" s="164">
        <f t="shared" si="62"/>
        <v>189651.06</v>
      </c>
      <c r="AS87" s="165">
        <f t="shared" si="46"/>
        <v>3.5943971235969041E-2</v>
      </c>
    </row>
    <row r="88" spans="2:45" outlineLevel="1" x14ac:dyDescent="0.35">
      <c r="B88" s="294" t="s">
        <v>84</v>
      </c>
      <c r="C88" s="62" t="s">
        <v>147</v>
      </c>
      <c r="D88" s="70">
        <v>19741.51789009311</v>
      </c>
      <c r="E88" s="70">
        <v>21483.069850004529</v>
      </c>
      <c r="F88" s="167">
        <f t="shared" si="41"/>
        <v>8.8217733287134059E-2</v>
      </c>
      <c r="G88" s="70">
        <v>23635.2676675603</v>
      </c>
      <c r="H88" s="167">
        <f t="shared" si="47"/>
        <v>0.10018111157215816</v>
      </c>
      <c r="I88" s="70">
        <v>20295.8</v>
      </c>
      <c r="J88" s="167">
        <f t="shared" si="48"/>
        <v>-0.14129172195260398</v>
      </c>
      <c r="K88" s="70">
        <v>15721</v>
      </c>
      <c r="L88" s="167">
        <f t="shared" si="49"/>
        <v>-0.22540624168547185</v>
      </c>
      <c r="M88" s="164">
        <f t="shared" si="50"/>
        <v>100876.65540765793</v>
      </c>
      <c r="N88" s="165">
        <f t="shared" si="42"/>
        <v>-5.5341348174785976E-2</v>
      </c>
      <c r="P88" s="70">
        <v>610.72</v>
      </c>
      <c r="Q88" s="6">
        <v>24815.41</v>
      </c>
      <c r="R88" s="138">
        <f t="shared" si="43"/>
        <v>25426.13</v>
      </c>
      <c r="S88" s="306">
        <f t="shared" si="44"/>
        <v>0.6173354112333822</v>
      </c>
      <c r="T88" s="70">
        <v>903.97</v>
      </c>
      <c r="U88" s="6">
        <v>1354.63</v>
      </c>
      <c r="V88" s="138">
        <f t="shared" si="51"/>
        <v>2258.6000000000004</v>
      </c>
      <c r="W88" s="6">
        <v>24815.41</v>
      </c>
      <c r="X88" s="138">
        <f t="shared" si="52"/>
        <v>27074.010000000002</v>
      </c>
      <c r="Y88" s="167">
        <f t="shared" si="45"/>
        <v>6.4810492198380212E-2</v>
      </c>
      <c r="Z88" s="70">
        <v>1375</v>
      </c>
      <c r="AA88" s="6">
        <v>3404.56</v>
      </c>
      <c r="AB88" s="138">
        <f t="shared" si="53"/>
        <v>4779.5599999999995</v>
      </c>
      <c r="AC88" s="6">
        <v>24815.41</v>
      </c>
      <c r="AD88" s="138">
        <f t="shared" si="54"/>
        <v>29594.97</v>
      </c>
      <c r="AE88" s="167">
        <f t="shared" si="55"/>
        <v>9.311365401726597E-2</v>
      </c>
      <c r="AF88" s="319">
        <v>1572.46</v>
      </c>
      <c r="AG88" s="4">
        <v>6506.26</v>
      </c>
      <c r="AH88" s="138">
        <f t="shared" si="56"/>
        <v>8078.72</v>
      </c>
      <c r="AI88" s="6">
        <v>24815.41</v>
      </c>
      <c r="AJ88" s="138">
        <f t="shared" si="57"/>
        <v>32894.129999999997</v>
      </c>
      <c r="AK88" s="167">
        <f t="shared" si="58"/>
        <v>0.11147705167465945</v>
      </c>
      <c r="AL88" s="6">
        <v>1362.84</v>
      </c>
      <c r="AM88" s="6">
        <v>10027.799999999999</v>
      </c>
      <c r="AN88" s="138">
        <f t="shared" si="59"/>
        <v>11390.64</v>
      </c>
      <c r="AO88" s="6">
        <v>24815.41</v>
      </c>
      <c r="AP88" s="138">
        <f t="shared" si="60"/>
        <v>36206.050000000003</v>
      </c>
      <c r="AQ88" s="167">
        <f t="shared" si="61"/>
        <v>0.10068422542259077</v>
      </c>
      <c r="AR88" s="164">
        <f t="shared" si="62"/>
        <v>151195.28999999998</v>
      </c>
      <c r="AS88" s="165">
        <f t="shared" si="46"/>
        <v>9.2383724475023188E-2</v>
      </c>
    </row>
    <row r="89" spans="2:45" outlineLevel="1" x14ac:dyDescent="0.35">
      <c r="B89" s="294" t="s">
        <v>85</v>
      </c>
      <c r="C89" s="62" t="s">
        <v>147</v>
      </c>
      <c r="D89" s="70">
        <v>36855.594919371935</v>
      </c>
      <c r="E89" s="70">
        <v>49479.050979022199</v>
      </c>
      <c r="F89" s="167">
        <f t="shared" si="41"/>
        <v>0.34251125472987975</v>
      </c>
      <c r="G89" s="70">
        <v>59924.696282493402</v>
      </c>
      <c r="H89" s="167">
        <f t="shared" si="47"/>
        <v>0.21111248289503126</v>
      </c>
      <c r="I89" s="70">
        <v>52750.3</v>
      </c>
      <c r="J89" s="167">
        <f t="shared" si="48"/>
        <v>-0.11972353182521428</v>
      </c>
      <c r="K89" s="70">
        <v>43066</v>
      </c>
      <c r="L89" s="167">
        <f t="shared" si="49"/>
        <v>-0.18358758149242757</v>
      </c>
      <c r="M89" s="164">
        <f t="shared" si="50"/>
        <v>242075.64218088752</v>
      </c>
      <c r="N89" s="165">
        <f t="shared" si="42"/>
        <v>3.9699362145423134E-2</v>
      </c>
      <c r="P89" s="70">
        <v>1355.64</v>
      </c>
      <c r="Q89" s="6">
        <v>73009.7</v>
      </c>
      <c r="R89" s="138">
        <f t="shared" si="43"/>
        <v>74365.34</v>
      </c>
      <c r="S89" s="306">
        <f t="shared" si="44"/>
        <v>0.72677611108531082</v>
      </c>
      <c r="T89" s="70">
        <v>1627.14</v>
      </c>
      <c r="U89" s="6">
        <v>3000.18</v>
      </c>
      <c r="V89" s="138">
        <f t="shared" si="51"/>
        <v>4627.32</v>
      </c>
      <c r="W89" s="6">
        <v>73009.7</v>
      </c>
      <c r="X89" s="138">
        <f t="shared" si="52"/>
        <v>77637.01999999999</v>
      </c>
      <c r="Y89" s="167">
        <f t="shared" si="45"/>
        <v>4.399468892363019E-2</v>
      </c>
      <c r="Z89" s="70">
        <v>1737.6</v>
      </c>
      <c r="AA89" s="6">
        <v>6691.25</v>
      </c>
      <c r="AB89" s="138">
        <f t="shared" si="53"/>
        <v>8428.85</v>
      </c>
      <c r="AC89" s="6">
        <v>73009.7</v>
      </c>
      <c r="AD89" s="138">
        <f t="shared" si="54"/>
        <v>81438.55</v>
      </c>
      <c r="AE89" s="167">
        <f t="shared" si="55"/>
        <v>4.89654291213137E-2</v>
      </c>
      <c r="AF89" s="319">
        <v>1506.61</v>
      </c>
      <c r="AG89" s="4">
        <v>10611.74</v>
      </c>
      <c r="AH89" s="138">
        <f t="shared" si="56"/>
        <v>12118.35</v>
      </c>
      <c r="AI89" s="6">
        <v>73009.7</v>
      </c>
      <c r="AJ89" s="138">
        <f t="shared" si="57"/>
        <v>85128.05</v>
      </c>
      <c r="AK89" s="167">
        <f t="shared" si="58"/>
        <v>4.5304097383855678E-2</v>
      </c>
      <c r="AL89" s="6">
        <v>1229.3499999999999</v>
      </c>
      <c r="AM89" s="6">
        <v>13986.19</v>
      </c>
      <c r="AN89" s="138">
        <f t="shared" si="59"/>
        <v>15215.54</v>
      </c>
      <c r="AO89" s="6">
        <v>73009.7</v>
      </c>
      <c r="AP89" s="138">
        <f t="shared" si="60"/>
        <v>88225.239999999991</v>
      </c>
      <c r="AQ89" s="167">
        <f t="shared" si="61"/>
        <v>3.6382719914293676E-2</v>
      </c>
      <c r="AR89" s="164">
        <f t="shared" si="62"/>
        <v>406794.19999999995</v>
      </c>
      <c r="AS89" s="165">
        <f t="shared" si="46"/>
        <v>4.3651664612244678E-2</v>
      </c>
    </row>
    <row r="90" spans="2:45" outlineLevel="1" x14ac:dyDescent="0.35">
      <c r="B90" s="294" t="s">
        <v>86</v>
      </c>
      <c r="C90" s="62" t="s">
        <v>147</v>
      </c>
      <c r="D90" s="70">
        <v>16453.724485853971</v>
      </c>
      <c r="E90" s="70">
        <v>18171.57782096001</v>
      </c>
      <c r="F90" s="167">
        <f t="shared" si="41"/>
        <v>0.10440513554137591</v>
      </c>
      <c r="G90" s="70">
        <v>21088.001154316022</v>
      </c>
      <c r="H90" s="167">
        <f t="shared" si="47"/>
        <v>0.16049367655856842</v>
      </c>
      <c r="I90" s="70">
        <v>19655.900000000001</v>
      </c>
      <c r="J90" s="167">
        <f t="shared" si="48"/>
        <v>-6.7910711111798097E-2</v>
      </c>
      <c r="K90" s="70">
        <v>14503.4</v>
      </c>
      <c r="L90" s="167">
        <f t="shared" si="49"/>
        <v>-0.26213503324701498</v>
      </c>
      <c r="M90" s="164">
        <f t="shared" si="50"/>
        <v>89872.603461129998</v>
      </c>
      <c r="N90" s="165">
        <f t="shared" si="42"/>
        <v>-3.1049924266859374E-2</v>
      </c>
      <c r="P90" s="70">
        <v>940.55</v>
      </c>
      <c r="Q90" s="6">
        <v>29348.81</v>
      </c>
      <c r="R90" s="138">
        <f t="shared" si="43"/>
        <v>30289.360000000001</v>
      </c>
      <c r="S90" s="306">
        <f t="shared" si="44"/>
        <v>1.0884316780892758</v>
      </c>
      <c r="T90" s="70">
        <v>1764.33</v>
      </c>
      <c r="U90" s="6">
        <v>2086.75</v>
      </c>
      <c r="V90" s="138">
        <f t="shared" si="51"/>
        <v>3851.08</v>
      </c>
      <c r="W90" s="6">
        <v>29348.81</v>
      </c>
      <c r="X90" s="138">
        <f t="shared" si="52"/>
        <v>33199.89</v>
      </c>
      <c r="Y90" s="167">
        <f t="shared" si="45"/>
        <v>9.6090838499063663E-2</v>
      </c>
      <c r="Z90" s="70">
        <v>2606.4699999999998</v>
      </c>
      <c r="AA90" s="6">
        <v>6087.27</v>
      </c>
      <c r="AB90" s="138">
        <f t="shared" si="53"/>
        <v>8693.74</v>
      </c>
      <c r="AC90" s="6">
        <v>29348.81</v>
      </c>
      <c r="AD90" s="138">
        <f t="shared" si="54"/>
        <v>38042.550000000003</v>
      </c>
      <c r="AE90" s="167">
        <f t="shared" si="55"/>
        <v>0.14586373629551194</v>
      </c>
      <c r="AF90" s="319">
        <v>2572.92</v>
      </c>
      <c r="AG90" s="4">
        <v>11966.09</v>
      </c>
      <c r="AH90" s="138">
        <f t="shared" si="56"/>
        <v>14539.01</v>
      </c>
      <c r="AI90" s="6">
        <v>29348.81</v>
      </c>
      <c r="AJ90" s="138">
        <f t="shared" si="57"/>
        <v>43887.82</v>
      </c>
      <c r="AK90" s="167">
        <f t="shared" si="58"/>
        <v>0.15365084622350489</v>
      </c>
      <c r="AL90" s="6">
        <v>2138.44</v>
      </c>
      <c r="AM90" s="6">
        <v>17727.77</v>
      </c>
      <c r="AN90" s="138">
        <f t="shared" si="59"/>
        <v>19866.21</v>
      </c>
      <c r="AO90" s="6">
        <v>29348.81</v>
      </c>
      <c r="AP90" s="138">
        <f t="shared" si="60"/>
        <v>49215.020000000004</v>
      </c>
      <c r="AQ90" s="167">
        <f t="shared" si="61"/>
        <v>0.1213821967005881</v>
      </c>
      <c r="AR90" s="164">
        <f t="shared" si="62"/>
        <v>194634.64</v>
      </c>
      <c r="AS90" s="165">
        <f t="shared" si="46"/>
        <v>0.12902066796257095</v>
      </c>
    </row>
    <row r="91" spans="2:45" outlineLevel="1" x14ac:dyDescent="0.35">
      <c r="B91" s="294" t="s">
        <v>87</v>
      </c>
      <c r="C91" s="62" t="s">
        <v>147</v>
      </c>
      <c r="D91" s="70">
        <v>37242.309801054929</v>
      </c>
      <c r="E91" s="70">
        <v>41247.326653697703</v>
      </c>
      <c r="F91" s="167">
        <f t="shared" si="41"/>
        <v>0.10753943227574266</v>
      </c>
      <c r="G91" s="70">
        <v>45595.369806137605</v>
      </c>
      <c r="H91" s="167">
        <f t="shared" si="47"/>
        <v>0.1054139384339982</v>
      </c>
      <c r="I91" s="70">
        <v>38393.4</v>
      </c>
      <c r="J91" s="167">
        <f t="shared" si="48"/>
        <v>-0.15795397288713611</v>
      </c>
      <c r="K91" s="70">
        <v>27549.9</v>
      </c>
      <c r="L91" s="167">
        <f t="shared" si="49"/>
        <v>-0.28243135538920749</v>
      </c>
      <c r="M91" s="164">
        <f t="shared" si="50"/>
        <v>190028.30626089024</v>
      </c>
      <c r="N91" s="165">
        <f t="shared" si="42"/>
        <v>-7.2591964343501014E-2</v>
      </c>
      <c r="P91" s="70">
        <v>816.81</v>
      </c>
      <c r="Q91" s="6">
        <v>54612.77</v>
      </c>
      <c r="R91" s="138">
        <f t="shared" si="43"/>
        <v>55429.579999999994</v>
      </c>
      <c r="S91" s="306">
        <f t="shared" si="44"/>
        <v>1.011970279383954</v>
      </c>
      <c r="T91" s="70">
        <v>1325.23</v>
      </c>
      <c r="U91" s="6">
        <v>1804.61</v>
      </c>
      <c r="V91" s="138">
        <f t="shared" si="51"/>
        <v>3129.84</v>
      </c>
      <c r="W91" s="6">
        <v>54612.77</v>
      </c>
      <c r="X91" s="138">
        <f t="shared" si="52"/>
        <v>57742.61</v>
      </c>
      <c r="Y91" s="167">
        <f t="shared" si="45"/>
        <v>4.1729163381717962E-2</v>
      </c>
      <c r="Z91" s="70">
        <v>1471.62</v>
      </c>
      <c r="AA91" s="6">
        <v>4810.96</v>
      </c>
      <c r="AB91" s="138">
        <f t="shared" si="53"/>
        <v>6282.58</v>
      </c>
      <c r="AC91" s="6">
        <v>54612.77</v>
      </c>
      <c r="AD91" s="138">
        <f t="shared" si="54"/>
        <v>60895.35</v>
      </c>
      <c r="AE91" s="167">
        <f t="shared" si="55"/>
        <v>5.4599887327573135E-2</v>
      </c>
      <c r="AF91" s="319">
        <v>1172.76</v>
      </c>
      <c r="AG91" s="4">
        <v>8131.24</v>
      </c>
      <c r="AH91" s="138">
        <f t="shared" si="56"/>
        <v>9304</v>
      </c>
      <c r="AI91" s="6">
        <v>54612.77</v>
      </c>
      <c r="AJ91" s="138">
        <f t="shared" si="57"/>
        <v>63916.77</v>
      </c>
      <c r="AK91" s="167">
        <f t="shared" si="58"/>
        <v>4.9616596341099911E-2</v>
      </c>
      <c r="AL91" s="6">
        <v>1246.97</v>
      </c>
      <c r="AM91" s="6">
        <v>10757.96</v>
      </c>
      <c r="AN91" s="138">
        <f t="shared" si="59"/>
        <v>12004.929999999998</v>
      </c>
      <c r="AO91" s="6">
        <v>54612.77</v>
      </c>
      <c r="AP91" s="138">
        <f t="shared" si="60"/>
        <v>66617.7</v>
      </c>
      <c r="AQ91" s="167">
        <f t="shared" si="61"/>
        <v>4.2256985138642025E-2</v>
      </c>
      <c r="AR91" s="164">
        <f t="shared" si="62"/>
        <v>304602.01</v>
      </c>
      <c r="AS91" s="165">
        <f t="shared" si="46"/>
        <v>4.7036958226368109E-2</v>
      </c>
    </row>
    <row r="92" spans="2:45" outlineLevel="1" x14ac:dyDescent="0.35">
      <c r="B92" s="294" t="s">
        <v>88</v>
      </c>
      <c r="C92" s="62" t="s">
        <v>147</v>
      </c>
      <c r="D92" s="70">
        <v>40620.557531777173</v>
      </c>
      <c r="E92" s="70">
        <v>44439.2218767249</v>
      </c>
      <c r="F92" s="167">
        <f t="shared" si="41"/>
        <v>9.4008171649549929E-2</v>
      </c>
      <c r="G92" s="70">
        <v>49637.022686513999</v>
      </c>
      <c r="H92" s="167">
        <f t="shared" si="47"/>
        <v>0.1169642624303342</v>
      </c>
      <c r="I92" s="70">
        <v>46712.3</v>
      </c>
      <c r="J92" s="167">
        <f t="shared" si="48"/>
        <v>-5.8922202183343708E-2</v>
      </c>
      <c r="K92" s="70">
        <v>33362.300000000003</v>
      </c>
      <c r="L92" s="167">
        <f t="shared" si="49"/>
        <v>-0.28579196485722175</v>
      </c>
      <c r="M92" s="164">
        <f t="shared" si="50"/>
        <v>214771.40209501603</v>
      </c>
      <c r="N92" s="165">
        <f t="shared" si="42"/>
        <v>-4.80206545786378E-2</v>
      </c>
      <c r="P92" s="70">
        <v>1507.04</v>
      </c>
      <c r="Q92" s="6">
        <v>51703.15</v>
      </c>
      <c r="R92" s="138">
        <f t="shared" si="43"/>
        <v>53210.19</v>
      </c>
      <c r="S92" s="306">
        <f t="shared" si="44"/>
        <v>0.59491971476786665</v>
      </c>
      <c r="T92" s="70">
        <v>2039.12</v>
      </c>
      <c r="U92" s="6">
        <v>3343.75</v>
      </c>
      <c r="V92" s="138">
        <f t="shared" si="51"/>
        <v>5382.87</v>
      </c>
      <c r="W92" s="6">
        <v>51703.15</v>
      </c>
      <c r="X92" s="138">
        <f t="shared" si="52"/>
        <v>57086.020000000004</v>
      </c>
      <c r="Y92" s="167">
        <f t="shared" si="45"/>
        <v>7.2839995497103127E-2</v>
      </c>
      <c r="Z92" s="70">
        <v>2597.5100000000002</v>
      </c>
      <c r="AA92" s="6">
        <v>7967.37</v>
      </c>
      <c r="AB92" s="138">
        <f t="shared" si="53"/>
        <v>10564.880000000001</v>
      </c>
      <c r="AC92" s="6">
        <v>51703.15</v>
      </c>
      <c r="AD92" s="138">
        <f t="shared" si="54"/>
        <v>62268.03</v>
      </c>
      <c r="AE92" s="167">
        <f t="shared" si="55"/>
        <v>9.0775464816079218E-2</v>
      </c>
      <c r="AF92" s="319">
        <v>2311.54</v>
      </c>
      <c r="AG92" s="4">
        <v>13826.19</v>
      </c>
      <c r="AH92" s="138">
        <f t="shared" si="56"/>
        <v>16137.73</v>
      </c>
      <c r="AI92" s="6">
        <v>51703.15</v>
      </c>
      <c r="AJ92" s="138">
        <f t="shared" si="57"/>
        <v>67840.88</v>
      </c>
      <c r="AK92" s="167">
        <f t="shared" si="58"/>
        <v>8.9497772773604781E-2</v>
      </c>
      <c r="AL92" s="6">
        <v>2175.5300000000002</v>
      </c>
      <c r="AM92" s="6">
        <v>19002.66</v>
      </c>
      <c r="AN92" s="138">
        <f t="shared" si="59"/>
        <v>21178.19</v>
      </c>
      <c r="AO92" s="6">
        <v>51703.15</v>
      </c>
      <c r="AP92" s="138">
        <f t="shared" si="60"/>
        <v>72881.34</v>
      </c>
      <c r="AQ92" s="167">
        <f t="shared" si="61"/>
        <v>7.4298269715840831E-2</v>
      </c>
      <c r="AR92" s="164">
        <f t="shared" si="62"/>
        <v>313286.45999999996</v>
      </c>
      <c r="AS92" s="165">
        <f t="shared" si="46"/>
        <v>8.1820943307451266E-2</v>
      </c>
    </row>
    <row r="93" spans="2:45" outlineLevel="1" x14ac:dyDescent="0.35">
      <c r="B93" s="294" t="s">
        <v>89</v>
      </c>
      <c r="C93" s="62" t="s">
        <v>147</v>
      </c>
      <c r="D93" s="70">
        <v>17690.564948013776</v>
      </c>
      <c r="E93" s="70">
        <v>20498.542101181803</v>
      </c>
      <c r="F93" s="167">
        <f t="shared" si="41"/>
        <v>0.15872738724962512</v>
      </c>
      <c r="G93" s="70">
        <v>22016.259027318891</v>
      </c>
      <c r="H93" s="167">
        <f t="shared" si="47"/>
        <v>7.4040237527408653E-2</v>
      </c>
      <c r="I93" s="70">
        <v>19283.599999999999</v>
      </c>
      <c r="J93" s="167">
        <f t="shared" si="48"/>
        <v>-0.12412004346097447</v>
      </c>
      <c r="K93" s="70">
        <v>13532.5</v>
      </c>
      <c r="L93" s="167">
        <f t="shared" si="49"/>
        <v>-0.29823788089360903</v>
      </c>
      <c r="M93" s="164">
        <f t="shared" si="50"/>
        <v>93021.466076514465</v>
      </c>
      <c r="N93" s="165">
        <f t="shared" si="42"/>
        <v>-6.4790126266539017E-2</v>
      </c>
      <c r="P93" s="70">
        <v>582.94000000000005</v>
      </c>
      <c r="Q93" s="6">
        <v>35538.480000000003</v>
      </c>
      <c r="R93" s="138">
        <f t="shared" si="43"/>
        <v>36121.420000000006</v>
      </c>
      <c r="S93" s="306">
        <f t="shared" si="44"/>
        <v>1.6692348050988366</v>
      </c>
      <c r="T93" s="70">
        <v>711.8</v>
      </c>
      <c r="U93" s="6">
        <v>1290.02</v>
      </c>
      <c r="V93" s="138">
        <f t="shared" si="51"/>
        <v>2001.82</v>
      </c>
      <c r="W93" s="6">
        <v>35538.480000000003</v>
      </c>
      <c r="X93" s="138">
        <f t="shared" si="52"/>
        <v>37540.300000000003</v>
      </c>
      <c r="Y93" s="167">
        <f t="shared" si="45"/>
        <v>3.9280847762906253E-2</v>
      </c>
      <c r="Z93" s="70">
        <v>897.79</v>
      </c>
      <c r="AA93" s="6">
        <v>2904.6</v>
      </c>
      <c r="AB93" s="138">
        <f t="shared" si="53"/>
        <v>3802.39</v>
      </c>
      <c r="AC93" s="6">
        <v>35538.480000000003</v>
      </c>
      <c r="AD93" s="138">
        <f t="shared" si="54"/>
        <v>39340.870000000003</v>
      </c>
      <c r="AE93" s="167">
        <f t="shared" si="55"/>
        <v>4.7963655058696909E-2</v>
      </c>
      <c r="AF93" s="319">
        <v>1028.57</v>
      </c>
      <c r="AG93" s="4">
        <v>4930.0200000000004</v>
      </c>
      <c r="AH93" s="138">
        <f t="shared" si="56"/>
        <v>5958.59</v>
      </c>
      <c r="AI93" s="6">
        <v>35538.480000000003</v>
      </c>
      <c r="AJ93" s="138">
        <f t="shared" si="57"/>
        <v>41497.070000000007</v>
      </c>
      <c r="AK93" s="167">
        <f t="shared" si="58"/>
        <v>5.4808142270366775E-2</v>
      </c>
      <c r="AL93" s="6">
        <v>956.48</v>
      </c>
      <c r="AM93" s="6">
        <v>7233.55</v>
      </c>
      <c r="AN93" s="138">
        <f t="shared" si="59"/>
        <v>8190.0300000000007</v>
      </c>
      <c r="AO93" s="6">
        <v>35538.480000000003</v>
      </c>
      <c r="AP93" s="138">
        <f t="shared" si="60"/>
        <v>43728.51</v>
      </c>
      <c r="AQ93" s="167">
        <f t="shared" si="61"/>
        <v>5.3773435088308515E-2</v>
      </c>
      <c r="AR93" s="164">
        <f t="shared" si="62"/>
        <v>198228.17</v>
      </c>
      <c r="AS93" s="165">
        <f t="shared" si="46"/>
        <v>4.8938355567408109E-2</v>
      </c>
    </row>
    <row r="94" spans="2:45" outlineLevel="1" x14ac:dyDescent="0.35">
      <c r="B94" s="294" t="s">
        <v>90</v>
      </c>
      <c r="C94" s="62" t="s">
        <v>147</v>
      </c>
      <c r="D94" s="70">
        <v>65.368892509909358</v>
      </c>
      <c r="E94" s="70">
        <v>91.057306327400894</v>
      </c>
      <c r="F94" s="167">
        <f t="shared" si="41"/>
        <v>0.39297612107467472</v>
      </c>
      <c r="G94" s="70">
        <v>96.006982503753704</v>
      </c>
      <c r="H94" s="167">
        <f t="shared" si="47"/>
        <v>5.4357814611339511E-2</v>
      </c>
      <c r="I94" s="70">
        <v>80.5</v>
      </c>
      <c r="J94" s="167">
        <f t="shared" si="48"/>
        <v>-0.16151931973434755</v>
      </c>
      <c r="K94" s="70">
        <v>68.900000000000006</v>
      </c>
      <c r="L94" s="167">
        <f t="shared" si="49"/>
        <v>-0.14409937888198751</v>
      </c>
      <c r="M94" s="164">
        <f t="shared" si="50"/>
        <v>401.83318134106401</v>
      </c>
      <c r="N94" s="165">
        <f t="shared" si="42"/>
        <v>1.3239294134094193E-2</v>
      </c>
      <c r="P94" s="70">
        <v>3.28</v>
      </c>
      <c r="Q94" s="6">
        <v>97.68</v>
      </c>
      <c r="R94" s="138">
        <f t="shared" si="43"/>
        <v>100.96000000000001</v>
      </c>
      <c r="S94" s="306">
        <f t="shared" si="44"/>
        <v>0.46531204644412189</v>
      </c>
      <c r="T94" s="70">
        <v>39.32</v>
      </c>
      <c r="U94" s="6">
        <v>7.25</v>
      </c>
      <c r="V94" s="138">
        <f t="shared" si="51"/>
        <v>46.57</v>
      </c>
      <c r="W94" s="6">
        <v>97.68</v>
      </c>
      <c r="X94" s="138">
        <f t="shared" si="52"/>
        <v>144.25</v>
      </c>
      <c r="Y94" s="167">
        <f t="shared" si="45"/>
        <v>0.42878367670364492</v>
      </c>
      <c r="Z94" s="70">
        <v>48.45</v>
      </c>
      <c r="AA94" s="6">
        <v>96.43</v>
      </c>
      <c r="AB94" s="138">
        <f t="shared" si="53"/>
        <v>144.88</v>
      </c>
      <c r="AC94" s="6">
        <v>97.68</v>
      </c>
      <c r="AD94" s="138">
        <f t="shared" si="54"/>
        <v>242.56</v>
      </c>
      <c r="AE94" s="167">
        <f t="shared" si="55"/>
        <v>0.68152512998266901</v>
      </c>
      <c r="AF94" s="319">
        <v>91.66</v>
      </c>
      <c r="AG94" s="4">
        <v>205.73</v>
      </c>
      <c r="AH94" s="138">
        <f t="shared" si="56"/>
        <v>297.39</v>
      </c>
      <c r="AI94" s="6">
        <v>97.68</v>
      </c>
      <c r="AJ94" s="138">
        <f t="shared" si="57"/>
        <v>395.07</v>
      </c>
      <c r="AK94" s="167">
        <f t="shared" si="58"/>
        <v>0.62875164907651715</v>
      </c>
      <c r="AL94" s="6">
        <v>93.71</v>
      </c>
      <c r="AM94" s="6">
        <v>411.01</v>
      </c>
      <c r="AN94" s="138">
        <f t="shared" si="59"/>
        <v>504.71999999999997</v>
      </c>
      <c r="AO94" s="6">
        <v>97.68</v>
      </c>
      <c r="AP94" s="138">
        <f t="shared" si="60"/>
        <v>602.4</v>
      </c>
      <c r="AQ94" s="167">
        <f t="shared" si="61"/>
        <v>0.52479307464499958</v>
      </c>
      <c r="AR94" s="164">
        <f t="shared" si="62"/>
        <v>1485.2399999999998</v>
      </c>
      <c r="AS94" s="165">
        <f t="shared" si="46"/>
        <v>0.56290976746344445</v>
      </c>
    </row>
    <row r="95" spans="2:45" outlineLevel="1" x14ac:dyDescent="0.35">
      <c r="B95" s="294" t="s">
        <v>91</v>
      </c>
      <c r="C95" s="62" t="s">
        <v>147</v>
      </c>
      <c r="D95" s="70">
        <v>1773.7350309419319</v>
      </c>
      <c r="E95" s="70">
        <v>1904.356875476926</v>
      </c>
      <c r="F95" s="167">
        <f t="shared" si="41"/>
        <v>7.3642253355975129E-2</v>
      </c>
      <c r="G95" s="70">
        <v>2347.0155904747489</v>
      </c>
      <c r="H95" s="167">
        <f t="shared" si="47"/>
        <v>0.23244525261945126</v>
      </c>
      <c r="I95" s="70">
        <v>2413.1</v>
      </c>
      <c r="J95" s="167">
        <f t="shared" si="48"/>
        <v>2.8156783360729007E-2</v>
      </c>
      <c r="K95" s="70">
        <v>1834.4</v>
      </c>
      <c r="L95" s="167">
        <f t="shared" si="49"/>
        <v>-0.2398160043098089</v>
      </c>
      <c r="M95" s="164">
        <f t="shared" si="50"/>
        <v>10272.607496893606</v>
      </c>
      <c r="N95" s="165">
        <f t="shared" si="42"/>
        <v>8.4429277438320405E-3</v>
      </c>
      <c r="P95" s="70">
        <v>30.97</v>
      </c>
      <c r="Q95" s="6">
        <v>2453.5</v>
      </c>
      <c r="R95" s="138">
        <f t="shared" si="43"/>
        <v>2484.4699999999998</v>
      </c>
      <c r="S95" s="306">
        <f t="shared" si="44"/>
        <v>0.35437745311818558</v>
      </c>
      <c r="T95" s="70">
        <v>53.16</v>
      </c>
      <c r="U95" s="6">
        <v>68.37</v>
      </c>
      <c r="V95" s="138">
        <f t="shared" si="51"/>
        <v>121.53</v>
      </c>
      <c r="W95" s="6">
        <v>2453.5</v>
      </c>
      <c r="X95" s="138">
        <f t="shared" si="52"/>
        <v>2575.0300000000002</v>
      </c>
      <c r="Y95" s="167">
        <f t="shared" si="45"/>
        <v>3.6450430071604971E-2</v>
      </c>
      <c r="Z95" s="70">
        <v>78.989999999999995</v>
      </c>
      <c r="AA95" s="6">
        <v>188.97</v>
      </c>
      <c r="AB95" s="138">
        <f t="shared" si="53"/>
        <v>267.95999999999998</v>
      </c>
      <c r="AC95" s="6">
        <v>2453.5</v>
      </c>
      <c r="AD95" s="138">
        <f t="shared" si="54"/>
        <v>2721.46</v>
      </c>
      <c r="AE95" s="167">
        <f t="shared" si="55"/>
        <v>5.6865356908463137E-2</v>
      </c>
      <c r="AF95" s="319">
        <v>71.58</v>
      </c>
      <c r="AG95" s="4">
        <v>367.18</v>
      </c>
      <c r="AH95" s="138">
        <f t="shared" si="56"/>
        <v>438.76</v>
      </c>
      <c r="AI95" s="6">
        <v>2453.5</v>
      </c>
      <c r="AJ95" s="138">
        <f t="shared" si="57"/>
        <v>2892.26</v>
      </c>
      <c r="AK95" s="167">
        <f t="shared" si="58"/>
        <v>6.2760430063274919E-2</v>
      </c>
      <c r="AL95" s="6">
        <v>71.790000000000006</v>
      </c>
      <c r="AM95" s="6">
        <v>527.5</v>
      </c>
      <c r="AN95" s="138">
        <f t="shared" si="59"/>
        <v>599.29</v>
      </c>
      <c r="AO95" s="6">
        <v>2453.5</v>
      </c>
      <c r="AP95" s="138">
        <f t="shared" si="60"/>
        <v>3052.79</v>
      </c>
      <c r="AQ95" s="167">
        <f t="shared" si="61"/>
        <v>5.5503308831156166E-2</v>
      </c>
      <c r="AR95" s="164">
        <f t="shared" si="62"/>
        <v>13726.010000000002</v>
      </c>
      <c r="AS95" s="165">
        <f t="shared" si="46"/>
        <v>5.2848283332720625E-2</v>
      </c>
    </row>
    <row r="96" spans="2:45" outlineLevel="1" x14ac:dyDescent="0.35">
      <c r="B96" s="294" t="s">
        <v>92</v>
      </c>
      <c r="C96" s="62" t="s">
        <v>147</v>
      </c>
      <c r="D96" s="70">
        <v>11333.571876357635</v>
      </c>
      <c r="E96" s="70">
        <v>12571.819762749299</v>
      </c>
      <c r="F96" s="167">
        <f t="shared" si="41"/>
        <v>0.10925486685929151</v>
      </c>
      <c r="G96" s="70">
        <v>15778.527315439918</v>
      </c>
      <c r="H96" s="167">
        <f t="shared" si="47"/>
        <v>0.25507107270120077</v>
      </c>
      <c r="I96" s="70">
        <v>16985.5</v>
      </c>
      <c r="J96" s="167">
        <f t="shared" si="48"/>
        <v>7.6494634792627997E-2</v>
      </c>
      <c r="K96" s="70">
        <v>12215.7</v>
      </c>
      <c r="L96" s="167">
        <f t="shared" si="49"/>
        <v>-0.28081599010921077</v>
      </c>
      <c r="M96" s="164">
        <f t="shared" si="50"/>
        <v>68885.118954546851</v>
      </c>
      <c r="N96" s="165">
        <f t="shared" si="42"/>
        <v>1.8914842940264576E-2</v>
      </c>
      <c r="P96" s="70">
        <v>1092.1300000000001</v>
      </c>
      <c r="Q96" s="6">
        <v>26877.38</v>
      </c>
      <c r="R96" s="138">
        <f t="shared" si="43"/>
        <v>27969.510000000002</v>
      </c>
      <c r="S96" s="306">
        <f t="shared" si="44"/>
        <v>1.2896362877280876</v>
      </c>
      <c r="T96" s="70">
        <v>1356.65</v>
      </c>
      <c r="U96" s="6">
        <v>2423.59</v>
      </c>
      <c r="V96" s="138">
        <f t="shared" si="51"/>
        <v>3780.2400000000002</v>
      </c>
      <c r="W96" s="6">
        <v>26877.38</v>
      </c>
      <c r="X96" s="138">
        <f t="shared" si="52"/>
        <v>30657.620000000003</v>
      </c>
      <c r="Y96" s="167">
        <f t="shared" si="45"/>
        <v>9.6108583954456137E-2</v>
      </c>
      <c r="Z96" s="70">
        <v>1640.24</v>
      </c>
      <c r="AA96" s="6">
        <v>5499.68</v>
      </c>
      <c r="AB96" s="138">
        <f t="shared" si="53"/>
        <v>7139.92</v>
      </c>
      <c r="AC96" s="6">
        <v>26877.38</v>
      </c>
      <c r="AD96" s="138">
        <f t="shared" si="54"/>
        <v>34017.300000000003</v>
      </c>
      <c r="AE96" s="167">
        <f t="shared" si="55"/>
        <v>0.10958711080638353</v>
      </c>
      <c r="AF96" s="319">
        <v>1461.61</v>
      </c>
      <c r="AG96" s="4">
        <v>9199.34</v>
      </c>
      <c r="AH96" s="138">
        <f t="shared" si="56"/>
        <v>10660.95</v>
      </c>
      <c r="AI96" s="6">
        <v>26877.38</v>
      </c>
      <c r="AJ96" s="138">
        <f t="shared" si="57"/>
        <v>37538.33</v>
      </c>
      <c r="AK96" s="167">
        <f t="shared" si="58"/>
        <v>0.10350703906541667</v>
      </c>
      <c r="AL96" s="6">
        <v>1169.21</v>
      </c>
      <c r="AM96" s="6">
        <v>12472.5</v>
      </c>
      <c r="AN96" s="138">
        <f t="shared" si="59"/>
        <v>13641.71</v>
      </c>
      <c r="AO96" s="6">
        <v>26877.38</v>
      </c>
      <c r="AP96" s="138">
        <f t="shared" si="60"/>
        <v>40519.089999999997</v>
      </c>
      <c r="AQ96" s="167">
        <f t="shared" si="61"/>
        <v>7.9405770048907198E-2</v>
      </c>
      <c r="AR96" s="164">
        <f t="shared" si="62"/>
        <v>170701.85</v>
      </c>
      <c r="AS96" s="165">
        <f t="shared" si="46"/>
        <v>9.7093662463092034E-2</v>
      </c>
    </row>
    <row r="97" spans="2:45" outlineLevel="1" x14ac:dyDescent="0.35">
      <c r="B97" s="294" t="s">
        <v>93</v>
      </c>
      <c r="C97" s="62" t="s">
        <v>147</v>
      </c>
      <c r="D97" s="70">
        <v>14412.363323001435</v>
      </c>
      <c r="E97" s="70">
        <v>18819.603778290249</v>
      </c>
      <c r="F97" s="167">
        <f t="shared" si="41"/>
        <v>0.30579581963875918</v>
      </c>
      <c r="G97" s="70">
        <v>22305.471619629061</v>
      </c>
      <c r="H97" s="167">
        <f t="shared" si="47"/>
        <v>0.18522535768579826</v>
      </c>
      <c r="I97" s="70">
        <v>21422.2</v>
      </c>
      <c r="J97" s="167">
        <f t="shared" si="48"/>
        <v>-3.9598876665390546E-2</v>
      </c>
      <c r="K97" s="70">
        <v>17434</v>
      </c>
      <c r="L97" s="167">
        <f t="shared" si="49"/>
        <v>-0.18617135494953835</v>
      </c>
      <c r="M97" s="164">
        <f t="shared" si="50"/>
        <v>94393.638720920746</v>
      </c>
      <c r="N97" s="165">
        <f t="shared" si="42"/>
        <v>4.8734270196814977E-2</v>
      </c>
      <c r="P97" s="70">
        <v>1493.02</v>
      </c>
      <c r="Q97" s="6">
        <v>33294.18</v>
      </c>
      <c r="R97" s="138">
        <f t="shared" si="43"/>
        <v>34787.199999999997</v>
      </c>
      <c r="S97" s="306">
        <f t="shared" si="44"/>
        <v>0.99536537799701719</v>
      </c>
      <c r="T97" s="70">
        <v>2036.1</v>
      </c>
      <c r="U97" s="6">
        <v>3311.2</v>
      </c>
      <c r="V97" s="138">
        <f t="shared" si="51"/>
        <v>5347.2999999999993</v>
      </c>
      <c r="W97" s="6">
        <v>33294.18</v>
      </c>
      <c r="X97" s="138">
        <f t="shared" si="52"/>
        <v>38641.479999999996</v>
      </c>
      <c r="Y97" s="167">
        <f t="shared" si="45"/>
        <v>0.11079592493790817</v>
      </c>
      <c r="Z97" s="70">
        <v>3458.82</v>
      </c>
      <c r="AA97" s="6">
        <v>7928.18</v>
      </c>
      <c r="AB97" s="138">
        <f t="shared" si="53"/>
        <v>11387</v>
      </c>
      <c r="AC97" s="6">
        <v>33294.18</v>
      </c>
      <c r="AD97" s="138">
        <f t="shared" si="54"/>
        <v>44681.18</v>
      </c>
      <c r="AE97" s="167">
        <f t="shared" si="55"/>
        <v>0.15630094913548873</v>
      </c>
      <c r="AF97" s="319">
        <v>3685.69</v>
      </c>
      <c r="AG97" s="4">
        <v>15729.64</v>
      </c>
      <c r="AH97" s="138">
        <f t="shared" si="56"/>
        <v>19415.329999999998</v>
      </c>
      <c r="AI97" s="6">
        <v>33294.18</v>
      </c>
      <c r="AJ97" s="138">
        <f t="shared" si="57"/>
        <v>52709.509999999995</v>
      </c>
      <c r="AK97" s="167">
        <f t="shared" si="58"/>
        <v>0.17968034863895704</v>
      </c>
      <c r="AL97" s="6">
        <v>3171.42</v>
      </c>
      <c r="AM97" s="6">
        <v>23983.27</v>
      </c>
      <c r="AN97" s="138">
        <f t="shared" si="59"/>
        <v>27154.690000000002</v>
      </c>
      <c r="AO97" s="6">
        <v>33294.18</v>
      </c>
      <c r="AP97" s="138">
        <f t="shared" si="60"/>
        <v>60448.87</v>
      </c>
      <c r="AQ97" s="167">
        <f t="shared" si="61"/>
        <v>0.14683042965112006</v>
      </c>
      <c r="AR97" s="164">
        <f t="shared" si="62"/>
        <v>231268.24</v>
      </c>
      <c r="AS97" s="165">
        <f t="shared" si="46"/>
        <v>0.14813294297858981</v>
      </c>
    </row>
    <row r="98" spans="2:45" outlineLevel="1" x14ac:dyDescent="0.35">
      <c r="B98" s="294" t="s">
        <v>94</v>
      </c>
      <c r="C98" s="62" t="s">
        <v>147</v>
      </c>
      <c r="D98" s="70">
        <v>30498.822981229729</v>
      </c>
      <c r="E98" s="70">
        <v>34696.499300126503</v>
      </c>
      <c r="F98" s="167">
        <f t="shared" si="41"/>
        <v>0.1376340431720989</v>
      </c>
      <c r="G98" s="70">
        <v>38359.163300511296</v>
      </c>
      <c r="H98" s="167">
        <f t="shared" si="47"/>
        <v>0.1055629263546896</v>
      </c>
      <c r="I98" s="70">
        <v>33339.699999999997</v>
      </c>
      <c r="J98" s="167">
        <f t="shared" si="48"/>
        <v>-0.13085434792172315</v>
      </c>
      <c r="K98" s="70">
        <v>33747</v>
      </c>
      <c r="L98" s="167">
        <f t="shared" si="49"/>
        <v>1.2216666616676303E-2</v>
      </c>
      <c r="M98" s="164">
        <f t="shared" si="50"/>
        <v>170641.18558186752</v>
      </c>
      <c r="N98" s="165">
        <f t="shared" si="42"/>
        <v>2.5623641288939458E-2</v>
      </c>
      <c r="P98" s="70">
        <v>1106.99</v>
      </c>
      <c r="Q98" s="6">
        <v>54994.03</v>
      </c>
      <c r="R98" s="138">
        <f t="shared" si="43"/>
        <v>56101.02</v>
      </c>
      <c r="S98" s="306">
        <f t="shared" si="44"/>
        <v>0.66240021335229793</v>
      </c>
      <c r="T98" s="70">
        <v>1469.75</v>
      </c>
      <c r="U98" s="6">
        <v>2452.39</v>
      </c>
      <c r="V98" s="138">
        <f t="shared" si="51"/>
        <v>3922.14</v>
      </c>
      <c r="W98" s="6">
        <v>54994.03</v>
      </c>
      <c r="X98" s="138">
        <f t="shared" si="52"/>
        <v>58916.17</v>
      </c>
      <c r="Y98" s="167">
        <f t="shared" si="45"/>
        <v>5.0180014552320108E-2</v>
      </c>
      <c r="Z98" s="70">
        <v>1790</v>
      </c>
      <c r="AA98" s="6">
        <v>5785.71</v>
      </c>
      <c r="AB98" s="138">
        <f t="shared" si="53"/>
        <v>7575.71</v>
      </c>
      <c r="AC98" s="6">
        <v>54994.03</v>
      </c>
      <c r="AD98" s="138">
        <f t="shared" si="54"/>
        <v>62569.74</v>
      </c>
      <c r="AE98" s="167">
        <f t="shared" si="55"/>
        <v>6.2013026305002508E-2</v>
      </c>
      <c r="AF98" s="319">
        <v>1763.51</v>
      </c>
      <c r="AG98" s="4">
        <v>9823.68</v>
      </c>
      <c r="AH98" s="138">
        <f t="shared" si="56"/>
        <v>11587.19</v>
      </c>
      <c r="AI98" s="6">
        <v>54994.03</v>
      </c>
      <c r="AJ98" s="138">
        <f t="shared" si="57"/>
        <v>66581.22</v>
      </c>
      <c r="AK98" s="167">
        <f t="shared" si="58"/>
        <v>6.4112141108465581E-2</v>
      </c>
      <c r="AL98" s="6">
        <v>1595.38</v>
      </c>
      <c r="AM98" s="6">
        <v>13773.1</v>
      </c>
      <c r="AN98" s="138">
        <f t="shared" si="59"/>
        <v>15368.48</v>
      </c>
      <c r="AO98" s="6">
        <v>54994.03</v>
      </c>
      <c r="AP98" s="138">
        <f t="shared" si="60"/>
        <v>70362.509999999995</v>
      </c>
      <c r="AQ98" s="167">
        <f t="shared" si="61"/>
        <v>5.6792140486461404E-2</v>
      </c>
      <c r="AR98" s="164">
        <f t="shared" si="62"/>
        <v>314530.65999999997</v>
      </c>
      <c r="AS98" s="165">
        <f t="shared" si="46"/>
        <v>5.8260634686577495E-2</v>
      </c>
    </row>
    <row r="99" spans="2:45" outlineLevel="1" x14ac:dyDescent="0.35">
      <c r="B99" s="294" t="s">
        <v>95</v>
      </c>
      <c r="C99" s="62" t="s">
        <v>147</v>
      </c>
      <c r="D99" s="70">
        <v>33829.529198187854</v>
      </c>
      <c r="E99" s="70">
        <v>39016.197365663902</v>
      </c>
      <c r="F99" s="167">
        <f t="shared" si="41"/>
        <v>0.15331777563590454</v>
      </c>
      <c r="G99" s="70">
        <v>42222.466940573802</v>
      </c>
      <c r="H99" s="167">
        <f t="shared" si="47"/>
        <v>8.217791049343956E-2</v>
      </c>
      <c r="I99" s="70">
        <v>47723.4</v>
      </c>
      <c r="J99" s="167">
        <f t="shared" si="48"/>
        <v>0.13028450154673604</v>
      </c>
      <c r="K99" s="70">
        <v>28512.9</v>
      </c>
      <c r="L99" s="167">
        <f t="shared" si="49"/>
        <v>-0.40253837739976617</v>
      </c>
      <c r="M99" s="164">
        <f t="shared" si="50"/>
        <v>191304.49350442554</v>
      </c>
      <c r="N99" s="165">
        <f t="shared" si="42"/>
        <v>-4.1843700450336252E-2</v>
      </c>
      <c r="P99" s="70">
        <v>876.32</v>
      </c>
      <c r="Q99" s="6">
        <v>63787.63</v>
      </c>
      <c r="R99" s="138">
        <f t="shared" si="43"/>
        <v>64663.95</v>
      </c>
      <c r="S99" s="306">
        <f t="shared" si="44"/>
        <v>1.2678840103952946</v>
      </c>
      <c r="T99" s="70">
        <v>1126.9000000000001</v>
      </c>
      <c r="U99" s="6">
        <v>1942.11</v>
      </c>
      <c r="V99" s="138">
        <f t="shared" si="51"/>
        <v>3069.01</v>
      </c>
      <c r="W99" s="6">
        <v>63787.63</v>
      </c>
      <c r="X99" s="138">
        <f t="shared" si="52"/>
        <v>66856.639999999999</v>
      </c>
      <c r="Y99" s="167">
        <f t="shared" si="45"/>
        <v>3.390900184724259E-2</v>
      </c>
      <c r="Z99" s="70">
        <v>1505</v>
      </c>
      <c r="AA99" s="6">
        <v>4497.87</v>
      </c>
      <c r="AB99" s="138">
        <f t="shared" si="53"/>
        <v>6002.87</v>
      </c>
      <c r="AC99" s="6">
        <v>63787.63</v>
      </c>
      <c r="AD99" s="138">
        <f t="shared" si="54"/>
        <v>69790.5</v>
      </c>
      <c r="AE99" s="167">
        <f t="shared" si="55"/>
        <v>4.3882851426574838E-2</v>
      </c>
      <c r="AF99" s="319">
        <v>1611.27</v>
      </c>
      <c r="AG99" s="4">
        <v>7893.06</v>
      </c>
      <c r="AH99" s="138">
        <f t="shared" si="56"/>
        <v>9504.33</v>
      </c>
      <c r="AI99" s="6">
        <v>63787.63</v>
      </c>
      <c r="AJ99" s="138">
        <f t="shared" si="57"/>
        <v>73291.959999999992</v>
      </c>
      <c r="AK99" s="167">
        <f t="shared" si="58"/>
        <v>5.0171011813928711E-2</v>
      </c>
      <c r="AL99" s="6">
        <v>1306.17</v>
      </c>
      <c r="AM99" s="6">
        <v>11501.65</v>
      </c>
      <c r="AN99" s="138">
        <f t="shared" si="59"/>
        <v>12807.82</v>
      </c>
      <c r="AO99" s="6">
        <v>63787.63</v>
      </c>
      <c r="AP99" s="138">
        <f t="shared" si="60"/>
        <v>76595.45</v>
      </c>
      <c r="AQ99" s="167">
        <f t="shared" si="61"/>
        <v>4.5073020287627809E-2</v>
      </c>
      <c r="AR99" s="164">
        <f t="shared" si="62"/>
        <v>351198.5</v>
      </c>
      <c r="AS99" s="165">
        <f t="shared" si="46"/>
        <v>4.3242294151776939E-2</v>
      </c>
    </row>
    <row r="100" spans="2:45" outlineLevel="1" x14ac:dyDescent="0.35">
      <c r="B100" s="294" t="s">
        <v>96</v>
      </c>
      <c r="C100" s="62" t="s">
        <v>147</v>
      </c>
      <c r="D100" s="70">
        <v>23121.126959746376</v>
      </c>
      <c r="E100" s="70">
        <v>24616.44027545652</v>
      </c>
      <c r="F100" s="167">
        <f t="shared" si="41"/>
        <v>6.4673029057513834E-2</v>
      </c>
      <c r="G100" s="70">
        <v>25927.155822218239</v>
      </c>
      <c r="H100" s="167">
        <f t="shared" si="47"/>
        <v>5.3245535589016506E-2</v>
      </c>
      <c r="I100" s="70">
        <v>21714.799999999999</v>
      </c>
      <c r="J100" s="167">
        <f t="shared" si="48"/>
        <v>-0.16246887437643537</v>
      </c>
      <c r="K100" s="70">
        <v>15584.5</v>
      </c>
      <c r="L100" s="167">
        <f t="shared" si="49"/>
        <v>-0.28230976108460587</v>
      </c>
      <c r="M100" s="164">
        <f t="shared" si="50"/>
        <v>110964.02305742113</v>
      </c>
      <c r="N100" s="165">
        <f t="shared" si="42"/>
        <v>-9.3910769151741236E-2</v>
      </c>
      <c r="P100" s="70">
        <v>616.09</v>
      </c>
      <c r="Q100" s="6">
        <v>29984.07</v>
      </c>
      <c r="R100" s="138">
        <f t="shared" si="43"/>
        <v>30600.16</v>
      </c>
      <c r="S100" s="306">
        <f t="shared" si="44"/>
        <v>0.96349963104366521</v>
      </c>
      <c r="T100" s="70">
        <v>807.67</v>
      </c>
      <c r="U100" s="6">
        <v>1363.71</v>
      </c>
      <c r="V100" s="138">
        <f t="shared" si="51"/>
        <v>2171.38</v>
      </c>
      <c r="W100" s="6">
        <v>29984.07</v>
      </c>
      <c r="X100" s="138">
        <f t="shared" si="52"/>
        <v>32155.45</v>
      </c>
      <c r="Y100" s="167">
        <f t="shared" si="45"/>
        <v>5.082620483030157E-2</v>
      </c>
      <c r="Z100" s="70">
        <v>1103.54</v>
      </c>
      <c r="AA100" s="6">
        <v>3195.68</v>
      </c>
      <c r="AB100" s="138">
        <f t="shared" si="53"/>
        <v>4299.2199999999993</v>
      </c>
      <c r="AC100" s="6">
        <v>29984.07</v>
      </c>
      <c r="AD100" s="138">
        <f t="shared" si="54"/>
        <v>34283.29</v>
      </c>
      <c r="AE100" s="167">
        <f t="shared" si="55"/>
        <v>6.6173541343691356E-2</v>
      </c>
      <c r="AF100" s="319">
        <v>1017.36</v>
      </c>
      <c r="AG100" s="4">
        <v>5685.2</v>
      </c>
      <c r="AH100" s="138">
        <f t="shared" si="56"/>
        <v>6702.5599999999995</v>
      </c>
      <c r="AI100" s="6">
        <v>29984.07</v>
      </c>
      <c r="AJ100" s="138">
        <f t="shared" si="57"/>
        <v>36686.629999999997</v>
      </c>
      <c r="AK100" s="167">
        <f t="shared" si="58"/>
        <v>7.0102373488658651E-2</v>
      </c>
      <c r="AL100" s="6">
        <v>890.47</v>
      </c>
      <c r="AM100" s="6">
        <v>7963.66</v>
      </c>
      <c r="AN100" s="138">
        <f t="shared" si="59"/>
        <v>8854.1299999999992</v>
      </c>
      <c r="AO100" s="6">
        <v>29984.07</v>
      </c>
      <c r="AP100" s="138">
        <f t="shared" si="60"/>
        <v>38838.199999999997</v>
      </c>
      <c r="AQ100" s="167">
        <f t="shared" si="61"/>
        <v>5.8647251055766091E-2</v>
      </c>
      <c r="AR100" s="164">
        <f t="shared" si="62"/>
        <v>172563.72999999998</v>
      </c>
      <c r="AS100" s="165">
        <f t="shared" si="46"/>
        <v>6.1411647608649478E-2</v>
      </c>
    </row>
    <row r="101" spans="2:45" outlineLevel="1" x14ac:dyDescent="0.35">
      <c r="B101" s="294" t="s">
        <v>97</v>
      </c>
      <c r="C101" s="62" t="s">
        <v>147</v>
      </c>
      <c r="D101" s="70">
        <v>34055.267344141641</v>
      </c>
      <c r="E101" s="70">
        <v>36796.226150746996</v>
      </c>
      <c r="F101" s="167">
        <f t="shared" si="41"/>
        <v>8.0485605322281176E-2</v>
      </c>
      <c r="G101" s="70">
        <v>40964.710007870301</v>
      </c>
      <c r="H101" s="167">
        <f t="shared" si="47"/>
        <v>0.11328563532699891</v>
      </c>
      <c r="I101" s="70">
        <v>37051.199999999997</v>
      </c>
      <c r="J101" s="167">
        <f t="shared" si="48"/>
        <v>-9.5533692466477235E-2</v>
      </c>
      <c r="K101" s="70">
        <v>27001</v>
      </c>
      <c r="L101" s="167">
        <f t="shared" si="49"/>
        <v>-0.27125167336010703</v>
      </c>
      <c r="M101" s="164">
        <f t="shared" si="50"/>
        <v>175868.40350275894</v>
      </c>
      <c r="N101" s="165">
        <f t="shared" si="42"/>
        <v>-5.6376194293845772E-2</v>
      </c>
      <c r="P101" s="70">
        <v>1396.25</v>
      </c>
      <c r="Q101" s="6">
        <v>52143.9</v>
      </c>
      <c r="R101" s="138">
        <f t="shared" si="43"/>
        <v>53540.15</v>
      </c>
      <c r="S101" s="306">
        <f t="shared" si="44"/>
        <v>0.98289507796007558</v>
      </c>
      <c r="T101" s="70">
        <v>2286.0500000000002</v>
      </c>
      <c r="U101" s="6">
        <v>3091.31</v>
      </c>
      <c r="V101" s="138">
        <f t="shared" si="51"/>
        <v>5377.3600000000006</v>
      </c>
      <c r="W101" s="6">
        <v>52143.9</v>
      </c>
      <c r="X101" s="138">
        <f t="shared" si="52"/>
        <v>57521.26</v>
      </c>
      <c r="Y101" s="167">
        <f t="shared" si="45"/>
        <v>7.4357468180421618E-2</v>
      </c>
      <c r="Z101" s="70">
        <v>2646.54</v>
      </c>
      <c r="AA101" s="6">
        <v>8276.07</v>
      </c>
      <c r="AB101" s="138">
        <f t="shared" si="53"/>
        <v>10922.61</v>
      </c>
      <c r="AC101" s="6">
        <v>52143.9</v>
      </c>
      <c r="AD101" s="138">
        <f t="shared" si="54"/>
        <v>63066.51</v>
      </c>
      <c r="AE101" s="167">
        <f t="shared" si="55"/>
        <v>9.6403486293589538E-2</v>
      </c>
      <c r="AF101" s="319">
        <v>2152.69</v>
      </c>
      <c r="AG101" s="4">
        <v>14246.31</v>
      </c>
      <c r="AH101" s="138">
        <f t="shared" si="56"/>
        <v>16399</v>
      </c>
      <c r="AI101" s="6">
        <v>52143.9</v>
      </c>
      <c r="AJ101" s="138">
        <f t="shared" si="57"/>
        <v>68542.899999999994</v>
      </c>
      <c r="AK101" s="167">
        <f t="shared" si="58"/>
        <v>8.6835152286054706E-2</v>
      </c>
      <c r="AL101" s="6">
        <v>2303.0100000000002</v>
      </c>
      <c r="AM101" s="6">
        <v>19067.43</v>
      </c>
      <c r="AN101" s="138">
        <f t="shared" si="59"/>
        <v>21370.440000000002</v>
      </c>
      <c r="AO101" s="6">
        <v>52143.9</v>
      </c>
      <c r="AP101" s="138">
        <f t="shared" si="60"/>
        <v>73514.34</v>
      </c>
      <c r="AQ101" s="167">
        <f t="shared" si="61"/>
        <v>7.2530342311165744E-2</v>
      </c>
      <c r="AR101" s="164">
        <f t="shared" si="62"/>
        <v>316185.16000000003</v>
      </c>
      <c r="AS101" s="165">
        <f t="shared" si="46"/>
        <v>8.248807251773993E-2</v>
      </c>
    </row>
    <row r="102" spans="2:45" outlineLevel="1" x14ac:dyDescent="0.35">
      <c r="B102" s="294" t="s">
        <v>98</v>
      </c>
      <c r="C102" s="62" t="s">
        <v>147</v>
      </c>
      <c r="D102" s="70">
        <v>7050.9150369850704</v>
      </c>
      <c r="E102" s="70">
        <v>7775.2026977290298</v>
      </c>
      <c r="F102" s="167">
        <f t="shared" si="41"/>
        <v>0.102722505794604</v>
      </c>
      <c r="G102" s="70">
        <v>8411.230069290661</v>
      </c>
      <c r="H102" s="167">
        <f t="shared" si="47"/>
        <v>8.1802030929354591E-2</v>
      </c>
      <c r="I102" s="70">
        <v>7247.1</v>
      </c>
      <c r="J102" s="167">
        <f t="shared" si="48"/>
        <v>-0.138401881734384</v>
      </c>
      <c r="K102" s="70">
        <v>4957.3</v>
      </c>
      <c r="L102" s="167">
        <f t="shared" si="49"/>
        <v>-0.31596086710546289</v>
      </c>
      <c r="M102" s="164">
        <f t="shared" si="50"/>
        <v>35441.747804004764</v>
      </c>
      <c r="N102" s="165">
        <f t="shared" si="42"/>
        <v>-8.4306924434257802E-2</v>
      </c>
      <c r="P102" s="70">
        <v>296.93</v>
      </c>
      <c r="Q102" s="6">
        <v>10269.799999999999</v>
      </c>
      <c r="R102" s="138">
        <f t="shared" si="43"/>
        <v>10566.73</v>
      </c>
      <c r="S102" s="306">
        <f t="shared" si="44"/>
        <v>1.1315494321505657</v>
      </c>
      <c r="T102" s="70">
        <v>552.58000000000004</v>
      </c>
      <c r="U102" s="6">
        <v>656.95</v>
      </c>
      <c r="V102" s="138">
        <f t="shared" si="51"/>
        <v>1209.5300000000002</v>
      </c>
      <c r="W102" s="6">
        <v>10269.799999999999</v>
      </c>
      <c r="X102" s="138">
        <f t="shared" si="52"/>
        <v>11479.33</v>
      </c>
      <c r="Y102" s="167">
        <f t="shared" si="45"/>
        <v>8.6365412951783613E-2</v>
      </c>
      <c r="Z102" s="70">
        <v>800.16</v>
      </c>
      <c r="AA102" s="6">
        <v>1910.23</v>
      </c>
      <c r="AB102" s="138">
        <f t="shared" si="53"/>
        <v>2710.39</v>
      </c>
      <c r="AC102" s="6">
        <v>10269.799999999999</v>
      </c>
      <c r="AD102" s="138">
        <f t="shared" si="54"/>
        <v>12980.189999999999</v>
      </c>
      <c r="AE102" s="167">
        <f t="shared" si="55"/>
        <v>0.13074456436046344</v>
      </c>
      <c r="AF102" s="319">
        <v>827.04</v>
      </c>
      <c r="AG102" s="4">
        <v>3715.18</v>
      </c>
      <c r="AH102" s="138">
        <f t="shared" si="56"/>
        <v>4542.2199999999993</v>
      </c>
      <c r="AI102" s="6">
        <v>10269.799999999999</v>
      </c>
      <c r="AJ102" s="138">
        <f t="shared" si="57"/>
        <v>14812.019999999999</v>
      </c>
      <c r="AK102" s="167">
        <f t="shared" si="58"/>
        <v>0.1411250528690258</v>
      </c>
      <c r="AL102" s="6">
        <v>857.98</v>
      </c>
      <c r="AM102" s="6">
        <v>5567.31</v>
      </c>
      <c r="AN102" s="138">
        <f t="shared" si="59"/>
        <v>6425.2900000000009</v>
      </c>
      <c r="AO102" s="6">
        <v>10269.799999999999</v>
      </c>
      <c r="AP102" s="138">
        <f t="shared" si="60"/>
        <v>16695.09</v>
      </c>
      <c r="AQ102" s="167">
        <f t="shared" si="61"/>
        <v>0.12713120830244637</v>
      </c>
      <c r="AR102" s="164">
        <f t="shared" si="62"/>
        <v>66533.36</v>
      </c>
      <c r="AS102" s="165">
        <f t="shared" si="46"/>
        <v>0.12114565593869409</v>
      </c>
    </row>
    <row r="103" spans="2:45" outlineLevel="1" x14ac:dyDescent="0.35">
      <c r="B103" s="294" t="s">
        <v>99</v>
      </c>
      <c r="C103" s="62" t="s">
        <v>147</v>
      </c>
      <c r="D103" s="70">
        <v>121896.51607193287</v>
      </c>
      <c r="E103" s="70">
        <v>149411.93351211579</v>
      </c>
      <c r="F103" s="167">
        <f t="shared" si="41"/>
        <v>0.22572767726967424</v>
      </c>
      <c r="G103" s="70">
        <v>160803.51425325431</v>
      </c>
      <c r="H103" s="167">
        <f t="shared" si="47"/>
        <v>7.6242777088583596E-2</v>
      </c>
      <c r="I103" s="70">
        <v>139012.9</v>
      </c>
      <c r="J103" s="167">
        <f t="shared" si="48"/>
        <v>-0.13551080866886789</v>
      </c>
      <c r="K103" s="70">
        <v>114340.1</v>
      </c>
      <c r="L103" s="167">
        <f t="shared" si="49"/>
        <v>-0.17748568658016622</v>
      </c>
      <c r="M103" s="164">
        <f t="shared" si="50"/>
        <v>685464.96383730299</v>
      </c>
      <c r="N103" s="165">
        <f t="shared" si="42"/>
        <v>-1.5871478187962973E-2</v>
      </c>
      <c r="P103" s="70">
        <v>2104.5500000000002</v>
      </c>
      <c r="Q103" s="6">
        <v>140601.28</v>
      </c>
      <c r="R103" s="138">
        <f t="shared" si="43"/>
        <v>142705.82999999999</v>
      </c>
      <c r="S103" s="306">
        <f t="shared" si="44"/>
        <v>0.24808208143949481</v>
      </c>
      <c r="T103" s="70">
        <v>2537.21</v>
      </c>
      <c r="U103" s="6">
        <v>4663.21</v>
      </c>
      <c r="V103" s="138">
        <f t="shared" si="51"/>
        <v>7200.42</v>
      </c>
      <c r="W103" s="6">
        <v>140601.28</v>
      </c>
      <c r="X103" s="138">
        <f t="shared" si="52"/>
        <v>147801.70000000001</v>
      </c>
      <c r="Y103" s="167">
        <f t="shared" si="45"/>
        <v>3.5708912523055469E-2</v>
      </c>
      <c r="Z103" s="70">
        <v>2939.18</v>
      </c>
      <c r="AA103" s="6">
        <v>10417.66</v>
      </c>
      <c r="AB103" s="138">
        <f t="shared" si="53"/>
        <v>13356.84</v>
      </c>
      <c r="AC103" s="6">
        <v>140601.28</v>
      </c>
      <c r="AD103" s="138">
        <f t="shared" si="54"/>
        <v>153958.12</v>
      </c>
      <c r="AE103" s="167">
        <f t="shared" si="55"/>
        <v>4.1653242148094259E-2</v>
      </c>
      <c r="AF103" s="319">
        <v>2962.61</v>
      </c>
      <c r="AG103" s="4">
        <v>17048.43</v>
      </c>
      <c r="AH103" s="138">
        <f t="shared" si="56"/>
        <v>20011.04</v>
      </c>
      <c r="AI103" s="6">
        <v>140601.28</v>
      </c>
      <c r="AJ103" s="138">
        <f t="shared" si="57"/>
        <v>160612.32</v>
      </c>
      <c r="AK103" s="167">
        <f t="shared" si="58"/>
        <v>4.322084473361984E-2</v>
      </c>
      <c r="AL103" s="6">
        <v>2520.61</v>
      </c>
      <c r="AM103" s="6">
        <v>23683.58</v>
      </c>
      <c r="AN103" s="138">
        <f t="shared" si="59"/>
        <v>26204.190000000002</v>
      </c>
      <c r="AO103" s="6">
        <v>140601.28</v>
      </c>
      <c r="AP103" s="138">
        <f t="shared" si="60"/>
        <v>166805.47</v>
      </c>
      <c r="AQ103" s="167">
        <f t="shared" si="61"/>
        <v>3.8559619834891833E-2</v>
      </c>
      <c r="AR103" s="164">
        <f t="shared" si="62"/>
        <v>771883.44</v>
      </c>
      <c r="AS103" s="165">
        <f t="shared" si="46"/>
        <v>3.9781636434590206E-2</v>
      </c>
    </row>
    <row r="104" spans="2:45" outlineLevel="1" x14ac:dyDescent="0.35">
      <c r="B104" s="294" t="s">
        <v>100</v>
      </c>
      <c r="C104" s="62" t="s">
        <v>147</v>
      </c>
      <c r="D104" s="70">
        <v>9113.5809034345475</v>
      </c>
      <c r="E104" s="70">
        <v>10725.11432344911</v>
      </c>
      <c r="F104" s="167">
        <f t="shared" si="41"/>
        <v>0.17682768574614172</v>
      </c>
      <c r="G104" s="70">
        <v>12020.533153747499</v>
      </c>
      <c r="H104" s="167">
        <f t="shared" si="47"/>
        <v>0.12078368502479452</v>
      </c>
      <c r="I104" s="70">
        <v>10501.9</v>
      </c>
      <c r="J104" s="167">
        <f t="shared" si="48"/>
        <v>-0.12633658876220924</v>
      </c>
      <c r="K104" s="70">
        <v>7133.5</v>
      </c>
      <c r="L104" s="167">
        <f t="shared" si="49"/>
        <v>-0.32074196097848956</v>
      </c>
      <c r="M104" s="164">
        <f t="shared" si="50"/>
        <v>49494.628380631155</v>
      </c>
      <c r="N104" s="165">
        <f t="shared" si="42"/>
        <v>-5.9403403203070582E-2</v>
      </c>
      <c r="P104" s="70">
        <v>378.68</v>
      </c>
      <c r="Q104" s="6">
        <v>13750.86</v>
      </c>
      <c r="R104" s="138">
        <f t="shared" si="43"/>
        <v>14129.54</v>
      </c>
      <c r="S104" s="306">
        <f t="shared" si="44"/>
        <v>0.98073035676736542</v>
      </c>
      <c r="T104" s="70">
        <v>767.07</v>
      </c>
      <c r="U104" s="6">
        <v>838.79</v>
      </c>
      <c r="V104" s="138">
        <f t="shared" si="51"/>
        <v>1605.8600000000001</v>
      </c>
      <c r="W104" s="6">
        <v>13750.86</v>
      </c>
      <c r="X104" s="138">
        <f t="shared" si="52"/>
        <v>15356.720000000001</v>
      </c>
      <c r="Y104" s="167">
        <f t="shared" si="45"/>
        <v>8.6852084356603271E-2</v>
      </c>
      <c r="Z104" s="70">
        <v>1071.6099999999999</v>
      </c>
      <c r="AA104" s="6">
        <v>2578.31</v>
      </c>
      <c r="AB104" s="138">
        <f t="shared" si="53"/>
        <v>3649.92</v>
      </c>
      <c r="AC104" s="6">
        <v>13750.86</v>
      </c>
      <c r="AD104" s="138">
        <f t="shared" si="54"/>
        <v>17400.78</v>
      </c>
      <c r="AE104" s="167">
        <f t="shared" si="55"/>
        <v>0.13310524643283184</v>
      </c>
      <c r="AF104" s="319">
        <v>1047.8</v>
      </c>
      <c r="AG104" s="4">
        <v>4995.4399999999996</v>
      </c>
      <c r="AH104" s="138">
        <f t="shared" si="56"/>
        <v>6043.24</v>
      </c>
      <c r="AI104" s="6">
        <v>13750.86</v>
      </c>
      <c r="AJ104" s="138">
        <f t="shared" si="57"/>
        <v>19794.099999999999</v>
      </c>
      <c r="AK104" s="167">
        <f t="shared" si="58"/>
        <v>0.13754096080750403</v>
      </c>
      <c r="AL104" s="6">
        <v>1416.65</v>
      </c>
      <c r="AM104" s="6">
        <v>7341.89</v>
      </c>
      <c r="AN104" s="138">
        <f t="shared" si="59"/>
        <v>8758.5400000000009</v>
      </c>
      <c r="AO104" s="6">
        <v>13750.86</v>
      </c>
      <c r="AP104" s="138">
        <f t="shared" si="60"/>
        <v>22509.4</v>
      </c>
      <c r="AQ104" s="167">
        <f t="shared" si="61"/>
        <v>0.13717723968253182</v>
      </c>
      <c r="AR104" s="164">
        <f t="shared" si="62"/>
        <v>89190.540000000008</v>
      </c>
      <c r="AS104" s="165">
        <f t="shared" si="46"/>
        <v>0.12346351713519121</v>
      </c>
    </row>
    <row r="105" spans="2:45" outlineLevel="1" x14ac:dyDescent="0.35">
      <c r="B105" s="294" t="s">
        <v>101</v>
      </c>
      <c r="C105" s="62" t="s">
        <v>147</v>
      </c>
      <c r="D105" s="70">
        <v>180.27330414902963</v>
      </c>
      <c r="E105" s="70">
        <v>246.37448515308759</v>
      </c>
      <c r="F105" s="167">
        <f t="shared" si="41"/>
        <v>0.36667204451643581</v>
      </c>
      <c r="G105" s="70">
        <v>288.69207139660364</v>
      </c>
      <c r="H105" s="167">
        <f t="shared" si="47"/>
        <v>0.17176123662814163</v>
      </c>
      <c r="I105" s="70">
        <v>268.5</v>
      </c>
      <c r="J105" s="167">
        <f t="shared" si="48"/>
        <v>-6.9943283509382823E-2</v>
      </c>
      <c r="K105" s="70">
        <v>191.2</v>
      </c>
      <c r="L105" s="167">
        <f t="shared" si="49"/>
        <v>-0.28789571694599631</v>
      </c>
      <c r="M105" s="164">
        <f t="shared" si="50"/>
        <v>1175.0398606987208</v>
      </c>
      <c r="N105" s="165">
        <f t="shared" si="42"/>
        <v>1.4820232753659734E-2</v>
      </c>
      <c r="P105" s="70">
        <v>19.7</v>
      </c>
      <c r="Q105" s="6">
        <v>421.18</v>
      </c>
      <c r="R105" s="138">
        <f t="shared" si="43"/>
        <v>440.88</v>
      </c>
      <c r="S105" s="306">
        <f t="shared" si="44"/>
        <v>1.3058577405857741</v>
      </c>
      <c r="T105" s="70">
        <v>21.31</v>
      </c>
      <c r="U105" s="6">
        <v>43.48</v>
      </c>
      <c r="V105" s="138">
        <f t="shared" si="51"/>
        <v>64.789999999999992</v>
      </c>
      <c r="W105" s="6">
        <v>421.18</v>
      </c>
      <c r="X105" s="138">
        <f t="shared" si="52"/>
        <v>485.97</v>
      </c>
      <c r="Y105" s="167">
        <f t="shared" si="45"/>
        <v>0.10227272727272735</v>
      </c>
      <c r="Z105" s="70">
        <v>22.59</v>
      </c>
      <c r="AA105" s="6">
        <v>91.83</v>
      </c>
      <c r="AB105" s="138">
        <f t="shared" si="53"/>
        <v>114.42</v>
      </c>
      <c r="AC105" s="6">
        <v>421.18</v>
      </c>
      <c r="AD105" s="138">
        <f t="shared" si="54"/>
        <v>535.6</v>
      </c>
      <c r="AE105" s="167">
        <f t="shared" si="55"/>
        <v>0.10212564561598451</v>
      </c>
      <c r="AF105" s="319">
        <v>19.97</v>
      </c>
      <c r="AG105" s="4">
        <v>142.81</v>
      </c>
      <c r="AH105" s="138">
        <f t="shared" si="56"/>
        <v>162.78</v>
      </c>
      <c r="AI105" s="6">
        <v>421.18</v>
      </c>
      <c r="AJ105" s="138">
        <f t="shared" si="57"/>
        <v>583.96</v>
      </c>
      <c r="AK105" s="167">
        <f t="shared" si="58"/>
        <v>9.0291262135922354E-2</v>
      </c>
      <c r="AL105" s="6">
        <v>15.93</v>
      </c>
      <c r="AM105" s="6">
        <v>187.54</v>
      </c>
      <c r="AN105" s="138">
        <f t="shared" si="59"/>
        <v>203.47</v>
      </c>
      <c r="AO105" s="6">
        <v>421.18</v>
      </c>
      <c r="AP105" s="138">
        <f t="shared" si="60"/>
        <v>624.65</v>
      </c>
      <c r="AQ105" s="167">
        <f t="shared" si="61"/>
        <v>6.9679430097951814E-2</v>
      </c>
      <c r="AR105" s="164">
        <f t="shared" si="62"/>
        <v>2671.06</v>
      </c>
      <c r="AS105" s="165">
        <f t="shared" si="46"/>
        <v>9.1010892570861257E-2</v>
      </c>
    </row>
    <row r="106" spans="2:45" outlineLevel="1" x14ac:dyDescent="0.35">
      <c r="B106" s="294" t="s">
        <v>102</v>
      </c>
      <c r="C106" s="62" t="s">
        <v>147</v>
      </c>
      <c r="D106" s="70">
        <v>46911.346151766978</v>
      </c>
      <c r="E106" s="70">
        <v>55512.792883866299</v>
      </c>
      <c r="F106" s="167">
        <f t="shared" si="41"/>
        <v>0.18335535936811601</v>
      </c>
      <c r="G106" s="70">
        <v>58201.599965101195</v>
      </c>
      <c r="H106" s="167">
        <f t="shared" si="47"/>
        <v>4.8435809865663322E-2</v>
      </c>
      <c r="I106" s="70">
        <v>49965</v>
      </c>
      <c r="J106" s="167">
        <f t="shared" si="48"/>
        <v>-0.14151844571352024</v>
      </c>
      <c r="K106" s="70">
        <v>37768.9</v>
      </c>
      <c r="L106" s="167">
        <f t="shared" si="49"/>
        <v>-0.24409286500550381</v>
      </c>
      <c r="M106" s="164">
        <f t="shared" si="50"/>
        <v>248359.63900073446</v>
      </c>
      <c r="N106" s="165">
        <f t="shared" si="42"/>
        <v>-5.275109867092731E-2</v>
      </c>
      <c r="P106" s="70">
        <v>877.36</v>
      </c>
      <c r="Q106" s="6">
        <v>74365.03</v>
      </c>
      <c r="R106" s="138">
        <f t="shared" si="43"/>
        <v>75242.39</v>
      </c>
      <c r="S106" s="306">
        <f t="shared" si="44"/>
        <v>0.99217848547349796</v>
      </c>
      <c r="T106" s="70">
        <v>949.76</v>
      </c>
      <c r="U106" s="6">
        <v>1940.64</v>
      </c>
      <c r="V106" s="138">
        <f t="shared" si="51"/>
        <v>2890.4</v>
      </c>
      <c r="W106" s="6">
        <v>74365.03</v>
      </c>
      <c r="X106" s="138">
        <f t="shared" si="52"/>
        <v>77255.429999999993</v>
      </c>
      <c r="Y106" s="167">
        <f t="shared" si="45"/>
        <v>2.6754067753562767E-2</v>
      </c>
      <c r="Z106" s="70">
        <v>1054.54</v>
      </c>
      <c r="AA106" s="6">
        <v>4095.33</v>
      </c>
      <c r="AB106" s="138">
        <f t="shared" si="53"/>
        <v>5149.87</v>
      </c>
      <c r="AC106" s="6">
        <v>74365.03</v>
      </c>
      <c r="AD106" s="138">
        <f t="shared" si="54"/>
        <v>79514.899999999994</v>
      </c>
      <c r="AE106" s="167">
        <f t="shared" si="55"/>
        <v>2.9246746798250962E-2</v>
      </c>
      <c r="AF106" s="319">
        <v>948.52</v>
      </c>
      <c r="AG106" s="4">
        <v>6474.81</v>
      </c>
      <c r="AH106" s="138">
        <f t="shared" si="56"/>
        <v>7423.33</v>
      </c>
      <c r="AI106" s="6">
        <v>74365.03</v>
      </c>
      <c r="AJ106" s="138">
        <f t="shared" si="57"/>
        <v>81788.36</v>
      </c>
      <c r="AK106" s="167">
        <f t="shared" si="58"/>
        <v>2.859162245063512E-2</v>
      </c>
      <c r="AL106" s="6">
        <v>743.4</v>
      </c>
      <c r="AM106" s="6">
        <v>8599.34</v>
      </c>
      <c r="AN106" s="138">
        <f t="shared" si="59"/>
        <v>9342.74</v>
      </c>
      <c r="AO106" s="6">
        <v>74365.03</v>
      </c>
      <c r="AP106" s="138">
        <f t="shared" si="60"/>
        <v>83707.77</v>
      </c>
      <c r="AQ106" s="167">
        <f t="shared" si="61"/>
        <v>2.3468009384220487E-2</v>
      </c>
      <c r="AR106" s="164">
        <f t="shared" si="62"/>
        <v>397508.85000000003</v>
      </c>
      <c r="AS106" s="165">
        <f t="shared" si="46"/>
        <v>2.7012660932872024E-2</v>
      </c>
    </row>
    <row r="107" spans="2:45" outlineLevel="1" x14ac:dyDescent="0.35">
      <c r="B107" s="294" t="s">
        <v>103</v>
      </c>
      <c r="C107" s="62" t="s">
        <v>147</v>
      </c>
      <c r="D107" s="70">
        <v>0</v>
      </c>
      <c r="E107" s="70">
        <v>0</v>
      </c>
      <c r="F107" s="167">
        <f t="shared" si="41"/>
        <v>0</v>
      </c>
      <c r="G107" s="70">
        <v>0</v>
      </c>
      <c r="H107" s="167">
        <f t="shared" si="47"/>
        <v>0</v>
      </c>
      <c r="I107" s="70">
        <v>1.4</v>
      </c>
      <c r="J107" s="167">
        <f t="shared" si="48"/>
        <v>0</v>
      </c>
      <c r="K107" s="70">
        <v>4.9000000000000004</v>
      </c>
      <c r="L107" s="167">
        <f t="shared" si="49"/>
        <v>2.5000000000000004</v>
      </c>
      <c r="M107" s="164">
        <f t="shared" si="50"/>
        <v>6.3000000000000007</v>
      </c>
      <c r="N107" s="165">
        <f t="shared" si="42"/>
        <v>0</v>
      </c>
      <c r="P107" s="70"/>
      <c r="Q107" s="6">
        <v>7.55</v>
      </c>
      <c r="R107" s="138">
        <f t="shared" si="43"/>
        <v>7.55</v>
      </c>
      <c r="S107" s="306">
        <f t="shared" si="44"/>
        <v>0.54081632653061207</v>
      </c>
      <c r="T107" s="70"/>
      <c r="U107" s="6"/>
      <c r="V107" s="138">
        <f t="shared" si="51"/>
        <v>0</v>
      </c>
      <c r="W107" s="6">
        <v>7.55</v>
      </c>
      <c r="X107" s="138">
        <f t="shared" si="52"/>
        <v>7.55</v>
      </c>
      <c r="Y107" s="167">
        <f t="shared" si="45"/>
        <v>0</v>
      </c>
      <c r="Z107" s="70"/>
      <c r="AA107" s="6"/>
      <c r="AB107" s="138">
        <f t="shared" si="53"/>
        <v>0</v>
      </c>
      <c r="AC107" s="6">
        <v>7.55</v>
      </c>
      <c r="AD107" s="138">
        <f t="shared" si="54"/>
        <v>7.55</v>
      </c>
      <c r="AE107" s="167">
        <f t="shared" si="55"/>
        <v>0</v>
      </c>
      <c r="AF107" s="319"/>
      <c r="AG107" s="4"/>
      <c r="AH107" s="138">
        <f t="shared" si="56"/>
        <v>0</v>
      </c>
      <c r="AI107" s="6">
        <v>7.55</v>
      </c>
      <c r="AJ107" s="138">
        <f t="shared" si="57"/>
        <v>7.55</v>
      </c>
      <c r="AK107" s="167">
        <f t="shared" si="58"/>
        <v>0</v>
      </c>
      <c r="AL107" s="6"/>
      <c r="AM107" s="6"/>
      <c r="AN107" s="138">
        <f t="shared" si="59"/>
        <v>0</v>
      </c>
      <c r="AO107" s="6">
        <v>7.55</v>
      </c>
      <c r="AP107" s="138">
        <f t="shared" si="60"/>
        <v>7.55</v>
      </c>
      <c r="AQ107" s="167">
        <f t="shared" si="61"/>
        <v>0</v>
      </c>
      <c r="AR107" s="164">
        <f t="shared" si="62"/>
        <v>37.75</v>
      </c>
      <c r="AS107" s="165">
        <f t="shared" si="46"/>
        <v>0</v>
      </c>
    </row>
    <row r="108" spans="2:45" outlineLevel="1" x14ac:dyDescent="0.35">
      <c r="B108" s="294" t="s">
        <v>104</v>
      </c>
      <c r="C108" s="62" t="s">
        <v>147</v>
      </c>
      <c r="D108" s="70">
        <v>0</v>
      </c>
      <c r="E108" s="70">
        <v>0</v>
      </c>
      <c r="F108" s="167">
        <f t="shared" si="41"/>
        <v>0</v>
      </c>
      <c r="G108" s="70">
        <v>0</v>
      </c>
      <c r="H108" s="167">
        <f t="shared" si="47"/>
        <v>0</v>
      </c>
      <c r="I108" s="70">
        <v>0</v>
      </c>
      <c r="J108" s="167">
        <f t="shared" si="48"/>
        <v>0</v>
      </c>
      <c r="K108" s="70"/>
      <c r="L108" s="167">
        <f t="shared" si="49"/>
        <v>0</v>
      </c>
      <c r="M108" s="164">
        <f t="shared" si="50"/>
        <v>0</v>
      </c>
      <c r="N108" s="165">
        <f t="shared" si="42"/>
        <v>0</v>
      </c>
      <c r="P108" s="70"/>
      <c r="Q108" s="6"/>
      <c r="R108" s="138">
        <f t="shared" si="43"/>
        <v>0</v>
      </c>
      <c r="S108" s="306">
        <f t="shared" si="44"/>
        <v>0</v>
      </c>
      <c r="T108" s="70"/>
      <c r="U108" s="6"/>
      <c r="V108" s="138">
        <f t="shared" si="51"/>
        <v>0</v>
      </c>
      <c r="W108" s="6"/>
      <c r="X108" s="138">
        <f t="shared" si="52"/>
        <v>0</v>
      </c>
      <c r="Y108" s="167">
        <f t="shared" si="45"/>
        <v>0</v>
      </c>
      <c r="Z108" s="70"/>
      <c r="AA108" s="6"/>
      <c r="AB108" s="138">
        <f t="shared" si="53"/>
        <v>0</v>
      </c>
      <c r="AC108" s="6"/>
      <c r="AD108" s="138">
        <f t="shared" si="54"/>
        <v>0</v>
      </c>
      <c r="AE108" s="167">
        <f t="shared" si="55"/>
        <v>0</v>
      </c>
      <c r="AF108" s="319">
        <v>238.5</v>
      </c>
      <c r="AG108" s="4"/>
      <c r="AH108" s="138">
        <f t="shared" si="56"/>
        <v>238.5</v>
      </c>
      <c r="AI108" s="6"/>
      <c r="AJ108" s="138">
        <f t="shared" si="57"/>
        <v>238.5</v>
      </c>
      <c r="AK108" s="167">
        <f t="shared" si="58"/>
        <v>0</v>
      </c>
      <c r="AL108" s="6">
        <v>483.85</v>
      </c>
      <c r="AM108" s="6">
        <v>525.35</v>
      </c>
      <c r="AN108" s="138">
        <f t="shared" si="59"/>
        <v>1009.2</v>
      </c>
      <c r="AO108" s="6"/>
      <c r="AP108" s="138">
        <f t="shared" si="60"/>
        <v>1009.2</v>
      </c>
      <c r="AQ108" s="167">
        <f t="shared" si="61"/>
        <v>3.2314465408805035</v>
      </c>
      <c r="AR108" s="164">
        <f t="shared" si="62"/>
        <v>1247.7</v>
      </c>
      <c r="AS108" s="165">
        <f t="shared" si="46"/>
        <v>0</v>
      </c>
    </row>
    <row r="109" spans="2:45" outlineLevel="1" x14ac:dyDescent="0.35">
      <c r="B109" s="294" t="s">
        <v>136</v>
      </c>
      <c r="C109" s="62" t="s">
        <v>147</v>
      </c>
      <c r="D109" s="70">
        <v>0</v>
      </c>
      <c r="E109" s="70">
        <v>0</v>
      </c>
      <c r="F109" s="167">
        <f t="shared" si="41"/>
        <v>0</v>
      </c>
      <c r="G109" s="70">
        <v>0</v>
      </c>
      <c r="H109" s="167">
        <f t="shared" si="47"/>
        <v>0</v>
      </c>
      <c r="I109" s="70">
        <v>0</v>
      </c>
      <c r="J109" s="167">
        <f t="shared" si="48"/>
        <v>0</v>
      </c>
      <c r="K109" s="70"/>
      <c r="L109" s="167">
        <f t="shared" si="49"/>
        <v>0</v>
      </c>
      <c r="M109" s="164">
        <f t="shared" si="50"/>
        <v>0</v>
      </c>
      <c r="N109" s="165">
        <f t="shared" si="42"/>
        <v>0</v>
      </c>
      <c r="P109" s="70"/>
      <c r="Q109" s="6"/>
      <c r="R109" s="138">
        <f t="shared" si="43"/>
        <v>0</v>
      </c>
      <c r="S109" s="306">
        <f t="shared" si="44"/>
        <v>0</v>
      </c>
      <c r="T109" s="70"/>
      <c r="U109" s="6"/>
      <c r="V109" s="138">
        <f t="shared" si="51"/>
        <v>0</v>
      </c>
      <c r="W109" s="6"/>
      <c r="X109" s="138">
        <f t="shared" si="52"/>
        <v>0</v>
      </c>
      <c r="Y109" s="167">
        <f t="shared" si="45"/>
        <v>0</v>
      </c>
      <c r="Z109" s="70"/>
      <c r="AA109" s="6"/>
      <c r="AB109" s="138">
        <f t="shared" si="53"/>
        <v>0</v>
      </c>
      <c r="AC109" s="6"/>
      <c r="AD109" s="138">
        <f t="shared" si="54"/>
        <v>0</v>
      </c>
      <c r="AE109" s="167">
        <f t="shared" si="55"/>
        <v>0</v>
      </c>
      <c r="AF109" s="319">
        <v>169.22</v>
      </c>
      <c r="AG109" s="4"/>
      <c r="AH109" s="138">
        <f t="shared" si="56"/>
        <v>169.22</v>
      </c>
      <c r="AI109" s="6"/>
      <c r="AJ109" s="138">
        <f t="shared" si="57"/>
        <v>169.22</v>
      </c>
      <c r="AK109" s="167">
        <f t="shared" si="58"/>
        <v>0</v>
      </c>
      <c r="AL109" s="6">
        <v>315.56</v>
      </c>
      <c r="AM109" s="6">
        <v>370.16</v>
      </c>
      <c r="AN109" s="138">
        <f t="shared" si="59"/>
        <v>685.72</v>
      </c>
      <c r="AO109" s="6"/>
      <c r="AP109" s="138">
        <f t="shared" si="60"/>
        <v>685.72</v>
      </c>
      <c r="AQ109" s="167">
        <f t="shared" si="61"/>
        <v>3.0522396879801441</v>
      </c>
      <c r="AR109" s="164">
        <f t="shared" si="62"/>
        <v>854.94</v>
      </c>
      <c r="AS109" s="165">
        <f t="shared" si="46"/>
        <v>0</v>
      </c>
    </row>
    <row r="110" spans="2:45" outlineLevel="1" x14ac:dyDescent="0.35">
      <c r="B110" s="294" t="s">
        <v>106</v>
      </c>
      <c r="C110" s="62" t="s">
        <v>147</v>
      </c>
      <c r="D110" s="70">
        <v>11412.144918152499</v>
      </c>
      <c r="E110" s="70">
        <v>14416.406741042771</v>
      </c>
      <c r="F110" s="167">
        <f t="shared" si="41"/>
        <v>0.26325128575186629</v>
      </c>
      <c r="G110" s="70">
        <v>15781.167239643411</v>
      </c>
      <c r="H110" s="167">
        <f t="shared" si="47"/>
        <v>9.4667174915038829E-2</v>
      </c>
      <c r="I110" s="70">
        <v>13443</v>
      </c>
      <c r="J110" s="167">
        <f t="shared" si="48"/>
        <v>-0.14816186940657783</v>
      </c>
      <c r="K110" s="70">
        <v>9943</v>
      </c>
      <c r="L110" s="167">
        <f t="shared" si="49"/>
        <v>-0.26035855091869375</v>
      </c>
      <c r="M110" s="164">
        <f t="shared" si="50"/>
        <v>64995.718898838677</v>
      </c>
      <c r="N110" s="165">
        <f t="shared" si="42"/>
        <v>-3.3865612070378526E-2</v>
      </c>
      <c r="P110" s="70">
        <v>429.99</v>
      </c>
      <c r="Q110" s="6">
        <v>24999.93</v>
      </c>
      <c r="R110" s="138">
        <f t="shared" si="43"/>
        <v>25429.920000000002</v>
      </c>
      <c r="S110" s="306">
        <f t="shared" si="44"/>
        <v>1.557570149854169</v>
      </c>
      <c r="T110" s="70">
        <v>554.79999999999995</v>
      </c>
      <c r="U110" s="6">
        <v>953.02</v>
      </c>
      <c r="V110" s="138">
        <f t="shared" si="51"/>
        <v>1507.82</v>
      </c>
      <c r="W110" s="6">
        <v>24999.93</v>
      </c>
      <c r="X110" s="138">
        <f t="shared" si="52"/>
        <v>26507.75</v>
      </c>
      <c r="Y110" s="167">
        <f t="shared" si="45"/>
        <v>4.238432523578517E-2</v>
      </c>
      <c r="Z110" s="70">
        <v>595.27</v>
      </c>
      <c r="AA110" s="6">
        <v>2211.27</v>
      </c>
      <c r="AB110" s="138">
        <f t="shared" si="53"/>
        <v>2806.54</v>
      </c>
      <c r="AC110" s="6">
        <v>24999.93</v>
      </c>
      <c r="AD110" s="138">
        <f t="shared" si="54"/>
        <v>27806.47</v>
      </c>
      <c r="AE110" s="167">
        <f t="shared" si="55"/>
        <v>4.8993973460591755E-2</v>
      </c>
      <c r="AF110" s="319">
        <v>551.89</v>
      </c>
      <c r="AG110" s="4">
        <v>3554.17</v>
      </c>
      <c r="AH110" s="138">
        <f t="shared" si="56"/>
        <v>4106.0600000000004</v>
      </c>
      <c r="AI110" s="6">
        <v>24999.93</v>
      </c>
      <c r="AJ110" s="138">
        <f t="shared" si="57"/>
        <v>29105.99</v>
      </c>
      <c r="AK110" s="167">
        <f t="shared" si="58"/>
        <v>4.6734447054948017E-2</v>
      </c>
      <c r="AL110" s="6">
        <v>763.57</v>
      </c>
      <c r="AM110" s="6">
        <v>4790.17</v>
      </c>
      <c r="AN110" s="138">
        <f t="shared" si="59"/>
        <v>5553.74</v>
      </c>
      <c r="AO110" s="6">
        <v>24999.93</v>
      </c>
      <c r="AP110" s="138">
        <f t="shared" si="60"/>
        <v>30553.67</v>
      </c>
      <c r="AQ110" s="167">
        <f t="shared" si="61"/>
        <v>4.9738215398273569E-2</v>
      </c>
      <c r="AR110" s="164">
        <f t="shared" si="62"/>
        <v>139403.79999999999</v>
      </c>
      <c r="AS110" s="165">
        <f t="shared" si="46"/>
        <v>4.6958813987791004E-2</v>
      </c>
    </row>
    <row r="111" spans="2:45" outlineLevel="1" x14ac:dyDescent="0.35">
      <c r="B111" s="294" t="s">
        <v>107</v>
      </c>
      <c r="C111" s="62" t="s">
        <v>147</v>
      </c>
      <c r="D111" s="70">
        <v>12037.851596470222</v>
      </c>
      <c r="E111" s="70">
        <v>13290.226912827959</v>
      </c>
      <c r="F111" s="167">
        <f t="shared" si="41"/>
        <v>0.10403644756053998</v>
      </c>
      <c r="G111" s="70">
        <v>14848.869358840999</v>
      </c>
      <c r="H111" s="167">
        <f t="shared" si="47"/>
        <v>0.11727733892252895</v>
      </c>
      <c r="I111" s="70">
        <v>15528.4</v>
      </c>
      <c r="J111" s="167">
        <f t="shared" si="48"/>
        <v>4.5763123422889379E-2</v>
      </c>
      <c r="K111" s="70">
        <v>10650.3</v>
      </c>
      <c r="L111" s="167">
        <f t="shared" si="49"/>
        <v>-0.31414054248988954</v>
      </c>
      <c r="M111" s="164">
        <f t="shared" si="50"/>
        <v>66355.647868139175</v>
      </c>
      <c r="N111" s="165">
        <f t="shared" si="42"/>
        <v>-3.015302832354616E-2</v>
      </c>
      <c r="P111" s="70">
        <v>525.34</v>
      </c>
      <c r="Q111" s="6">
        <v>21734.47</v>
      </c>
      <c r="R111" s="138">
        <f t="shared" si="43"/>
        <v>22259.81</v>
      </c>
      <c r="S111" s="306">
        <f t="shared" si="44"/>
        <v>1.0900641296489304</v>
      </c>
      <c r="T111" s="70">
        <v>735.95</v>
      </c>
      <c r="U111" s="6">
        <v>1163.55</v>
      </c>
      <c r="V111" s="138">
        <f t="shared" si="51"/>
        <v>1899.5</v>
      </c>
      <c r="W111" s="6">
        <v>21734.47</v>
      </c>
      <c r="X111" s="138">
        <f t="shared" si="52"/>
        <v>23633.97</v>
      </c>
      <c r="Y111" s="167">
        <f t="shared" si="45"/>
        <v>6.173278208574106E-2</v>
      </c>
      <c r="Z111" s="70">
        <v>820.83</v>
      </c>
      <c r="AA111" s="6">
        <v>2832.68</v>
      </c>
      <c r="AB111" s="138">
        <f t="shared" si="53"/>
        <v>3653.5099999999998</v>
      </c>
      <c r="AC111" s="6">
        <v>21734.47</v>
      </c>
      <c r="AD111" s="138">
        <f t="shared" si="54"/>
        <v>25387.98</v>
      </c>
      <c r="AE111" s="167">
        <f t="shared" si="55"/>
        <v>7.4215631144492367E-2</v>
      </c>
      <c r="AF111" s="319">
        <v>682.08</v>
      </c>
      <c r="AG111" s="4">
        <v>4684.38</v>
      </c>
      <c r="AH111" s="138">
        <f t="shared" si="56"/>
        <v>5366.46</v>
      </c>
      <c r="AI111" s="6">
        <v>21734.47</v>
      </c>
      <c r="AJ111" s="138">
        <f t="shared" si="57"/>
        <v>27100.93</v>
      </c>
      <c r="AK111" s="167">
        <f t="shared" si="58"/>
        <v>6.7470905523007371E-2</v>
      </c>
      <c r="AL111" s="6">
        <v>543</v>
      </c>
      <c r="AM111" s="6">
        <v>6211.98</v>
      </c>
      <c r="AN111" s="138">
        <f t="shared" si="59"/>
        <v>6754.98</v>
      </c>
      <c r="AO111" s="6">
        <v>21734.47</v>
      </c>
      <c r="AP111" s="138">
        <f t="shared" si="60"/>
        <v>28489.45</v>
      </c>
      <c r="AQ111" s="167">
        <f t="shared" si="61"/>
        <v>5.1235142115049204E-2</v>
      </c>
      <c r="AR111" s="164">
        <f t="shared" si="62"/>
        <v>126872.14</v>
      </c>
      <c r="AS111" s="165">
        <f t="shared" si="46"/>
        <v>6.3630183119083972E-2</v>
      </c>
    </row>
    <row r="112" spans="2:45" outlineLevel="1" x14ac:dyDescent="0.35">
      <c r="B112" s="294" t="s">
        <v>108</v>
      </c>
      <c r="C112" s="62" t="s">
        <v>147</v>
      </c>
      <c r="D112" s="70">
        <v>23909.533192961775</v>
      </c>
      <c r="E112" s="70">
        <v>28321.887920918802</v>
      </c>
      <c r="F112" s="167">
        <f t="shared" si="41"/>
        <v>0.18454374212775876</v>
      </c>
      <c r="G112" s="70">
        <v>30855.820873932502</v>
      </c>
      <c r="H112" s="167">
        <f t="shared" si="47"/>
        <v>8.9469069296828713E-2</v>
      </c>
      <c r="I112" s="70">
        <v>26803.7</v>
      </c>
      <c r="J112" s="167">
        <f t="shared" si="48"/>
        <v>-0.13132435823011271</v>
      </c>
      <c r="K112" s="70">
        <v>20599.7</v>
      </c>
      <c r="L112" s="167">
        <f t="shared" si="49"/>
        <v>-0.23146058193458366</v>
      </c>
      <c r="M112" s="164">
        <f t="shared" si="50"/>
        <v>130490.64198781307</v>
      </c>
      <c r="N112" s="165">
        <f t="shared" si="42"/>
        <v>-3.656493305810582E-2</v>
      </c>
      <c r="P112" s="70">
        <v>1507.71</v>
      </c>
      <c r="Q112" s="6">
        <v>56086.23</v>
      </c>
      <c r="R112" s="138">
        <f t="shared" si="43"/>
        <v>57593.94</v>
      </c>
      <c r="S112" s="306">
        <f t="shared" si="44"/>
        <v>1.7958630465492218</v>
      </c>
      <c r="T112" s="70">
        <v>1671.2</v>
      </c>
      <c r="U112" s="6">
        <v>3335.14</v>
      </c>
      <c r="V112" s="138">
        <f t="shared" si="51"/>
        <v>5006.34</v>
      </c>
      <c r="W112" s="6">
        <v>56086.23</v>
      </c>
      <c r="X112" s="138">
        <f t="shared" si="52"/>
        <v>61092.570000000007</v>
      </c>
      <c r="Y112" s="167">
        <f t="shared" si="45"/>
        <v>6.0746495204183015E-2</v>
      </c>
      <c r="Z112" s="70">
        <v>2652.95</v>
      </c>
      <c r="AA112" s="6">
        <v>7126.37</v>
      </c>
      <c r="AB112" s="138">
        <f t="shared" si="53"/>
        <v>9779.32</v>
      </c>
      <c r="AC112" s="6">
        <v>56086.23</v>
      </c>
      <c r="AD112" s="138">
        <f t="shared" si="54"/>
        <v>65865.55</v>
      </c>
      <c r="AE112" s="167">
        <f t="shared" si="55"/>
        <v>7.8127012826600603E-2</v>
      </c>
      <c r="AF112" s="319">
        <v>3412.77</v>
      </c>
      <c r="AG112" s="4">
        <v>13111.95</v>
      </c>
      <c r="AH112" s="138">
        <f t="shared" si="56"/>
        <v>16524.72</v>
      </c>
      <c r="AI112" s="6">
        <v>56086.23</v>
      </c>
      <c r="AJ112" s="138">
        <f t="shared" si="57"/>
        <v>72610.950000000012</v>
      </c>
      <c r="AK112" s="167">
        <f t="shared" si="58"/>
        <v>0.10241165525832562</v>
      </c>
      <c r="AL112" s="6">
        <v>3121.46</v>
      </c>
      <c r="AM112" s="6">
        <v>20755.45</v>
      </c>
      <c r="AN112" s="138">
        <f t="shared" si="59"/>
        <v>23876.91</v>
      </c>
      <c r="AO112" s="6">
        <v>56086.23</v>
      </c>
      <c r="AP112" s="138">
        <f t="shared" si="60"/>
        <v>79963.14</v>
      </c>
      <c r="AQ112" s="167">
        <f t="shared" si="61"/>
        <v>0.10125456284485999</v>
      </c>
      <c r="AR112" s="164">
        <f t="shared" si="62"/>
        <v>337126.15</v>
      </c>
      <c r="AS112" s="165">
        <f t="shared" si="46"/>
        <v>8.549608767981498E-2</v>
      </c>
    </row>
    <row r="113" spans="2:45" outlineLevel="1" x14ac:dyDescent="0.35">
      <c r="B113" s="294" t="s">
        <v>109</v>
      </c>
      <c r="C113" s="62" t="s">
        <v>147</v>
      </c>
      <c r="D113" s="70">
        <v>76376.513133925298</v>
      </c>
      <c r="E113" s="70">
        <v>81692.851643670598</v>
      </c>
      <c r="F113" s="167">
        <f t="shared" si="41"/>
        <v>6.9606981146457469E-2</v>
      </c>
      <c r="G113" s="70">
        <v>85740.782225513598</v>
      </c>
      <c r="H113" s="167">
        <f t="shared" si="47"/>
        <v>4.955060939112934E-2</v>
      </c>
      <c r="I113" s="70">
        <v>82928.3</v>
      </c>
      <c r="J113" s="167">
        <f t="shared" si="48"/>
        <v>-3.280215263392703E-2</v>
      </c>
      <c r="K113" s="70">
        <v>70128.7</v>
      </c>
      <c r="L113" s="167">
        <f t="shared" si="49"/>
        <v>-0.15434538028634381</v>
      </c>
      <c r="M113" s="164">
        <f t="shared" si="50"/>
        <v>396867.14700310951</v>
      </c>
      <c r="N113" s="165">
        <f t="shared" si="42"/>
        <v>-2.1109778418935798E-2</v>
      </c>
      <c r="P113" s="70">
        <v>2098.83</v>
      </c>
      <c r="Q113" s="6">
        <v>98799.6</v>
      </c>
      <c r="R113" s="138">
        <f t="shared" si="43"/>
        <v>100898.43000000001</v>
      </c>
      <c r="S113" s="306">
        <f t="shared" si="44"/>
        <v>0.43876087821391258</v>
      </c>
      <c r="T113" s="70">
        <v>2265.08</v>
      </c>
      <c r="U113" s="6">
        <v>4640.6899999999996</v>
      </c>
      <c r="V113" s="138">
        <f t="shared" si="51"/>
        <v>6905.7699999999995</v>
      </c>
      <c r="W113" s="6">
        <v>98799.6</v>
      </c>
      <c r="X113" s="138">
        <f t="shared" si="52"/>
        <v>105705.37000000001</v>
      </c>
      <c r="Y113" s="167">
        <f t="shared" si="45"/>
        <v>4.7641375589293135E-2</v>
      </c>
      <c r="Z113" s="70">
        <v>2494.8000000000002</v>
      </c>
      <c r="AA113" s="6">
        <v>9779.75</v>
      </c>
      <c r="AB113" s="138">
        <f t="shared" si="53"/>
        <v>12274.55</v>
      </c>
      <c r="AC113" s="6">
        <v>98799.6</v>
      </c>
      <c r="AD113" s="138">
        <f t="shared" si="54"/>
        <v>111074.15000000001</v>
      </c>
      <c r="AE113" s="167">
        <f t="shared" si="55"/>
        <v>5.0790040278937562E-2</v>
      </c>
      <c r="AF113" s="319">
        <v>2240.86</v>
      </c>
      <c r="AG113" s="4">
        <v>15409.23</v>
      </c>
      <c r="AH113" s="138">
        <f t="shared" si="56"/>
        <v>17650.09</v>
      </c>
      <c r="AI113" s="6">
        <v>98799.6</v>
      </c>
      <c r="AJ113" s="138">
        <f t="shared" si="57"/>
        <v>116449.69</v>
      </c>
      <c r="AK113" s="167">
        <f t="shared" si="58"/>
        <v>4.8395958915733256E-2</v>
      </c>
      <c r="AL113" s="6">
        <v>1769.04</v>
      </c>
      <c r="AM113" s="6">
        <v>20428.48</v>
      </c>
      <c r="AN113" s="138">
        <f t="shared" si="59"/>
        <v>22197.52</v>
      </c>
      <c r="AO113" s="6">
        <v>98799.6</v>
      </c>
      <c r="AP113" s="138">
        <f t="shared" si="60"/>
        <v>120997.12000000001</v>
      </c>
      <c r="AQ113" s="167">
        <f t="shared" si="61"/>
        <v>3.9050597730230174E-2</v>
      </c>
      <c r="AR113" s="164">
        <f t="shared" si="62"/>
        <v>555124.76</v>
      </c>
      <c r="AS113" s="165">
        <f t="shared" si="46"/>
        <v>4.6460057104396491E-2</v>
      </c>
    </row>
    <row r="114" spans="2:45" outlineLevel="1" x14ac:dyDescent="0.35">
      <c r="B114" s="294" t="s">
        <v>110</v>
      </c>
      <c r="C114" s="62" t="s">
        <v>147</v>
      </c>
      <c r="D114" s="70">
        <v>9808.9810818858859</v>
      </c>
      <c r="E114" s="70">
        <v>11814.342243377661</v>
      </c>
      <c r="F114" s="167">
        <f t="shared" si="41"/>
        <v>0.20444133236173215</v>
      </c>
      <c r="G114" s="70">
        <v>12648.73594026488</v>
      </c>
      <c r="H114" s="167">
        <f t="shared" si="47"/>
        <v>7.062548889295335E-2</v>
      </c>
      <c r="I114" s="70">
        <v>11508.7</v>
      </c>
      <c r="J114" s="167">
        <f t="shared" si="48"/>
        <v>-9.013042454588592E-2</v>
      </c>
      <c r="K114" s="70">
        <v>8108.2</v>
      </c>
      <c r="L114" s="167">
        <f t="shared" si="49"/>
        <v>-0.29547212109100079</v>
      </c>
      <c r="M114" s="164">
        <f t="shared" si="50"/>
        <v>53888.959265528421</v>
      </c>
      <c r="N114" s="165">
        <f t="shared" si="42"/>
        <v>-4.6490248477978779E-2</v>
      </c>
      <c r="P114" s="70">
        <v>218.67</v>
      </c>
      <c r="Q114" s="6">
        <v>16668.939999999999</v>
      </c>
      <c r="R114" s="138">
        <f t="shared" si="43"/>
        <v>16887.609999999997</v>
      </c>
      <c r="S114" s="306">
        <f t="shared" si="44"/>
        <v>1.0827816284748768</v>
      </c>
      <c r="T114" s="70">
        <v>239.06</v>
      </c>
      <c r="U114" s="6">
        <v>482.87</v>
      </c>
      <c r="V114" s="138">
        <f t="shared" si="51"/>
        <v>721.93000000000006</v>
      </c>
      <c r="W114" s="6">
        <v>16668.939999999999</v>
      </c>
      <c r="X114" s="138">
        <f t="shared" si="52"/>
        <v>17390.87</v>
      </c>
      <c r="Y114" s="167">
        <f t="shared" si="45"/>
        <v>2.9800546080825063E-2</v>
      </c>
      <c r="Z114" s="70">
        <v>298.18</v>
      </c>
      <c r="AA114" s="6">
        <v>1025.3499999999999</v>
      </c>
      <c r="AB114" s="138">
        <f t="shared" si="53"/>
        <v>1323.53</v>
      </c>
      <c r="AC114" s="6">
        <v>16668.939999999999</v>
      </c>
      <c r="AD114" s="138">
        <f t="shared" si="54"/>
        <v>17992.469999999998</v>
      </c>
      <c r="AE114" s="167">
        <f t="shared" si="55"/>
        <v>3.4592863956777242E-2</v>
      </c>
      <c r="AF114" s="319">
        <v>278.8</v>
      </c>
      <c r="AG114" s="4">
        <v>1698.21</v>
      </c>
      <c r="AH114" s="138">
        <f t="shared" si="56"/>
        <v>1977.01</v>
      </c>
      <c r="AI114" s="6">
        <v>16668.939999999999</v>
      </c>
      <c r="AJ114" s="138">
        <f t="shared" si="57"/>
        <v>18645.949999999997</v>
      </c>
      <c r="AK114" s="167">
        <f t="shared" si="58"/>
        <v>3.6319638159741249E-2</v>
      </c>
      <c r="AL114" s="6">
        <v>333.18</v>
      </c>
      <c r="AM114" s="6">
        <v>2322.6799999999998</v>
      </c>
      <c r="AN114" s="138">
        <f t="shared" si="59"/>
        <v>2655.8599999999997</v>
      </c>
      <c r="AO114" s="6">
        <v>16668.939999999999</v>
      </c>
      <c r="AP114" s="138">
        <f t="shared" si="60"/>
        <v>19324.8</v>
      </c>
      <c r="AQ114" s="167">
        <f t="shared" si="61"/>
        <v>3.6407369965059562E-2</v>
      </c>
      <c r="AR114" s="164">
        <f t="shared" si="62"/>
        <v>90241.7</v>
      </c>
      <c r="AS114" s="165">
        <f t="shared" si="46"/>
        <v>3.427661230210699E-2</v>
      </c>
    </row>
    <row r="115" spans="2:45" outlineLevel="1" x14ac:dyDescent="0.35">
      <c r="B115" s="294" t="s">
        <v>111</v>
      </c>
      <c r="C115" s="62" t="s">
        <v>147</v>
      </c>
      <c r="D115" s="70">
        <v>9535.2961896077577</v>
      </c>
      <c r="E115" s="70">
        <v>10744.111116171029</v>
      </c>
      <c r="F115" s="167">
        <f t="shared" si="41"/>
        <v>0.12677266678729113</v>
      </c>
      <c r="G115" s="70">
        <v>12646.50539725232</v>
      </c>
      <c r="H115" s="167">
        <f t="shared" si="47"/>
        <v>0.177063906032951</v>
      </c>
      <c r="I115" s="70">
        <v>11179.3</v>
      </c>
      <c r="J115" s="167">
        <f t="shared" si="48"/>
        <v>-0.1160166663567864</v>
      </c>
      <c r="K115" s="70">
        <v>8101.9</v>
      </c>
      <c r="L115" s="167">
        <f t="shared" si="49"/>
        <v>-0.27527662733802649</v>
      </c>
      <c r="M115" s="164">
        <f t="shared" si="50"/>
        <v>52207.112703031111</v>
      </c>
      <c r="N115" s="165">
        <f t="shared" si="42"/>
        <v>-3.9907288761611204E-2</v>
      </c>
      <c r="P115" s="70">
        <v>336.04</v>
      </c>
      <c r="Q115" s="6">
        <v>14899.43</v>
      </c>
      <c r="R115" s="138">
        <f t="shared" si="43"/>
        <v>15235.470000000001</v>
      </c>
      <c r="S115" s="306">
        <f t="shared" si="44"/>
        <v>0.88048112171219117</v>
      </c>
      <c r="T115" s="70">
        <v>474.22</v>
      </c>
      <c r="U115" s="6">
        <v>745.6</v>
      </c>
      <c r="V115" s="138">
        <f t="shared" si="51"/>
        <v>1219.8200000000002</v>
      </c>
      <c r="W115" s="6">
        <v>14899.43</v>
      </c>
      <c r="X115" s="138">
        <f t="shared" si="52"/>
        <v>16119.25</v>
      </c>
      <c r="Y115" s="167">
        <f t="shared" si="45"/>
        <v>5.8008056200432201E-2</v>
      </c>
      <c r="Z115" s="70">
        <v>700.52</v>
      </c>
      <c r="AA115" s="6">
        <v>1820.86</v>
      </c>
      <c r="AB115" s="138">
        <f t="shared" si="53"/>
        <v>2521.38</v>
      </c>
      <c r="AC115" s="6">
        <v>14899.43</v>
      </c>
      <c r="AD115" s="138">
        <f t="shared" si="54"/>
        <v>17420.810000000001</v>
      </c>
      <c r="AE115" s="167">
        <f t="shared" si="55"/>
        <v>8.0745692262357199E-2</v>
      </c>
      <c r="AF115" s="319">
        <v>654.26</v>
      </c>
      <c r="AG115" s="4">
        <v>3400.89</v>
      </c>
      <c r="AH115" s="138">
        <f t="shared" si="56"/>
        <v>4055.1499999999996</v>
      </c>
      <c r="AI115" s="6">
        <v>14899.43</v>
      </c>
      <c r="AJ115" s="138">
        <f t="shared" si="57"/>
        <v>18954.580000000002</v>
      </c>
      <c r="AK115" s="167">
        <f t="shared" si="58"/>
        <v>8.8042404457657264E-2</v>
      </c>
      <c r="AL115" s="6">
        <v>518.79</v>
      </c>
      <c r="AM115" s="6">
        <v>4866.0200000000004</v>
      </c>
      <c r="AN115" s="138">
        <f t="shared" si="59"/>
        <v>5384.81</v>
      </c>
      <c r="AO115" s="6">
        <v>14899.43</v>
      </c>
      <c r="AP115" s="138">
        <f t="shared" si="60"/>
        <v>20284.240000000002</v>
      </c>
      <c r="AQ115" s="167">
        <f t="shared" si="61"/>
        <v>7.0149800206599125E-2</v>
      </c>
      <c r="AR115" s="164">
        <f t="shared" si="62"/>
        <v>88014.35</v>
      </c>
      <c r="AS115" s="165">
        <f t="shared" si="46"/>
        <v>7.4176683107524788E-2</v>
      </c>
    </row>
    <row r="116" spans="2:45" outlineLevel="1" x14ac:dyDescent="0.35">
      <c r="B116" s="294" t="s">
        <v>112</v>
      </c>
      <c r="C116" s="62" t="s">
        <v>147</v>
      </c>
      <c r="D116" s="70">
        <v>14338.356259771981</v>
      </c>
      <c r="E116" s="70">
        <v>16010.854461779451</v>
      </c>
      <c r="F116" s="167">
        <f t="shared" si="41"/>
        <v>0.11664504436257234</v>
      </c>
      <c r="G116" s="70">
        <v>17468.36125360573</v>
      </c>
      <c r="H116" s="167">
        <f t="shared" si="47"/>
        <v>9.1032417745448152E-2</v>
      </c>
      <c r="I116" s="70">
        <v>16071.8</v>
      </c>
      <c r="J116" s="167">
        <f t="shared" si="48"/>
        <v>-7.994804053628439E-2</v>
      </c>
      <c r="K116" s="70">
        <v>11254.8</v>
      </c>
      <c r="L116" s="167">
        <f t="shared" si="49"/>
        <v>-0.29971751763959237</v>
      </c>
      <c r="M116" s="164">
        <f t="shared" si="50"/>
        <v>75144.171975157165</v>
      </c>
      <c r="N116" s="165">
        <f t="shared" si="42"/>
        <v>-5.8739998829645201E-2</v>
      </c>
      <c r="P116" s="70">
        <v>575.37</v>
      </c>
      <c r="Q116" s="6">
        <v>21803.06</v>
      </c>
      <c r="R116" s="138">
        <f t="shared" si="43"/>
        <v>22378.43</v>
      </c>
      <c r="S116" s="306">
        <f t="shared" si="44"/>
        <v>0.98834541706649626</v>
      </c>
      <c r="T116" s="70">
        <v>838.09</v>
      </c>
      <c r="U116" s="6">
        <v>1271.8399999999999</v>
      </c>
      <c r="V116" s="138">
        <f t="shared" si="51"/>
        <v>2109.9299999999998</v>
      </c>
      <c r="W116" s="6">
        <v>21803.06</v>
      </c>
      <c r="X116" s="138">
        <f t="shared" si="52"/>
        <v>23912.99</v>
      </c>
      <c r="Y116" s="167">
        <f t="shared" si="45"/>
        <v>6.8573175151250609E-2</v>
      </c>
      <c r="Z116" s="70">
        <v>1086.68</v>
      </c>
      <c r="AA116" s="6">
        <v>3173.04</v>
      </c>
      <c r="AB116" s="138">
        <f t="shared" si="53"/>
        <v>4259.72</v>
      </c>
      <c r="AC116" s="6">
        <v>21803.06</v>
      </c>
      <c r="AD116" s="138">
        <f t="shared" si="54"/>
        <v>26062.780000000002</v>
      </c>
      <c r="AE116" s="167">
        <f t="shared" si="55"/>
        <v>8.9900510141140894E-2</v>
      </c>
      <c r="AF116" s="319">
        <v>1097.94</v>
      </c>
      <c r="AG116" s="4">
        <v>5624.65</v>
      </c>
      <c r="AH116" s="138">
        <f t="shared" si="56"/>
        <v>6722.59</v>
      </c>
      <c r="AI116" s="6">
        <v>21803.06</v>
      </c>
      <c r="AJ116" s="138">
        <f t="shared" si="57"/>
        <v>28525.65</v>
      </c>
      <c r="AK116" s="167">
        <f t="shared" si="58"/>
        <v>9.4497593886761072E-2</v>
      </c>
      <c r="AL116" s="6">
        <v>1122.97</v>
      </c>
      <c r="AM116" s="6">
        <v>8083.61</v>
      </c>
      <c r="AN116" s="138">
        <f t="shared" si="59"/>
        <v>9206.58</v>
      </c>
      <c r="AO116" s="6">
        <v>21803.06</v>
      </c>
      <c r="AP116" s="138">
        <f t="shared" si="60"/>
        <v>31009.64</v>
      </c>
      <c r="AQ116" s="167">
        <f t="shared" si="61"/>
        <v>8.7079172604305172E-2</v>
      </c>
      <c r="AR116" s="164">
        <f t="shared" si="62"/>
        <v>131889.49</v>
      </c>
      <c r="AS116" s="165">
        <f t="shared" si="46"/>
        <v>8.496762066954866E-2</v>
      </c>
    </row>
    <row r="117" spans="2:45" outlineLevel="1" x14ac:dyDescent="0.35">
      <c r="B117" s="294" t="s">
        <v>113</v>
      </c>
      <c r="C117" s="62" t="s">
        <v>147</v>
      </c>
      <c r="D117" s="70">
        <v>0</v>
      </c>
      <c r="E117" s="70">
        <v>0</v>
      </c>
      <c r="F117" s="167">
        <f t="shared" si="41"/>
        <v>0</v>
      </c>
      <c r="G117" s="70">
        <v>0</v>
      </c>
      <c r="H117" s="167">
        <f t="shared" si="47"/>
        <v>0</v>
      </c>
      <c r="I117" s="70">
        <v>0</v>
      </c>
      <c r="J117" s="167">
        <f t="shared" si="48"/>
        <v>0</v>
      </c>
      <c r="K117" s="70"/>
      <c r="L117" s="167">
        <f t="shared" si="49"/>
        <v>0</v>
      </c>
      <c r="M117" s="164">
        <f t="shared" si="50"/>
        <v>0</v>
      </c>
      <c r="N117" s="165">
        <f t="shared" si="42"/>
        <v>0</v>
      </c>
      <c r="P117" s="70"/>
      <c r="Q117" s="6"/>
      <c r="R117" s="138">
        <f t="shared" si="43"/>
        <v>0</v>
      </c>
      <c r="S117" s="306">
        <f t="shared" si="44"/>
        <v>0</v>
      </c>
      <c r="T117" s="70"/>
      <c r="U117" s="6"/>
      <c r="V117" s="138">
        <f t="shared" si="51"/>
        <v>0</v>
      </c>
      <c r="W117" s="6"/>
      <c r="X117" s="138">
        <f t="shared" si="52"/>
        <v>0</v>
      </c>
      <c r="Y117" s="167">
        <f t="shared" si="45"/>
        <v>0</v>
      </c>
      <c r="Z117" s="70"/>
      <c r="AA117" s="6"/>
      <c r="AB117" s="138">
        <f t="shared" si="53"/>
        <v>0</v>
      </c>
      <c r="AC117" s="6"/>
      <c r="AD117" s="138">
        <f t="shared" si="54"/>
        <v>0</v>
      </c>
      <c r="AE117" s="167">
        <f t="shared" si="55"/>
        <v>0</v>
      </c>
      <c r="AF117" s="319"/>
      <c r="AG117" s="4"/>
      <c r="AH117" s="138">
        <f t="shared" si="56"/>
        <v>0</v>
      </c>
      <c r="AI117" s="6"/>
      <c r="AJ117" s="138">
        <f t="shared" si="57"/>
        <v>0</v>
      </c>
      <c r="AK117" s="167">
        <f t="shared" si="58"/>
        <v>0</v>
      </c>
      <c r="AL117" s="6"/>
      <c r="AM117" s="6"/>
      <c r="AN117" s="138">
        <f t="shared" si="59"/>
        <v>0</v>
      </c>
      <c r="AO117" s="6"/>
      <c r="AP117" s="138">
        <f t="shared" si="60"/>
        <v>0</v>
      </c>
      <c r="AQ117" s="167">
        <f t="shared" si="61"/>
        <v>0</v>
      </c>
      <c r="AR117" s="164">
        <f t="shared" si="62"/>
        <v>0</v>
      </c>
      <c r="AS117" s="165">
        <f t="shared" si="46"/>
        <v>0</v>
      </c>
    </row>
    <row r="118" spans="2:45" outlineLevel="1" x14ac:dyDescent="0.35">
      <c r="B118" s="294" t="s">
        <v>114</v>
      </c>
      <c r="C118" s="62" t="s">
        <v>147</v>
      </c>
      <c r="D118" s="70">
        <v>81463.370445282591</v>
      </c>
      <c r="E118" s="70">
        <v>92743.548955070597</v>
      </c>
      <c r="F118" s="167">
        <f t="shared" si="41"/>
        <v>0.13846933226712843</v>
      </c>
      <c r="G118" s="70">
        <v>93200.190424846311</v>
      </c>
      <c r="H118" s="167">
        <f t="shared" si="47"/>
        <v>4.9237006230690239E-3</v>
      </c>
      <c r="I118" s="70">
        <v>82220</v>
      </c>
      <c r="J118" s="167">
        <f t="shared" si="48"/>
        <v>-0.1178129612696488</v>
      </c>
      <c r="K118" s="70">
        <v>57820.2</v>
      </c>
      <c r="L118" s="167">
        <f t="shared" si="49"/>
        <v>-0.29676234492824133</v>
      </c>
      <c r="M118" s="164">
        <f t="shared" si="50"/>
        <v>407447.30982519948</v>
      </c>
      <c r="N118" s="165">
        <f t="shared" si="42"/>
        <v>-8.2133955753037835E-2</v>
      </c>
      <c r="P118" s="70">
        <v>2060.34</v>
      </c>
      <c r="Q118" s="6">
        <v>89892.27</v>
      </c>
      <c r="R118" s="138">
        <f t="shared" si="43"/>
        <v>91952.61</v>
      </c>
      <c r="S118" s="306">
        <f t="shared" si="44"/>
        <v>0.59031981902518504</v>
      </c>
      <c r="T118" s="70">
        <v>2225.21</v>
      </c>
      <c r="U118" s="6">
        <v>4553.2</v>
      </c>
      <c r="V118" s="138">
        <f t="shared" si="51"/>
        <v>6778.41</v>
      </c>
      <c r="W118" s="6">
        <v>89892.27</v>
      </c>
      <c r="X118" s="138">
        <f t="shared" si="52"/>
        <v>96670.680000000008</v>
      </c>
      <c r="Y118" s="167">
        <f t="shared" si="45"/>
        <v>5.1309799689209547E-2</v>
      </c>
      <c r="Z118" s="70">
        <v>2354.4499999999998</v>
      </c>
      <c r="AA118" s="6">
        <v>9602.26</v>
      </c>
      <c r="AB118" s="138">
        <f t="shared" si="53"/>
        <v>11956.71</v>
      </c>
      <c r="AC118" s="6">
        <v>89892.27</v>
      </c>
      <c r="AD118" s="138">
        <f t="shared" si="54"/>
        <v>101848.98000000001</v>
      </c>
      <c r="AE118" s="167">
        <f t="shared" si="55"/>
        <v>5.3566396760631067E-2</v>
      </c>
      <c r="AF118" s="319">
        <v>2080.5500000000002</v>
      </c>
      <c r="AG118" s="4">
        <v>14915.46</v>
      </c>
      <c r="AH118" s="138">
        <f t="shared" si="56"/>
        <v>16996.009999999998</v>
      </c>
      <c r="AI118" s="6">
        <v>89892.27</v>
      </c>
      <c r="AJ118" s="138">
        <f t="shared" si="57"/>
        <v>106888.28</v>
      </c>
      <c r="AK118" s="167">
        <f t="shared" si="58"/>
        <v>4.9478158740519425E-2</v>
      </c>
      <c r="AL118" s="6">
        <v>1658.16</v>
      </c>
      <c r="AM118" s="6">
        <v>19575.82</v>
      </c>
      <c r="AN118" s="138">
        <f t="shared" si="59"/>
        <v>21233.98</v>
      </c>
      <c r="AO118" s="6">
        <v>89892.27</v>
      </c>
      <c r="AP118" s="138">
        <f t="shared" si="60"/>
        <v>111126.25</v>
      </c>
      <c r="AQ118" s="167">
        <f t="shared" si="61"/>
        <v>3.9648593840222721E-2</v>
      </c>
      <c r="AR118" s="164">
        <f t="shared" si="62"/>
        <v>508486.80000000005</v>
      </c>
      <c r="AS118" s="165">
        <f t="shared" si="46"/>
        <v>4.8487240169748036E-2</v>
      </c>
    </row>
    <row r="119" spans="2:45" outlineLevel="1" x14ac:dyDescent="0.35">
      <c r="B119" s="294" t="s">
        <v>115</v>
      </c>
      <c r="C119" s="62" t="s">
        <v>147</v>
      </c>
      <c r="D119" s="70">
        <v>3003.9503917566358</v>
      </c>
      <c r="E119" s="70">
        <v>11086.660302537621</v>
      </c>
      <c r="F119" s="167">
        <f t="shared" si="41"/>
        <v>2.6906935390682056</v>
      </c>
      <c r="G119" s="70">
        <v>19100.956398283088</v>
      </c>
      <c r="H119" s="167">
        <f t="shared" si="47"/>
        <v>0.72287739292517861</v>
      </c>
      <c r="I119" s="70">
        <v>19825.3</v>
      </c>
      <c r="J119" s="167">
        <f t="shared" si="48"/>
        <v>3.7921849912291306E-2</v>
      </c>
      <c r="K119" s="70">
        <v>15038.3</v>
      </c>
      <c r="L119" s="167">
        <f t="shared" si="49"/>
        <v>-0.24145914563714044</v>
      </c>
      <c r="M119" s="164">
        <f t="shared" si="50"/>
        <v>68055.167092577351</v>
      </c>
      <c r="N119" s="165">
        <f t="shared" si="42"/>
        <v>0.49581022286064913</v>
      </c>
      <c r="P119" s="70">
        <v>1147.05</v>
      </c>
      <c r="Q119" s="6">
        <v>30118.13</v>
      </c>
      <c r="R119" s="138">
        <f t="shared" si="43"/>
        <v>31265.18</v>
      </c>
      <c r="S119" s="306">
        <f t="shared" si="44"/>
        <v>1.0790368592194597</v>
      </c>
      <c r="T119" s="70">
        <v>1454.19</v>
      </c>
      <c r="U119" s="6">
        <v>2559.31</v>
      </c>
      <c r="V119" s="138">
        <f t="shared" si="51"/>
        <v>4013.5</v>
      </c>
      <c r="W119" s="6">
        <v>30118.13</v>
      </c>
      <c r="X119" s="138">
        <f t="shared" si="52"/>
        <v>34131.630000000005</v>
      </c>
      <c r="Y119" s="167">
        <f t="shared" si="45"/>
        <v>9.168186461744357E-2</v>
      </c>
      <c r="Z119" s="70">
        <v>1656.41</v>
      </c>
      <c r="AA119" s="6">
        <v>5854.06</v>
      </c>
      <c r="AB119" s="138">
        <f t="shared" si="53"/>
        <v>7510.47</v>
      </c>
      <c r="AC119" s="6">
        <v>30118.13</v>
      </c>
      <c r="AD119" s="138">
        <f t="shared" si="54"/>
        <v>37628.6</v>
      </c>
      <c r="AE119" s="167">
        <f t="shared" si="55"/>
        <v>0.10245540573362577</v>
      </c>
      <c r="AF119" s="319">
        <v>1619.75</v>
      </c>
      <c r="AG119" s="4">
        <v>9588.61</v>
      </c>
      <c r="AH119" s="138">
        <f t="shared" si="56"/>
        <v>11208.36</v>
      </c>
      <c r="AI119" s="6">
        <v>30118.13</v>
      </c>
      <c r="AJ119" s="138">
        <f t="shared" si="57"/>
        <v>41326.490000000005</v>
      </c>
      <c r="AK119" s="167">
        <f t="shared" si="58"/>
        <v>9.8273387795453637E-2</v>
      </c>
      <c r="AL119" s="6">
        <v>1485.65</v>
      </c>
      <c r="AM119" s="6">
        <v>13215.25</v>
      </c>
      <c r="AN119" s="138">
        <f t="shared" si="59"/>
        <v>14700.9</v>
      </c>
      <c r="AO119" s="6">
        <v>30118.13</v>
      </c>
      <c r="AP119" s="138">
        <f t="shared" si="60"/>
        <v>44819.03</v>
      </c>
      <c r="AQ119" s="167">
        <f t="shared" si="61"/>
        <v>8.4510927494689081E-2</v>
      </c>
      <c r="AR119" s="164">
        <f t="shared" si="62"/>
        <v>189170.93000000002</v>
      </c>
      <c r="AS119" s="165">
        <f t="shared" si="46"/>
        <v>9.4209245259005314E-2</v>
      </c>
    </row>
    <row r="120" spans="2:45" outlineLevel="1" x14ac:dyDescent="0.35">
      <c r="B120" s="294" t="s">
        <v>116</v>
      </c>
      <c r="C120" s="62" t="s">
        <v>147</v>
      </c>
      <c r="D120" s="70">
        <v>106122.15825628965</v>
      </c>
      <c r="E120" s="70">
        <v>123279.69007984461</v>
      </c>
      <c r="F120" s="167">
        <f t="shared" si="41"/>
        <v>0.16167718509944715</v>
      </c>
      <c r="G120" s="70">
        <v>127275.3844017269</v>
      </c>
      <c r="H120" s="167">
        <f t="shared" si="47"/>
        <v>3.2411618809995324E-2</v>
      </c>
      <c r="I120" s="70">
        <v>107606.9</v>
      </c>
      <c r="J120" s="167">
        <f t="shared" si="48"/>
        <v>-0.15453486543514253</v>
      </c>
      <c r="K120" s="70">
        <v>82485.5</v>
      </c>
      <c r="L120" s="167">
        <f t="shared" si="49"/>
        <v>-0.23345528957715533</v>
      </c>
      <c r="M120" s="164">
        <f t="shared" si="50"/>
        <v>546769.63273786113</v>
      </c>
      <c r="N120" s="165">
        <f t="shared" si="42"/>
        <v>-6.1049096100030398E-2</v>
      </c>
      <c r="P120" s="70">
        <v>2406.8000000000002</v>
      </c>
      <c r="Q120" s="6">
        <v>145488.84</v>
      </c>
      <c r="R120" s="138">
        <f t="shared" si="43"/>
        <v>147895.63999999998</v>
      </c>
      <c r="S120" s="306">
        <f t="shared" si="44"/>
        <v>0.79298955574009955</v>
      </c>
      <c r="T120" s="70">
        <v>2597.37</v>
      </c>
      <c r="U120" s="6">
        <v>5321.73</v>
      </c>
      <c r="V120" s="138">
        <f t="shared" si="51"/>
        <v>7919.0999999999995</v>
      </c>
      <c r="W120" s="6">
        <v>145488.84</v>
      </c>
      <c r="X120" s="138">
        <f t="shared" si="52"/>
        <v>153407.94</v>
      </c>
      <c r="Y120" s="167">
        <f t="shared" si="45"/>
        <v>3.7271551750950996E-2</v>
      </c>
      <c r="Z120" s="70">
        <v>2745.75</v>
      </c>
      <c r="AA120" s="6">
        <v>11214.68</v>
      </c>
      <c r="AB120" s="138">
        <f t="shared" si="53"/>
        <v>13960.43</v>
      </c>
      <c r="AC120" s="6">
        <v>145488.84</v>
      </c>
      <c r="AD120" s="138">
        <f t="shared" si="54"/>
        <v>159449.26999999999</v>
      </c>
      <c r="AE120" s="167">
        <f t="shared" si="55"/>
        <v>3.9380816925121263E-2</v>
      </c>
      <c r="AF120" s="319">
        <v>2425.65</v>
      </c>
      <c r="AG120" s="4">
        <v>17410.55</v>
      </c>
      <c r="AH120" s="138">
        <f t="shared" si="56"/>
        <v>19836.2</v>
      </c>
      <c r="AI120" s="6">
        <v>145488.84</v>
      </c>
      <c r="AJ120" s="138">
        <f t="shared" si="57"/>
        <v>165325.04</v>
      </c>
      <c r="AK120" s="167">
        <f t="shared" si="58"/>
        <v>3.6850403893351279E-2</v>
      </c>
      <c r="AL120" s="6">
        <v>1932.45</v>
      </c>
      <c r="AM120" s="6">
        <v>22843.759999999998</v>
      </c>
      <c r="AN120" s="138">
        <f t="shared" si="59"/>
        <v>24776.21</v>
      </c>
      <c r="AO120" s="6">
        <v>145488.84</v>
      </c>
      <c r="AP120" s="138">
        <f t="shared" si="60"/>
        <v>170265.05</v>
      </c>
      <c r="AQ120" s="167">
        <f t="shared" si="61"/>
        <v>2.9880591590965167E-2</v>
      </c>
      <c r="AR120" s="164">
        <f t="shared" si="62"/>
        <v>796342.94</v>
      </c>
      <c r="AS120" s="165">
        <f t="shared" si="46"/>
        <v>3.5839659107186783E-2</v>
      </c>
    </row>
    <row r="121" spans="2:45" outlineLevel="1" x14ac:dyDescent="0.35">
      <c r="B121" s="294" t="s">
        <v>117</v>
      </c>
      <c r="C121" s="62" t="s">
        <v>147</v>
      </c>
      <c r="D121" s="70">
        <v>37667.829107883183</v>
      </c>
      <c r="E121" s="70">
        <v>43218.733206268997</v>
      </c>
      <c r="F121" s="167">
        <f t="shared" si="41"/>
        <v>0.14736458749687043</v>
      </c>
      <c r="G121" s="70">
        <v>45402.617541418302</v>
      </c>
      <c r="H121" s="167">
        <f t="shared" si="47"/>
        <v>5.0530965929203281E-2</v>
      </c>
      <c r="I121" s="70">
        <v>45218.3</v>
      </c>
      <c r="J121" s="167">
        <f t="shared" si="48"/>
        <v>-4.0596236824926683E-3</v>
      </c>
      <c r="K121" s="70">
        <v>35367.4</v>
      </c>
      <c r="L121" s="167">
        <f t="shared" si="49"/>
        <v>-0.21785206431909207</v>
      </c>
      <c r="M121" s="164">
        <f t="shared" si="50"/>
        <v>206874.87985557047</v>
      </c>
      <c r="N121" s="165">
        <f t="shared" si="42"/>
        <v>-1.5630529975417473E-2</v>
      </c>
      <c r="P121" s="70">
        <v>1692.86</v>
      </c>
      <c r="Q121" s="6">
        <v>47874.71</v>
      </c>
      <c r="R121" s="138">
        <f t="shared" si="43"/>
        <v>49567.57</v>
      </c>
      <c r="S121" s="306">
        <f t="shared" si="44"/>
        <v>0.40150449283803724</v>
      </c>
      <c r="T121" s="70">
        <v>2544.21</v>
      </c>
      <c r="U121" s="6">
        <v>3745.33</v>
      </c>
      <c r="V121" s="138">
        <f t="shared" si="51"/>
        <v>6289.54</v>
      </c>
      <c r="W121" s="6">
        <v>47874.71</v>
      </c>
      <c r="X121" s="138">
        <f t="shared" si="52"/>
        <v>54164.25</v>
      </c>
      <c r="Y121" s="167">
        <f t="shared" si="45"/>
        <v>9.2735633399014722E-2</v>
      </c>
      <c r="Z121" s="70">
        <v>3154.8</v>
      </c>
      <c r="AA121" s="6">
        <v>9516.1200000000008</v>
      </c>
      <c r="AB121" s="138">
        <f t="shared" si="53"/>
        <v>12670.920000000002</v>
      </c>
      <c r="AC121" s="6">
        <v>47874.71</v>
      </c>
      <c r="AD121" s="138">
        <f t="shared" si="54"/>
        <v>60545.630000000005</v>
      </c>
      <c r="AE121" s="167">
        <f t="shared" si="55"/>
        <v>0.11781534868478756</v>
      </c>
      <c r="AF121" s="319">
        <v>3538.97</v>
      </c>
      <c r="AG121" s="4">
        <v>16633.11</v>
      </c>
      <c r="AH121" s="138">
        <f t="shared" si="56"/>
        <v>20172.080000000002</v>
      </c>
      <c r="AI121" s="6">
        <v>47874.71</v>
      </c>
      <c r="AJ121" s="138">
        <f t="shared" si="57"/>
        <v>68046.790000000008</v>
      </c>
      <c r="AK121" s="167">
        <f t="shared" si="58"/>
        <v>0.12389267400471352</v>
      </c>
      <c r="AL121" s="6">
        <v>3314.99</v>
      </c>
      <c r="AM121" s="6">
        <v>24558.7</v>
      </c>
      <c r="AN121" s="138">
        <f t="shared" si="59"/>
        <v>27873.690000000002</v>
      </c>
      <c r="AO121" s="6">
        <v>47874.71</v>
      </c>
      <c r="AP121" s="138">
        <f t="shared" si="60"/>
        <v>75748.399999999994</v>
      </c>
      <c r="AQ121" s="167">
        <f t="shared" si="61"/>
        <v>0.113181092010365</v>
      </c>
      <c r="AR121" s="164">
        <f t="shared" si="62"/>
        <v>308072.64</v>
      </c>
      <c r="AS121" s="165">
        <f t="shared" si="46"/>
        <v>0.11184426126655844</v>
      </c>
    </row>
    <row r="122" spans="2:45" outlineLevel="1" x14ac:dyDescent="0.35">
      <c r="B122" s="294" t="s">
        <v>118</v>
      </c>
      <c r="C122" s="62" t="s">
        <v>147</v>
      </c>
      <c r="D122" s="70">
        <v>34426.611677148001</v>
      </c>
      <c r="E122" s="70">
        <v>44491.265480889502</v>
      </c>
      <c r="F122" s="167">
        <f t="shared" si="41"/>
        <v>0.29235098412029625</v>
      </c>
      <c r="G122" s="70">
        <v>53077.050909797195</v>
      </c>
      <c r="H122" s="167">
        <f t="shared" si="47"/>
        <v>0.19297687616000891</v>
      </c>
      <c r="I122" s="70">
        <v>47065.2</v>
      </c>
      <c r="J122" s="167">
        <f t="shared" si="48"/>
        <v>-0.11326648347539416</v>
      </c>
      <c r="K122" s="70">
        <v>39124.199999999997</v>
      </c>
      <c r="L122" s="167">
        <f t="shared" si="49"/>
        <v>-0.16872338798092859</v>
      </c>
      <c r="M122" s="164">
        <f t="shared" si="50"/>
        <v>218184.32806783472</v>
      </c>
      <c r="N122" s="165">
        <f t="shared" si="42"/>
        <v>3.249462001273562E-2</v>
      </c>
      <c r="P122" s="70">
        <v>1130.95</v>
      </c>
      <c r="Q122" s="6">
        <v>68149.34</v>
      </c>
      <c r="R122" s="138">
        <f t="shared" si="43"/>
        <v>69280.289999999994</v>
      </c>
      <c r="S122" s="306">
        <f t="shared" si="44"/>
        <v>0.7707784440320824</v>
      </c>
      <c r="T122" s="70">
        <v>1212.81</v>
      </c>
      <c r="U122" s="6">
        <v>2511.5</v>
      </c>
      <c r="V122" s="138">
        <f t="shared" si="51"/>
        <v>3724.31</v>
      </c>
      <c r="W122" s="6">
        <v>68149.34</v>
      </c>
      <c r="X122" s="138">
        <f t="shared" si="52"/>
        <v>71873.649999999994</v>
      </c>
      <c r="Y122" s="167">
        <f t="shared" si="45"/>
        <v>3.7432868713453721E-2</v>
      </c>
      <c r="Z122" s="70">
        <v>1272.72</v>
      </c>
      <c r="AA122" s="6">
        <v>5261.1</v>
      </c>
      <c r="AB122" s="138">
        <f t="shared" si="53"/>
        <v>6533.8200000000006</v>
      </c>
      <c r="AC122" s="6">
        <v>68149.34</v>
      </c>
      <c r="AD122" s="138">
        <f t="shared" si="54"/>
        <v>74683.16</v>
      </c>
      <c r="AE122" s="167">
        <f t="shared" si="55"/>
        <v>3.9089568986687188E-2</v>
      </c>
      <c r="AF122" s="319">
        <v>1121.76</v>
      </c>
      <c r="AG122" s="4">
        <v>8131.66</v>
      </c>
      <c r="AH122" s="138">
        <f t="shared" si="56"/>
        <v>9253.42</v>
      </c>
      <c r="AI122" s="6">
        <v>68149.34</v>
      </c>
      <c r="AJ122" s="138">
        <f t="shared" si="57"/>
        <v>77402.759999999995</v>
      </c>
      <c r="AK122" s="167">
        <f t="shared" si="58"/>
        <v>3.6415170434673509E-2</v>
      </c>
      <c r="AL122" s="6">
        <v>979.53</v>
      </c>
      <c r="AM122" s="6">
        <v>10643.71</v>
      </c>
      <c r="AN122" s="138">
        <f t="shared" si="59"/>
        <v>11623.24</v>
      </c>
      <c r="AO122" s="6">
        <v>68149.34</v>
      </c>
      <c r="AP122" s="138">
        <f t="shared" si="60"/>
        <v>79772.58</v>
      </c>
      <c r="AQ122" s="167">
        <f t="shared" si="61"/>
        <v>3.0616737697725601E-2</v>
      </c>
      <c r="AR122" s="164">
        <f t="shared" si="62"/>
        <v>373012.44</v>
      </c>
      <c r="AS122" s="165">
        <f t="shared" si="46"/>
        <v>3.5883666549819671E-2</v>
      </c>
    </row>
    <row r="123" spans="2:45" outlineLevel="1" x14ac:dyDescent="0.35">
      <c r="B123" s="294" t="s">
        <v>119</v>
      </c>
      <c r="C123" s="62" t="s">
        <v>147</v>
      </c>
      <c r="D123" s="70">
        <v>0</v>
      </c>
      <c r="E123" s="70">
        <v>0</v>
      </c>
      <c r="F123" s="167">
        <f t="shared" si="41"/>
        <v>0</v>
      </c>
      <c r="G123" s="70">
        <v>0</v>
      </c>
      <c r="H123" s="167">
        <f t="shared" si="47"/>
        <v>0</v>
      </c>
      <c r="I123" s="70">
        <v>0</v>
      </c>
      <c r="J123" s="167">
        <f t="shared" si="48"/>
        <v>0</v>
      </c>
      <c r="K123" s="70"/>
      <c r="L123" s="167">
        <f t="shared" si="49"/>
        <v>0</v>
      </c>
      <c r="M123" s="164">
        <f t="shared" si="50"/>
        <v>0</v>
      </c>
      <c r="N123" s="165">
        <f t="shared" si="42"/>
        <v>0</v>
      </c>
      <c r="P123" s="70"/>
      <c r="Q123" s="6"/>
      <c r="R123" s="138">
        <f t="shared" si="43"/>
        <v>0</v>
      </c>
      <c r="S123" s="306">
        <f t="shared" si="44"/>
        <v>0</v>
      </c>
      <c r="T123" s="70"/>
      <c r="U123" s="6"/>
      <c r="V123" s="138">
        <f t="shared" si="51"/>
        <v>0</v>
      </c>
      <c r="W123" s="6"/>
      <c r="X123" s="138">
        <f t="shared" si="52"/>
        <v>0</v>
      </c>
      <c r="Y123" s="167">
        <f t="shared" si="45"/>
        <v>0</v>
      </c>
      <c r="Z123" s="70"/>
      <c r="AA123" s="6"/>
      <c r="AB123" s="138">
        <f t="shared" si="53"/>
        <v>0</v>
      </c>
      <c r="AC123" s="6"/>
      <c r="AD123" s="138">
        <f t="shared" si="54"/>
        <v>0</v>
      </c>
      <c r="AE123" s="167">
        <f t="shared" si="55"/>
        <v>0</v>
      </c>
      <c r="AF123" s="319"/>
      <c r="AG123" s="4"/>
      <c r="AH123" s="138">
        <f t="shared" si="56"/>
        <v>0</v>
      </c>
      <c r="AI123" s="6"/>
      <c r="AJ123" s="138">
        <f t="shared" si="57"/>
        <v>0</v>
      </c>
      <c r="AK123" s="167">
        <f t="shared" si="58"/>
        <v>0</v>
      </c>
      <c r="AL123" s="6"/>
      <c r="AM123" s="6"/>
      <c r="AN123" s="138">
        <f t="shared" si="59"/>
        <v>0</v>
      </c>
      <c r="AO123" s="6"/>
      <c r="AP123" s="138">
        <f t="shared" si="60"/>
        <v>0</v>
      </c>
      <c r="AQ123" s="167">
        <f t="shared" si="61"/>
        <v>0</v>
      </c>
      <c r="AR123" s="164">
        <f t="shared" si="62"/>
        <v>0</v>
      </c>
      <c r="AS123" s="165">
        <f t="shared" si="46"/>
        <v>0</v>
      </c>
    </row>
    <row r="124" spans="2:45" outlineLevel="1" x14ac:dyDescent="0.35">
      <c r="B124" s="294" t="s">
        <v>120</v>
      </c>
      <c r="C124" s="62" t="s">
        <v>147</v>
      </c>
      <c r="D124" s="70">
        <v>43016.499449947383</v>
      </c>
      <c r="E124" s="70">
        <v>46245.973004202504</v>
      </c>
      <c r="F124" s="167">
        <f t="shared" si="41"/>
        <v>7.5075229169050184E-2</v>
      </c>
      <c r="G124" s="70">
        <v>52478.670330801193</v>
      </c>
      <c r="H124" s="167">
        <f t="shared" si="47"/>
        <v>0.13477275796602453</v>
      </c>
      <c r="I124" s="70">
        <v>46963.4</v>
      </c>
      <c r="J124" s="167">
        <f t="shared" si="48"/>
        <v>-0.10509546633013919</v>
      </c>
      <c r="K124" s="70">
        <v>33534.5</v>
      </c>
      <c r="L124" s="167">
        <f t="shared" si="49"/>
        <v>-0.28594394784023308</v>
      </c>
      <c r="M124" s="164">
        <f t="shared" si="50"/>
        <v>222239.04278495107</v>
      </c>
      <c r="N124" s="165">
        <f t="shared" si="42"/>
        <v>-6.0354166556679023E-2</v>
      </c>
      <c r="P124" s="70">
        <v>1729.44</v>
      </c>
      <c r="Q124" s="6">
        <v>62362.62</v>
      </c>
      <c r="R124" s="138">
        <f t="shared" si="43"/>
        <v>64092.060000000005</v>
      </c>
      <c r="S124" s="306">
        <f t="shared" si="44"/>
        <v>0.91122754178532572</v>
      </c>
      <c r="T124" s="70">
        <v>2021.81</v>
      </c>
      <c r="U124" s="6">
        <v>3827.82</v>
      </c>
      <c r="V124" s="138">
        <f t="shared" si="51"/>
        <v>5849.63</v>
      </c>
      <c r="W124" s="6">
        <v>62362.62</v>
      </c>
      <c r="X124" s="138">
        <f t="shared" si="52"/>
        <v>68212.25</v>
      </c>
      <c r="Y124" s="167">
        <f t="shared" si="45"/>
        <v>6.4285498078857112E-2</v>
      </c>
      <c r="Z124" s="70">
        <v>2334.1799999999998</v>
      </c>
      <c r="AA124" s="6">
        <v>8413.9699999999993</v>
      </c>
      <c r="AB124" s="138">
        <f t="shared" si="53"/>
        <v>10748.15</v>
      </c>
      <c r="AC124" s="6">
        <v>62362.62</v>
      </c>
      <c r="AD124" s="138">
        <f t="shared" si="54"/>
        <v>73110.77</v>
      </c>
      <c r="AE124" s="167">
        <f t="shared" si="55"/>
        <v>7.1812907505616724E-2</v>
      </c>
      <c r="AF124" s="319">
        <v>2155.8200000000002</v>
      </c>
      <c r="AG124" s="4">
        <v>13680.18</v>
      </c>
      <c r="AH124" s="138">
        <f t="shared" si="56"/>
        <v>15836</v>
      </c>
      <c r="AI124" s="6">
        <v>62362.62</v>
      </c>
      <c r="AJ124" s="138">
        <f t="shared" si="57"/>
        <v>78198.62</v>
      </c>
      <c r="AK124" s="167">
        <f t="shared" si="58"/>
        <v>6.959097818283122E-2</v>
      </c>
      <c r="AL124" s="6">
        <v>1902.35</v>
      </c>
      <c r="AM124" s="6">
        <v>18508.53</v>
      </c>
      <c r="AN124" s="138">
        <f t="shared" si="59"/>
        <v>20410.879999999997</v>
      </c>
      <c r="AO124" s="6">
        <v>62362.62</v>
      </c>
      <c r="AP124" s="138">
        <f t="shared" si="60"/>
        <v>82773.5</v>
      </c>
      <c r="AQ124" s="167">
        <f t="shared" si="61"/>
        <v>5.8503334202061427E-2</v>
      </c>
      <c r="AR124" s="164">
        <f t="shared" si="62"/>
        <v>366387.20000000001</v>
      </c>
      <c r="AS124" s="165">
        <f t="shared" si="46"/>
        <v>6.6035757326184497E-2</v>
      </c>
    </row>
    <row r="125" spans="2:45" outlineLevel="1" x14ac:dyDescent="0.35">
      <c r="B125" s="294" t="s">
        <v>121</v>
      </c>
      <c r="C125" s="62" t="s">
        <v>147</v>
      </c>
      <c r="D125" s="70">
        <v>4735.7719827348083</v>
      </c>
      <c r="E125" s="70">
        <v>5809.5330176376301</v>
      </c>
      <c r="F125" s="167">
        <f t="shared" si="41"/>
        <v>0.22673410772677183</v>
      </c>
      <c r="G125" s="70">
        <v>8087.7157726342703</v>
      </c>
      <c r="H125" s="167">
        <f t="shared" si="47"/>
        <v>0.39214559037363611</v>
      </c>
      <c r="I125" s="70">
        <v>8318.9</v>
      </c>
      <c r="J125" s="167">
        <f t="shared" si="48"/>
        <v>2.8584613241227911E-2</v>
      </c>
      <c r="K125" s="70">
        <v>6476.1</v>
      </c>
      <c r="L125" s="167">
        <f t="shared" si="49"/>
        <v>-0.22151967207202869</v>
      </c>
      <c r="M125" s="164">
        <f t="shared" si="50"/>
        <v>33428.020773006705</v>
      </c>
      <c r="N125" s="165">
        <f t="shared" si="42"/>
        <v>8.1385870135604499E-2</v>
      </c>
      <c r="P125" s="70">
        <v>571.20000000000005</v>
      </c>
      <c r="Q125" s="6">
        <v>11698.8</v>
      </c>
      <c r="R125" s="138">
        <f t="shared" si="43"/>
        <v>12270</v>
      </c>
      <c r="S125" s="306">
        <f t="shared" si="44"/>
        <v>0.89465882243943107</v>
      </c>
      <c r="T125" s="70">
        <v>745.8</v>
      </c>
      <c r="U125" s="6">
        <v>1267.43</v>
      </c>
      <c r="V125" s="138">
        <f t="shared" si="51"/>
        <v>2013.23</v>
      </c>
      <c r="W125" s="6">
        <v>11698.8</v>
      </c>
      <c r="X125" s="138">
        <f t="shared" si="52"/>
        <v>13712.029999999999</v>
      </c>
      <c r="Y125" s="167">
        <f t="shared" si="45"/>
        <v>0.11752485737571303</v>
      </c>
      <c r="Z125" s="70">
        <v>967.86</v>
      </c>
      <c r="AA125" s="6">
        <v>2958.46</v>
      </c>
      <c r="AB125" s="138">
        <f t="shared" si="53"/>
        <v>3926.32</v>
      </c>
      <c r="AC125" s="6">
        <v>11698.8</v>
      </c>
      <c r="AD125" s="138">
        <f t="shared" si="54"/>
        <v>15625.119999999999</v>
      </c>
      <c r="AE125" s="167">
        <f t="shared" si="55"/>
        <v>0.13951909381761857</v>
      </c>
      <c r="AF125" s="319">
        <v>975.81</v>
      </c>
      <c r="AG125" s="4">
        <v>5141.51</v>
      </c>
      <c r="AH125" s="138">
        <f t="shared" si="56"/>
        <v>6117.32</v>
      </c>
      <c r="AI125" s="6">
        <v>11698.8</v>
      </c>
      <c r="AJ125" s="138">
        <f t="shared" si="57"/>
        <v>17816.12</v>
      </c>
      <c r="AK125" s="167">
        <f t="shared" si="58"/>
        <v>0.1402229230879507</v>
      </c>
      <c r="AL125" s="6">
        <v>1070.82</v>
      </c>
      <c r="AM125" s="6">
        <v>7326.72</v>
      </c>
      <c r="AN125" s="138">
        <f t="shared" si="59"/>
        <v>8397.5400000000009</v>
      </c>
      <c r="AO125" s="6">
        <v>11698.8</v>
      </c>
      <c r="AP125" s="138">
        <f t="shared" si="60"/>
        <v>20096.34</v>
      </c>
      <c r="AQ125" s="167">
        <f t="shared" si="61"/>
        <v>0.12798634046021251</v>
      </c>
      <c r="AR125" s="164">
        <f t="shared" si="62"/>
        <v>79519.609999999986</v>
      </c>
      <c r="AS125" s="165">
        <f t="shared" si="46"/>
        <v>0.13127477070991489</v>
      </c>
    </row>
    <row r="126" spans="2:45" outlineLevel="1" x14ac:dyDescent="0.35">
      <c r="B126" s="294" t="s">
        <v>137</v>
      </c>
      <c r="C126" s="62" t="s">
        <v>147</v>
      </c>
      <c r="D126" s="70">
        <v>0</v>
      </c>
      <c r="E126" s="70">
        <v>0</v>
      </c>
      <c r="F126" s="167">
        <f t="shared" si="41"/>
        <v>0</v>
      </c>
      <c r="G126" s="70">
        <v>0</v>
      </c>
      <c r="H126" s="167">
        <f t="shared" si="47"/>
        <v>0</v>
      </c>
      <c r="I126" s="70">
        <v>0</v>
      </c>
      <c r="J126" s="167">
        <f t="shared" si="48"/>
        <v>0</v>
      </c>
      <c r="K126" s="70"/>
      <c r="L126" s="167">
        <f t="shared" si="49"/>
        <v>0</v>
      </c>
      <c r="M126" s="164">
        <f t="shared" si="50"/>
        <v>0</v>
      </c>
      <c r="N126" s="165">
        <f t="shared" si="42"/>
        <v>0</v>
      </c>
      <c r="P126" s="70"/>
      <c r="Q126" s="6"/>
      <c r="R126" s="138">
        <f t="shared" si="43"/>
        <v>0</v>
      </c>
      <c r="S126" s="306">
        <f t="shared" si="44"/>
        <v>0</v>
      </c>
      <c r="T126" s="70"/>
      <c r="U126" s="6"/>
      <c r="V126" s="138">
        <f t="shared" si="51"/>
        <v>0</v>
      </c>
      <c r="W126" s="6"/>
      <c r="X126" s="138">
        <f t="shared" si="52"/>
        <v>0</v>
      </c>
      <c r="Y126" s="167">
        <f t="shared" si="45"/>
        <v>0</v>
      </c>
      <c r="Z126" s="70"/>
      <c r="AA126" s="6"/>
      <c r="AB126" s="138">
        <f t="shared" si="53"/>
        <v>0</v>
      </c>
      <c r="AC126" s="6"/>
      <c r="AD126" s="138">
        <f t="shared" si="54"/>
        <v>0</v>
      </c>
      <c r="AE126" s="167">
        <f t="shared" si="55"/>
        <v>0</v>
      </c>
      <c r="AF126" s="319"/>
      <c r="AG126" s="4"/>
      <c r="AH126" s="138">
        <f t="shared" si="56"/>
        <v>0</v>
      </c>
      <c r="AI126" s="6"/>
      <c r="AJ126" s="138">
        <f t="shared" si="57"/>
        <v>0</v>
      </c>
      <c r="AK126" s="167">
        <f t="shared" si="58"/>
        <v>0</v>
      </c>
      <c r="AL126" s="6"/>
      <c r="AM126" s="6"/>
      <c r="AN126" s="138">
        <f t="shared" si="59"/>
        <v>0</v>
      </c>
      <c r="AO126" s="6"/>
      <c r="AP126" s="138">
        <f t="shared" si="60"/>
        <v>0</v>
      </c>
      <c r="AQ126" s="167">
        <f t="shared" si="61"/>
        <v>0</v>
      </c>
      <c r="AR126" s="164">
        <f t="shared" si="62"/>
        <v>0</v>
      </c>
      <c r="AS126" s="165">
        <f t="shared" si="46"/>
        <v>0</v>
      </c>
    </row>
    <row r="127" spans="2:45" outlineLevel="1" x14ac:dyDescent="0.35">
      <c r="B127" s="294" t="s">
        <v>123</v>
      </c>
      <c r="C127" s="62" t="s">
        <v>147</v>
      </c>
      <c r="D127" s="70">
        <v>80342.567111413693</v>
      </c>
      <c r="E127" s="70">
        <v>93846.575997773791</v>
      </c>
      <c r="F127" s="167">
        <f t="shared" si="41"/>
        <v>0.16808037596849054</v>
      </c>
      <c r="G127" s="70">
        <v>99123.720150670502</v>
      </c>
      <c r="H127" s="167">
        <f t="shared" si="47"/>
        <v>5.6231610975576725E-2</v>
      </c>
      <c r="I127" s="70">
        <v>90742.9</v>
      </c>
      <c r="J127" s="167">
        <f t="shared" si="48"/>
        <v>-8.4549088128769323E-2</v>
      </c>
      <c r="K127" s="70">
        <v>72135.7</v>
      </c>
      <c r="L127" s="167">
        <f t="shared" si="49"/>
        <v>-0.20505405932585358</v>
      </c>
      <c r="M127" s="164">
        <f t="shared" si="50"/>
        <v>436191.46325985802</v>
      </c>
      <c r="N127" s="165">
        <f t="shared" si="42"/>
        <v>-2.6578046614478601E-2</v>
      </c>
      <c r="P127" s="70">
        <v>1327.61</v>
      </c>
      <c r="Q127" s="6">
        <v>80462.929999999993</v>
      </c>
      <c r="R127" s="138">
        <f t="shared" si="43"/>
        <v>81790.539999999994</v>
      </c>
      <c r="S127" s="306">
        <f t="shared" si="44"/>
        <v>0.13384274360684095</v>
      </c>
      <c r="T127" s="70">
        <v>1515.34</v>
      </c>
      <c r="U127" s="6">
        <v>2935.72</v>
      </c>
      <c r="V127" s="138">
        <f t="shared" si="51"/>
        <v>4451.0599999999995</v>
      </c>
      <c r="W127" s="6">
        <v>80462.929999999993</v>
      </c>
      <c r="X127" s="138">
        <f t="shared" si="52"/>
        <v>84913.989999999991</v>
      </c>
      <c r="Y127" s="167">
        <f t="shared" si="45"/>
        <v>3.8188401739369826E-2</v>
      </c>
      <c r="Z127" s="70">
        <v>1821.41</v>
      </c>
      <c r="AA127" s="6">
        <v>6373.66</v>
      </c>
      <c r="AB127" s="138">
        <f t="shared" si="53"/>
        <v>8195.07</v>
      </c>
      <c r="AC127" s="6">
        <v>80462.929999999993</v>
      </c>
      <c r="AD127" s="138">
        <f t="shared" si="54"/>
        <v>88658</v>
      </c>
      <c r="AE127" s="167">
        <f t="shared" si="55"/>
        <v>4.4091792177001807E-2</v>
      </c>
      <c r="AF127" s="319">
        <v>1661.23</v>
      </c>
      <c r="AG127" s="4">
        <v>10483.51</v>
      </c>
      <c r="AH127" s="138">
        <f t="shared" si="56"/>
        <v>12144.74</v>
      </c>
      <c r="AI127" s="6">
        <v>80462.929999999993</v>
      </c>
      <c r="AJ127" s="138">
        <f t="shared" si="57"/>
        <v>92607.67</v>
      </c>
      <c r="AK127" s="167">
        <f t="shared" si="58"/>
        <v>4.454950483881881E-2</v>
      </c>
      <c r="AL127" s="6">
        <v>1457.95</v>
      </c>
      <c r="AM127" s="6">
        <v>14204.38</v>
      </c>
      <c r="AN127" s="138">
        <f t="shared" si="59"/>
        <v>15662.33</v>
      </c>
      <c r="AO127" s="6">
        <v>80462.929999999993</v>
      </c>
      <c r="AP127" s="138">
        <f t="shared" si="60"/>
        <v>96125.26</v>
      </c>
      <c r="AQ127" s="167">
        <f t="shared" si="61"/>
        <v>3.7983786872080857E-2</v>
      </c>
      <c r="AR127" s="164">
        <f t="shared" si="62"/>
        <v>444095.45999999996</v>
      </c>
      <c r="AS127" s="165">
        <f t="shared" si="46"/>
        <v>4.119868993208553E-2</v>
      </c>
    </row>
    <row r="128" spans="2:45" outlineLevel="1" x14ac:dyDescent="0.35">
      <c r="B128" s="294" t="s">
        <v>124</v>
      </c>
      <c r="C128" s="62" t="s">
        <v>147</v>
      </c>
      <c r="D128" s="70">
        <v>233.12817011719585</v>
      </c>
      <c r="E128" s="70">
        <v>664.86180613482998</v>
      </c>
      <c r="F128" s="167">
        <f t="shared" si="41"/>
        <v>1.8519153468265861</v>
      </c>
      <c r="G128" s="70">
        <v>1067.9585886678631</v>
      </c>
      <c r="H128" s="167">
        <f t="shared" si="47"/>
        <v>0.60628656784548018</v>
      </c>
      <c r="I128" s="70">
        <v>1117.5999999999999</v>
      </c>
      <c r="J128" s="167">
        <f t="shared" si="48"/>
        <v>4.6482524564981427E-2</v>
      </c>
      <c r="K128" s="70">
        <v>835.7</v>
      </c>
      <c r="L128" s="167">
        <f t="shared" si="49"/>
        <v>-0.25223693629205429</v>
      </c>
      <c r="M128" s="164">
        <f t="shared" si="50"/>
        <v>3919.2485649198888</v>
      </c>
      <c r="N128" s="165">
        <f t="shared" si="42"/>
        <v>0.37598567257752169</v>
      </c>
      <c r="P128" s="70">
        <v>22.71</v>
      </c>
      <c r="Q128" s="6">
        <v>1291.3599999999999</v>
      </c>
      <c r="R128" s="138">
        <f t="shared" si="43"/>
        <v>1314.07</v>
      </c>
      <c r="S128" s="306">
        <f t="shared" si="44"/>
        <v>0.57241833193729796</v>
      </c>
      <c r="T128" s="70">
        <v>24.57</v>
      </c>
      <c r="U128" s="6">
        <v>50.14</v>
      </c>
      <c r="V128" s="138">
        <f t="shared" si="51"/>
        <v>74.710000000000008</v>
      </c>
      <c r="W128" s="6">
        <v>1291.3599999999999</v>
      </c>
      <c r="X128" s="138">
        <f t="shared" si="52"/>
        <v>1366.07</v>
      </c>
      <c r="Y128" s="167">
        <f t="shared" si="45"/>
        <v>3.9571712313651482E-2</v>
      </c>
      <c r="Z128" s="70">
        <v>26.05</v>
      </c>
      <c r="AA128" s="6">
        <v>105.9</v>
      </c>
      <c r="AB128" s="138">
        <f t="shared" si="53"/>
        <v>131.95000000000002</v>
      </c>
      <c r="AC128" s="6">
        <v>1291.3599999999999</v>
      </c>
      <c r="AD128" s="138">
        <f t="shared" si="54"/>
        <v>1423.31</v>
      </c>
      <c r="AE128" s="167">
        <f t="shared" si="55"/>
        <v>4.1901220288857829E-2</v>
      </c>
      <c r="AF128" s="319">
        <v>23.03</v>
      </c>
      <c r="AG128" s="4">
        <v>164.68</v>
      </c>
      <c r="AH128" s="138">
        <f t="shared" si="56"/>
        <v>187.71</v>
      </c>
      <c r="AI128" s="6">
        <v>1291.3599999999999</v>
      </c>
      <c r="AJ128" s="138">
        <f t="shared" si="57"/>
        <v>1479.07</v>
      </c>
      <c r="AK128" s="167">
        <f t="shared" si="58"/>
        <v>3.9176286262304058E-2</v>
      </c>
      <c r="AL128" s="6">
        <v>18.37</v>
      </c>
      <c r="AM128" s="6">
        <v>216.27</v>
      </c>
      <c r="AN128" s="138">
        <f t="shared" si="59"/>
        <v>234.64000000000001</v>
      </c>
      <c r="AO128" s="6">
        <v>1291.3599999999999</v>
      </c>
      <c r="AP128" s="138">
        <f t="shared" si="60"/>
        <v>1526</v>
      </c>
      <c r="AQ128" s="167">
        <f t="shared" si="61"/>
        <v>3.1729397526824334E-2</v>
      </c>
      <c r="AR128" s="164">
        <f t="shared" si="62"/>
        <v>7108.5199999999995</v>
      </c>
      <c r="AS128" s="165">
        <f t="shared" si="46"/>
        <v>3.8087611622090067E-2</v>
      </c>
    </row>
    <row r="129" spans="2:45" outlineLevel="1" x14ac:dyDescent="0.35">
      <c r="B129" s="294" t="s">
        <v>125</v>
      </c>
      <c r="C129" s="62" t="s">
        <v>147</v>
      </c>
      <c r="D129" s="70">
        <v>10874.597569360398</v>
      </c>
      <c r="E129" s="70">
        <v>12510.73710685978</v>
      </c>
      <c r="F129" s="167">
        <f t="shared" si="41"/>
        <v>0.15045518025506244</v>
      </c>
      <c r="G129" s="70">
        <v>13734.710886640521</v>
      </c>
      <c r="H129" s="167">
        <f t="shared" si="47"/>
        <v>9.7833866168414829E-2</v>
      </c>
      <c r="I129" s="70">
        <v>12021.4</v>
      </c>
      <c r="J129" s="167">
        <f t="shared" si="48"/>
        <v>-0.12474313444100414</v>
      </c>
      <c r="K129" s="70">
        <v>8589.4</v>
      </c>
      <c r="L129" s="167">
        <f t="shared" si="49"/>
        <v>-0.28549087460695094</v>
      </c>
      <c r="M129" s="164">
        <f t="shared" si="50"/>
        <v>57730.845562860704</v>
      </c>
      <c r="N129" s="165">
        <f t="shared" si="42"/>
        <v>-5.7269824622915966E-2</v>
      </c>
      <c r="P129" s="70">
        <v>346.3</v>
      </c>
      <c r="Q129" s="6">
        <v>12079</v>
      </c>
      <c r="R129" s="138">
        <f t="shared" si="43"/>
        <v>12425.3</v>
      </c>
      <c r="S129" s="306">
        <f t="shared" si="44"/>
        <v>0.4465853260996111</v>
      </c>
      <c r="T129" s="70">
        <v>390.34</v>
      </c>
      <c r="U129" s="6">
        <v>767</v>
      </c>
      <c r="V129" s="138">
        <f t="shared" si="51"/>
        <v>1157.3399999999999</v>
      </c>
      <c r="W129" s="6">
        <v>12079</v>
      </c>
      <c r="X129" s="138">
        <f t="shared" si="52"/>
        <v>13236.34</v>
      </c>
      <c r="Y129" s="167">
        <f t="shared" si="45"/>
        <v>6.5273273079925712E-2</v>
      </c>
      <c r="Z129" s="70">
        <v>423.93</v>
      </c>
      <c r="AA129" s="6">
        <v>1652.35</v>
      </c>
      <c r="AB129" s="138">
        <f t="shared" si="53"/>
        <v>2076.2799999999997</v>
      </c>
      <c r="AC129" s="6">
        <v>12079</v>
      </c>
      <c r="AD129" s="138">
        <f t="shared" si="54"/>
        <v>14155.279999999999</v>
      </c>
      <c r="AE129" s="167">
        <f t="shared" si="55"/>
        <v>6.9425536062083529E-2</v>
      </c>
      <c r="AF129" s="319">
        <v>385.52</v>
      </c>
      <c r="AG129" s="4">
        <v>2608.75</v>
      </c>
      <c r="AH129" s="138">
        <f t="shared" si="56"/>
        <v>2994.27</v>
      </c>
      <c r="AI129" s="6">
        <v>12079</v>
      </c>
      <c r="AJ129" s="138">
        <f t="shared" si="57"/>
        <v>15073.27</v>
      </c>
      <c r="AK129" s="167">
        <f t="shared" si="58"/>
        <v>6.4851419399687013E-2</v>
      </c>
      <c r="AL129" s="6">
        <v>307.57</v>
      </c>
      <c r="AM129" s="6">
        <v>3472.18</v>
      </c>
      <c r="AN129" s="138">
        <f t="shared" si="59"/>
        <v>3779.75</v>
      </c>
      <c r="AO129" s="6">
        <v>12079</v>
      </c>
      <c r="AP129" s="138">
        <f t="shared" si="60"/>
        <v>15858.75</v>
      </c>
      <c r="AQ129" s="167">
        <f t="shared" si="61"/>
        <v>5.2110789496904092E-2</v>
      </c>
      <c r="AR129" s="164">
        <f t="shared" si="62"/>
        <v>70748.94</v>
      </c>
      <c r="AS129" s="165">
        <f t="shared" si="46"/>
        <v>6.2895375247833618E-2</v>
      </c>
    </row>
    <row r="130" spans="2:45" outlineLevel="1" x14ac:dyDescent="0.35">
      <c r="B130" s="48" t="s">
        <v>126</v>
      </c>
      <c r="C130" s="62" t="s">
        <v>147</v>
      </c>
      <c r="D130" s="70">
        <v>69064.541713577826</v>
      </c>
      <c r="E130" s="70">
        <v>82189.663861776295</v>
      </c>
      <c r="F130" s="167">
        <f t="shared" si="41"/>
        <v>0.19004139928460742</v>
      </c>
      <c r="G130" s="70">
        <v>91364.538806465804</v>
      </c>
      <c r="H130" s="167">
        <f t="shared" si="47"/>
        <v>0.11163052035496207</v>
      </c>
      <c r="I130" s="70">
        <v>93655.4</v>
      </c>
      <c r="J130" s="167">
        <f t="shared" si="48"/>
        <v>2.507385494920342E-2</v>
      </c>
      <c r="K130" s="70">
        <v>72228</v>
      </c>
      <c r="L130" s="167">
        <f t="shared" si="49"/>
        <v>-0.22878979749165554</v>
      </c>
      <c r="M130" s="164">
        <f t="shared" si="50"/>
        <v>408502.14438181987</v>
      </c>
      <c r="N130" s="165">
        <f t="shared" si="42"/>
        <v>1.1259498271605439E-2</v>
      </c>
      <c r="P130" s="70">
        <v>3073.87</v>
      </c>
      <c r="Q130" s="6">
        <v>124578.74</v>
      </c>
      <c r="R130" s="138">
        <f t="shared" si="43"/>
        <v>127652.61</v>
      </c>
      <c r="S130" s="306">
        <f t="shared" si="44"/>
        <v>0.76735628842000336</v>
      </c>
      <c r="T130" s="70">
        <v>3627.71</v>
      </c>
      <c r="U130" s="6">
        <v>6801.01</v>
      </c>
      <c r="V130" s="138">
        <f t="shared" si="51"/>
        <v>10428.720000000001</v>
      </c>
      <c r="W130" s="6">
        <v>124578.74</v>
      </c>
      <c r="X130" s="138">
        <f t="shared" si="52"/>
        <v>135007.46000000002</v>
      </c>
      <c r="Y130" s="167">
        <f t="shared" si="45"/>
        <v>5.7616134914907108E-2</v>
      </c>
      <c r="Z130" s="70">
        <v>3979.85</v>
      </c>
      <c r="AA130" s="6">
        <v>15030.56</v>
      </c>
      <c r="AB130" s="138">
        <f t="shared" si="53"/>
        <v>19010.41</v>
      </c>
      <c r="AC130" s="6">
        <v>124578.74</v>
      </c>
      <c r="AD130" s="138">
        <f t="shared" si="54"/>
        <v>143589.15</v>
      </c>
      <c r="AE130" s="167">
        <f t="shared" si="55"/>
        <v>6.356456154348783E-2</v>
      </c>
      <c r="AF130" s="319">
        <v>3462.96</v>
      </c>
      <c r="AG130" s="4">
        <v>24010.35</v>
      </c>
      <c r="AH130" s="138">
        <f t="shared" si="56"/>
        <v>27473.309999999998</v>
      </c>
      <c r="AI130" s="6">
        <v>124578.74</v>
      </c>
      <c r="AJ130" s="138">
        <f t="shared" si="57"/>
        <v>152052.04999999999</v>
      </c>
      <c r="AK130" s="167">
        <f t="shared" si="58"/>
        <v>5.8938297218139354E-2</v>
      </c>
      <c r="AL130" s="6">
        <v>3007.62</v>
      </c>
      <c r="AM130" s="6">
        <v>31766.68</v>
      </c>
      <c r="AN130" s="138">
        <f t="shared" si="59"/>
        <v>34774.300000000003</v>
      </c>
      <c r="AO130" s="6">
        <v>124578.74</v>
      </c>
      <c r="AP130" s="138">
        <f t="shared" si="60"/>
        <v>159353.04</v>
      </c>
      <c r="AQ130" s="167">
        <f t="shared" si="61"/>
        <v>4.8016386493967167E-2</v>
      </c>
      <c r="AR130" s="164">
        <f t="shared" si="62"/>
        <v>717654.31</v>
      </c>
      <c r="AS130" s="165">
        <f t="shared" si="46"/>
        <v>5.7018682803778198E-2</v>
      </c>
    </row>
    <row r="131" spans="2:45" outlineLevel="1" x14ac:dyDescent="0.35">
      <c r="B131" s="48" t="s">
        <v>127</v>
      </c>
      <c r="C131" s="62" t="s">
        <v>147</v>
      </c>
      <c r="D131" s="70">
        <v>0</v>
      </c>
      <c r="E131" s="70">
        <v>0</v>
      </c>
      <c r="F131" s="167">
        <f t="shared" si="41"/>
        <v>0</v>
      </c>
      <c r="G131" s="70">
        <v>0</v>
      </c>
      <c r="H131" s="167">
        <f t="shared" si="47"/>
        <v>0</v>
      </c>
      <c r="I131" s="70">
        <v>0</v>
      </c>
      <c r="J131" s="167">
        <f t="shared" si="48"/>
        <v>0</v>
      </c>
      <c r="K131" s="70"/>
      <c r="L131" s="167">
        <f t="shared" si="49"/>
        <v>0</v>
      </c>
      <c r="M131" s="164">
        <f t="shared" si="50"/>
        <v>0</v>
      </c>
      <c r="N131" s="165">
        <f t="shared" si="42"/>
        <v>0</v>
      </c>
      <c r="P131" s="70"/>
      <c r="Q131" s="6"/>
      <c r="R131" s="138">
        <f t="shared" si="43"/>
        <v>0</v>
      </c>
      <c r="S131" s="306">
        <f t="shared" si="44"/>
        <v>0</v>
      </c>
      <c r="T131" s="70"/>
      <c r="U131" s="6"/>
      <c r="V131" s="138">
        <f t="shared" si="51"/>
        <v>0</v>
      </c>
      <c r="W131" s="6"/>
      <c r="X131" s="138">
        <f t="shared" si="52"/>
        <v>0</v>
      </c>
      <c r="Y131" s="167">
        <f t="shared" si="45"/>
        <v>0</v>
      </c>
      <c r="Z131" s="70"/>
      <c r="AA131" s="6"/>
      <c r="AB131" s="138">
        <f t="shared" si="53"/>
        <v>0</v>
      </c>
      <c r="AC131" s="6"/>
      <c r="AD131" s="138">
        <f t="shared" si="54"/>
        <v>0</v>
      </c>
      <c r="AE131" s="167">
        <f t="shared" si="55"/>
        <v>0</v>
      </c>
      <c r="AF131" s="319"/>
      <c r="AG131" s="4"/>
      <c r="AH131" s="138">
        <f t="shared" si="56"/>
        <v>0</v>
      </c>
      <c r="AI131" s="6"/>
      <c r="AJ131" s="138">
        <f t="shared" si="57"/>
        <v>0</v>
      </c>
      <c r="AK131" s="167">
        <f t="shared" si="58"/>
        <v>0</v>
      </c>
      <c r="AL131" s="6"/>
      <c r="AM131" s="6"/>
      <c r="AN131" s="138">
        <f t="shared" si="59"/>
        <v>0</v>
      </c>
      <c r="AO131" s="6"/>
      <c r="AP131" s="138">
        <f t="shared" si="60"/>
        <v>0</v>
      </c>
      <c r="AQ131" s="167">
        <f t="shared" si="61"/>
        <v>0</v>
      </c>
      <c r="AR131" s="164">
        <f t="shared" si="62"/>
        <v>0</v>
      </c>
      <c r="AS131" s="165">
        <f t="shared" si="46"/>
        <v>0</v>
      </c>
    </row>
    <row r="132" spans="2:45" s="245" customFormat="1" ht="15" customHeight="1" outlineLevel="1" thickBot="1" x14ac:dyDescent="0.4">
      <c r="B132" s="246" t="s">
        <v>138</v>
      </c>
      <c r="C132" s="247" t="s">
        <v>147</v>
      </c>
      <c r="D132" s="254">
        <f>SUM(D78:D131)</f>
        <v>1953060.6647423711</v>
      </c>
      <c r="E132" s="254">
        <f>SUM(E78:E131)</f>
        <v>2231149.6827688646</v>
      </c>
      <c r="F132" s="250">
        <f>IFERROR((E132-D132)/D132,0)</f>
        <v>0.14238626738364848</v>
      </c>
      <c r="G132" s="254">
        <f>SUM(G78:G131)</f>
        <v>2402100.1284609819</v>
      </c>
      <c r="H132" s="250">
        <f t="shared" si="47"/>
        <v>7.661989108680832E-2</v>
      </c>
      <c r="I132" s="254">
        <f>SUM(I78:I131)</f>
        <v>2174000.8999999994</v>
      </c>
      <c r="J132" s="250">
        <f t="shared" si="47"/>
        <v>-9.495825163921244E-2</v>
      </c>
      <c r="K132" s="254">
        <f>SUM(K78:K131)</f>
        <v>1650109.9999999995</v>
      </c>
      <c r="L132" s="250">
        <f>IFERROR((K132-I132)/I132,0)</f>
        <v>-0.24098007503124771</v>
      </c>
      <c r="M132" s="254">
        <f>SUM(M78:M131)</f>
        <v>10410421.375972215</v>
      </c>
      <c r="N132" s="252">
        <f>IFERROR((K132/D132)^(1/4)-1,0)</f>
        <v>-4.1263435873531651E-2</v>
      </c>
      <c r="P132" s="308">
        <f>SUM(P78:P131)</f>
        <v>56970.000000000015</v>
      </c>
      <c r="Q132" s="308">
        <f>SUM(Q78:Q131)</f>
        <v>2728099.7199999993</v>
      </c>
      <c r="R132" s="308">
        <f>SUM(R78:R131)</f>
        <v>2785069.7199999993</v>
      </c>
      <c r="S132" s="309">
        <f>IFERROR((R132-K132)/K132,0)</f>
        <v>0.68780852185611874</v>
      </c>
      <c r="T132" s="269">
        <f>SUM(T78:T131)</f>
        <v>71174.930000000008</v>
      </c>
      <c r="U132" s="392">
        <f>SUM(U78:U131)</f>
        <v>126130.29999999999</v>
      </c>
      <c r="V132" s="270">
        <f>SUM(V78:V131)</f>
        <v>197305.23</v>
      </c>
      <c r="W132" s="270">
        <f>SUM(W78:W131)</f>
        <v>2728099.7199999993</v>
      </c>
      <c r="X132" s="270">
        <f>SUM(X78:X131)</f>
        <v>2925404.9499999997</v>
      </c>
      <c r="Y132" s="271">
        <f>IFERROR((X132-R132)/R132,0)</f>
        <v>5.0388408229866677E-2</v>
      </c>
      <c r="Z132" s="308">
        <f>SUM(Z78:Z131)</f>
        <v>85517.08</v>
      </c>
      <c r="AA132" s="308">
        <f>SUM(AA78:AA131)</f>
        <v>287569.28999999992</v>
      </c>
      <c r="AB132" s="308">
        <f>SUM(AB78:AB131)</f>
        <v>373086.37000000005</v>
      </c>
      <c r="AC132" s="308">
        <f>SUM(AC78:AC131)</f>
        <v>2728099.7199999993</v>
      </c>
      <c r="AD132" s="308">
        <f>SUM(AD78:AD131)</f>
        <v>3101186.0900000008</v>
      </c>
      <c r="AE132" s="271">
        <f t="shared" si="55"/>
        <v>6.0087797417585243E-2</v>
      </c>
      <c r="AF132" s="308">
        <f>SUM(AF78:AF131)</f>
        <v>82613.520000000019</v>
      </c>
      <c r="AG132" s="308">
        <f>SUM(AG78:AG131)</f>
        <v>480498.22</v>
      </c>
      <c r="AH132" s="308">
        <f>SUM(AH78:AH131)</f>
        <v>563111.74000000022</v>
      </c>
      <c r="AI132" s="308">
        <f>SUM(AI78:AI131)</f>
        <v>2728099.7199999993</v>
      </c>
      <c r="AJ132" s="308">
        <f>SUM(AJ78:AJ131)</f>
        <v>3291211.4600000004</v>
      </c>
      <c r="AK132" s="271">
        <f t="shared" si="58"/>
        <v>6.127506201989949E-2</v>
      </c>
      <c r="AL132" s="308">
        <f>SUM(AL78:AL131)</f>
        <v>74031.020000000019</v>
      </c>
      <c r="AM132" s="308">
        <f>SUM(AM78:AM131)</f>
        <v>665503.62</v>
      </c>
      <c r="AN132" s="308">
        <f>SUM(AN78:AN131)</f>
        <v>739534.63999999978</v>
      </c>
      <c r="AO132" s="308">
        <f>SUM(AO78:AO131)</f>
        <v>2728099.7199999993</v>
      </c>
      <c r="AP132" s="308">
        <f>SUM(AP78:AP131)</f>
        <v>3467634.3600000003</v>
      </c>
      <c r="AQ132" s="271">
        <f>IFERROR((AP132-AJ132)/AJ132,0)</f>
        <v>5.3604243344485644E-2</v>
      </c>
      <c r="AR132" s="308">
        <f>SUM(AR78:AR131)</f>
        <v>15570506.579999994</v>
      </c>
      <c r="AS132" s="274">
        <f>IFERROR((AP132/R132)^(1/4)-1,0)</f>
        <v>5.6329252063768376E-2</v>
      </c>
    </row>
    <row r="133" spans="2:45" ht="15" customHeight="1" x14ac:dyDescent="0.35">
      <c r="AJ133" s="39">
        <f>AJ132-AJ108-AJ109</f>
        <v>3290803.74</v>
      </c>
      <c r="AP133" s="39">
        <f>AP132-AP108-AP109</f>
        <v>3465939.44</v>
      </c>
    </row>
    <row r="134" spans="2:45" ht="15.5" x14ac:dyDescent="0.35">
      <c r="B134" s="419" t="s">
        <v>139</v>
      </c>
      <c r="C134" s="419"/>
      <c r="D134" s="419"/>
      <c r="E134" s="419"/>
      <c r="F134" s="419"/>
      <c r="G134" s="419"/>
      <c r="H134" s="419"/>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c r="AJ134" s="419"/>
      <c r="AK134" s="419"/>
      <c r="AL134" s="419"/>
      <c r="AM134" s="419"/>
      <c r="AN134" s="419"/>
      <c r="AO134" s="419"/>
      <c r="AP134" s="419"/>
      <c r="AQ134" s="419"/>
      <c r="AR134" s="419"/>
      <c r="AS134" s="419"/>
    </row>
    <row r="135" spans="2:45" ht="5.9" customHeight="1" outlineLevel="1" x14ac:dyDescent="0.35">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row>
    <row r="136" spans="2:45" outlineLevel="1" x14ac:dyDescent="0.35">
      <c r="B136" s="462"/>
      <c r="C136" s="465" t="s">
        <v>134</v>
      </c>
      <c r="D136" s="435" t="s">
        <v>169</v>
      </c>
      <c r="E136" s="436"/>
      <c r="F136" s="436"/>
      <c r="G136" s="436"/>
      <c r="H136" s="436"/>
      <c r="I136" s="436"/>
      <c r="J136" s="436"/>
      <c r="K136" s="436"/>
      <c r="L136" s="437"/>
      <c r="M136" s="431" t="str">
        <f xml:space="preserve"> D137&amp;" - "&amp;K137</f>
        <v>2019 - 2023</v>
      </c>
      <c r="N136" s="456"/>
      <c r="P136" s="435" t="s">
        <v>170</v>
      </c>
      <c r="Q136" s="436"/>
      <c r="R136" s="436"/>
      <c r="S136" s="436"/>
      <c r="T136" s="436"/>
      <c r="U136" s="436"/>
      <c r="V136" s="436"/>
      <c r="W136" s="436"/>
      <c r="X136" s="436"/>
      <c r="Y136" s="436"/>
      <c r="Z136" s="436"/>
      <c r="AA136" s="436"/>
      <c r="AB136" s="436"/>
      <c r="AC136" s="436"/>
      <c r="AD136" s="436"/>
      <c r="AE136" s="436"/>
      <c r="AF136" s="436"/>
      <c r="AG136" s="436"/>
      <c r="AH136" s="436"/>
      <c r="AI136" s="436"/>
      <c r="AJ136" s="436"/>
      <c r="AK136" s="436"/>
      <c r="AL136" s="436"/>
      <c r="AM136" s="436"/>
      <c r="AN136" s="436"/>
      <c r="AO136" s="436"/>
      <c r="AP136" s="436"/>
      <c r="AQ136" s="436"/>
      <c r="AR136" s="436"/>
      <c r="AS136" s="437"/>
    </row>
    <row r="137" spans="2:45" outlineLevel="1" x14ac:dyDescent="0.35">
      <c r="B137" s="463"/>
      <c r="C137" s="465"/>
      <c r="D137" s="79">
        <f>$C$3-5</f>
        <v>2019</v>
      </c>
      <c r="E137" s="435">
        <f>$C$3-4</f>
        <v>2020</v>
      </c>
      <c r="F137" s="437"/>
      <c r="G137" s="435">
        <f>$C$3-3</f>
        <v>2021</v>
      </c>
      <c r="H137" s="437"/>
      <c r="I137" s="435">
        <f>$C$3-2</f>
        <v>2022</v>
      </c>
      <c r="J137" s="437"/>
      <c r="K137" s="435">
        <f>$C$3-1</f>
        <v>2023</v>
      </c>
      <c r="L137" s="437"/>
      <c r="M137" s="433"/>
      <c r="N137" s="457"/>
      <c r="P137" s="490">
        <f>$C$3</f>
        <v>2024</v>
      </c>
      <c r="Q137" s="491"/>
      <c r="R137" s="491"/>
      <c r="S137" s="485"/>
      <c r="T137" s="490">
        <f>$C$3+1</f>
        <v>2025</v>
      </c>
      <c r="U137" s="491"/>
      <c r="V137" s="491"/>
      <c r="W137" s="491"/>
      <c r="X137" s="491"/>
      <c r="Y137" s="485"/>
      <c r="Z137" s="435">
        <f>$C$3+2</f>
        <v>2026</v>
      </c>
      <c r="AA137" s="436"/>
      <c r="AB137" s="436"/>
      <c r="AC137" s="436"/>
      <c r="AD137" s="436"/>
      <c r="AE137" s="437"/>
      <c r="AF137" s="435">
        <f>$C$3+3</f>
        <v>2027</v>
      </c>
      <c r="AG137" s="436"/>
      <c r="AH137" s="436"/>
      <c r="AI137" s="436"/>
      <c r="AJ137" s="436"/>
      <c r="AK137" s="437"/>
      <c r="AL137" s="435">
        <f>$C$3+4</f>
        <v>2028</v>
      </c>
      <c r="AM137" s="436"/>
      <c r="AN137" s="436"/>
      <c r="AO137" s="436"/>
      <c r="AP137" s="436"/>
      <c r="AQ137" s="437"/>
      <c r="AR137" s="439" t="str">
        <f>P137&amp;" - "&amp;AL137</f>
        <v>2024 - 2028</v>
      </c>
      <c r="AS137" s="458"/>
    </row>
    <row r="138" spans="2:45" ht="15" customHeight="1" outlineLevel="1" x14ac:dyDescent="0.35">
      <c r="B138" s="463"/>
      <c r="C138" s="465"/>
      <c r="D138" s="492" t="s">
        <v>225</v>
      </c>
      <c r="E138" s="494" t="s">
        <v>225</v>
      </c>
      <c r="F138" s="496" t="s">
        <v>173</v>
      </c>
      <c r="G138" s="494" t="s">
        <v>225</v>
      </c>
      <c r="H138" s="496" t="s">
        <v>173</v>
      </c>
      <c r="I138" s="494" t="s">
        <v>225</v>
      </c>
      <c r="J138" s="470" t="s">
        <v>173</v>
      </c>
      <c r="K138" s="494" t="s">
        <v>225</v>
      </c>
      <c r="L138" s="470" t="s">
        <v>173</v>
      </c>
      <c r="M138" s="494" t="s">
        <v>164</v>
      </c>
      <c r="N138" s="498" t="s">
        <v>174</v>
      </c>
      <c r="P138" s="494" t="str">
        <f>"Διανεμόμενες ποσότητες σε πελάτες που συνδέθηκαν το "&amp;P137</f>
        <v>Διανεμόμενες ποσότητες σε πελάτες που συνδέθηκαν το 2024</v>
      </c>
      <c r="Q138" s="484" t="s">
        <v>226</v>
      </c>
      <c r="R138" s="484" t="s">
        <v>227</v>
      </c>
      <c r="S138" s="500" t="s">
        <v>173</v>
      </c>
      <c r="T138" s="490" t="s">
        <v>228</v>
      </c>
      <c r="U138" s="491"/>
      <c r="V138" s="491"/>
      <c r="W138" s="484" t="s">
        <v>226</v>
      </c>
      <c r="X138" s="484" t="s">
        <v>227</v>
      </c>
      <c r="Y138" s="485" t="s">
        <v>173</v>
      </c>
      <c r="Z138" s="490" t="s">
        <v>228</v>
      </c>
      <c r="AA138" s="491"/>
      <c r="AB138" s="491"/>
      <c r="AC138" s="484" t="s">
        <v>226</v>
      </c>
      <c r="AD138" s="484" t="s">
        <v>227</v>
      </c>
      <c r="AE138" s="485" t="s">
        <v>173</v>
      </c>
      <c r="AF138" s="490" t="s">
        <v>228</v>
      </c>
      <c r="AG138" s="491"/>
      <c r="AH138" s="491"/>
      <c r="AI138" s="484" t="s">
        <v>226</v>
      </c>
      <c r="AJ138" s="484" t="s">
        <v>227</v>
      </c>
      <c r="AK138" s="485" t="s">
        <v>173</v>
      </c>
      <c r="AL138" s="490" t="s">
        <v>228</v>
      </c>
      <c r="AM138" s="491"/>
      <c r="AN138" s="491"/>
      <c r="AO138" s="484" t="s">
        <v>226</v>
      </c>
      <c r="AP138" s="484" t="s">
        <v>227</v>
      </c>
      <c r="AQ138" s="485" t="s">
        <v>173</v>
      </c>
      <c r="AR138" s="486" t="s">
        <v>164</v>
      </c>
      <c r="AS138" s="488" t="s">
        <v>174</v>
      </c>
    </row>
    <row r="139" spans="2:45" ht="58" outlineLevel="1" x14ac:dyDescent="0.35">
      <c r="B139" s="464"/>
      <c r="C139" s="465"/>
      <c r="D139" s="493"/>
      <c r="E139" s="495"/>
      <c r="F139" s="497"/>
      <c r="G139" s="495"/>
      <c r="H139" s="497"/>
      <c r="I139" s="495"/>
      <c r="J139" s="455"/>
      <c r="K139" s="495"/>
      <c r="L139" s="455"/>
      <c r="M139" s="495"/>
      <c r="N139" s="499"/>
      <c r="P139" s="495"/>
      <c r="Q139" s="484"/>
      <c r="R139" s="484"/>
      <c r="S139" s="500"/>
      <c r="T139" s="122" t="str">
        <f>"Διανεμόμενες ποσότητες σε πελάτες που συνδέθηκαν το "&amp;T137</f>
        <v>Διανεμόμενες ποσότητες σε πελάτες που συνδέθηκαν το 2025</v>
      </c>
      <c r="U139" s="105" t="str">
        <f>"Διανεμόμενες ποσότητες σε πελάτες που συνδέθηκαν το "&amp;P137</f>
        <v>Διανεμόμενες ποσότητες σε πελάτες που συνδέθηκαν το 2024</v>
      </c>
      <c r="V139" s="57" t="s">
        <v>229</v>
      </c>
      <c r="W139" s="484"/>
      <c r="X139" s="484"/>
      <c r="Y139" s="485"/>
      <c r="Z139" s="122" t="str">
        <f>"Διανεμόμενες ποσότητες σε πελάτες που συνδέθηκαν το "&amp;Z137</f>
        <v>Διανεμόμενες ποσότητες σε πελάτες που συνδέθηκαν το 2026</v>
      </c>
      <c r="AA139" s="105" t="str">
        <f>"Διανεμόμενες ποσότητες σε πελάτες που συνδέθηκαν το "&amp;$P$12&amp;" - "&amp;T137</f>
        <v>Διανεμόμενες ποσότητες σε πελάτες που συνδέθηκαν το 2024 - 2025</v>
      </c>
      <c r="AB139" s="57" t="s">
        <v>229</v>
      </c>
      <c r="AC139" s="484"/>
      <c r="AD139" s="484"/>
      <c r="AE139" s="485"/>
      <c r="AF139" s="122" t="str">
        <f>"Διανεμόμενες ποσότητες σε πελάτες που συνδέθηκαν το "&amp;AF137</f>
        <v>Διανεμόμενες ποσότητες σε πελάτες που συνδέθηκαν το 2027</v>
      </c>
      <c r="AG139" s="105" t="str">
        <f>"Διανεμόμενες ποσότητες σε πελάτες που συνδέθηκαν το "&amp;$P$12&amp;" - "&amp;Z137</f>
        <v>Διανεμόμενες ποσότητες σε πελάτες που συνδέθηκαν το 2024 - 2026</v>
      </c>
      <c r="AH139" s="57" t="s">
        <v>229</v>
      </c>
      <c r="AI139" s="484"/>
      <c r="AJ139" s="484"/>
      <c r="AK139" s="485"/>
      <c r="AL139" s="122" t="str">
        <f>"Διανεμόμενες ποσότητες σε πελάτες που συνδέθηκαν το "&amp;AL137</f>
        <v>Διανεμόμενες ποσότητες σε πελάτες που συνδέθηκαν το 2028</v>
      </c>
      <c r="AM139" s="105" t="str">
        <f>"Διανεμόμενες ποσότητες σε πελάτες που συνδέθηκαν το "&amp;$P$12&amp;" - "&amp;AF137</f>
        <v>Διανεμόμενες ποσότητες σε πελάτες που συνδέθηκαν το 2024 - 2027</v>
      </c>
      <c r="AN139" s="57" t="s">
        <v>229</v>
      </c>
      <c r="AO139" s="484"/>
      <c r="AP139" s="484"/>
      <c r="AQ139" s="485"/>
      <c r="AR139" s="487"/>
      <c r="AS139" s="489"/>
    </row>
    <row r="140" spans="2:45" outlineLevel="1" x14ac:dyDescent="0.35">
      <c r="B140" s="48" t="s">
        <v>74</v>
      </c>
      <c r="C140" s="62" t="s">
        <v>147</v>
      </c>
      <c r="D140" s="70">
        <v>49.225957077878974</v>
      </c>
      <c r="E140" s="70">
        <v>35.0427694122532</v>
      </c>
      <c r="F140" s="167">
        <f t="shared" ref="F140:F193" si="63">IFERROR((E140-D140)/D140,0)</f>
        <v>-0.28812416268894397</v>
      </c>
      <c r="G140" s="70">
        <v>34.204733771446101</v>
      </c>
      <c r="H140" s="167">
        <f>IFERROR((G140-E140)/E140,0)</f>
        <v>-2.3914652148299343E-2</v>
      </c>
      <c r="I140" s="70">
        <v>25.4</v>
      </c>
      <c r="J140" s="167">
        <f>IFERROR((I140-G140)/G140,0)</f>
        <v>-0.2574127262699597</v>
      </c>
      <c r="K140" s="70">
        <v>21</v>
      </c>
      <c r="L140" s="167">
        <f>IFERROR((K140-I140)/I140,0)</f>
        <v>-0.17322834645669286</v>
      </c>
      <c r="M140" s="164">
        <f>D140+E140+G140+I140+K140</f>
        <v>164.87346026157826</v>
      </c>
      <c r="N140" s="165">
        <f t="shared" ref="N140:N194" si="64">IFERROR((K140/D140)^(1/4)-1,0)</f>
        <v>-0.19182338173326463</v>
      </c>
      <c r="P140" s="359"/>
      <c r="Q140" s="6">
        <v>42.99</v>
      </c>
      <c r="R140" s="138">
        <f>P140+Q140</f>
        <v>42.99</v>
      </c>
      <c r="S140" s="185">
        <f t="shared" ref="S140:S194" si="65">IFERROR((R140-K140)/K140,0)</f>
        <v>1.0471428571428572</v>
      </c>
      <c r="T140" s="359"/>
      <c r="U140" s="359"/>
      <c r="V140" s="138">
        <f>T140+U140</f>
        <v>0</v>
      </c>
      <c r="W140" s="6">
        <v>42.99</v>
      </c>
      <c r="X140" s="138">
        <f>V140+W140</f>
        <v>42.99</v>
      </c>
      <c r="Y140" s="167">
        <f t="shared" ref="Y140:Y193" si="66">IFERROR((X140-R140)/R140,0)</f>
        <v>0</v>
      </c>
      <c r="Z140" s="377">
        <v>0.88</v>
      </c>
      <c r="AA140" s="359">
        <v>0</v>
      </c>
      <c r="AB140" s="138">
        <f>Z140+AA140</f>
        <v>0.88</v>
      </c>
      <c r="AC140" s="6">
        <v>42.99</v>
      </c>
      <c r="AD140" s="138">
        <f>AB140+AC140</f>
        <v>43.870000000000005</v>
      </c>
      <c r="AE140" s="167">
        <f>IFERROR((AD140-X140)/X140,0)</f>
        <v>2.0469876715515294E-2</v>
      </c>
      <c r="AF140" s="307">
        <v>0.88</v>
      </c>
      <c r="AG140" s="4">
        <v>1.95</v>
      </c>
      <c r="AH140" s="138">
        <f>AF140+AG140</f>
        <v>2.83</v>
      </c>
      <c r="AI140" s="6">
        <v>42.99</v>
      </c>
      <c r="AJ140" s="138">
        <f>AH140+AI140</f>
        <v>45.82</v>
      </c>
      <c r="AK140" s="167">
        <f>IFERROR((AJ140-AD140)/AD140,0)</f>
        <v>4.4449509915659803E-2</v>
      </c>
      <c r="AL140" s="6"/>
      <c r="AM140" s="6">
        <v>3.91</v>
      </c>
      <c r="AN140" s="138">
        <f>AL140+AM140</f>
        <v>3.91</v>
      </c>
      <c r="AO140" s="6">
        <v>42.99</v>
      </c>
      <c r="AP140" s="138">
        <f>AN140+AO140</f>
        <v>46.900000000000006</v>
      </c>
      <c r="AQ140" s="167">
        <f>IFERROR((AP140-AJ140)/AJ140,0)</f>
        <v>2.3570493234395577E-2</v>
      </c>
      <c r="AR140" s="164">
        <f t="shared" ref="AR140:AR193" si="67">R140+X140+AD140+AJ140+AP140</f>
        <v>222.57000000000002</v>
      </c>
      <c r="AS140" s="165">
        <f t="shared" ref="AS140:AS193" si="68">IFERROR((AP140/R140)^(1/4)-1,0)</f>
        <v>2.2001067433054633E-2</v>
      </c>
    </row>
    <row r="141" spans="2:45" outlineLevel="1" x14ac:dyDescent="0.35">
      <c r="B141" s="294" t="s">
        <v>75</v>
      </c>
      <c r="C141" s="62" t="s">
        <v>147</v>
      </c>
      <c r="D141" s="70">
        <v>47.792637337413424</v>
      </c>
      <c r="E141" s="70">
        <v>47.456855541862303</v>
      </c>
      <c r="F141" s="167">
        <f t="shared" si="63"/>
        <v>-7.02580594539112E-3</v>
      </c>
      <c r="G141" s="70">
        <v>40.167229840951798</v>
      </c>
      <c r="H141" s="167">
        <f t="shared" ref="H141:H194" si="69">IFERROR((G141-E141)/E141,0)</f>
        <v>-0.15360532461912133</v>
      </c>
      <c r="I141" s="70">
        <v>29.3</v>
      </c>
      <c r="J141" s="167">
        <f t="shared" ref="J141:J194" si="70">IFERROR((I141-G141)/G141,0)</f>
        <v>-0.27054964666426418</v>
      </c>
      <c r="K141" s="70">
        <v>33.9</v>
      </c>
      <c r="L141" s="167">
        <f t="shared" ref="L141:L193" si="71">IFERROR((K141-I141)/I141,0)</f>
        <v>0.15699658703071664</v>
      </c>
      <c r="M141" s="164">
        <f t="shared" ref="M141:M193" si="72">D141+E141+G141+I141+K141</f>
        <v>198.61672272022753</v>
      </c>
      <c r="N141" s="165">
        <f t="shared" si="64"/>
        <v>-8.2281101155123104E-2</v>
      </c>
      <c r="P141" s="359">
        <v>0.98</v>
      </c>
      <c r="Q141" s="6">
        <v>162.16999999999999</v>
      </c>
      <c r="R141" s="138">
        <f t="shared" ref="R141:R193" si="73">P141+Q141</f>
        <v>163.14999999999998</v>
      </c>
      <c r="S141" s="185">
        <f t="shared" si="65"/>
        <v>3.8126843657817102</v>
      </c>
      <c r="T141" s="359">
        <v>1.76</v>
      </c>
      <c r="U141" s="359">
        <v>1.95</v>
      </c>
      <c r="V141" s="138">
        <f t="shared" ref="V141:V193" si="74">T141+U141</f>
        <v>3.71</v>
      </c>
      <c r="W141" s="6">
        <v>162.16999999999999</v>
      </c>
      <c r="X141" s="138">
        <f t="shared" ref="X141:X193" si="75">V141+W141</f>
        <v>165.88</v>
      </c>
      <c r="Y141" s="167">
        <f t="shared" si="66"/>
        <v>1.673306772908378E-2</v>
      </c>
      <c r="Z141" s="377">
        <v>1.76</v>
      </c>
      <c r="AA141" s="359">
        <v>5.86</v>
      </c>
      <c r="AB141" s="138">
        <f t="shared" ref="AB141:AB193" si="76">Z141+AA141</f>
        <v>7.62</v>
      </c>
      <c r="AC141" s="6">
        <v>162.16999999999999</v>
      </c>
      <c r="AD141" s="138">
        <f t="shared" ref="AD141:AD193" si="77">AB141+AC141</f>
        <v>169.79</v>
      </c>
      <c r="AE141" s="167">
        <f t="shared" ref="AE141:AE194" si="78">IFERROR((AD141-X141)/X141,0)</f>
        <v>2.3571256329876999E-2</v>
      </c>
      <c r="AF141" s="307">
        <v>1.76</v>
      </c>
      <c r="AG141" s="4">
        <v>9.77</v>
      </c>
      <c r="AH141" s="138">
        <f t="shared" ref="AH141:AH193" si="79">AF141+AG141</f>
        <v>11.53</v>
      </c>
      <c r="AI141" s="6">
        <v>162.16999999999999</v>
      </c>
      <c r="AJ141" s="138">
        <f t="shared" ref="AJ141:AJ193" si="80">AH141+AI141</f>
        <v>173.7</v>
      </c>
      <c r="AK141" s="167">
        <f t="shared" ref="AK141:AK194" si="81">IFERROR((AJ141-AD141)/AD141,0)</f>
        <v>2.3028446905000277E-2</v>
      </c>
      <c r="AL141" s="6">
        <v>1.76</v>
      </c>
      <c r="AM141" s="6">
        <v>13.68</v>
      </c>
      <c r="AN141" s="138">
        <f t="shared" ref="AN141:AN193" si="82">AL141+AM141</f>
        <v>15.44</v>
      </c>
      <c r="AO141" s="6">
        <v>162.16999999999999</v>
      </c>
      <c r="AP141" s="138">
        <f t="shared" ref="AP141:AP193" si="83">AN141+AO141</f>
        <v>177.60999999999999</v>
      </c>
      <c r="AQ141" s="167">
        <f t="shared" ref="AQ141:AQ193" si="84">IFERROR((AP141-AJ141)/AJ141,0)</f>
        <v>2.2510074841681042E-2</v>
      </c>
      <c r="AR141" s="164">
        <f t="shared" si="67"/>
        <v>850.13</v>
      </c>
      <c r="AS141" s="165">
        <f t="shared" si="68"/>
        <v>2.14569883848581E-2</v>
      </c>
    </row>
    <row r="142" spans="2:45" outlineLevel="1" x14ac:dyDescent="0.35">
      <c r="B142" s="294" t="s">
        <v>76</v>
      </c>
      <c r="C142" s="62" t="s">
        <v>147</v>
      </c>
      <c r="D142" s="70">
        <v>66.43581308043504</v>
      </c>
      <c r="E142" s="70">
        <v>59.601908500987001</v>
      </c>
      <c r="F142" s="167">
        <f t="shared" si="63"/>
        <v>-0.10286476920473761</v>
      </c>
      <c r="G142" s="70">
        <v>56.049932072762203</v>
      </c>
      <c r="H142" s="167">
        <f t="shared" si="69"/>
        <v>-5.9595011595408517E-2</v>
      </c>
      <c r="I142" s="70">
        <v>41.4</v>
      </c>
      <c r="J142" s="167">
        <f t="shared" si="70"/>
        <v>-0.26137287827118394</v>
      </c>
      <c r="K142" s="70">
        <v>39.799999999999997</v>
      </c>
      <c r="L142" s="167">
        <f t="shared" si="71"/>
        <v>-3.8647342995169115E-2</v>
      </c>
      <c r="M142" s="164">
        <f t="shared" si="72"/>
        <v>263.28765365418423</v>
      </c>
      <c r="N142" s="165">
        <f t="shared" si="64"/>
        <v>-0.12022786109692829</v>
      </c>
      <c r="P142" s="359">
        <v>1.95</v>
      </c>
      <c r="Q142" s="6">
        <v>111.37</v>
      </c>
      <c r="R142" s="138">
        <f t="shared" si="73"/>
        <v>113.32000000000001</v>
      </c>
      <c r="S142" s="185">
        <f t="shared" si="65"/>
        <v>1.847236180904523</v>
      </c>
      <c r="T142" s="359">
        <v>2.64</v>
      </c>
      <c r="U142" s="359">
        <v>3.91</v>
      </c>
      <c r="V142" s="138">
        <f t="shared" si="74"/>
        <v>6.5500000000000007</v>
      </c>
      <c r="W142" s="6">
        <v>111.37</v>
      </c>
      <c r="X142" s="138">
        <f t="shared" si="75"/>
        <v>117.92</v>
      </c>
      <c r="Y142" s="167">
        <f t="shared" si="66"/>
        <v>4.0593010942463766E-2</v>
      </c>
      <c r="Z142" s="377">
        <v>2.64</v>
      </c>
      <c r="AA142" s="359">
        <v>9.77</v>
      </c>
      <c r="AB142" s="138">
        <f t="shared" si="76"/>
        <v>12.41</v>
      </c>
      <c r="AC142" s="6">
        <v>111.37</v>
      </c>
      <c r="AD142" s="138">
        <f t="shared" si="77"/>
        <v>123.78</v>
      </c>
      <c r="AE142" s="167">
        <f t="shared" si="78"/>
        <v>4.9694708276797825E-2</v>
      </c>
      <c r="AF142" s="307">
        <v>2.64</v>
      </c>
      <c r="AG142" s="4">
        <v>15.63</v>
      </c>
      <c r="AH142" s="138">
        <f t="shared" si="79"/>
        <v>18.27</v>
      </c>
      <c r="AI142" s="6">
        <v>111.37</v>
      </c>
      <c r="AJ142" s="138">
        <f t="shared" si="80"/>
        <v>129.64000000000001</v>
      </c>
      <c r="AK142" s="167">
        <f t="shared" si="81"/>
        <v>4.734205849087101E-2</v>
      </c>
      <c r="AL142" s="6">
        <v>2.64</v>
      </c>
      <c r="AM142" s="6">
        <v>21.49</v>
      </c>
      <c r="AN142" s="138">
        <f t="shared" si="82"/>
        <v>24.13</v>
      </c>
      <c r="AO142" s="6">
        <v>111.37</v>
      </c>
      <c r="AP142" s="138">
        <f t="shared" si="83"/>
        <v>135.5</v>
      </c>
      <c r="AQ142" s="167">
        <f t="shared" si="84"/>
        <v>4.5202098117864735E-2</v>
      </c>
      <c r="AR142" s="164">
        <f t="shared" si="67"/>
        <v>620.16</v>
      </c>
      <c r="AS142" s="165">
        <f t="shared" si="68"/>
        <v>4.5702586769018172E-2</v>
      </c>
    </row>
    <row r="143" spans="2:45" outlineLevel="1" x14ac:dyDescent="0.35">
      <c r="B143" s="294" t="s">
        <v>77</v>
      </c>
      <c r="C143" s="62" t="s">
        <v>147</v>
      </c>
      <c r="D143" s="70">
        <v>5.6601025335008606</v>
      </c>
      <c r="E143" s="70">
        <v>5.9477467889823403</v>
      </c>
      <c r="F143" s="167">
        <f t="shared" si="63"/>
        <v>5.0819619216962729E-2</v>
      </c>
      <c r="G143" s="70">
        <v>6.2679999748398503</v>
      </c>
      <c r="H143" s="167">
        <f t="shared" si="69"/>
        <v>5.3844455256694825E-2</v>
      </c>
      <c r="I143" s="70">
        <v>5.2</v>
      </c>
      <c r="J143" s="167">
        <f t="shared" si="70"/>
        <v>-0.17038927554672459</v>
      </c>
      <c r="K143" s="70">
        <v>6.1</v>
      </c>
      <c r="L143" s="167">
        <f t="shared" si="71"/>
        <v>0.17307692307692296</v>
      </c>
      <c r="M143" s="164">
        <f t="shared" si="72"/>
        <v>29.175849297323047</v>
      </c>
      <c r="N143" s="165">
        <f t="shared" si="64"/>
        <v>1.8887851645276399E-2</v>
      </c>
      <c r="P143" s="359"/>
      <c r="Q143" s="6">
        <v>27.35</v>
      </c>
      <c r="R143" s="138">
        <f t="shared" si="73"/>
        <v>27.35</v>
      </c>
      <c r="S143" s="185">
        <f t="shared" si="65"/>
        <v>3.4836065573770494</v>
      </c>
      <c r="T143" s="359"/>
      <c r="U143" s="359"/>
      <c r="V143" s="138">
        <f t="shared" si="74"/>
        <v>0</v>
      </c>
      <c r="W143" s="6">
        <v>27.35</v>
      </c>
      <c r="X143" s="138">
        <f t="shared" si="75"/>
        <v>27.35</v>
      </c>
      <c r="Y143" s="167">
        <f t="shared" si="66"/>
        <v>0</v>
      </c>
      <c r="Z143" s="377"/>
      <c r="AA143" s="359"/>
      <c r="AB143" s="138">
        <f t="shared" si="76"/>
        <v>0</v>
      </c>
      <c r="AC143" s="6">
        <v>27.35</v>
      </c>
      <c r="AD143" s="138">
        <f t="shared" si="77"/>
        <v>27.35</v>
      </c>
      <c r="AE143" s="167">
        <f t="shared" si="78"/>
        <v>0</v>
      </c>
      <c r="AF143" s="307"/>
      <c r="AG143" s="4"/>
      <c r="AH143" s="138">
        <f t="shared" si="79"/>
        <v>0</v>
      </c>
      <c r="AI143" s="6">
        <v>27.35</v>
      </c>
      <c r="AJ143" s="138">
        <f t="shared" si="80"/>
        <v>27.35</v>
      </c>
      <c r="AK143" s="167">
        <f t="shared" si="81"/>
        <v>0</v>
      </c>
      <c r="AL143" s="6"/>
      <c r="AM143" s="6"/>
      <c r="AN143" s="138">
        <f t="shared" si="82"/>
        <v>0</v>
      </c>
      <c r="AO143" s="6">
        <v>27.35</v>
      </c>
      <c r="AP143" s="138">
        <f t="shared" si="83"/>
        <v>27.35</v>
      </c>
      <c r="AQ143" s="167">
        <f t="shared" si="84"/>
        <v>0</v>
      </c>
      <c r="AR143" s="164">
        <f t="shared" si="67"/>
        <v>136.75</v>
      </c>
      <c r="AS143" s="165">
        <f t="shared" si="68"/>
        <v>0</v>
      </c>
    </row>
    <row r="144" spans="2:45" outlineLevel="1" x14ac:dyDescent="0.35">
      <c r="B144" s="294" t="s">
        <v>78</v>
      </c>
      <c r="C144" s="62" t="s">
        <v>147</v>
      </c>
      <c r="D144" s="70">
        <v>3030.5194396258826</v>
      </c>
      <c r="E144" s="70">
        <v>3330.5390737923281</v>
      </c>
      <c r="F144" s="167">
        <f t="shared" si="63"/>
        <v>9.8999409224539703E-2</v>
      </c>
      <c r="G144" s="70">
        <v>3475.0241685333472</v>
      </c>
      <c r="H144" s="167">
        <f t="shared" si="69"/>
        <v>4.3381894504093216E-2</v>
      </c>
      <c r="I144" s="70">
        <v>4133.2</v>
      </c>
      <c r="J144" s="167">
        <f t="shared" si="70"/>
        <v>0.18940179968429957</v>
      </c>
      <c r="K144" s="70">
        <v>3085</v>
      </c>
      <c r="L144" s="167">
        <f t="shared" si="71"/>
        <v>-0.25360495499854829</v>
      </c>
      <c r="M144" s="164">
        <f t="shared" si="72"/>
        <v>17054.282681951558</v>
      </c>
      <c r="N144" s="165">
        <f t="shared" si="64"/>
        <v>4.4643406865114699E-3</v>
      </c>
      <c r="P144" s="359">
        <v>11.72</v>
      </c>
      <c r="Q144" s="6">
        <v>3007.04</v>
      </c>
      <c r="R144" s="138">
        <f t="shared" si="73"/>
        <v>3018.7599999999998</v>
      </c>
      <c r="S144" s="185">
        <f t="shared" si="65"/>
        <v>-2.1471636952998457E-2</v>
      </c>
      <c r="T144" s="359">
        <v>13.19</v>
      </c>
      <c r="U144" s="359">
        <v>23.45</v>
      </c>
      <c r="V144" s="138">
        <f t="shared" si="74"/>
        <v>36.64</v>
      </c>
      <c r="W144" s="6">
        <v>3007.04</v>
      </c>
      <c r="X144" s="138">
        <f t="shared" si="75"/>
        <v>3043.68</v>
      </c>
      <c r="Y144" s="167">
        <f t="shared" si="66"/>
        <v>8.2550451178629875E-3</v>
      </c>
      <c r="Z144" s="377">
        <v>13.19</v>
      </c>
      <c r="AA144" s="359">
        <v>52.76</v>
      </c>
      <c r="AB144" s="138">
        <f t="shared" si="76"/>
        <v>65.95</v>
      </c>
      <c r="AC144" s="6">
        <v>3007.04</v>
      </c>
      <c r="AD144" s="138">
        <f t="shared" si="77"/>
        <v>3072.99</v>
      </c>
      <c r="AE144" s="167">
        <f t="shared" si="78"/>
        <v>9.6297902539031529E-3</v>
      </c>
      <c r="AF144" s="307">
        <v>13.19</v>
      </c>
      <c r="AG144" s="4">
        <v>82.06</v>
      </c>
      <c r="AH144" s="138">
        <f t="shared" si="79"/>
        <v>95.25</v>
      </c>
      <c r="AI144" s="6">
        <v>3007.04</v>
      </c>
      <c r="AJ144" s="138">
        <f t="shared" si="80"/>
        <v>3102.29</v>
      </c>
      <c r="AK144" s="167">
        <f t="shared" si="81"/>
        <v>9.5346877145712113E-3</v>
      </c>
      <c r="AL144" s="6">
        <v>12.31</v>
      </c>
      <c r="AM144" s="6">
        <v>111.37</v>
      </c>
      <c r="AN144" s="138">
        <f t="shared" si="82"/>
        <v>123.68</v>
      </c>
      <c r="AO144" s="6">
        <v>3007.04</v>
      </c>
      <c r="AP144" s="138">
        <f t="shared" si="83"/>
        <v>3130.72</v>
      </c>
      <c r="AQ144" s="167">
        <f t="shared" si="84"/>
        <v>9.1641980601426167E-3</v>
      </c>
      <c r="AR144" s="164">
        <f t="shared" si="67"/>
        <v>15368.44</v>
      </c>
      <c r="AS144" s="165">
        <f t="shared" si="68"/>
        <v>9.1457841709066123E-3</v>
      </c>
    </row>
    <row r="145" spans="2:45" outlineLevel="1" x14ac:dyDescent="0.35">
      <c r="B145" s="294" t="s">
        <v>79</v>
      </c>
      <c r="C145" s="62" t="s">
        <v>147</v>
      </c>
      <c r="D145" s="70">
        <v>80.431724054398003</v>
      </c>
      <c r="E145" s="70">
        <v>87.879295671852105</v>
      </c>
      <c r="F145" s="167">
        <f t="shared" si="63"/>
        <v>9.2594951867712313E-2</v>
      </c>
      <c r="G145" s="70">
        <v>85.396490954681596</v>
      </c>
      <c r="H145" s="167">
        <f t="shared" si="69"/>
        <v>-2.8252442150213504E-2</v>
      </c>
      <c r="I145" s="70">
        <v>59.1</v>
      </c>
      <c r="J145" s="167">
        <f t="shared" si="70"/>
        <v>-0.30793409261554644</v>
      </c>
      <c r="K145" s="70">
        <v>56.6</v>
      </c>
      <c r="L145" s="167">
        <f t="shared" si="71"/>
        <v>-4.2301184433164128E-2</v>
      </c>
      <c r="M145" s="164">
        <f t="shared" si="72"/>
        <v>369.40751068093175</v>
      </c>
      <c r="N145" s="165">
        <f t="shared" si="64"/>
        <v>-8.4101678075793607E-2</v>
      </c>
      <c r="P145" s="359">
        <v>0.98</v>
      </c>
      <c r="Q145" s="6">
        <v>121.14</v>
      </c>
      <c r="R145" s="138">
        <f t="shared" si="73"/>
        <v>122.12</v>
      </c>
      <c r="S145" s="185">
        <f t="shared" si="65"/>
        <v>1.1575971731448764</v>
      </c>
      <c r="T145" s="359">
        <v>0.88</v>
      </c>
      <c r="U145" s="359">
        <v>1.95</v>
      </c>
      <c r="V145" s="138">
        <f t="shared" si="74"/>
        <v>2.83</v>
      </c>
      <c r="W145" s="6">
        <v>121.14</v>
      </c>
      <c r="X145" s="138">
        <f t="shared" si="75"/>
        <v>123.97</v>
      </c>
      <c r="Y145" s="167">
        <f t="shared" si="66"/>
        <v>1.514903373730752E-2</v>
      </c>
      <c r="Z145" s="377">
        <v>0.88</v>
      </c>
      <c r="AA145" s="359">
        <v>3.91</v>
      </c>
      <c r="AB145" s="138">
        <f t="shared" si="76"/>
        <v>4.79</v>
      </c>
      <c r="AC145" s="6">
        <v>121.14</v>
      </c>
      <c r="AD145" s="138">
        <f t="shared" si="77"/>
        <v>125.93</v>
      </c>
      <c r="AE145" s="167">
        <f t="shared" si="78"/>
        <v>1.5810276679841962E-2</v>
      </c>
      <c r="AF145" s="307">
        <v>0.88</v>
      </c>
      <c r="AG145" s="4">
        <v>5.86</v>
      </c>
      <c r="AH145" s="138">
        <f t="shared" si="79"/>
        <v>6.74</v>
      </c>
      <c r="AI145" s="6">
        <v>121.14</v>
      </c>
      <c r="AJ145" s="138">
        <f t="shared" si="80"/>
        <v>127.88</v>
      </c>
      <c r="AK145" s="167">
        <f t="shared" si="81"/>
        <v>1.5484793139045411E-2</v>
      </c>
      <c r="AL145" s="6">
        <v>0.88</v>
      </c>
      <c r="AM145" s="6">
        <v>7.82</v>
      </c>
      <c r="AN145" s="138">
        <f t="shared" si="82"/>
        <v>8.7000000000000011</v>
      </c>
      <c r="AO145" s="6">
        <v>121.14</v>
      </c>
      <c r="AP145" s="138">
        <f t="shared" si="83"/>
        <v>129.84</v>
      </c>
      <c r="AQ145" s="167">
        <f t="shared" si="84"/>
        <v>1.5326868939630967E-2</v>
      </c>
      <c r="AR145" s="164">
        <f t="shared" si="67"/>
        <v>629.74</v>
      </c>
      <c r="AS145" s="165">
        <f t="shared" si="68"/>
        <v>1.5442714007818159E-2</v>
      </c>
    </row>
    <row r="146" spans="2:45" outlineLevel="1" x14ac:dyDescent="0.35">
      <c r="B146" s="294" t="s">
        <v>80</v>
      </c>
      <c r="C146" s="62" t="s">
        <v>147</v>
      </c>
      <c r="D146" s="70">
        <v>36.814592058513355</v>
      </c>
      <c r="E146" s="70">
        <v>49.3654422213054</v>
      </c>
      <c r="F146" s="167">
        <f t="shared" si="63"/>
        <v>0.3409205280026909</v>
      </c>
      <c r="G146" s="70">
        <v>51.826115279763798</v>
      </c>
      <c r="H146" s="167">
        <f t="shared" si="69"/>
        <v>4.9846065339133265E-2</v>
      </c>
      <c r="I146" s="70">
        <v>33.200000000000003</v>
      </c>
      <c r="J146" s="167">
        <f t="shared" si="70"/>
        <v>-0.35939632324780113</v>
      </c>
      <c r="K146" s="70">
        <v>29.4</v>
      </c>
      <c r="L146" s="167">
        <f t="shared" si="71"/>
        <v>-0.11445783132530132</v>
      </c>
      <c r="M146" s="164">
        <f t="shared" si="72"/>
        <v>200.60614955958258</v>
      </c>
      <c r="N146" s="165">
        <f t="shared" si="64"/>
        <v>-5.4673495628827062E-2</v>
      </c>
      <c r="P146" s="359">
        <v>5.86</v>
      </c>
      <c r="Q146" s="6">
        <v>125.05</v>
      </c>
      <c r="R146" s="138">
        <f t="shared" si="73"/>
        <v>130.91</v>
      </c>
      <c r="S146" s="185">
        <f t="shared" si="65"/>
        <v>3.4527210884353741</v>
      </c>
      <c r="T146" s="359">
        <v>6.15</v>
      </c>
      <c r="U146" s="359">
        <v>11.72</v>
      </c>
      <c r="V146" s="138">
        <f t="shared" si="74"/>
        <v>17.87</v>
      </c>
      <c r="W146" s="6">
        <v>125.05</v>
      </c>
      <c r="X146" s="138">
        <f t="shared" si="75"/>
        <v>142.91999999999999</v>
      </c>
      <c r="Y146" s="167">
        <f t="shared" si="66"/>
        <v>9.1742418455427327E-2</v>
      </c>
      <c r="Z146" s="377">
        <v>5.28</v>
      </c>
      <c r="AA146" s="359">
        <v>25.4</v>
      </c>
      <c r="AB146" s="138">
        <f t="shared" si="76"/>
        <v>30.68</v>
      </c>
      <c r="AC146" s="6">
        <v>125.05</v>
      </c>
      <c r="AD146" s="138">
        <f t="shared" si="77"/>
        <v>155.72999999999999</v>
      </c>
      <c r="AE146" s="167">
        <f t="shared" si="78"/>
        <v>8.9630562552476936E-2</v>
      </c>
      <c r="AF146" s="307">
        <v>4.4000000000000004</v>
      </c>
      <c r="AG146" s="4">
        <v>37.119999999999997</v>
      </c>
      <c r="AH146" s="138">
        <f t="shared" si="79"/>
        <v>41.519999999999996</v>
      </c>
      <c r="AI146" s="6">
        <v>125.05</v>
      </c>
      <c r="AJ146" s="138">
        <f t="shared" si="80"/>
        <v>166.57</v>
      </c>
      <c r="AK146" s="167">
        <f t="shared" si="81"/>
        <v>6.9607654273421971E-2</v>
      </c>
      <c r="AL146" s="6">
        <v>3.52</v>
      </c>
      <c r="AM146" s="6">
        <v>46.89</v>
      </c>
      <c r="AN146" s="138">
        <f t="shared" si="82"/>
        <v>50.410000000000004</v>
      </c>
      <c r="AO146" s="6">
        <v>125.05</v>
      </c>
      <c r="AP146" s="138">
        <f t="shared" si="83"/>
        <v>175.46</v>
      </c>
      <c r="AQ146" s="167">
        <f t="shared" si="84"/>
        <v>5.3370955153989402E-2</v>
      </c>
      <c r="AR146" s="164">
        <f t="shared" si="67"/>
        <v>771.58999999999992</v>
      </c>
      <c r="AS146" s="165">
        <f t="shared" si="68"/>
        <v>7.5972881254658953E-2</v>
      </c>
    </row>
    <row r="147" spans="2:45" outlineLevel="1" x14ac:dyDescent="0.35">
      <c r="B147" s="294" t="s">
        <v>81</v>
      </c>
      <c r="C147" s="62" t="s">
        <v>147</v>
      </c>
      <c r="D147" s="70">
        <v>240.12506468290152</v>
      </c>
      <c r="E147" s="70">
        <v>266.25672751559802</v>
      </c>
      <c r="F147" s="167">
        <f t="shared" si="63"/>
        <v>0.10882521933811784</v>
      </c>
      <c r="G147" s="70">
        <v>264.23810259342901</v>
      </c>
      <c r="H147" s="167">
        <f t="shared" si="69"/>
        <v>-7.5814982817692528E-3</v>
      </c>
      <c r="I147" s="70">
        <v>188.6</v>
      </c>
      <c r="J147" s="167">
        <f t="shared" si="70"/>
        <v>-0.28624979460214289</v>
      </c>
      <c r="K147" s="70">
        <v>188</v>
      </c>
      <c r="L147" s="167">
        <f t="shared" si="71"/>
        <v>-3.181336161187669E-3</v>
      </c>
      <c r="M147" s="164">
        <f t="shared" si="72"/>
        <v>1147.2198947919287</v>
      </c>
      <c r="N147" s="165">
        <f t="shared" si="64"/>
        <v>-5.9345605820991354E-2</v>
      </c>
      <c r="P147" s="359">
        <v>1.95</v>
      </c>
      <c r="Q147" s="6">
        <v>574.45000000000005</v>
      </c>
      <c r="R147" s="138">
        <f t="shared" si="73"/>
        <v>576.40000000000009</v>
      </c>
      <c r="S147" s="185">
        <f t="shared" si="65"/>
        <v>2.0659574468085111</v>
      </c>
      <c r="T147" s="359">
        <v>1.76</v>
      </c>
      <c r="U147" s="359">
        <v>3.91</v>
      </c>
      <c r="V147" s="138">
        <f t="shared" si="74"/>
        <v>5.67</v>
      </c>
      <c r="W147" s="6">
        <v>574.45000000000005</v>
      </c>
      <c r="X147" s="138">
        <f t="shared" si="75"/>
        <v>580.12</v>
      </c>
      <c r="Y147" s="167">
        <f t="shared" si="66"/>
        <v>6.4538514920192804E-3</v>
      </c>
      <c r="Z147" s="377">
        <v>1.76</v>
      </c>
      <c r="AA147" s="359">
        <v>7.82</v>
      </c>
      <c r="AB147" s="138">
        <f t="shared" si="76"/>
        <v>9.58</v>
      </c>
      <c r="AC147" s="6">
        <v>574.45000000000005</v>
      </c>
      <c r="AD147" s="138">
        <f t="shared" si="77"/>
        <v>584.03000000000009</v>
      </c>
      <c r="AE147" s="167">
        <f t="shared" si="78"/>
        <v>6.7399848307248189E-3</v>
      </c>
      <c r="AF147" s="307">
        <v>0.88</v>
      </c>
      <c r="AG147" s="4">
        <v>11.72</v>
      </c>
      <c r="AH147" s="138">
        <f t="shared" si="79"/>
        <v>12.600000000000001</v>
      </c>
      <c r="AI147" s="6">
        <v>574.45000000000005</v>
      </c>
      <c r="AJ147" s="138">
        <f t="shared" si="80"/>
        <v>587.05000000000007</v>
      </c>
      <c r="AK147" s="167">
        <f t="shared" si="81"/>
        <v>5.1709672448332815E-3</v>
      </c>
      <c r="AL147" s="6">
        <v>0.88</v>
      </c>
      <c r="AM147" s="6">
        <v>13.68</v>
      </c>
      <c r="AN147" s="138">
        <f t="shared" si="82"/>
        <v>14.56</v>
      </c>
      <c r="AO147" s="6">
        <v>574.45000000000005</v>
      </c>
      <c r="AP147" s="138">
        <f t="shared" si="83"/>
        <v>589.01</v>
      </c>
      <c r="AQ147" s="167">
        <f t="shared" si="84"/>
        <v>3.3387275359848777E-3</v>
      </c>
      <c r="AR147" s="164">
        <f t="shared" si="67"/>
        <v>2916.6100000000006</v>
      </c>
      <c r="AS147" s="165">
        <f t="shared" si="68"/>
        <v>5.4249865629190097E-3</v>
      </c>
    </row>
    <row r="148" spans="2:45" outlineLevel="1" x14ac:dyDescent="0.35">
      <c r="B148" s="294" t="s">
        <v>82</v>
      </c>
      <c r="C148" s="62" t="s">
        <v>147</v>
      </c>
      <c r="D148" s="70">
        <v>0</v>
      </c>
      <c r="E148" s="70">
        <v>0</v>
      </c>
      <c r="F148" s="167">
        <f t="shared" si="63"/>
        <v>0</v>
      </c>
      <c r="G148" s="70">
        <v>0</v>
      </c>
      <c r="H148" s="167">
        <f t="shared" si="69"/>
        <v>0</v>
      </c>
      <c r="I148" s="70"/>
      <c r="J148" s="167">
        <f t="shared" si="70"/>
        <v>0</v>
      </c>
      <c r="K148" s="70"/>
      <c r="L148" s="167">
        <f t="shared" si="71"/>
        <v>0</v>
      </c>
      <c r="M148" s="164">
        <f t="shared" si="72"/>
        <v>0</v>
      </c>
      <c r="N148" s="165">
        <f t="shared" si="64"/>
        <v>0</v>
      </c>
      <c r="P148" s="359"/>
      <c r="Q148" s="6"/>
      <c r="R148" s="138">
        <f t="shared" si="73"/>
        <v>0</v>
      </c>
      <c r="S148" s="185">
        <f t="shared" si="65"/>
        <v>0</v>
      </c>
      <c r="T148" s="359"/>
      <c r="U148" s="359"/>
      <c r="V148" s="138">
        <f t="shared" si="74"/>
        <v>0</v>
      </c>
      <c r="W148" s="6"/>
      <c r="X148" s="138">
        <f t="shared" si="75"/>
        <v>0</v>
      </c>
      <c r="Y148" s="167">
        <f t="shared" si="66"/>
        <v>0</v>
      </c>
      <c r="Z148" s="377"/>
      <c r="AA148" s="359"/>
      <c r="AB148" s="138">
        <f t="shared" si="76"/>
        <v>0</v>
      </c>
      <c r="AC148" s="6"/>
      <c r="AD148" s="138">
        <f t="shared" si="77"/>
        <v>0</v>
      </c>
      <c r="AE148" s="167">
        <f t="shared" si="78"/>
        <v>0</v>
      </c>
      <c r="AF148" s="307"/>
      <c r="AG148" s="4"/>
      <c r="AH148" s="138">
        <f t="shared" si="79"/>
        <v>0</v>
      </c>
      <c r="AI148" s="6"/>
      <c r="AJ148" s="138">
        <f t="shared" si="80"/>
        <v>0</v>
      </c>
      <c r="AK148" s="167">
        <f t="shared" si="81"/>
        <v>0</v>
      </c>
      <c r="AL148" s="6"/>
      <c r="AM148" s="6"/>
      <c r="AN148" s="138">
        <f t="shared" si="82"/>
        <v>0</v>
      </c>
      <c r="AO148" s="6"/>
      <c r="AP148" s="138">
        <f t="shared" si="83"/>
        <v>0</v>
      </c>
      <c r="AQ148" s="167">
        <f t="shared" si="84"/>
        <v>0</v>
      </c>
      <c r="AR148" s="164">
        <f t="shared" si="67"/>
        <v>0</v>
      </c>
      <c r="AS148" s="165">
        <f t="shared" si="68"/>
        <v>0</v>
      </c>
    </row>
    <row r="149" spans="2:45" outlineLevel="1" x14ac:dyDescent="0.35">
      <c r="B149" s="294" t="s">
        <v>83</v>
      </c>
      <c r="C149" s="62" t="s">
        <v>147</v>
      </c>
      <c r="D149" s="70">
        <v>833.16526978036597</v>
      </c>
      <c r="E149" s="70">
        <v>818.19811935377004</v>
      </c>
      <c r="F149" s="167">
        <f t="shared" si="63"/>
        <v>-1.7964203465347859E-2</v>
      </c>
      <c r="G149" s="70">
        <v>799.58158666358702</v>
      </c>
      <c r="H149" s="167">
        <f t="shared" si="69"/>
        <v>-2.2753086630028858E-2</v>
      </c>
      <c r="I149" s="70">
        <v>600.4</v>
      </c>
      <c r="J149" s="167">
        <f t="shared" si="70"/>
        <v>-0.24910727058474641</v>
      </c>
      <c r="K149" s="70">
        <v>565.6</v>
      </c>
      <c r="L149" s="167">
        <f t="shared" si="71"/>
        <v>-5.7961359093937299E-2</v>
      </c>
      <c r="M149" s="164">
        <f t="shared" si="72"/>
        <v>3616.9449757977231</v>
      </c>
      <c r="N149" s="165">
        <f t="shared" si="64"/>
        <v>-9.229534920664928E-2</v>
      </c>
      <c r="P149" s="359"/>
      <c r="Q149" s="6">
        <v>414.23</v>
      </c>
      <c r="R149" s="138">
        <f t="shared" si="73"/>
        <v>414.23</v>
      </c>
      <c r="S149" s="185">
        <f t="shared" si="65"/>
        <v>-0.26762729844413014</v>
      </c>
      <c r="T149" s="359"/>
      <c r="U149" s="359"/>
      <c r="V149" s="138">
        <f t="shared" si="74"/>
        <v>0</v>
      </c>
      <c r="W149" s="6">
        <v>414.23</v>
      </c>
      <c r="X149" s="138">
        <f t="shared" si="75"/>
        <v>414.23</v>
      </c>
      <c r="Y149" s="167">
        <f t="shared" si="66"/>
        <v>0</v>
      </c>
      <c r="Z149" s="377"/>
      <c r="AA149" s="359"/>
      <c r="AB149" s="138">
        <f t="shared" si="76"/>
        <v>0</v>
      </c>
      <c r="AC149" s="6">
        <v>414.23</v>
      </c>
      <c r="AD149" s="138">
        <f t="shared" si="77"/>
        <v>414.23</v>
      </c>
      <c r="AE149" s="167">
        <f t="shared" si="78"/>
        <v>0</v>
      </c>
      <c r="AF149" s="307"/>
      <c r="AG149" s="4"/>
      <c r="AH149" s="138">
        <f t="shared" si="79"/>
        <v>0</v>
      </c>
      <c r="AI149" s="6">
        <v>414.23</v>
      </c>
      <c r="AJ149" s="138">
        <f t="shared" si="80"/>
        <v>414.23</v>
      </c>
      <c r="AK149" s="167">
        <f t="shared" si="81"/>
        <v>0</v>
      </c>
      <c r="AL149" s="6"/>
      <c r="AM149" s="6"/>
      <c r="AN149" s="138">
        <f t="shared" si="82"/>
        <v>0</v>
      </c>
      <c r="AO149" s="6">
        <v>414.23</v>
      </c>
      <c r="AP149" s="138">
        <f t="shared" si="83"/>
        <v>414.23</v>
      </c>
      <c r="AQ149" s="167">
        <f t="shared" si="84"/>
        <v>0</v>
      </c>
      <c r="AR149" s="164">
        <f t="shared" si="67"/>
        <v>2071.15</v>
      </c>
      <c r="AS149" s="165">
        <f t="shared" si="68"/>
        <v>0</v>
      </c>
    </row>
    <row r="150" spans="2:45" outlineLevel="1" x14ac:dyDescent="0.35">
      <c r="B150" s="294" t="s">
        <v>84</v>
      </c>
      <c r="C150" s="62" t="s">
        <v>147</v>
      </c>
      <c r="D150" s="70">
        <v>31.751345616919629</v>
      </c>
      <c r="E150" s="70">
        <v>33.675748679812401</v>
      </c>
      <c r="F150" s="167">
        <f t="shared" si="63"/>
        <v>6.0608551401591548E-2</v>
      </c>
      <c r="G150" s="70">
        <v>33.795913358583299</v>
      </c>
      <c r="H150" s="167">
        <f t="shared" si="69"/>
        <v>3.5682852937708614E-3</v>
      </c>
      <c r="I150" s="70">
        <v>24</v>
      </c>
      <c r="J150" s="167">
        <f t="shared" si="70"/>
        <v>-0.28985496721589232</v>
      </c>
      <c r="K150" s="70">
        <v>23.9</v>
      </c>
      <c r="L150" s="167">
        <f t="shared" si="71"/>
        <v>-4.1666666666667256E-3</v>
      </c>
      <c r="M150" s="164">
        <f t="shared" si="72"/>
        <v>147.12300765531535</v>
      </c>
      <c r="N150" s="165">
        <f t="shared" si="64"/>
        <v>-6.8551298941687988E-2</v>
      </c>
      <c r="P150" s="359">
        <v>1.95</v>
      </c>
      <c r="Q150" s="6">
        <v>107.46</v>
      </c>
      <c r="R150" s="138">
        <f t="shared" si="73"/>
        <v>109.41</v>
      </c>
      <c r="S150" s="185">
        <f t="shared" si="65"/>
        <v>3.5778242677824266</v>
      </c>
      <c r="T150" s="359">
        <v>1.76</v>
      </c>
      <c r="U150" s="359">
        <v>3.91</v>
      </c>
      <c r="V150" s="138">
        <f t="shared" si="74"/>
        <v>5.67</v>
      </c>
      <c r="W150" s="6">
        <v>107.46</v>
      </c>
      <c r="X150" s="138">
        <f t="shared" si="75"/>
        <v>113.13</v>
      </c>
      <c r="Y150" s="167">
        <f t="shared" si="66"/>
        <v>3.4000548395941861E-2</v>
      </c>
      <c r="Z150" s="377">
        <v>2.64</v>
      </c>
      <c r="AA150" s="359">
        <v>7.82</v>
      </c>
      <c r="AB150" s="138">
        <f t="shared" si="76"/>
        <v>10.46</v>
      </c>
      <c r="AC150" s="6">
        <v>107.46</v>
      </c>
      <c r="AD150" s="138">
        <f t="shared" si="77"/>
        <v>117.91999999999999</v>
      </c>
      <c r="AE150" s="167">
        <f t="shared" si="78"/>
        <v>4.2340670025634158E-2</v>
      </c>
      <c r="AF150" s="307">
        <v>1.76</v>
      </c>
      <c r="AG150" s="4">
        <v>13.68</v>
      </c>
      <c r="AH150" s="138">
        <f t="shared" si="79"/>
        <v>15.44</v>
      </c>
      <c r="AI150" s="6">
        <v>107.46</v>
      </c>
      <c r="AJ150" s="138">
        <f t="shared" si="80"/>
        <v>122.89999999999999</v>
      </c>
      <c r="AK150" s="167">
        <f t="shared" si="81"/>
        <v>4.2232021709633687E-2</v>
      </c>
      <c r="AL150" s="6">
        <v>1.76</v>
      </c>
      <c r="AM150" s="6">
        <v>17.59</v>
      </c>
      <c r="AN150" s="138">
        <f t="shared" si="82"/>
        <v>19.350000000000001</v>
      </c>
      <c r="AO150" s="6">
        <v>107.46</v>
      </c>
      <c r="AP150" s="138">
        <f t="shared" si="83"/>
        <v>126.81</v>
      </c>
      <c r="AQ150" s="167">
        <f t="shared" si="84"/>
        <v>3.1814483319772262E-2</v>
      </c>
      <c r="AR150" s="164">
        <f t="shared" si="67"/>
        <v>590.16999999999996</v>
      </c>
      <c r="AS150" s="165">
        <f t="shared" si="68"/>
        <v>3.758604273387478E-2</v>
      </c>
    </row>
    <row r="151" spans="2:45" outlineLevel="1" x14ac:dyDescent="0.35">
      <c r="B151" s="294" t="s">
        <v>85</v>
      </c>
      <c r="C151" s="62" t="s">
        <v>147</v>
      </c>
      <c r="D151" s="70">
        <v>7.8375213014723171</v>
      </c>
      <c r="E151" s="70">
        <v>12.675104676989401</v>
      </c>
      <c r="F151" s="167">
        <f t="shared" si="63"/>
        <v>0.61723384083285615</v>
      </c>
      <c r="G151" s="70">
        <v>14.2773730860367</v>
      </c>
      <c r="H151" s="167">
        <f t="shared" si="69"/>
        <v>0.12641066483309482</v>
      </c>
      <c r="I151" s="70">
        <v>10.199999999999999</v>
      </c>
      <c r="J151" s="167">
        <f t="shared" si="70"/>
        <v>-0.28558286328066751</v>
      </c>
      <c r="K151" s="70">
        <v>10.199999999999999</v>
      </c>
      <c r="L151" s="167">
        <f t="shared" si="71"/>
        <v>0</v>
      </c>
      <c r="M151" s="164">
        <f t="shared" si="72"/>
        <v>55.189999064498423</v>
      </c>
      <c r="N151" s="165">
        <f t="shared" si="64"/>
        <v>6.8083877149416994E-2</v>
      </c>
      <c r="P151" s="359">
        <v>0.98</v>
      </c>
      <c r="Q151" s="6">
        <v>41.03</v>
      </c>
      <c r="R151" s="138">
        <f t="shared" si="73"/>
        <v>42.01</v>
      </c>
      <c r="S151" s="185">
        <f t="shared" si="65"/>
        <v>3.1186274509803922</v>
      </c>
      <c r="T151" s="359">
        <v>1.76</v>
      </c>
      <c r="U151" s="359">
        <v>1.95</v>
      </c>
      <c r="V151" s="138">
        <f t="shared" si="74"/>
        <v>3.71</v>
      </c>
      <c r="W151" s="6">
        <v>41.03</v>
      </c>
      <c r="X151" s="138">
        <f t="shared" si="75"/>
        <v>44.74</v>
      </c>
      <c r="Y151" s="167">
        <f t="shared" si="66"/>
        <v>6.4984527493454042E-2</v>
      </c>
      <c r="Z151" s="377">
        <v>1.76</v>
      </c>
      <c r="AA151" s="359">
        <v>5.86</v>
      </c>
      <c r="AB151" s="138">
        <f t="shared" si="76"/>
        <v>7.62</v>
      </c>
      <c r="AC151" s="6">
        <v>41.03</v>
      </c>
      <c r="AD151" s="138">
        <f t="shared" si="77"/>
        <v>48.65</v>
      </c>
      <c r="AE151" s="167">
        <f t="shared" si="78"/>
        <v>8.7393831023692359E-2</v>
      </c>
      <c r="AF151" s="307">
        <v>0.88</v>
      </c>
      <c r="AG151" s="4">
        <v>9.77</v>
      </c>
      <c r="AH151" s="138">
        <f t="shared" si="79"/>
        <v>10.65</v>
      </c>
      <c r="AI151" s="6">
        <v>41.03</v>
      </c>
      <c r="AJ151" s="138">
        <f t="shared" si="80"/>
        <v>51.68</v>
      </c>
      <c r="AK151" s="167">
        <f t="shared" si="81"/>
        <v>6.228160328879756E-2</v>
      </c>
      <c r="AL151" s="6">
        <v>0.88</v>
      </c>
      <c r="AM151" s="6">
        <v>11.72</v>
      </c>
      <c r="AN151" s="138">
        <f t="shared" si="82"/>
        <v>12.600000000000001</v>
      </c>
      <c r="AO151" s="6">
        <v>41.03</v>
      </c>
      <c r="AP151" s="138">
        <f t="shared" si="83"/>
        <v>53.63</v>
      </c>
      <c r="AQ151" s="167">
        <f t="shared" si="84"/>
        <v>3.7732198142414915E-2</v>
      </c>
      <c r="AR151" s="164">
        <f t="shared" si="67"/>
        <v>240.71</v>
      </c>
      <c r="AS151" s="165">
        <f t="shared" si="68"/>
        <v>6.295230701690846E-2</v>
      </c>
    </row>
    <row r="152" spans="2:45" outlineLevel="1" x14ac:dyDescent="0.35">
      <c r="B152" s="294" t="s">
        <v>86</v>
      </c>
      <c r="C152" s="62" t="s">
        <v>147</v>
      </c>
      <c r="D152" s="70">
        <v>12.145970983237644</v>
      </c>
      <c r="E152" s="70">
        <v>14.2812066450076</v>
      </c>
      <c r="F152" s="167">
        <f t="shared" si="63"/>
        <v>0.17579785631932945</v>
      </c>
      <c r="G152" s="70">
        <v>15.2811775832943</v>
      </c>
      <c r="H152" s="167">
        <f t="shared" si="69"/>
        <v>7.0020059448986927E-2</v>
      </c>
      <c r="I152" s="70">
        <v>12.5</v>
      </c>
      <c r="J152" s="167">
        <f t="shared" si="70"/>
        <v>-0.18200021353948145</v>
      </c>
      <c r="K152" s="70">
        <v>12.4</v>
      </c>
      <c r="L152" s="167">
        <f t="shared" si="71"/>
        <v>-7.9999999999999724E-3</v>
      </c>
      <c r="M152" s="164">
        <f t="shared" si="72"/>
        <v>66.608355211539546</v>
      </c>
      <c r="N152" s="165">
        <f t="shared" si="64"/>
        <v>5.1881531310782325E-3</v>
      </c>
      <c r="P152" s="359">
        <v>0.98</v>
      </c>
      <c r="Q152" s="6">
        <v>39.08</v>
      </c>
      <c r="R152" s="138">
        <f t="shared" si="73"/>
        <v>40.059999999999995</v>
      </c>
      <c r="S152" s="185">
        <f t="shared" si="65"/>
        <v>2.2306451612903224</v>
      </c>
      <c r="T152" s="359">
        <v>1.76</v>
      </c>
      <c r="U152" s="359">
        <v>1.95</v>
      </c>
      <c r="V152" s="138">
        <f t="shared" si="74"/>
        <v>3.71</v>
      </c>
      <c r="W152" s="6">
        <v>39.08</v>
      </c>
      <c r="X152" s="138">
        <f t="shared" si="75"/>
        <v>42.79</v>
      </c>
      <c r="Y152" s="167">
        <f t="shared" si="66"/>
        <v>6.8147778332501352E-2</v>
      </c>
      <c r="Z152" s="377">
        <v>1.76</v>
      </c>
      <c r="AA152" s="359">
        <v>5.86</v>
      </c>
      <c r="AB152" s="138">
        <f t="shared" si="76"/>
        <v>7.62</v>
      </c>
      <c r="AC152" s="6">
        <v>39.08</v>
      </c>
      <c r="AD152" s="138">
        <f t="shared" si="77"/>
        <v>46.699999999999996</v>
      </c>
      <c r="AE152" s="167">
        <f t="shared" si="78"/>
        <v>9.1376489834073302E-2</v>
      </c>
      <c r="AF152" s="307">
        <v>2.64</v>
      </c>
      <c r="AG152" s="4">
        <v>9.77</v>
      </c>
      <c r="AH152" s="138">
        <f t="shared" si="79"/>
        <v>12.41</v>
      </c>
      <c r="AI152" s="6">
        <v>39.08</v>
      </c>
      <c r="AJ152" s="138">
        <f t="shared" si="80"/>
        <v>51.489999999999995</v>
      </c>
      <c r="AK152" s="167">
        <f t="shared" si="81"/>
        <v>0.1025695931477516</v>
      </c>
      <c r="AL152" s="6">
        <v>1.76</v>
      </c>
      <c r="AM152" s="6">
        <v>15.63</v>
      </c>
      <c r="AN152" s="138">
        <f t="shared" si="82"/>
        <v>17.39</v>
      </c>
      <c r="AO152" s="6">
        <v>39.08</v>
      </c>
      <c r="AP152" s="138">
        <f t="shared" si="83"/>
        <v>56.47</v>
      </c>
      <c r="AQ152" s="167">
        <f t="shared" si="84"/>
        <v>9.6717809283356077E-2</v>
      </c>
      <c r="AR152" s="164">
        <f t="shared" si="67"/>
        <v>237.50999999999996</v>
      </c>
      <c r="AS152" s="165">
        <f t="shared" si="68"/>
        <v>8.9624126134355997E-2</v>
      </c>
    </row>
    <row r="153" spans="2:45" outlineLevel="1" x14ac:dyDescent="0.35">
      <c r="B153" s="294" t="s">
        <v>87</v>
      </c>
      <c r="C153" s="62" t="s">
        <v>147</v>
      </c>
      <c r="D153" s="70">
        <v>37.531947956345078</v>
      </c>
      <c r="E153" s="70">
        <v>46.549451079329302</v>
      </c>
      <c r="F153" s="167">
        <f t="shared" si="63"/>
        <v>0.24026205976499926</v>
      </c>
      <c r="G153" s="70">
        <v>44.300317571793201</v>
      </c>
      <c r="H153" s="167">
        <f t="shared" si="69"/>
        <v>-4.8317079050043801E-2</v>
      </c>
      <c r="I153" s="70">
        <v>32.9</v>
      </c>
      <c r="J153" s="167">
        <f t="shared" si="70"/>
        <v>-0.25734166698281158</v>
      </c>
      <c r="K153" s="70">
        <v>37.299999999999997</v>
      </c>
      <c r="L153" s="167">
        <f t="shared" si="71"/>
        <v>0.13373860182370817</v>
      </c>
      <c r="M153" s="164">
        <f t="shared" si="72"/>
        <v>198.58171660746757</v>
      </c>
      <c r="N153" s="165">
        <f t="shared" si="64"/>
        <v>-1.5485969667404786E-3</v>
      </c>
      <c r="P153" s="359">
        <v>1.95</v>
      </c>
      <c r="Q153" s="6">
        <v>74.25</v>
      </c>
      <c r="R153" s="138">
        <f t="shared" si="73"/>
        <v>76.2</v>
      </c>
      <c r="S153" s="185">
        <f t="shared" si="65"/>
        <v>1.0428954423592496</v>
      </c>
      <c r="T153" s="359">
        <v>2.64</v>
      </c>
      <c r="U153" s="359">
        <v>3.91</v>
      </c>
      <c r="V153" s="138">
        <f t="shared" si="74"/>
        <v>6.5500000000000007</v>
      </c>
      <c r="W153" s="6">
        <v>74.25</v>
      </c>
      <c r="X153" s="138">
        <f t="shared" si="75"/>
        <v>80.8</v>
      </c>
      <c r="Y153" s="167">
        <f t="shared" si="66"/>
        <v>6.0367454068241393E-2</v>
      </c>
      <c r="Z153" s="377">
        <v>2.64</v>
      </c>
      <c r="AA153" s="359">
        <v>9.77</v>
      </c>
      <c r="AB153" s="138">
        <f t="shared" si="76"/>
        <v>12.41</v>
      </c>
      <c r="AC153" s="6">
        <v>74.25</v>
      </c>
      <c r="AD153" s="138">
        <f t="shared" si="77"/>
        <v>86.66</v>
      </c>
      <c r="AE153" s="167">
        <f t="shared" si="78"/>
        <v>7.252475247524752E-2</v>
      </c>
      <c r="AF153" s="307">
        <v>1.76</v>
      </c>
      <c r="AG153" s="4">
        <v>15.63</v>
      </c>
      <c r="AH153" s="138">
        <f t="shared" si="79"/>
        <v>17.39</v>
      </c>
      <c r="AI153" s="6">
        <v>74.25</v>
      </c>
      <c r="AJ153" s="138">
        <f t="shared" si="80"/>
        <v>91.64</v>
      </c>
      <c r="AK153" s="167">
        <f t="shared" si="81"/>
        <v>5.7465958919916967E-2</v>
      </c>
      <c r="AL153" s="6">
        <v>1.76</v>
      </c>
      <c r="AM153" s="6">
        <v>19.54</v>
      </c>
      <c r="AN153" s="138">
        <f t="shared" si="82"/>
        <v>21.3</v>
      </c>
      <c r="AO153" s="6">
        <v>74.25</v>
      </c>
      <c r="AP153" s="138">
        <f t="shared" si="83"/>
        <v>95.55</v>
      </c>
      <c r="AQ153" s="167">
        <f t="shared" si="84"/>
        <v>4.2666957660410267E-2</v>
      </c>
      <c r="AR153" s="164">
        <f t="shared" si="67"/>
        <v>430.85</v>
      </c>
      <c r="AS153" s="165">
        <f t="shared" si="68"/>
        <v>5.8202857684097387E-2</v>
      </c>
    </row>
    <row r="154" spans="2:45" outlineLevel="1" x14ac:dyDescent="0.35">
      <c r="B154" s="294" t="s">
        <v>88</v>
      </c>
      <c r="C154" s="62" t="s">
        <v>147</v>
      </c>
      <c r="D154" s="70">
        <v>109.83820877149428</v>
      </c>
      <c r="E154" s="70">
        <v>124.889886207142</v>
      </c>
      <c r="F154" s="167">
        <f t="shared" si="63"/>
        <v>0.13703498631301422</v>
      </c>
      <c r="G154" s="70">
        <v>123.69599506991401</v>
      </c>
      <c r="H154" s="167">
        <f t="shared" si="69"/>
        <v>-9.5595502044721926E-3</v>
      </c>
      <c r="I154" s="70">
        <v>90.3</v>
      </c>
      <c r="J154" s="167">
        <f t="shared" si="70"/>
        <v>-0.26998444897943796</v>
      </c>
      <c r="K154" s="70">
        <v>89.4</v>
      </c>
      <c r="L154" s="167">
        <f t="shared" si="71"/>
        <v>-9.9667774086377794E-3</v>
      </c>
      <c r="M154" s="164">
        <f t="shared" si="72"/>
        <v>538.12409004855033</v>
      </c>
      <c r="N154" s="165">
        <f t="shared" si="64"/>
        <v>-5.0169700911724791E-2</v>
      </c>
      <c r="P154" s="359">
        <v>18.559999999999999</v>
      </c>
      <c r="Q154" s="6">
        <v>269.64</v>
      </c>
      <c r="R154" s="138">
        <f t="shared" si="73"/>
        <v>288.2</v>
      </c>
      <c r="S154" s="185">
        <f t="shared" si="65"/>
        <v>2.2237136465324383</v>
      </c>
      <c r="T154" s="359">
        <v>19.34</v>
      </c>
      <c r="U154" s="359">
        <v>37.119999999999997</v>
      </c>
      <c r="V154" s="138">
        <f t="shared" si="74"/>
        <v>56.459999999999994</v>
      </c>
      <c r="W154" s="6">
        <v>269.64</v>
      </c>
      <c r="X154" s="138">
        <f t="shared" si="75"/>
        <v>326.09999999999997</v>
      </c>
      <c r="Y154" s="167">
        <f t="shared" si="66"/>
        <v>0.13150589868147114</v>
      </c>
      <c r="Z154" s="377">
        <v>16.71</v>
      </c>
      <c r="AA154" s="359">
        <v>80.11</v>
      </c>
      <c r="AB154" s="138">
        <f t="shared" si="76"/>
        <v>96.82</v>
      </c>
      <c r="AC154" s="6">
        <v>269.64</v>
      </c>
      <c r="AD154" s="138">
        <f t="shared" si="77"/>
        <v>366.46</v>
      </c>
      <c r="AE154" s="167">
        <f t="shared" si="78"/>
        <v>0.12376571603802521</v>
      </c>
      <c r="AF154" s="307">
        <v>14.07</v>
      </c>
      <c r="AG154" s="4">
        <v>117.23</v>
      </c>
      <c r="AH154" s="138">
        <f t="shared" si="79"/>
        <v>131.30000000000001</v>
      </c>
      <c r="AI154" s="6">
        <v>269.64</v>
      </c>
      <c r="AJ154" s="138">
        <f t="shared" si="80"/>
        <v>400.94</v>
      </c>
      <c r="AK154" s="167">
        <f t="shared" si="81"/>
        <v>9.4089395841292417E-2</v>
      </c>
      <c r="AL154" s="6">
        <v>12.31</v>
      </c>
      <c r="AM154" s="6">
        <v>148.5</v>
      </c>
      <c r="AN154" s="138">
        <f t="shared" si="82"/>
        <v>160.81</v>
      </c>
      <c r="AO154" s="6">
        <v>269.64</v>
      </c>
      <c r="AP154" s="138">
        <f t="shared" si="83"/>
        <v>430.45</v>
      </c>
      <c r="AQ154" s="167">
        <f t="shared" si="84"/>
        <v>7.3602035217239459E-2</v>
      </c>
      <c r="AR154" s="164">
        <f t="shared" si="67"/>
        <v>1812.15</v>
      </c>
      <c r="AS154" s="165">
        <f t="shared" si="68"/>
        <v>0.10549602138923908</v>
      </c>
    </row>
    <row r="155" spans="2:45" outlineLevel="1" x14ac:dyDescent="0.35">
      <c r="B155" s="294" t="s">
        <v>89</v>
      </c>
      <c r="C155" s="62" t="s">
        <v>147</v>
      </c>
      <c r="D155" s="70">
        <v>58.895825102033569</v>
      </c>
      <c r="E155" s="70">
        <v>70.564279622148305</v>
      </c>
      <c r="F155" s="167">
        <f t="shared" si="63"/>
        <v>0.198120231780433</v>
      </c>
      <c r="G155" s="70">
        <v>65.567112036209394</v>
      </c>
      <c r="H155" s="167">
        <f t="shared" si="69"/>
        <v>-7.0817240857517783E-2</v>
      </c>
      <c r="I155" s="70">
        <v>43.7</v>
      </c>
      <c r="J155" s="167">
        <f t="shared" si="70"/>
        <v>-0.33350732336866223</v>
      </c>
      <c r="K155" s="70">
        <v>38.6</v>
      </c>
      <c r="L155" s="167">
        <f t="shared" si="71"/>
        <v>-0.11670480549199087</v>
      </c>
      <c r="M155" s="164">
        <f t="shared" si="72"/>
        <v>277.32721676039125</v>
      </c>
      <c r="N155" s="165">
        <f t="shared" si="64"/>
        <v>-0.10024203773120266</v>
      </c>
      <c r="P155" s="359"/>
      <c r="Q155" s="6">
        <v>119.19</v>
      </c>
      <c r="R155" s="138">
        <f t="shared" si="73"/>
        <v>119.19</v>
      </c>
      <c r="S155" s="185">
        <f t="shared" si="65"/>
        <v>2.0878238341968913</v>
      </c>
      <c r="T155" s="359"/>
      <c r="U155" s="359"/>
      <c r="V155" s="138">
        <f t="shared" si="74"/>
        <v>0</v>
      </c>
      <c r="W155" s="6">
        <v>119.19</v>
      </c>
      <c r="X155" s="138">
        <f t="shared" si="75"/>
        <v>119.19</v>
      </c>
      <c r="Y155" s="167">
        <f t="shared" si="66"/>
        <v>0</v>
      </c>
      <c r="Z155" s="377"/>
      <c r="AA155" s="359"/>
      <c r="AB155" s="138">
        <f t="shared" si="76"/>
        <v>0</v>
      </c>
      <c r="AC155" s="6">
        <v>119.19</v>
      </c>
      <c r="AD155" s="138">
        <f t="shared" si="77"/>
        <v>119.19</v>
      </c>
      <c r="AE155" s="167">
        <f t="shared" si="78"/>
        <v>0</v>
      </c>
      <c r="AF155" s="307">
        <v>0.88</v>
      </c>
      <c r="AG155" s="4"/>
      <c r="AH155" s="138">
        <f t="shared" si="79"/>
        <v>0.88</v>
      </c>
      <c r="AI155" s="6">
        <v>119.19</v>
      </c>
      <c r="AJ155" s="138">
        <f t="shared" si="80"/>
        <v>120.07</v>
      </c>
      <c r="AK155" s="167">
        <f t="shared" si="81"/>
        <v>7.3831697290040734E-3</v>
      </c>
      <c r="AL155" s="6">
        <v>0.88</v>
      </c>
      <c r="AM155" s="6">
        <v>1.95</v>
      </c>
      <c r="AN155" s="138">
        <f t="shared" si="82"/>
        <v>2.83</v>
      </c>
      <c r="AO155" s="6">
        <v>119.19</v>
      </c>
      <c r="AP155" s="138">
        <f t="shared" si="83"/>
        <v>122.02</v>
      </c>
      <c r="AQ155" s="167">
        <f t="shared" si="84"/>
        <v>1.6240526359623579E-2</v>
      </c>
      <c r="AR155" s="164">
        <f t="shared" si="67"/>
        <v>599.66</v>
      </c>
      <c r="AS155" s="165">
        <f t="shared" si="68"/>
        <v>5.8837685756050195E-3</v>
      </c>
    </row>
    <row r="156" spans="2:45" outlineLevel="1" x14ac:dyDescent="0.35">
      <c r="B156" s="294" t="s">
        <v>90</v>
      </c>
      <c r="C156" s="62" t="s">
        <v>147</v>
      </c>
      <c r="D156" s="70">
        <v>0</v>
      </c>
      <c r="E156" s="70">
        <v>0</v>
      </c>
      <c r="F156" s="167">
        <f t="shared" si="63"/>
        <v>0</v>
      </c>
      <c r="G156" s="70">
        <v>0</v>
      </c>
      <c r="H156" s="167">
        <f t="shared" si="69"/>
        <v>0</v>
      </c>
      <c r="I156" s="70"/>
      <c r="J156" s="167">
        <f t="shared" si="70"/>
        <v>0</v>
      </c>
      <c r="K156" s="70"/>
      <c r="L156" s="167">
        <f t="shared" si="71"/>
        <v>0</v>
      </c>
      <c r="M156" s="164">
        <f t="shared" si="72"/>
        <v>0</v>
      </c>
      <c r="N156" s="165">
        <f t="shared" si="64"/>
        <v>0</v>
      </c>
      <c r="P156" s="359"/>
      <c r="Q156" s="6"/>
      <c r="R156" s="138">
        <f t="shared" si="73"/>
        <v>0</v>
      </c>
      <c r="S156" s="185">
        <f t="shared" si="65"/>
        <v>0</v>
      </c>
      <c r="T156" s="359"/>
      <c r="U156" s="359"/>
      <c r="V156" s="138">
        <f t="shared" si="74"/>
        <v>0</v>
      </c>
      <c r="W156" s="6"/>
      <c r="X156" s="138">
        <f t="shared" si="75"/>
        <v>0</v>
      </c>
      <c r="Y156" s="167">
        <f t="shared" si="66"/>
        <v>0</v>
      </c>
      <c r="Z156" s="377"/>
      <c r="AA156" s="359"/>
      <c r="AB156" s="138">
        <f t="shared" si="76"/>
        <v>0</v>
      </c>
      <c r="AC156" s="6"/>
      <c r="AD156" s="138">
        <f t="shared" si="77"/>
        <v>0</v>
      </c>
      <c r="AE156" s="167">
        <f t="shared" si="78"/>
        <v>0</v>
      </c>
      <c r="AF156" s="307"/>
      <c r="AG156" s="4"/>
      <c r="AH156" s="138">
        <f t="shared" si="79"/>
        <v>0</v>
      </c>
      <c r="AI156" s="6"/>
      <c r="AJ156" s="138">
        <f t="shared" si="80"/>
        <v>0</v>
      </c>
      <c r="AK156" s="167">
        <f t="shared" si="81"/>
        <v>0</v>
      </c>
      <c r="AL156" s="6"/>
      <c r="AM156" s="6"/>
      <c r="AN156" s="138">
        <f t="shared" si="82"/>
        <v>0</v>
      </c>
      <c r="AO156" s="6"/>
      <c r="AP156" s="138">
        <f t="shared" si="83"/>
        <v>0</v>
      </c>
      <c r="AQ156" s="167">
        <f t="shared" si="84"/>
        <v>0</v>
      </c>
      <c r="AR156" s="164">
        <f t="shared" si="67"/>
        <v>0</v>
      </c>
      <c r="AS156" s="165">
        <f t="shared" si="68"/>
        <v>0</v>
      </c>
    </row>
    <row r="157" spans="2:45" outlineLevel="1" x14ac:dyDescent="0.35">
      <c r="B157" s="294" t="s">
        <v>91</v>
      </c>
      <c r="C157" s="62" t="s">
        <v>147</v>
      </c>
      <c r="D157" s="70">
        <v>0.55636871406364707</v>
      </c>
      <c r="E157" s="70">
        <v>1.25680574559848</v>
      </c>
      <c r="F157" s="167">
        <f t="shared" si="63"/>
        <v>1.2589439589780831</v>
      </c>
      <c r="G157" s="70">
        <v>1.1897689142297001</v>
      </c>
      <c r="H157" s="167">
        <f t="shared" si="69"/>
        <v>-5.3339055461476707E-2</v>
      </c>
      <c r="I157" s="70">
        <v>2</v>
      </c>
      <c r="J157" s="167">
        <f t="shared" si="70"/>
        <v>0.68099870157968712</v>
      </c>
      <c r="K157" s="70">
        <v>2.1</v>
      </c>
      <c r="L157" s="167">
        <f t="shared" si="71"/>
        <v>5.0000000000000044E-2</v>
      </c>
      <c r="M157" s="164">
        <f t="shared" si="72"/>
        <v>7.1029433738918275</v>
      </c>
      <c r="N157" s="165">
        <f t="shared" si="64"/>
        <v>0.39384393130691442</v>
      </c>
      <c r="P157" s="359"/>
      <c r="Q157" s="6">
        <v>5.86</v>
      </c>
      <c r="R157" s="138">
        <f t="shared" si="73"/>
        <v>5.86</v>
      </c>
      <c r="S157" s="185">
        <f t="shared" si="65"/>
        <v>1.7904761904761906</v>
      </c>
      <c r="T157" s="359"/>
      <c r="U157" s="359"/>
      <c r="V157" s="138">
        <f t="shared" si="74"/>
        <v>0</v>
      </c>
      <c r="W157" s="6">
        <v>5.86</v>
      </c>
      <c r="X157" s="138">
        <f t="shared" si="75"/>
        <v>5.86</v>
      </c>
      <c r="Y157" s="167">
        <f t="shared" si="66"/>
        <v>0</v>
      </c>
      <c r="Z157" s="377"/>
      <c r="AA157" s="359"/>
      <c r="AB157" s="138">
        <f t="shared" si="76"/>
        <v>0</v>
      </c>
      <c r="AC157" s="6">
        <v>5.86</v>
      </c>
      <c r="AD157" s="138">
        <f t="shared" si="77"/>
        <v>5.86</v>
      </c>
      <c r="AE157" s="167">
        <f t="shared" si="78"/>
        <v>0</v>
      </c>
      <c r="AF157" s="307"/>
      <c r="AG157" s="4"/>
      <c r="AH157" s="138">
        <f t="shared" si="79"/>
        <v>0</v>
      </c>
      <c r="AI157" s="6">
        <v>5.86</v>
      </c>
      <c r="AJ157" s="138">
        <f t="shared" si="80"/>
        <v>5.86</v>
      </c>
      <c r="AK157" s="167">
        <f t="shared" si="81"/>
        <v>0</v>
      </c>
      <c r="AL157" s="6"/>
      <c r="AM157" s="6"/>
      <c r="AN157" s="138">
        <f t="shared" si="82"/>
        <v>0</v>
      </c>
      <c r="AO157" s="6">
        <v>5.86</v>
      </c>
      <c r="AP157" s="138">
        <f t="shared" si="83"/>
        <v>5.86</v>
      </c>
      <c r="AQ157" s="167">
        <f t="shared" si="84"/>
        <v>0</v>
      </c>
      <c r="AR157" s="164">
        <f t="shared" si="67"/>
        <v>29.3</v>
      </c>
      <c r="AS157" s="165">
        <f t="shared" si="68"/>
        <v>0</v>
      </c>
    </row>
    <row r="158" spans="2:45" outlineLevel="1" x14ac:dyDescent="0.35">
      <c r="B158" s="294" t="s">
        <v>92</v>
      </c>
      <c r="C158" s="62" t="s">
        <v>147</v>
      </c>
      <c r="D158" s="70">
        <v>13.017957731074921</v>
      </c>
      <c r="E158" s="70">
        <v>14.6567338196664</v>
      </c>
      <c r="F158" s="167">
        <f t="shared" si="63"/>
        <v>0.1258858050122246</v>
      </c>
      <c r="G158" s="70">
        <v>14.7380196765431</v>
      </c>
      <c r="H158" s="167">
        <f t="shared" si="69"/>
        <v>5.5459734669965283E-3</v>
      </c>
      <c r="I158" s="70">
        <v>12</v>
      </c>
      <c r="J158" s="167">
        <f t="shared" si="70"/>
        <v>-0.18577934733666476</v>
      </c>
      <c r="K158" s="70">
        <v>11.9</v>
      </c>
      <c r="L158" s="167">
        <f t="shared" si="71"/>
        <v>-8.3333333333333037E-3</v>
      </c>
      <c r="M158" s="164">
        <f t="shared" si="72"/>
        <v>66.312711227284424</v>
      </c>
      <c r="N158" s="165">
        <f t="shared" si="64"/>
        <v>-2.2197763944135529E-2</v>
      </c>
      <c r="P158" s="359"/>
      <c r="Q158" s="6">
        <v>58.62</v>
      </c>
      <c r="R158" s="138">
        <f t="shared" si="73"/>
        <v>58.62</v>
      </c>
      <c r="S158" s="185">
        <f t="shared" si="65"/>
        <v>3.926050420168067</v>
      </c>
      <c r="T158" s="359">
        <v>0.88</v>
      </c>
      <c r="U158" s="359"/>
      <c r="V158" s="138">
        <f t="shared" si="74"/>
        <v>0.88</v>
      </c>
      <c r="W158" s="6">
        <v>58.62</v>
      </c>
      <c r="X158" s="138">
        <f t="shared" si="75"/>
        <v>59.5</v>
      </c>
      <c r="Y158" s="167">
        <f t="shared" si="66"/>
        <v>1.5011941316956715E-2</v>
      </c>
      <c r="Z158" s="377">
        <v>0.88</v>
      </c>
      <c r="AA158" s="359">
        <v>1.95</v>
      </c>
      <c r="AB158" s="138">
        <f t="shared" si="76"/>
        <v>2.83</v>
      </c>
      <c r="AC158" s="6">
        <v>58.62</v>
      </c>
      <c r="AD158" s="138">
        <f t="shared" si="77"/>
        <v>61.449999999999996</v>
      </c>
      <c r="AE158" s="167">
        <f t="shared" si="78"/>
        <v>3.2773109243697404E-2</v>
      </c>
      <c r="AF158" s="307">
        <v>0.88</v>
      </c>
      <c r="AG158" s="4">
        <v>3.91</v>
      </c>
      <c r="AH158" s="138">
        <f t="shared" si="79"/>
        <v>4.79</v>
      </c>
      <c r="AI158" s="6">
        <v>58.62</v>
      </c>
      <c r="AJ158" s="138">
        <f t="shared" si="80"/>
        <v>63.41</v>
      </c>
      <c r="AK158" s="167">
        <f t="shared" si="81"/>
        <v>3.1895850284784394E-2</v>
      </c>
      <c r="AL158" s="6">
        <v>0.88</v>
      </c>
      <c r="AM158" s="6">
        <v>5.86</v>
      </c>
      <c r="AN158" s="138">
        <f t="shared" si="82"/>
        <v>6.74</v>
      </c>
      <c r="AO158" s="6">
        <v>58.62</v>
      </c>
      <c r="AP158" s="138">
        <f t="shared" si="83"/>
        <v>65.36</v>
      </c>
      <c r="AQ158" s="167">
        <f t="shared" si="84"/>
        <v>3.075224727960894E-2</v>
      </c>
      <c r="AR158" s="164">
        <f t="shared" si="67"/>
        <v>308.33999999999997</v>
      </c>
      <c r="AS158" s="165">
        <f t="shared" si="68"/>
        <v>2.7582163653212755E-2</v>
      </c>
    </row>
    <row r="159" spans="2:45" outlineLevel="1" x14ac:dyDescent="0.35">
      <c r="B159" s="294" t="s">
        <v>93</v>
      </c>
      <c r="C159" s="62" t="s">
        <v>147</v>
      </c>
      <c r="D159" s="70">
        <v>69.576147306999331</v>
      </c>
      <c r="E159" s="70">
        <v>67.131669752747996</v>
      </c>
      <c r="F159" s="167">
        <f t="shared" si="63"/>
        <v>-3.5133844699179281E-2</v>
      </c>
      <c r="G159" s="70">
        <v>75.233046661512603</v>
      </c>
      <c r="H159" s="167">
        <f t="shared" si="69"/>
        <v>0.12067891262950423</v>
      </c>
      <c r="I159" s="70">
        <v>52.8</v>
      </c>
      <c r="J159" s="167">
        <f t="shared" si="70"/>
        <v>-0.29818075509347686</v>
      </c>
      <c r="K159" s="70">
        <v>40</v>
      </c>
      <c r="L159" s="167">
        <f t="shared" si="71"/>
        <v>-0.24242424242424238</v>
      </c>
      <c r="M159" s="164">
        <f t="shared" si="72"/>
        <v>304.74086372125993</v>
      </c>
      <c r="N159" s="165">
        <f t="shared" si="64"/>
        <v>-0.12923712683199984</v>
      </c>
      <c r="P159" s="359">
        <v>0.98</v>
      </c>
      <c r="Q159" s="6">
        <v>23.45</v>
      </c>
      <c r="R159" s="138">
        <f t="shared" si="73"/>
        <v>24.43</v>
      </c>
      <c r="S159" s="185">
        <f t="shared" si="65"/>
        <v>-0.38924999999999998</v>
      </c>
      <c r="T159" s="359">
        <v>0.88</v>
      </c>
      <c r="U159" s="359">
        <v>1.95</v>
      </c>
      <c r="V159" s="138">
        <f t="shared" si="74"/>
        <v>2.83</v>
      </c>
      <c r="W159" s="6">
        <v>23.45</v>
      </c>
      <c r="X159" s="138">
        <f t="shared" si="75"/>
        <v>26.28</v>
      </c>
      <c r="Y159" s="167">
        <f t="shared" si="66"/>
        <v>7.572656569791246E-2</v>
      </c>
      <c r="Z159" s="377">
        <v>2.64</v>
      </c>
      <c r="AA159" s="359">
        <v>3.91</v>
      </c>
      <c r="AB159" s="138">
        <f t="shared" si="76"/>
        <v>6.5500000000000007</v>
      </c>
      <c r="AC159" s="6">
        <v>23.45</v>
      </c>
      <c r="AD159" s="138">
        <f t="shared" si="77"/>
        <v>30</v>
      </c>
      <c r="AE159" s="167">
        <f t="shared" si="78"/>
        <v>0.14155251141552508</v>
      </c>
      <c r="AF159" s="307">
        <v>2.64</v>
      </c>
      <c r="AG159" s="4">
        <v>9.77</v>
      </c>
      <c r="AH159" s="138">
        <f t="shared" si="79"/>
        <v>12.41</v>
      </c>
      <c r="AI159" s="6">
        <v>23.45</v>
      </c>
      <c r="AJ159" s="138">
        <f t="shared" si="80"/>
        <v>35.86</v>
      </c>
      <c r="AK159" s="167">
        <f t="shared" si="81"/>
        <v>0.1953333333333333</v>
      </c>
      <c r="AL159" s="6">
        <v>2.64</v>
      </c>
      <c r="AM159" s="6">
        <v>15.63</v>
      </c>
      <c r="AN159" s="138">
        <f t="shared" si="82"/>
        <v>18.27</v>
      </c>
      <c r="AO159" s="6">
        <v>23.45</v>
      </c>
      <c r="AP159" s="138">
        <f t="shared" si="83"/>
        <v>41.72</v>
      </c>
      <c r="AQ159" s="167">
        <f t="shared" si="84"/>
        <v>0.1634132738427217</v>
      </c>
      <c r="AR159" s="164">
        <f t="shared" si="67"/>
        <v>158.29000000000002</v>
      </c>
      <c r="AS159" s="165">
        <f t="shared" si="68"/>
        <v>0.14315523154378629</v>
      </c>
    </row>
    <row r="160" spans="2:45" outlineLevel="1" x14ac:dyDescent="0.35">
      <c r="B160" s="294" t="s">
        <v>94</v>
      </c>
      <c r="C160" s="62" t="s">
        <v>147</v>
      </c>
      <c r="D160" s="70">
        <v>86.262208484753813</v>
      </c>
      <c r="E160" s="70">
        <v>92.278228039737996</v>
      </c>
      <c r="F160" s="167">
        <f t="shared" si="63"/>
        <v>6.9741079676246279E-2</v>
      </c>
      <c r="G160" s="70">
        <v>80.383446340292295</v>
      </c>
      <c r="H160" s="167">
        <f t="shared" si="69"/>
        <v>-0.12890127988070407</v>
      </c>
      <c r="I160" s="70">
        <v>57.7</v>
      </c>
      <c r="J160" s="167">
        <f t="shared" si="70"/>
        <v>-0.2821905177375082</v>
      </c>
      <c r="K160" s="70">
        <v>61.5</v>
      </c>
      <c r="L160" s="167">
        <f t="shared" si="71"/>
        <v>6.5857885615251244E-2</v>
      </c>
      <c r="M160" s="164">
        <f t="shared" si="72"/>
        <v>378.12388286478409</v>
      </c>
      <c r="N160" s="165">
        <f t="shared" si="64"/>
        <v>-8.1109766208019463E-2</v>
      </c>
      <c r="P160" s="359"/>
      <c r="Q160" s="6">
        <v>134.82</v>
      </c>
      <c r="R160" s="138">
        <f t="shared" si="73"/>
        <v>134.82</v>
      </c>
      <c r="S160" s="185">
        <f t="shared" si="65"/>
        <v>1.1921951219512195</v>
      </c>
      <c r="T160" s="359">
        <v>0.88</v>
      </c>
      <c r="U160" s="359"/>
      <c r="V160" s="138">
        <f t="shared" si="74"/>
        <v>0.88</v>
      </c>
      <c r="W160" s="6">
        <v>134.82</v>
      </c>
      <c r="X160" s="138">
        <f t="shared" si="75"/>
        <v>135.69999999999999</v>
      </c>
      <c r="Y160" s="167">
        <f t="shared" si="66"/>
        <v>6.5272214804924754E-3</v>
      </c>
      <c r="Z160" s="377">
        <v>0.88</v>
      </c>
      <c r="AA160" s="359">
        <v>1.95</v>
      </c>
      <c r="AB160" s="138">
        <f t="shared" si="76"/>
        <v>2.83</v>
      </c>
      <c r="AC160" s="6">
        <v>134.82</v>
      </c>
      <c r="AD160" s="138">
        <f t="shared" si="77"/>
        <v>137.65</v>
      </c>
      <c r="AE160" s="167">
        <f t="shared" si="78"/>
        <v>1.4369933677229309E-2</v>
      </c>
      <c r="AF160" s="307">
        <v>0.88</v>
      </c>
      <c r="AG160" s="4">
        <v>3.91</v>
      </c>
      <c r="AH160" s="138">
        <f t="shared" si="79"/>
        <v>4.79</v>
      </c>
      <c r="AI160" s="6">
        <v>134.82</v>
      </c>
      <c r="AJ160" s="138">
        <f t="shared" si="80"/>
        <v>139.60999999999999</v>
      </c>
      <c r="AK160" s="167">
        <f t="shared" si="81"/>
        <v>1.4239011986923207E-2</v>
      </c>
      <c r="AL160" s="6">
        <v>0.88</v>
      </c>
      <c r="AM160" s="6">
        <v>5.86</v>
      </c>
      <c r="AN160" s="138">
        <f t="shared" si="82"/>
        <v>6.74</v>
      </c>
      <c r="AO160" s="6">
        <v>134.82</v>
      </c>
      <c r="AP160" s="138">
        <f t="shared" si="83"/>
        <v>141.56</v>
      </c>
      <c r="AQ160" s="167">
        <f t="shared" si="84"/>
        <v>1.3967480839481536E-2</v>
      </c>
      <c r="AR160" s="164">
        <f t="shared" si="67"/>
        <v>689.33999999999992</v>
      </c>
      <c r="AS160" s="165">
        <f t="shared" si="68"/>
        <v>1.2270446728125828E-2</v>
      </c>
    </row>
    <row r="161" spans="2:45" outlineLevel="1" x14ac:dyDescent="0.35">
      <c r="B161" s="294" t="s">
        <v>95</v>
      </c>
      <c r="C161" s="62" t="s">
        <v>147</v>
      </c>
      <c r="D161" s="70">
        <v>101.95998505090169</v>
      </c>
      <c r="E161" s="70">
        <v>120.156452223885</v>
      </c>
      <c r="F161" s="167">
        <f t="shared" si="63"/>
        <v>0.17846675010690757</v>
      </c>
      <c r="G161" s="70">
        <v>117.63394643250101</v>
      </c>
      <c r="H161" s="167">
        <f t="shared" si="69"/>
        <v>-2.0993510915950312E-2</v>
      </c>
      <c r="I161" s="70">
        <v>82.1</v>
      </c>
      <c r="J161" s="167">
        <f t="shared" si="70"/>
        <v>-0.30207221223246628</v>
      </c>
      <c r="K161" s="70">
        <v>78.900000000000006</v>
      </c>
      <c r="L161" s="167">
        <f t="shared" si="71"/>
        <v>-3.8976857490864665E-2</v>
      </c>
      <c r="M161" s="164">
        <f t="shared" si="72"/>
        <v>500.75038370728771</v>
      </c>
      <c r="N161" s="165">
        <f t="shared" si="64"/>
        <v>-6.2088609878580225E-2</v>
      </c>
      <c r="P161" s="359"/>
      <c r="Q161" s="6">
        <v>119.19</v>
      </c>
      <c r="R161" s="138">
        <f t="shared" si="73"/>
        <v>119.19</v>
      </c>
      <c r="S161" s="185">
        <f t="shared" si="65"/>
        <v>0.51064638783269944</v>
      </c>
      <c r="T161" s="359">
        <v>0.88</v>
      </c>
      <c r="U161" s="359"/>
      <c r="V161" s="138">
        <f t="shared" si="74"/>
        <v>0.88</v>
      </c>
      <c r="W161" s="6">
        <v>119.19</v>
      </c>
      <c r="X161" s="138">
        <f t="shared" si="75"/>
        <v>120.07</v>
      </c>
      <c r="Y161" s="167">
        <f t="shared" si="66"/>
        <v>7.3831697290040734E-3</v>
      </c>
      <c r="Z161" s="377">
        <v>0.88</v>
      </c>
      <c r="AA161" s="359">
        <v>1.95</v>
      </c>
      <c r="AB161" s="138">
        <f t="shared" si="76"/>
        <v>2.83</v>
      </c>
      <c r="AC161" s="6">
        <v>119.19</v>
      </c>
      <c r="AD161" s="138">
        <f t="shared" si="77"/>
        <v>122.02</v>
      </c>
      <c r="AE161" s="167">
        <f t="shared" si="78"/>
        <v>1.6240526359623579E-2</v>
      </c>
      <c r="AF161" s="307">
        <v>0.88</v>
      </c>
      <c r="AG161" s="4">
        <v>3.91</v>
      </c>
      <c r="AH161" s="138">
        <f t="shared" si="79"/>
        <v>4.79</v>
      </c>
      <c r="AI161" s="6">
        <v>119.19</v>
      </c>
      <c r="AJ161" s="138">
        <f t="shared" si="80"/>
        <v>123.98</v>
      </c>
      <c r="AK161" s="167">
        <f t="shared" si="81"/>
        <v>1.6062940501557186E-2</v>
      </c>
      <c r="AL161" s="6">
        <v>0.88</v>
      </c>
      <c r="AM161" s="6">
        <v>5.86</v>
      </c>
      <c r="AN161" s="138">
        <f t="shared" si="82"/>
        <v>6.74</v>
      </c>
      <c r="AO161" s="6">
        <v>119.19</v>
      </c>
      <c r="AP161" s="138">
        <f t="shared" si="83"/>
        <v>125.92999999999999</v>
      </c>
      <c r="AQ161" s="167">
        <f t="shared" si="84"/>
        <v>1.5728343281174291E-2</v>
      </c>
      <c r="AR161" s="164">
        <f t="shared" si="67"/>
        <v>611.18999999999994</v>
      </c>
      <c r="AS161" s="165">
        <f t="shared" si="68"/>
        <v>1.3846826044585425E-2</v>
      </c>
    </row>
    <row r="162" spans="2:45" outlineLevel="1" x14ac:dyDescent="0.35">
      <c r="B162" s="294" t="s">
        <v>96</v>
      </c>
      <c r="C162" s="62" t="s">
        <v>147</v>
      </c>
      <c r="D162" s="70">
        <v>38.606150975833359</v>
      </c>
      <c r="E162" s="70">
        <v>41.810231957779898</v>
      </c>
      <c r="F162" s="167">
        <f t="shared" si="63"/>
        <v>8.2994054080973448E-2</v>
      </c>
      <c r="G162" s="70">
        <v>44.484977464144102</v>
      </c>
      <c r="H162" s="167">
        <f t="shared" si="69"/>
        <v>6.3973467285834959E-2</v>
      </c>
      <c r="I162" s="70">
        <v>29.7</v>
      </c>
      <c r="J162" s="167">
        <f t="shared" si="70"/>
        <v>-0.33235888398642283</v>
      </c>
      <c r="K162" s="70">
        <v>28.4</v>
      </c>
      <c r="L162" s="167">
        <f t="shared" si="71"/>
        <v>-4.3771043771043794E-2</v>
      </c>
      <c r="M162" s="164">
        <f t="shared" si="72"/>
        <v>183.00136039775734</v>
      </c>
      <c r="N162" s="165">
        <f t="shared" si="64"/>
        <v>-7.3883847538437242E-2</v>
      </c>
      <c r="P162" s="359"/>
      <c r="Q162" s="6">
        <v>105.51</v>
      </c>
      <c r="R162" s="138">
        <f t="shared" si="73"/>
        <v>105.51</v>
      </c>
      <c r="S162" s="185">
        <f t="shared" si="65"/>
        <v>2.7151408450704233</v>
      </c>
      <c r="T162" s="359"/>
      <c r="U162" s="359"/>
      <c r="V162" s="138">
        <f t="shared" si="74"/>
        <v>0</v>
      </c>
      <c r="W162" s="6">
        <v>105.51</v>
      </c>
      <c r="X162" s="138">
        <f t="shared" si="75"/>
        <v>105.51</v>
      </c>
      <c r="Y162" s="167">
        <f t="shared" si="66"/>
        <v>0</v>
      </c>
      <c r="Z162" s="377">
        <v>0.88</v>
      </c>
      <c r="AA162" s="359">
        <v>0</v>
      </c>
      <c r="AB162" s="138">
        <f t="shared" si="76"/>
        <v>0.88</v>
      </c>
      <c r="AC162" s="6">
        <v>105.51</v>
      </c>
      <c r="AD162" s="138">
        <f t="shared" si="77"/>
        <v>106.39</v>
      </c>
      <c r="AE162" s="167">
        <f t="shared" si="78"/>
        <v>8.3404416642971803E-3</v>
      </c>
      <c r="AF162" s="307">
        <v>0.88</v>
      </c>
      <c r="AG162" s="4">
        <v>1.95</v>
      </c>
      <c r="AH162" s="138">
        <f t="shared" si="79"/>
        <v>2.83</v>
      </c>
      <c r="AI162" s="6">
        <v>105.51</v>
      </c>
      <c r="AJ162" s="138">
        <f t="shared" si="80"/>
        <v>108.34</v>
      </c>
      <c r="AK162" s="167">
        <f t="shared" si="81"/>
        <v>1.8328790299840237E-2</v>
      </c>
      <c r="AL162" s="6">
        <v>0.88</v>
      </c>
      <c r="AM162" s="6">
        <v>3.91</v>
      </c>
      <c r="AN162" s="138">
        <f t="shared" si="82"/>
        <v>4.79</v>
      </c>
      <c r="AO162" s="6">
        <v>105.51</v>
      </c>
      <c r="AP162" s="138">
        <f t="shared" si="83"/>
        <v>110.30000000000001</v>
      </c>
      <c r="AQ162" s="167">
        <f t="shared" si="84"/>
        <v>1.8091194388037732E-2</v>
      </c>
      <c r="AR162" s="164">
        <f t="shared" si="67"/>
        <v>536.04999999999995</v>
      </c>
      <c r="AS162" s="165">
        <f t="shared" si="68"/>
        <v>1.1161376301258574E-2</v>
      </c>
    </row>
    <row r="163" spans="2:45" outlineLevel="1" x14ac:dyDescent="0.35">
      <c r="B163" s="294" t="s">
        <v>97</v>
      </c>
      <c r="C163" s="62" t="s">
        <v>147</v>
      </c>
      <c r="D163" s="70">
        <v>306.38191514672422</v>
      </c>
      <c r="E163" s="70">
        <v>330.57355482042698</v>
      </c>
      <c r="F163" s="167">
        <f t="shared" si="63"/>
        <v>7.8959098033307681E-2</v>
      </c>
      <c r="G163" s="70">
        <v>305.31165276257201</v>
      </c>
      <c r="H163" s="167">
        <f t="shared" si="69"/>
        <v>-7.6418399746397289E-2</v>
      </c>
      <c r="I163" s="70">
        <v>217.4</v>
      </c>
      <c r="J163" s="167">
        <f t="shared" si="70"/>
        <v>-0.28794070572516661</v>
      </c>
      <c r="K163" s="70">
        <v>192.2</v>
      </c>
      <c r="L163" s="167">
        <f t="shared" si="71"/>
        <v>-0.11591536338546465</v>
      </c>
      <c r="M163" s="164">
        <f t="shared" si="72"/>
        <v>1351.8671227297234</v>
      </c>
      <c r="N163" s="165">
        <f t="shared" si="64"/>
        <v>-0.11003574410565298</v>
      </c>
      <c r="P163" s="359">
        <v>1.95</v>
      </c>
      <c r="Q163" s="6">
        <v>269.64</v>
      </c>
      <c r="R163" s="138">
        <f t="shared" si="73"/>
        <v>271.58999999999997</v>
      </c>
      <c r="S163" s="185">
        <f t="shared" si="65"/>
        <v>0.41305931321540057</v>
      </c>
      <c r="T163" s="359">
        <v>2.64</v>
      </c>
      <c r="U163" s="359">
        <v>3.91</v>
      </c>
      <c r="V163" s="138">
        <f t="shared" si="74"/>
        <v>6.5500000000000007</v>
      </c>
      <c r="W163" s="6">
        <v>269.64</v>
      </c>
      <c r="X163" s="138">
        <f t="shared" si="75"/>
        <v>276.19</v>
      </c>
      <c r="Y163" s="167">
        <f t="shared" si="66"/>
        <v>1.6937295187599039E-2</v>
      </c>
      <c r="Z163" s="377">
        <v>2.64</v>
      </c>
      <c r="AA163" s="359">
        <v>9.77</v>
      </c>
      <c r="AB163" s="138">
        <f t="shared" si="76"/>
        <v>12.41</v>
      </c>
      <c r="AC163" s="6">
        <v>269.64</v>
      </c>
      <c r="AD163" s="138">
        <f t="shared" si="77"/>
        <v>282.05</v>
      </c>
      <c r="AE163" s="167">
        <f t="shared" si="78"/>
        <v>2.1217277960824121E-2</v>
      </c>
      <c r="AF163" s="307">
        <v>2.64</v>
      </c>
      <c r="AG163" s="4">
        <v>15.63</v>
      </c>
      <c r="AH163" s="138">
        <f t="shared" si="79"/>
        <v>18.27</v>
      </c>
      <c r="AI163" s="6">
        <v>269.64</v>
      </c>
      <c r="AJ163" s="138">
        <f t="shared" si="80"/>
        <v>287.90999999999997</v>
      </c>
      <c r="AK163" s="167">
        <f t="shared" si="81"/>
        <v>2.0776458074809278E-2</v>
      </c>
      <c r="AL163" s="6">
        <v>2.64</v>
      </c>
      <c r="AM163" s="6">
        <v>21.49</v>
      </c>
      <c r="AN163" s="138">
        <f t="shared" si="82"/>
        <v>24.13</v>
      </c>
      <c r="AO163" s="6">
        <v>269.64</v>
      </c>
      <c r="AP163" s="138">
        <f t="shared" si="83"/>
        <v>293.77</v>
      </c>
      <c r="AQ163" s="167">
        <f t="shared" si="84"/>
        <v>2.0353582716821278E-2</v>
      </c>
      <c r="AR163" s="164">
        <f t="shared" si="67"/>
        <v>1411.5099999999998</v>
      </c>
      <c r="AS163" s="165">
        <f t="shared" si="68"/>
        <v>1.9819746970169971E-2</v>
      </c>
    </row>
    <row r="164" spans="2:45" outlineLevel="1" x14ac:dyDescent="0.35">
      <c r="B164" s="294" t="s">
        <v>98</v>
      </c>
      <c r="C164" s="62" t="s">
        <v>147</v>
      </c>
      <c r="D164" s="70">
        <v>54.863921101596858</v>
      </c>
      <c r="E164" s="70">
        <v>56.490482159572203</v>
      </c>
      <c r="F164" s="167">
        <f t="shared" si="63"/>
        <v>2.9647189360805674E-2</v>
      </c>
      <c r="G164" s="70">
        <v>60.302365732240403</v>
      </c>
      <c r="H164" s="167">
        <f t="shared" si="69"/>
        <v>6.7478333109293256E-2</v>
      </c>
      <c r="I164" s="70">
        <v>38.200000000000003</v>
      </c>
      <c r="J164" s="167">
        <f t="shared" si="70"/>
        <v>-0.36652568209978975</v>
      </c>
      <c r="K164" s="70">
        <v>33.700000000000003</v>
      </c>
      <c r="L164" s="167">
        <f t="shared" si="71"/>
        <v>-0.11780104712041883</v>
      </c>
      <c r="M164" s="164">
        <f t="shared" si="72"/>
        <v>243.55676899340943</v>
      </c>
      <c r="N164" s="165">
        <f t="shared" si="64"/>
        <v>-0.11470958040543489</v>
      </c>
      <c r="P164" s="359"/>
      <c r="Q164" s="6">
        <v>70.34</v>
      </c>
      <c r="R164" s="138">
        <f t="shared" si="73"/>
        <v>70.34</v>
      </c>
      <c r="S164" s="185">
        <f t="shared" si="65"/>
        <v>1.0872403560830859</v>
      </c>
      <c r="T164" s="359">
        <v>0.88</v>
      </c>
      <c r="U164" s="359"/>
      <c r="V164" s="138">
        <f t="shared" si="74"/>
        <v>0.88</v>
      </c>
      <c r="W164" s="6">
        <v>70.34</v>
      </c>
      <c r="X164" s="138">
        <f t="shared" si="75"/>
        <v>71.22</v>
      </c>
      <c r="Y164" s="167">
        <f t="shared" si="66"/>
        <v>1.2510662496445769E-2</v>
      </c>
      <c r="Z164" s="377">
        <v>1.76</v>
      </c>
      <c r="AA164" s="359">
        <v>1.95</v>
      </c>
      <c r="AB164" s="138">
        <f t="shared" si="76"/>
        <v>3.71</v>
      </c>
      <c r="AC164" s="6">
        <v>70.34</v>
      </c>
      <c r="AD164" s="138">
        <f t="shared" si="77"/>
        <v>74.05</v>
      </c>
      <c r="AE164" s="167">
        <f t="shared" si="78"/>
        <v>3.973602920527939E-2</v>
      </c>
      <c r="AF164" s="307">
        <v>0.88</v>
      </c>
      <c r="AG164" s="4">
        <v>5.86</v>
      </c>
      <c r="AH164" s="138">
        <f t="shared" si="79"/>
        <v>6.74</v>
      </c>
      <c r="AI164" s="6">
        <v>70.34</v>
      </c>
      <c r="AJ164" s="138">
        <f t="shared" si="80"/>
        <v>77.08</v>
      </c>
      <c r="AK164" s="167">
        <f t="shared" si="81"/>
        <v>4.0918298446995294E-2</v>
      </c>
      <c r="AL164" s="6">
        <v>0.88</v>
      </c>
      <c r="AM164" s="6">
        <v>7.82</v>
      </c>
      <c r="AN164" s="138">
        <f t="shared" si="82"/>
        <v>8.7000000000000011</v>
      </c>
      <c r="AO164" s="6">
        <v>70.34</v>
      </c>
      <c r="AP164" s="138">
        <f t="shared" si="83"/>
        <v>79.040000000000006</v>
      </c>
      <c r="AQ164" s="167">
        <f t="shared" si="84"/>
        <v>2.5428126621691853E-2</v>
      </c>
      <c r="AR164" s="164">
        <f t="shared" si="67"/>
        <v>371.73</v>
      </c>
      <c r="AS164" s="165">
        <f t="shared" si="68"/>
        <v>2.958247563504357E-2</v>
      </c>
    </row>
    <row r="165" spans="2:45" outlineLevel="1" x14ac:dyDescent="0.35">
      <c r="B165" s="294" t="s">
        <v>99</v>
      </c>
      <c r="C165" s="62" t="s">
        <v>147</v>
      </c>
      <c r="D165" s="70">
        <v>319.63412435129811</v>
      </c>
      <c r="E165" s="70">
        <v>367.264168036618</v>
      </c>
      <c r="F165" s="167">
        <f t="shared" si="63"/>
        <v>0.14901426367408588</v>
      </c>
      <c r="G165" s="70">
        <v>495.679375216344</v>
      </c>
      <c r="H165" s="167">
        <f t="shared" si="69"/>
        <v>0.34965351470640171</v>
      </c>
      <c r="I165" s="70">
        <v>403.4</v>
      </c>
      <c r="J165" s="167">
        <f t="shared" si="70"/>
        <v>-0.18616747000229292</v>
      </c>
      <c r="K165" s="70">
        <v>433.8</v>
      </c>
      <c r="L165" s="167">
        <f t="shared" si="71"/>
        <v>7.5359444719881097E-2</v>
      </c>
      <c r="M165" s="164">
        <f t="shared" si="72"/>
        <v>2019.7776676042602</v>
      </c>
      <c r="N165" s="165">
        <f t="shared" si="64"/>
        <v>7.9342062959475657E-2</v>
      </c>
      <c r="P165" s="359">
        <v>9.77</v>
      </c>
      <c r="Q165" s="6">
        <v>427.9</v>
      </c>
      <c r="R165" s="138">
        <f t="shared" si="73"/>
        <v>437.66999999999996</v>
      </c>
      <c r="S165" s="185">
        <f t="shared" si="65"/>
        <v>8.9211618257260209E-3</v>
      </c>
      <c r="T165" s="359">
        <v>9.67</v>
      </c>
      <c r="U165" s="359">
        <v>19.54</v>
      </c>
      <c r="V165" s="138">
        <f t="shared" si="74"/>
        <v>29.21</v>
      </c>
      <c r="W165" s="6">
        <v>427.9</v>
      </c>
      <c r="X165" s="138">
        <f t="shared" si="75"/>
        <v>457.10999999999996</v>
      </c>
      <c r="Y165" s="167">
        <f t="shared" si="66"/>
        <v>4.4417026526835289E-2</v>
      </c>
      <c r="Z165" s="377">
        <v>7.91</v>
      </c>
      <c r="AA165" s="359">
        <v>41.03</v>
      </c>
      <c r="AB165" s="138">
        <f t="shared" si="76"/>
        <v>48.94</v>
      </c>
      <c r="AC165" s="6">
        <v>427.9</v>
      </c>
      <c r="AD165" s="138">
        <f t="shared" si="77"/>
        <v>476.84</v>
      </c>
      <c r="AE165" s="167">
        <f t="shared" si="78"/>
        <v>4.3162477303056203E-2</v>
      </c>
      <c r="AF165" s="307">
        <v>7.91</v>
      </c>
      <c r="AG165" s="4">
        <v>58.62</v>
      </c>
      <c r="AH165" s="138">
        <f t="shared" si="79"/>
        <v>66.53</v>
      </c>
      <c r="AI165" s="6">
        <v>427.9</v>
      </c>
      <c r="AJ165" s="138">
        <f t="shared" si="80"/>
        <v>494.42999999999995</v>
      </c>
      <c r="AK165" s="167">
        <f t="shared" si="81"/>
        <v>3.6888683835248667E-2</v>
      </c>
      <c r="AL165" s="6">
        <v>7.03</v>
      </c>
      <c r="AM165" s="6">
        <v>76.2</v>
      </c>
      <c r="AN165" s="138">
        <f t="shared" si="82"/>
        <v>83.23</v>
      </c>
      <c r="AO165" s="6">
        <v>427.9</v>
      </c>
      <c r="AP165" s="138">
        <f t="shared" si="83"/>
        <v>511.13</v>
      </c>
      <c r="AQ165" s="167">
        <f t="shared" si="84"/>
        <v>3.3776267621301391E-2</v>
      </c>
      <c r="AR165" s="164">
        <f t="shared" si="67"/>
        <v>2377.1799999999998</v>
      </c>
      <c r="AS165" s="165">
        <f t="shared" si="68"/>
        <v>3.9551832312152646E-2</v>
      </c>
    </row>
    <row r="166" spans="2:45" outlineLevel="1" x14ac:dyDescent="0.35">
      <c r="B166" s="294" t="s">
        <v>100</v>
      </c>
      <c r="C166" s="62" t="s">
        <v>147</v>
      </c>
      <c r="D166" s="70">
        <v>15.871433929248465</v>
      </c>
      <c r="E166" s="70">
        <v>20.4871145337545</v>
      </c>
      <c r="F166" s="167">
        <f t="shared" si="63"/>
        <v>0.29081686160694586</v>
      </c>
      <c r="G166" s="70">
        <v>23.458303317931701</v>
      </c>
      <c r="H166" s="167">
        <f t="shared" si="69"/>
        <v>0.14502719644984075</v>
      </c>
      <c r="I166" s="70">
        <v>19.5</v>
      </c>
      <c r="J166" s="167">
        <f t="shared" si="70"/>
        <v>-0.16873783514027396</v>
      </c>
      <c r="K166" s="70">
        <v>11.2</v>
      </c>
      <c r="L166" s="167">
        <f t="shared" si="71"/>
        <v>-0.42564102564102568</v>
      </c>
      <c r="M166" s="164">
        <f t="shared" si="72"/>
        <v>90.516851780934658</v>
      </c>
      <c r="N166" s="165">
        <f t="shared" si="64"/>
        <v>-8.3462024048585159E-2</v>
      </c>
      <c r="P166" s="359"/>
      <c r="Q166" s="6">
        <v>35.17</v>
      </c>
      <c r="R166" s="138">
        <f t="shared" si="73"/>
        <v>35.17</v>
      </c>
      <c r="S166" s="185">
        <f t="shared" si="65"/>
        <v>2.1401785714285717</v>
      </c>
      <c r="T166" s="359">
        <v>0.88</v>
      </c>
      <c r="U166" s="359"/>
      <c r="V166" s="138">
        <f t="shared" si="74"/>
        <v>0.88</v>
      </c>
      <c r="W166" s="6">
        <v>35.17</v>
      </c>
      <c r="X166" s="138">
        <f t="shared" si="75"/>
        <v>36.050000000000004</v>
      </c>
      <c r="Y166" s="167">
        <f t="shared" si="66"/>
        <v>2.5021324992891742E-2</v>
      </c>
      <c r="Z166" s="377">
        <v>0.88</v>
      </c>
      <c r="AA166" s="359">
        <v>1.95</v>
      </c>
      <c r="AB166" s="138">
        <f t="shared" si="76"/>
        <v>2.83</v>
      </c>
      <c r="AC166" s="6">
        <v>35.17</v>
      </c>
      <c r="AD166" s="138">
        <f t="shared" si="77"/>
        <v>38</v>
      </c>
      <c r="AE166" s="167">
        <f t="shared" si="78"/>
        <v>5.4091539528432604E-2</v>
      </c>
      <c r="AF166" s="307">
        <v>0.88</v>
      </c>
      <c r="AG166" s="4">
        <v>3.91</v>
      </c>
      <c r="AH166" s="138">
        <f t="shared" si="79"/>
        <v>4.79</v>
      </c>
      <c r="AI166" s="6">
        <v>35.17</v>
      </c>
      <c r="AJ166" s="138">
        <f t="shared" si="80"/>
        <v>39.96</v>
      </c>
      <c r="AK166" s="167">
        <f t="shared" si="81"/>
        <v>5.1578947368421078E-2</v>
      </c>
      <c r="AL166" s="6">
        <v>1.76</v>
      </c>
      <c r="AM166" s="6">
        <v>5.86</v>
      </c>
      <c r="AN166" s="138">
        <f t="shared" si="82"/>
        <v>7.62</v>
      </c>
      <c r="AO166" s="6">
        <v>35.17</v>
      </c>
      <c r="AP166" s="138">
        <f t="shared" si="83"/>
        <v>42.79</v>
      </c>
      <c r="AQ166" s="167">
        <f t="shared" si="84"/>
        <v>7.0820820820820779E-2</v>
      </c>
      <c r="AR166" s="164">
        <f t="shared" si="67"/>
        <v>191.97</v>
      </c>
      <c r="AS166" s="165">
        <f t="shared" si="68"/>
        <v>5.0249490543124997E-2</v>
      </c>
    </row>
    <row r="167" spans="2:45" outlineLevel="1" x14ac:dyDescent="0.35">
      <c r="B167" s="294" t="s">
        <v>101</v>
      </c>
      <c r="C167" s="62" t="s">
        <v>147</v>
      </c>
      <c r="D167" s="70">
        <v>0</v>
      </c>
      <c r="E167" s="70">
        <v>0</v>
      </c>
      <c r="F167" s="167">
        <f t="shared" si="63"/>
        <v>0</v>
      </c>
      <c r="G167" s="70">
        <v>0</v>
      </c>
      <c r="H167" s="167">
        <f t="shared" si="69"/>
        <v>0</v>
      </c>
      <c r="I167" s="70"/>
      <c r="J167" s="167">
        <f t="shared" si="70"/>
        <v>0</v>
      </c>
      <c r="K167" s="70"/>
      <c r="L167" s="167">
        <f t="shared" si="71"/>
        <v>0</v>
      </c>
      <c r="M167" s="164">
        <f t="shared" si="72"/>
        <v>0</v>
      </c>
      <c r="N167" s="165">
        <f t="shared" si="64"/>
        <v>0</v>
      </c>
      <c r="P167" s="359"/>
      <c r="Q167" s="6"/>
      <c r="R167" s="138">
        <f t="shared" si="73"/>
        <v>0</v>
      </c>
      <c r="S167" s="185">
        <f t="shared" si="65"/>
        <v>0</v>
      </c>
      <c r="T167" s="359"/>
      <c r="U167" s="359"/>
      <c r="V167" s="138">
        <f t="shared" si="74"/>
        <v>0</v>
      </c>
      <c r="W167" s="6"/>
      <c r="X167" s="138">
        <f t="shared" si="75"/>
        <v>0</v>
      </c>
      <c r="Y167" s="167">
        <f t="shared" si="66"/>
        <v>0</v>
      </c>
      <c r="Z167" s="377"/>
      <c r="AA167" s="359"/>
      <c r="AB167" s="138">
        <f t="shared" si="76"/>
        <v>0</v>
      </c>
      <c r="AC167" s="6"/>
      <c r="AD167" s="138">
        <f t="shared" si="77"/>
        <v>0</v>
      </c>
      <c r="AE167" s="167">
        <f t="shared" si="78"/>
        <v>0</v>
      </c>
      <c r="AF167" s="307"/>
      <c r="AG167" s="4"/>
      <c r="AH167" s="138">
        <f t="shared" si="79"/>
        <v>0</v>
      </c>
      <c r="AI167" s="6"/>
      <c r="AJ167" s="138">
        <f t="shared" si="80"/>
        <v>0</v>
      </c>
      <c r="AK167" s="167">
        <f t="shared" si="81"/>
        <v>0</v>
      </c>
      <c r="AL167" s="6"/>
      <c r="AM167" s="6"/>
      <c r="AN167" s="138">
        <f t="shared" si="82"/>
        <v>0</v>
      </c>
      <c r="AO167" s="6"/>
      <c r="AP167" s="138">
        <f t="shared" si="83"/>
        <v>0</v>
      </c>
      <c r="AQ167" s="167">
        <f t="shared" si="84"/>
        <v>0</v>
      </c>
      <c r="AR167" s="164">
        <f t="shared" si="67"/>
        <v>0</v>
      </c>
      <c r="AS167" s="165">
        <f t="shared" si="68"/>
        <v>0</v>
      </c>
    </row>
    <row r="168" spans="2:45" outlineLevel="1" x14ac:dyDescent="0.35">
      <c r="B168" s="294" t="s">
        <v>102</v>
      </c>
      <c r="C168" s="62" t="s">
        <v>147</v>
      </c>
      <c r="D168" s="70">
        <v>140.140544200443</v>
      </c>
      <c r="E168" s="70">
        <v>140.804723366475</v>
      </c>
      <c r="F168" s="167">
        <f t="shared" si="63"/>
        <v>4.7393790984714898E-3</v>
      </c>
      <c r="G168" s="70">
        <v>123.417537978198</v>
      </c>
      <c r="H168" s="167">
        <f t="shared" si="69"/>
        <v>-0.12348439010119754</v>
      </c>
      <c r="I168" s="70">
        <v>94.7</v>
      </c>
      <c r="J168" s="167">
        <f t="shared" si="70"/>
        <v>-0.2326860383754456</v>
      </c>
      <c r="K168" s="70">
        <v>79.7</v>
      </c>
      <c r="L168" s="167">
        <f t="shared" si="71"/>
        <v>-0.1583949313621964</v>
      </c>
      <c r="M168" s="164">
        <f t="shared" si="72"/>
        <v>578.76280554511595</v>
      </c>
      <c r="N168" s="165">
        <f t="shared" si="64"/>
        <v>-0.13159237031033988</v>
      </c>
      <c r="P168" s="359"/>
      <c r="Q168" s="6">
        <v>154.36000000000001</v>
      </c>
      <c r="R168" s="138">
        <f t="shared" si="73"/>
        <v>154.36000000000001</v>
      </c>
      <c r="S168" s="185">
        <f t="shared" si="65"/>
        <v>0.93676286072772907</v>
      </c>
      <c r="T168" s="359"/>
      <c r="U168" s="359"/>
      <c r="V168" s="138">
        <f t="shared" si="74"/>
        <v>0</v>
      </c>
      <c r="W168" s="6">
        <v>154.36000000000001</v>
      </c>
      <c r="X168" s="138">
        <f t="shared" si="75"/>
        <v>154.36000000000001</v>
      </c>
      <c r="Y168" s="167">
        <f t="shared" si="66"/>
        <v>0</v>
      </c>
      <c r="Z168" s="377"/>
      <c r="AA168" s="359"/>
      <c r="AB168" s="138">
        <f t="shared" si="76"/>
        <v>0</v>
      </c>
      <c r="AC168" s="6">
        <v>154.36000000000001</v>
      </c>
      <c r="AD168" s="138">
        <f t="shared" si="77"/>
        <v>154.36000000000001</v>
      </c>
      <c r="AE168" s="167">
        <f t="shared" si="78"/>
        <v>0</v>
      </c>
      <c r="AF168" s="307"/>
      <c r="AG168" s="4"/>
      <c r="AH168" s="138">
        <f t="shared" si="79"/>
        <v>0</v>
      </c>
      <c r="AI168" s="6">
        <v>154.36000000000001</v>
      </c>
      <c r="AJ168" s="138">
        <f t="shared" si="80"/>
        <v>154.36000000000001</v>
      </c>
      <c r="AK168" s="167">
        <f t="shared" si="81"/>
        <v>0</v>
      </c>
      <c r="AL168" s="6"/>
      <c r="AM168" s="6"/>
      <c r="AN168" s="138">
        <f t="shared" si="82"/>
        <v>0</v>
      </c>
      <c r="AO168" s="6">
        <v>154.36000000000001</v>
      </c>
      <c r="AP168" s="138">
        <f t="shared" si="83"/>
        <v>154.36000000000001</v>
      </c>
      <c r="AQ168" s="167">
        <f t="shared" si="84"/>
        <v>0</v>
      </c>
      <c r="AR168" s="164">
        <f t="shared" si="67"/>
        <v>771.80000000000007</v>
      </c>
      <c r="AS168" s="165">
        <f t="shared" si="68"/>
        <v>0</v>
      </c>
    </row>
    <row r="169" spans="2:45" outlineLevel="1" x14ac:dyDescent="0.35">
      <c r="B169" s="294" t="s">
        <v>103</v>
      </c>
      <c r="C169" s="62" t="s">
        <v>147</v>
      </c>
      <c r="D169" s="70">
        <v>0</v>
      </c>
      <c r="E169" s="70">
        <v>0</v>
      </c>
      <c r="F169" s="167">
        <f t="shared" si="63"/>
        <v>0</v>
      </c>
      <c r="G169" s="70">
        <v>0</v>
      </c>
      <c r="H169" s="167">
        <f t="shared" si="69"/>
        <v>0</v>
      </c>
      <c r="I169" s="70"/>
      <c r="J169" s="167">
        <f t="shared" si="70"/>
        <v>0</v>
      </c>
      <c r="K169" s="70"/>
      <c r="L169" s="167">
        <f t="shared" si="71"/>
        <v>0</v>
      </c>
      <c r="M169" s="164">
        <f t="shared" si="72"/>
        <v>0</v>
      </c>
      <c r="N169" s="165">
        <f t="shared" si="64"/>
        <v>0</v>
      </c>
      <c r="P169" s="359"/>
      <c r="Q169" s="6"/>
      <c r="R169" s="138">
        <f t="shared" si="73"/>
        <v>0</v>
      </c>
      <c r="S169" s="185">
        <f t="shared" si="65"/>
        <v>0</v>
      </c>
      <c r="T169" s="359"/>
      <c r="U169" s="359"/>
      <c r="V169" s="138">
        <f t="shared" si="74"/>
        <v>0</v>
      </c>
      <c r="W169" s="6"/>
      <c r="X169" s="138">
        <f t="shared" si="75"/>
        <v>0</v>
      </c>
      <c r="Y169" s="167">
        <f t="shared" si="66"/>
        <v>0</v>
      </c>
      <c r="Z169" s="377"/>
      <c r="AA169" s="359"/>
      <c r="AB169" s="138">
        <f t="shared" si="76"/>
        <v>0</v>
      </c>
      <c r="AC169" s="6"/>
      <c r="AD169" s="138">
        <f t="shared" si="77"/>
        <v>0</v>
      </c>
      <c r="AE169" s="167">
        <f t="shared" si="78"/>
        <v>0</v>
      </c>
      <c r="AF169" s="307"/>
      <c r="AG169" s="4"/>
      <c r="AH169" s="138">
        <f t="shared" si="79"/>
        <v>0</v>
      </c>
      <c r="AI169" s="6"/>
      <c r="AJ169" s="138">
        <f t="shared" si="80"/>
        <v>0</v>
      </c>
      <c r="AK169" s="167">
        <f t="shared" si="81"/>
        <v>0</v>
      </c>
      <c r="AL169" s="6"/>
      <c r="AM169" s="6"/>
      <c r="AN169" s="138">
        <f t="shared" si="82"/>
        <v>0</v>
      </c>
      <c r="AO169" s="6"/>
      <c r="AP169" s="138">
        <f t="shared" si="83"/>
        <v>0</v>
      </c>
      <c r="AQ169" s="167">
        <f t="shared" si="84"/>
        <v>0</v>
      </c>
      <c r="AR169" s="164">
        <f t="shared" si="67"/>
        <v>0</v>
      </c>
      <c r="AS169" s="165">
        <f t="shared" si="68"/>
        <v>0</v>
      </c>
    </row>
    <row r="170" spans="2:45" outlineLevel="1" x14ac:dyDescent="0.35">
      <c r="B170" s="294" t="s">
        <v>104</v>
      </c>
      <c r="C170" s="62" t="s">
        <v>147</v>
      </c>
      <c r="D170" s="70">
        <v>0</v>
      </c>
      <c r="E170" s="70">
        <v>0</v>
      </c>
      <c r="F170" s="167">
        <f t="shared" si="63"/>
        <v>0</v>
      </c>
      <c r="G170" s="70">
        <v>0</v>
      </c>
      <c r="H170" s="167">
        <f t="shared" si="69"/>
        <v>0</v>
      </c>
      <c r="I170" s="70"/>
      <c r="J170" s="167">
        <f t="shared" si="70"/>
        <v>0</v>
      </c>
      <c r="K170" s="70"/>
      <c r="L170" s="167">
        <f t="shared" si="71"/>
        <v>0</v>
      </c>
      <c r="M170" s="164">
        <f t="shared" si="72"/>
        <v>0</v>
      </c>
      <c r="N170" s="165">
        <f t="shared" si="64"/>
        <v>0</v>
      </c>
      <c r="P170" s="359"/>
      <c r="Q170" s="6"/>
      <c r="R170" s="138">
        <f t="shared" si="73"/>
        <v>0</v>
      </c>
      <c r="S170" s="185">
        <f t="shared" si="65"/>
        <v>0</v>
      </c>
      <c r="T170" s="359"/>
      <c r="U170" s="359"/>
      <c r="V170" s="138">
        <f t="shared" si="74"/>
        <v>0</v>
      </c>
      <c r="W170" s="6"/>
      <c r="X170" s="138">
        <f t="shared" si="75"/>
        <v>0</v>
      </c>
      <c r="Y170" s="167">
        <f t="shared" si="66"/>
        <v>0</v>
      </c>
      <c r="Z170" s="377"/>
      <c r="AA170" s="359"/>
      <c r="AB170" s="138">
        <f t="shared" si="76"/>
        <v>0</v>
      </c>
      <c r="AC170" s="6"/>
      <c r="AD170" s="138">
        <f t="shared" si="77"/>
        <v>0</v>
      </c>
      <c r="AE170" s="167">
        <f t="shared" si="78"/>
        <v>0</v>
      </c>
      <c r="AF170" s="307"/>
      <c r="AG170" s="4"/>
      <c r="AH170" s="138">
        <f t="shared" si="79"/>
        <v>0</v>
      </c>
      <c r="AI170" s="6"/>
      <c r="AJ170" s="138">
        <f t="shared" si="80"/>
        <v>0</v>
      </c>
      <c r="AK170" s="167">
        <f t="shared" si="81"/>
        <v>0</v>
      </c>
      <c r="AL170" s="6"/>
      <c r="AM170" s="6"/>
      <c r="AN170" s="138">
        <f t="shared" si="82"/>
        <v>0</v>
      </c>
      <c r="AO170" s="6"/>
      <c r="AP170" s="138">
        <f t="shared" si="83"/>
        <v>0</v>
      </c>
      <c r="AQ170" s="167">
        <f t="shared" si="84"/>
        <v>0</v>
      </c>
      <c r="AR170" s="164">
        <f t="shared" si="67"/>
        <v>0</v>
      </c>
      <c r="AS170" s="165">
        <f t="shared" si="68"/>
        <v>0</v>
      </c>
    </row>
    <row r="171" spans="2:45" outlineLevel="1" x14ac:dyDescent="0.35">
      <c r="B171" s="294" t="s">
        <v>136</v>
      </c>
      <c r="C171" s="62" t="s">
        <v>147</v>
      </c>
      <c r="D171" s="70">
        <v>0</v>
      </c>
      <c r="E171" s="70">
        <v>0</v>
      </c>
      <c r="F171" s="167">
        <f t="shared" si="63"/>
        <v>0</v>
      </c>
      <c r="G171" s="70">
        <v>0</v>
      </c>
      <c r="H171" s="167">
        <f t="shared" si="69"/>
        <v>0</v>
      </c>
      <c r="I171" s="70"/>
      <c r="J171" s="167">
        <f t="shared" si="70"/>
        <v>0</v>
      </c>
      <c r="K171" s="70"/>
      <c r="L171" s="167">
        <f t="shared" si="71"/>
        <v>0</v>
      </c>
      <c r="M171" s="164">
        <f t="shared" si="72"/>
        <v>0</v>
      </c>
      <c r="N171" s="165">
        <f t="shared" si="64"/>
        <v>0</v>
      </c>
      <c r="P171" s="359"/>
      <c r="Q171" s="6"/>
      <c r="R171" s="138">
        <f t="shared" si="73"/>
        <v>0</v>
      </c>
      <c r="S171" s="185">
        <f t="shared" si="65"/>
        <v>0</v>
      </c>
      <c r="T171" s="359"/>
      <c r="U171" s="359"/>
      <c r="V171" s="138">
        <f t="shared" si="74"/>
        <v>0</v>
      </c>
      <c r="W171" s="6"/>
      <c r="X171" s="138">
        <f t="shared" si="75"/>
        <v>0</v>
      </c>
      <c r="Y171" s="167">
        <f t="shared" si="66"/>
        <v>0</v>
      </c>
      <c r="Z171" s="377"/>
      <c r="AA171" s="359"/>
      <c r="AB171" s="138">
        <f t="shared" si="76"/>
        <v>0</v>
      </c>
      <c r="AC171" s="6"/>
      <c r="AD171" s="138">
        <f t="shared" si="77"/>
        <v>0</v>
      </c>
      <c r="AE171" s="167">
        <f t="shared" si="78"/>
        <v>0</v>
      </c>
      <c r="AF171" s="307"/>
      <c r="AG171" s="4"/>
      <c r="AH171" s="138">
        <f t="shared" si="79"/>
        <v>0</v>
      </c>
      <c r="AI171" s="6"/>
      <c r="AJ171" s="138">
        <f t="shared" si="80"/>
        <v>0</v>
      </c>
      <c r="AK171" s="167">
        <f t="shared" si="81"/>
        <v>0</v>
      </c>
      <c r="AL171" s="6"/>
      <c r="AM171" s="6"/>
      <c r="AN171" s="138">
        <f t="shared" si="82"/>
        <v>0</v>
      </c>
      <c r="AO171" s="6"/>
      <c r="AP171" s="138">
        <f t="shared" si="83"/>
        <v>0</v>
      </c>
      <c r="AQ171" s="167">
        <f t="shared" si="84"/>
        <v>0</v>
      </c>
      <c r="AR171" s="164">
        <f t="shared" si="67"/>
        <v>0</v>
      </c>
      <c r="AS171" s="165">
        <f t="shared" si="68"/>
        <v>0</v>
      </c>
    </row>
    <row r="172" spans="2:45" outlineLevel="1" x14ac:dyDescent="0.35">
      <c r="B172" s="294" t="s">
        <v>106</v>
      </c>
      <c r="C172" s="62" t="s">
        <v>147</v>
      </c>
      <c r="D172" s="70">
        <v>9.108661092789081</v>
      </c>
      <c r="E172" s="70">
        <v>11.5306414694832</v>
      </c>
      <c r="F172" s="167">
        <f t="shared" si="63"/>
        <v>0.2658986158362498</v>
      </c>
      <c r="G172" s="70">
        <v>12.154382622755699</v>
      </c>
      <c r="H172" s="167">
        <f t="shared" si="69"/>
        <v>5.4094228402060907E-2</v>
      </c>
      <c r="I172" s="70">
        <v>6.1</v>
      </c>
      <c r="J172" s="167">
        <f t="shared" si="70"/>
        <v>-0.49812341857829562</v>
      </c>
      <c r="K172" s="70">
        <v>6.8</v>
      </c>
      <c r="L172" s="167">
        <f t="shared" si="71"/>
        <v>0.11475409836065577</v>
      </c>
      <c r="M172" s="164">
        <f t="shared" si="72"/>
        <v>45.693685185027981</v>
      </c>
      <c r="N172" s="165">
        <f t="shared" si="64"/>
        <v>-7.0469611790163644E-2</v>
      </c>
      <c r="P172" s="359"/>
      <c r="Q172" s="6">
        <v>39.08</v>
      </c>
      <c r="R172" s="138">
        <f t="shared" si="73"/>
        <v>39.08</v>
      </c>
      <c r="S172" s="185">
        <f t="shared" si="65"/>
        <v>4.7470588235294118</v>
      </c>
      <c r="T172" s="359">
        <v>0.88</v>
      </c>
      <c r="U172" s="359"/>
      <c r="V172" s="138">
        <f t="shared" si="74"/>
        <v>0.88</v>
      </c>
      <c r="W172" s="6">
        <v>39.08</v>
      </c>
      <c r="X172" s="138">
        <f t="shared" si="75"/>
        <v>39.96</v>
      </c>
      <c r="Y172" s="167">
        <f t="shared" si="66"/>
        <v>2.2517911975435071E-2</v>
      </c>
      <c r="Z172" s="377">
        <v>0.88</v>
      </c>
      <c r="AA172" s="359">
        <v>1.95</v>
      </c>
      <c r="AB172" s="138">
        <f t="shared" si="76"/>
        <v>2.83</v>
      </c>
      <c r="AC172" s="6">
        <v>39.08</v>
      </c>
      <c r="AD172" s="138">
        <f t="shared" si="77"/>
        <v>41.91</v>
      </c>
      <c r="AE172" s="167">
        <f t="shared" si="78"/>
        <v>4.8798798798798691E-2</v>
      </c>
      <c r="AF172" s="307"/>
      <c r="AG172" s="4">
        <v>3.91</v>
      </c>
      <c r="AH172" s="138">
        <f t="shared" si="79"/>
        <v>3.91</v>
      </c>
      <c r="AI172" s="6">
        <v>39.08</v>
      </c>
      <c r="AJ172" s="138">
        <f t="shared" si="80"/>
        <v>42.989999999999995</v>
      </c>
      <c r="AK172" s="167">
        <f t="shared" si="81"/>
        <v>2.5769506084466674E-2</v>
      </c>
      <c r="AL172" s="6">
        <v>0.88</v>
      </c>
      <c r="AM172" s="6">
        <v>3.91</v>
      </c>
      <c r="AN172" s="138">
        <f t="shared" si="82"/>
        <v>4.79</v>
      </c>
      <c r="AO172" s="6">
        <v>39.08</v>
      </c>
      <c r="AP172" s="138">
        <f t="shared" si="83"/>
        <v>43.87</v>
      </c>
      <c r="AQ172" s="167">
        <f t="shared" si="84"/>
        <v>2.0469876715515298E-2</v>
      </c>
      <c r="AR172" s="164">
        <f t="shared" si="67"/>
        <v>207.81</v>
      </c>
      <c r="AS172" s="165">
        <f t="shared" si="68"/>
        <v>2.9326774963547964E-2</v>
      </c>
    </row>
    <row r="173" spans="2:45" outlineLevel="1" x14ac:dyDescent="0.35">
      <c r="B173" s="294" t="s">
        <v>107</v>
      </c>
      <c r="C173" s="62" t="s">
        <v>147</v>
      </c>
      <c r="D173" s="70">
        <v>57.646015401369922</v>
      </c>
      <c r="E173" s="70">
        <v>68.246639466447107</v>
      </c>
      <c r="F173" s="167">
        <f t="shared" si="63"/>
        <v>0.18389170511211547</v>
      </c>
      <c r="G173" s="70">
        <v>67.011657892734405</v>
      </c>
      <c r="H173" s="167">
        <f t="shared" si="69"/>
        <v>-1.8095859127537996E-2</v>
      </c>
      <c r="I173" s="70">
        <v>48.6</v>
      </c>
      <c r="J173" s="167">
        <f t="shared" si="70"/>
        <v>-0.27475305747853535</v>
      </c>
      <c r="K173" s="70">
        <v>40.4</v>
      </c>
      <c r="L173" s="167">
        <f t="shared" si="71"/>
        <v>-0.16872427983539101</v>
      </c>
      <c r="M173" s="164">
        <f t="shared" si="72"/>
        <v>281.90431276055142</v>
      </c>
      <c r="N173" s="165">
        <f t="shared" si="64"/>
        <v>-8.5038083216371296E-2</v>
      </c>
      <c r="P173" s="359">
        <v>1.95</v>
      </c>
      <c r="Q173" s="6">
        <v>111.37</v>
      </c>
      <c r="R173" s="138">
        <f t="shared" si="73"/>
        <v>113.32000000000001</v>
      </c>
      <c r="S173" s="185">
        <f t="shared" si="65"/>
        <v>1.8049504950495054</v>
      </c>
      <c r="T173" s="359">
        <v>2.64</v>
      </c>
      <c r="U173" s="359">
        <v>3.91</v>
      </c>
      <c r="V173" s="138">
        <f t="shared" si="74"/>
        <v>6.5500000000000007</v>
      </c>
      <c r="W173" s="6">
        <v>111.37</v>
      </c>
      <c r="X173" s="138">
        <f t="shared" si="75"/>
        <v>117.92</v>
      </c>
      <c r="Y173" s="167">
        <f t="shared" si="66"/>
        <v>4.0593010942463766E-2</v>
      </c>
      <c r="Z173" s="377">
        <v>1.76</v>
      </c>
      <c r="AA173" s="359">
        <v>9.77</v>
      </c>
      <c r="AB173" s="138">
        <f t="shared" si="76"/>
        <v>11.53</v>
      </c>
      <c r="AC173" s="6">
        <v>111.37</v>
      </c>
      <c r="AD173" s="138">
        <f t="shared" si="77"/>
        <v>122.9</v>
      </c>
      <c r="AE173" s="167">
        <f t="shared" si="78"/>
        <v>4.223202170963368E-2</v>
      </c>
      <c r="AF173" s="307">
        <v>1.76</v>
      </c>
      <c r="AG173" s="4">
        <v>13.68</v>
      </c>
      <c r="AH173" s="138">
        <f t="shared" si="79"/>
        <v>15.44</v>
      </c>
      <c r="AI173" s="6">
        <v>111.37</v>
      </c>
      <c r="AJ173" s="138">
        <f t="shared" si="80"/>
        <v>126.81</v>
      </c>
      <c r="AK173" s="167">
        <f t="shared" si="81"/>
        <v>3.1814483319772144E-2</v>
      </c>
      <c r="AL173" s="6">
        <v>1.76</v>
      </c>
      <c r="AM173" s="6">
        <v>17.59</v>
      </c>
      <c r="AN173" s="138">
        <f t="shared" si="82"/>
        <v>19.350000000000001</v>
      </c>
      <c r="AO173" s="6">
        <v>111.37</v>
      </c>
      <c r="AP173" s="138">
        <f t="shared" si="83"/>
        <v>130.72</v>
      </c>
      <c r="AQ173" s="167">
        <f t="shared" si="84"/>
        <v>3.0833530478668849E-2</v>
      </c>
      <c r="AR173" s="164">
        <f t="shared" si="67"/>
        <v>611.66999999999996</v>
      </c>
      <c r="AS173" s="165">
        <f t="shared" si="68"/>
        <v>3.635576669915408E-2</v>
      </c>
    </row>
    <row r="174" spans="2:45" outlineLevel="1" x14ac:dyDescent="0.35">
      <c r="B174" s="294" t="s">
        <v>108</v>
      </c>
      <c r="C174" s="62" t="s">
        <v>147</v>
      </c>
      <c r="D174" s="70">
        <v>68.60551552513688</v>
      </c>
      <c r="E174" s="70">
        <v>80.730875773704099</v>
      </c>
      <c r="F174" s="167">
        <f t="shared" si="63"/>
        <v>0.17674031243340077</v>
      </c>
      <c r="G174" s="70">
        <v>72.589798800030707</v>
      </c>
      <c r="H174" s="167">
        <f t="shared" si="69"/>
        <v>-0.10084217340207684</v>
      </c>
      <c r="I174" s="70">
        <v>50</v>
      </c>
      <c r="J174" s="167">
        <f t="shared" si="70"/>
        <v>-0.31119798061792053</v>
      </c>
      <c r="K174" s="70">
        <v>56.7</v>
      </c>
      <c r="L174" s="167">
        <f t="shared" si="71"/>
        <v>0.13400000000000006</v>
      </c>
      <c r="M174" s="164">
        <f t="shared" si="72"/>
        <v>328.62619009887163</v>
      </c>
      <c r="N174" s="165">
        <f t="shared" si="64"/>
        <v>-4.6532253079579311E-2</v>
      </c>
      <c r="P174" s="359">
        <v>0.98</v>
      </c>
      <c r="Q174" s="6">
        <v>105.51</v>
      </c>
      <c r="R174" s="138">
        <f t="shared" si="73"/>
        <v>106.49000000000001</v>
      </c>
      <c r="S174" s="185">
        <f t="shared" si="65"/>
        <v>0.87813051146384491</v>
      </c>
      <c r="T174" s="359">
        <v>0.88</v>
      </c>
      <c r="U174" s="359">
        <v>1.95</v>
      </c>
      <c r="V174" s="138">
        <f t="shared" si="74"/>
        <v>2.83</v>
      </c>
      <c r="W174" s="6">
        <v>105.51</v>
      </c>
      <c r="X174" s="138">
        <f t="shared" si="75"/>
        <v>108.34</v>
      </c>
      <c r="Y174" s="167">
        <f t="shared" si="66"/>
        <v>1.7372523241618875E-2</v>
      </c>
      <c r="Z174" s="377">
        <v>0.88</v>
      </c>
      <c r="AA174" s="359">
        <v>3.91</v>
      </c>
      <c r="AB174" s="138">
        <f t="shared" si="76"/>
        <v>4.79</v>
      </c>
      <c r="AC174" s="6">
        <v>105.51</v>
      </c>
      <c r="AD174" s="138">
        <f t="shared" si="77"/>
        <v>110.30000000000001</v>
      </c>
      <c r="AE174" s="167">
        <f t="shared" si="78"/>
        <v>1.8091194388037732E-2</v>
      </c>
      <c r="AF174" s="307">
        <v>1.76</v>
      </c>
      <c r="AG174" s="4">
        <v>5.86</v>
      </c>
      <c r="AH174" s="138">
        <f t="shared" si="79"/>
        <v>7.62</v>
      </c>
      <c r="AI174" s="6">
        <v>105.51</v>
      </c>
      <c r="AJ174" s="138">
        <f t="shared" si="80"/>
        <v>113.13000000000001</v>
      </c>
      <c r="AK174" s="167">
        <f t="shared" si="81"/>
        <v>2.5657298277425186E-2</v>
      </c>
      <c r="AL174" s="6">
        <v>1.76</v>
      </c>
      <c r="AM174" s="6">
        <v>9.77</v>
      </c>
      <c r="AN174" s="138">
        <f t="shared" si="82"/>
        <v>11.53</v>
      </c>
      <c r="AO174" s="6">
        <v>105.51</v>
      </c>
      <c r="AP174" s="138">
        <f t="shared" si="83"/>
        <v>117.04</v>
      </c>
      <c r="AQ174" s="167">
        <f t="shared" si="84"/>
        <v>3.4562008309024984E-2</v>
      </c>
      <c r="AR174" s="164">
        <f t="shared" si="67"/>
        <v>555.29999999999995</v>
      </c>
      <c r="AS174" s="165">
        <f t="shared" si="68"/>
        <v>2.3897238107718044E-2</v>
      </c>
    </row>
    <row r="175" spans="2:45" outlineLevel="1" x14ac:dyDescent="0.35">
      <c r="B175" s="294" t="s">
        <v>109</v>
      </c>
      <c r="C175" s="62" t="s">
        <v>147</v>
      </c>
      <c r="D175" s="70">
        <v>247.85155929696649</v>
      </c>
      <c r="E175" s="70">
        <v>280.14606164329098</v>
      </c>
      <c r="F175" s="167">
        <f t="shared" si="63"/>
        <v>0.13029775740741023</v>
      </c>
      <c r="G175" s="70">
        <v>301.48469980917298</v>
      </c>
      <c r="H175" s="167">
        <f t="shared" si="69"/>
        <v>7.6169688200194721E-2</v>
      </c>
      <c r="I175" s="70">
        <v>214.2</v>
      </c>
      <c r="J175" s="167">
        <f t="shared" si="70"/>
        <v>-0.28951618395368156</v>
      </c>
      <c r="K175" s="70">
        <v>235.8</v>
      </c>
      <c r="L175" s="167">
        <f t="shared" si="71"/>
        <v>0.1008403361344539</v>
      </c>
      <c r="M175" s="164">
        <f t="shared" si="72"/>
        <v>1279.4823207494303</v>
      </c>
      <c r="N175" s="165">
        <f t="shared" si="64"/>
        <v>-1.2384183852434671E-2</v>
      </c>
      <c r="P175" s="359">
        <v>1.95</v>
      </c>
      <c r="Q175" s="6">
        <v>459.17</v>
      </c>
      <c r="R175" s="138">
        <f t="shared" si="73"/>
        <v>461.12</v>
      </c>
      <c r="S175" s="185">
        <f t="shared" si="65"/>
        <v>0.95555555555555549</v>
      </c>
      <c r="T175" s="359">
        <v>1.76</v>
      </c>
      <c r="U175" s="359">
        <v>3.91</v>
      </c>
      <c r="V175" s="138">
        <f t="shared" si="74"/>
        <v>5.67</v>
      </c>
      <c r="W175" s="6">
        <v>459.17</v>
      </c>
      <c r="X175" s="138">
        <f t="shared" si="75"/>
        <v>464.84000000000003</v>
      </c>
      <c r="Y175" s="167">
        <f t="shared" si="66"/>
        <v>8.0673143650243483E-3</v>
      </c>
      <c r="Z175" s="377">
        <v>0.88</v>
      </c>
      <c r="AA175" s="359">
        <v>7.82</v>
      </c>
      <c r="AB175" s="138">
        <f t="shared" si="76"/>
        <v>8.7000000000000011</v>
      </c>
      <c r="AC175" s="6">
        <v>459.17</v>
      </c>
      <c r="AD175" s="138">
        <f t="shared" si="77"/>
        <v>467.87</v>
      </c>
      <c r="AE175" s="167">
        <f t="shared" si="78"/>
        <v>6.5183719129162133E-3</v>
      </c>
      <c r="AF175" s="307">
        <v>0.88</v>
      </c>
      <c r="AG175" s="4">
        <v>9.77</v>
      </c>
      <c r="AH175" s="138">
        <f t="shared" si="79"/>
        <v>10.65</v>
      </c>
      <c r="AI175" s="6">
        <v>459.17</v>
      </c>
      <c r="AJ175" s="138">
        <f t="shared" si="80"/>
        <v>469.82</v>
      </c>
      <c r="AK175" s="167">
        <f t="shared" si="81"/>
        <v>4.1678243956654384E-3</v>
      </c>
      <c r="AL175" s="6">
        <v>0.88</v>
      </c>
      <c r="AM175" s="6">
        <v>11.72</v>
      </c>
      <c r="AN175" s="138">
        <f t="shared" si="82"/>
        <v>12.600000000000001</v>
      </c>
      <c r="AO175" s="6">
        <v>459.17</v>
      </c>
      <c r="AP175" s="138">
        <f t="shared" si="83"/>
        <v>471.77000000000004</v>
      </c>
      <c r="AQ175" s="167">
        <f t="shared" si="84"/>
        <v>4.1505257332596426E-3</v>
      </c>
      <c r="AR175" s="164">
        <f t="shared" si="67"/>
        <v>2335.42</v>
      </c>
      <c r="AS175" s="165">
        <f t="shared" si="68"/>
        <v>5.7246399523831482E-3</v>
      </c>
    </row>
    <row r="176" spans="2:45" outlineLevel="1" x14ac:dyDescent="0.35">
      <c r="B176" s="294" t="s">
        <v>110</v>
      </c>
      <c r="C176" s="62" t="s">
        <v>147</v>
      </c>
      <c r="D176" s="70">
        <v>22.554150005128054</v>
      </c>
      <c r="E176" s="70">
        <v>26.8960339095241</v>
      </c>
      <c r="F176" s="167">
        <f t="shared" si="63"/>
        <v>0.19250931218462444</v>
      </c>
      <c r="G176" s="70">
        <v>31.655679506702</v>
      </c>
      <c r="H176" s="167">
        <f t="shared" si="69"/>
        <v>0.17696458939592846</v>
      </c>
      <c r="I176" s="70">
        <v>24.8</v>
      </c>
      <c r="J176" s="167">
        <f t="shared" si="70"/>
        <v>-0.2165702841807754</v>
      </c>
      <c r="K176" s="70">
        <v>25.4</v>
      </c>
      <c r="L176" s="167">
        <f t="shared" si="71"/>
        <v>2.4193548387096687E-2</v>
      </c>
      <c r="M176" s="164">
        <f t="shared" si="72"/>
        <v>131.30586342135416</v>
      </c>
      <c r="N176" s="165">
        <f t="shared" si="64"/>
        <v>3.0153193078194418E-2</v>
      </c>
      <c r="P176" s="359"/>
      <c r="Q176" s="6">
        <v>60.57</v>
      </c>
      <c r="R176" s="138">
        <f t="shared" si="73"/>
        <v>60.57</v>
      </c>
      <c r="S176" s="185">
        <f t="shared" si="65"/>
        <v>1.3846456692913387</v>
      </c>
      <c r="T176" s="359"/>
      <c r="U176" s="359"/>
      <c r="V176" s="138">
        <f t="shared" si="74"/>
        <v>0</v>
      </c>
      <c r="W176" s="6">
        <v>60.57</v>
      </c>
      <c r="X176" s="138">
        <f t="shared" si="75"/>
        <v>60.57</v>
      </c>
      <c r="Y176" s="167">
        <f t="shared" si="66"/>
        <v>0</v>
      </c>
      <c r="Z176" s="377"/>
      <c r="AA176" s="359"/>
      <c r="AB176" s="138">
        <f t="shared" si="76"/>
        <v>0</v>
      </c>
      <c r="AC176" s="6">
        <v>60.57</v>
      </c>
      <c r="AD176" s="138">
        <f t="shared" si="77"/>
        <v>60.57</v>
      </c>
      <c r="AE176" s="167">
        <f t="shared" si="78"/>
        <v>0</v>
      </c>
      <c r="AF176" s="307"/>
      <c r="AG176" s="4"/>
      <c r="AH176" s="138">
        <f t="shared" si="79"/>
        <v>0</v>
      </c>
      <c r="AI176" s="6">
        <v>60.57</v>
      </c>
      <c r="AJ176" s="138">
        <f t="shared" si="80"/>
        <v>60.57</v>
      </c>
      <c r="AK176" s="167">
        <f t="shared" si="81"/>
        <v>0</v>
      </c>
      <c r="AL176" s="6"/>
      <c r="AM176" s="6"/>
      <c r="AN176" s="138">
        <f t="shared" si="82"/>
        <v>0</v>
      </c>
      <c r="AO176" s="6">
        <v>60.57</v>
      </c>
      <c r="AP176" s="138">
        <f t="shared" si="83"/>
        <v>60.57</v>
      </c>
      <c r="AQ176" s="167">
        <f t="shared" si="84"/>
        <v>0</v>
      </c>
      <c r="AR176" s="164">
        <f t="shared" si="67"/>
        <v>302.85000000000002</v>
      </c>
      <c r="AS176" s="165">
        <f t="shared" si="68"/>
        <v>0</v>
      </c>
    </row>
    <row r="177" spans="2:45" outlineLevel="1" x14ac:dyDescent="0.35">
      <c r="B177" s="294" t="s">
        <v>111</v>
      </c>
      <c r="C177" s="62" t="s">
        <v>147</v>
      </c>
      <c r="D177" s="70">
        <v>42.569987026295458</v>
      </c>
      <c r="E177" s="70">
        <v>47.175760811359602</v>
      </c>
      <c r="F177" s="167">
        <f t="shared" si="63"/>
        <v>0.10819298070772633</v>
      </c>
      <c r="G177" s="70">
        <v>46.980816120656399</v>
      </c>
      <c r="H177" s="167">
        <f t="shared" si="69"/>
        <v>-4.1323062384244855E-3</v>
      </c>
      <c r="I177" s="70">
        <v>30.5</v>
      </c>
      <c r="J177" s="167">
        <f t="shared" si="70"/>
        <v>-0.35079884688103913</v>
      </c>
      <c r="K177" s="70">
        <v>25.5</v>
      </c>
      <c r="L177" s="167">
        <f t="shared" si="71"/>
        <v>-0.16393442622950818</v>
      </c>
      <c r="M177" s="164">
        <f t="shared" si="72"/>
        <v>192.72656395831146</v>
      </c>
      <c r="N177" s="165">
        <f t="shared" si="64"/>
        <v>-0.12025022253101625</v>
      </c>
      <c r="P177" s="359">
        <v>0.98</v>
      </c>
      <c r="Q177" s="6">
        <v>66.430000000000007</v>
      </c>
      <c r="R177" s="138">
        <f t="shared" si="73"/>
        <v>67.410000000000011</v>
      </c>
      <c r="S177" s="185">
        <f t="shared" si="65"/>
        <v>1.6435294117647063</v>
      </c>
      <c r="T177" s="359">
        <v>0.88</v>
      </c>
      <c r="U177" s="359">
        <v>1.95</v>
      </c>
      <c r="V177" s="138">
        <f t="shared" si="74"/>
        <v>2.83</v>
      </c>
      <c r="W177" s="6">
        <v>66.430000000000007</v>
      </c>
      <c r="X177" s="138">
        <f t="shared" si="75"/>
        <v>69.260000000000005</v>
      </c>
      <c r="Y177" s="167">
        <f t="shared" si="66"/>
        <v>2.744399940661614E-2</v>
      </c>
      <c r="Z177" s="377">
        <v>0.88</v>
      </c>
      <c r="AA177" s="359">
        <v>3.91</v>
      </c>
      <c r="AB177" s="138">
        <f t="shared" si="76"/>
        <v>4.79</v>
      </c>
      <c r="AC177" s="6">
        <v>66.430000000000007</v>
      </c>
      <c r="AD177" s="138">
        <f t="shared" si="77"/>
        <v>71.220000000000013</v>
      </c>
      <c r="AE177" s="167">
        <f t="shared" si="78"/>
        <v>2.829916257580144E-2</v>
      </c>
      <c r="AF177" s="307">
        <v>0.88</v>
      </c>
      <c r="AG177" s="4">
        <v>5.86</v>
      </c>
      <c r="AH177" s="138">
        <f t="shared" si="79"/>
        <v>6.74</v>
      </c>
      <c r="AI177" s="6">
        <v>66.430000000000007</v>
      </c>
      <c r="AJ177" s="138">
        <f t="shared" si="80"/>
        <v>73.17</v>
      </c>
      <c r="AK177" s="167">
        <f t="shared" si="81"/>
        <v>2.7379949452400847E-2</v>
      </c>
      <c r="AL177" s="6">
        <v>0.88</v>
      </c>
      <c r="AM177" s="6">
        <v>7.82</v>
      </c>
      <c r="AN177" s="138">
        <f t="shared" si="82"/>
        <v>8.7000000000000011</v>
      </c>
      <c r="AO177" s="6">
        <v>66.430000000000007</v>
      </c>
      <c r="AP177" s="138">
        <f t="shared" si="83"/>
        <v>75.13000000000001</v>
      </c>
      <c r="AQ177" s="167">
        <f t="shared" si="84"/>
        <v>2.6786934536012136E-2</v>
      </c>
      <c r="AR177" s="164">
        <f t="shared" si="67"/>
        <v>356.19000000000005</v>
      </c>
      <c r="AS177" s="165">
        <f t="shared" si="68"/>
        <v>2.7477370065879025E-2</v>
      </c>
    </row>
    <row r="178" spans="2:45" outlineLevel="1" x14ac:dyDescent="0.35">
      <c r="B178" s="294" t="s">
        <v>112</v>
      </c>
      <c r="C178" s="62" t="s">
        <v>147</v>
      </c>
      <c r="D178" s="70">
        <v>94.318372884689921</v>
      </c>
      <c r="E178" s="70">
        <v>95.759666800100405</v>
      </c>
      <c r="F178" s="167">
        <f t="shared" si="63"/>
        <v>1.5281157544697626E-2</v>
      </c>
      <c r="G178" s="70">
        <v>97.708826647701997</v>
      </c>
      <c r="H178" s="167">
        <f t="shared" si="69"/>
        <v>2.0354705824848888E-2</v>
      </c>
      <c r="I178" s="70">
        <v>72.5</v>
      </c>
      <c r="J178" s="167">
        <f t="shared" si="70"/>
        <v>-0.25799948185433336</v>
      </c>
      <c r="K178" s="70">
        <v>66.2</v>
      </c>
      <c r="L178" s="167">
        <f t="shared" si="71"/>
        <v>-8.6896551724137891E-2</v>
      </c>
      <c r="M178" s="164">
        <f t="shared" si="72"/>
        <v>426.4868663324923</v>
      </c>
      <c r="N178" s="165">
        <f t="shared" si="64"/>
        <v>-8.469586918714489E-2</v>
      </c>
      <c r="P178" s="359"/>
      <c r="Q178" s="6">
        <v>97.69</v>
      </c>
      <c r="R178" s="138">
        <f t="shared" si="73"/>
        <v>97.69</v>
      </c>
      <c r="S178" s="185">
        <f t="shared" si="65"/>
        <v>0.47567975830815701</v>
      </c>
      <c r="T178" s="359">
        <v>0.88</v>
      </c>
      <c r="U178" s="359"/>
      <c r="V178" s="138">
        <f t="shared" si="74"/>
        <v>0.88</v>
      </c>
      <c r="W178" s="6">
        <v>97.69</v>
      </c>
      <c r="X178" s="138">
        <f t="shared" si="75"/>
        <v>98.57</v>
      </c>
      <c r="Y178" s="167">
        <f t="shared" si="66"/>
        <v>9.008086805200077E-3</v>
      </c>
      <c r="Z178" s="377">
        <v>0.88</v>
      </c>
      <c r="AA178" s="359">
        <v>1.95</v>
      </c>
      <c r="AB178" s="138">
        <f t="shared" si="76"/>
        <v>2.83</v>
      </c>
      <c r="AC178" s="6">
        <v>97.69</v>
      </c>
      <c r="AD178" s="138">
        <f t="shared" si="77"/>
        <v>100.52</v>
      </c>
      <c r="AE178" s="167">
        <f t="shared" si="78"/>
        <v>1.9782895404281253E-2</v>
      </c>
      <c r="AF178" s="307">
        <v>0.88</v>
      </c>
      <c r="AG178" s="4">
        <v>3.91</v>
      </c>
      <c r="AH178" s="138">
        <f t="shared" si="79"/>
        <v>4.79</v>
      </c>
      <c r="AI178" s="6">
        <v>97.69</v>
      </c>
      <c r="AJ178" s="138">
        <f t="shared" si="80"/>
        <v>102.48</v>
      </c>
      <c r="AK178" s="167">
        <f t="shared" si="81"/>
        <v>1.9498607242339913E-2</v>
      </c>
      <c r="AL178" s="6">
        <v>0.88</v>
      </c>
      <c r="AM178" s="6">
        <v>5.86</v>
      </c>
      <c r="AN178" s="138">
        <f t="shared" si="82"/>
        <v>6.74</v>
      </c>
      <c r="AO178" s="6">
        <v>97.69</v>
      </c>
      <c r="AP178" s="138">
        <f t="shared" si="83"/>
        <v>104.42999999999999</v>
      </c>
      <c r="AQ178" s="167">
        <f t="shared" si="84"/>
        <v>1.9028103044496376E-2</v>
      </c>
      <c r="AR178" s="164">
        <f t="shared" si="67"/>
        <v>503.69</v>
      </c>
      <c r="AS178" s="165">
        <f t="shared" si="68"/>
        <v>1.681932631167693E-2</v>
      </c>
    </row>
    <row r="179" spans="2:45" outlineLevel="1" x14ac:dyDescent="0.35">
      <c r="B179" s="294" t="s">
        <v>113</v>
      </c>
      <c r="C179" s="62" t="s">
        <v>147</v>
      </c>
      <c r="D179" s="70">
        <v>0</v>
      </c>
      <c r="E179" s="70">
        <v>0</v>
      </c>
      <c r="F179" s="167">
        <f t="shared" si="63"/>
        <v>0</v>
      </c>
      <c r="G179" s="70">
        <v>0</v>
      </c>
      <c r="H179" s="167">
        <f t="shared" si="69"/>
        <v>0</v>
      </c>
      <c r="I179" s="70"/>
      <c r="J179" s="167">
        <f t="shared" si="70"/>
        <v>0</v>
      </c>
      <c r="K179" s="70"/>
      <c r="L179" s="167">
        <f t="shared" si="71"/>
        <v>0</v>
      </c>
      <c r="M179" s="164">
        <f t="shared" si="72"/>
        <v>0</v>
      </c>
      <c r="N179" s="165">
        <f t="shared" si="64"/>
        <v>0</v>
      </c>
      <c r="P179" s="359"/>
      <c r="Q179" s="6"/>
      <c r="R179" s="138">
        <f t="shared" si="73"/>
        <v>0</v>
      </c>
      <c r="S179" s="185">
        <f t="shared" si="65"/>
        <v>0</v>
      </c>
      <c r="T179" s="359"/>
      <c r="U179" s="359"/>
      <c r="V179" s="138">
        <f t="shared" si="74"/>
        <v>0</v>
      </c>
      <c r="W179" s="6"/>
      <c r="X179" s="138">
        <f t="shared" si="75"/>
        <v>0</v>
      </c>
      <c r="Y179" s="167">
        <f t="shared" si="66"/>
        <v>0</v>
      </c>
      <c r="Z179" s="377"/>
      <c r="AA179" s="359"/>
      <c r="AB179" s="138">
        <f t="shared" si="76"/>
        <v>0</v>
      </c>
      <c r="AC179" s="6"/>
      <c r="AD179" s="138">
        <f t="shared" si="77"/>
        <v>0</v>
      </c>
      <c r="AE179" s="167">
        <f t="shared" si="78"/>
        <v>0</v>
      </c>
      <c r="AF179" s="307"/>
      <c r="AG179" s="4"/>
      <c r="AH179" s="138">
        <f t="shared" si="79"/>
        <v>0</v>
      </c>
      <c r="AI179" s="6"/>
      <c r="AJ179" s="138">
        <f t="shared" si="80"/>
        <v>0</v>
      </c>
      <c r="AK179" s="167">
        <f t="shared" si="81"/>
        <v>0</v>
      </c>
      <c r="AL179" s="6"/>
      <c r="AM179" s="6"/>
      <c r="AN179" s="138">
        <f t="shared" si="82"/>
        <v>0</v>
      </c>
      <c r="AO179" s="6"/>
      <c r="AP179" s="138">
        <f t="shared" si="83"/>
        <v>0</v>
      </c>
      <c r="AQ179" s="167">
        <f t="shared" si="84"/>
        <v>0</v>
      </c>
      <c r="AR179" s="164">
        <f t="shared" si="67"/>
        <v>0</v>
      </c>
      <c r="AS179" s="165">
        <f t="shared" si="68"/>
        <v>0</v>
      </c>
    </row>
    <row r="180" spans="2:45" outlineLevel="1" x14ac:dyDescent="0.35">
      <c r="B180" s="294" t="s">
        <v>114</v>
      </c>
      <c r="C180" s="62" t="s">
        <v>147</v>
      </c>
      <c r="D180" s="70">
        <v>423.04239975280154</v>
      </c>
      <c r="E180" s="70">
        <v>489.64789876663701</v>
      </c>
      <c r="F180" s="167">
        <f t="shared" si="63"/>
        <v>0.15744402701184418</v>
      </c>
      <c r="G180" s="70">
        <v>452.18022403511799</v>
      </c>
      <c r="H180" s="167">
        <f t="shared" si="69"/>
        <v>-7.651962731974446E-2</v>
      </c>
      <c r="I180" s="70">
        <v>324.7</v>
      </c>
      <c r="J180" s="167">
        <f t="shared" si="70"/>
        <v>-0.28192348373293169</v>
      </c>
      <c r="K180" s="70">
        <v>310</v>
      </c>
      <c r="L180" s="167">
        <f t="shared" si="71"/>
        <v>-4.5272559285494271E-2</v>
      </c>
      <c r="M180" s="164">
        <f t="shared" si="72"/>
        <v>1999.5705225545566</v>
      </c>
      <c r="N180" s="165">
        <f t="shared" si="64"/>
        <v>-7.4781199251530595E-2</v>
      </c>
      <c r="P180" s="359">
        <v>1.95</v>
      </c>
      <c r="Q180" s="6">
        <v>453.3</v>
      </c>
      <c r="R180" s="138">
        <f t="shared" si="73"/>
        <v>455.25</v>
      </c>
      <c r="S180" s="185">
        <f t="shared" si="65"/>
        <v>0.46854838709677421</v>
      </c>
      <c r="T180" s="359">
        <v>1.76</v>
      </c>
      <c r="U180" s="359">
        <v>3.91</v>
      </c>
      <c r="V180" s="138">
        <f t="shared" si="74"/>
        <v>5.67</v>
      </c>
      <c r="W180" s="6">
        <v>453.3</v>
      </c>
      <c r="X180" s="138">
        <f t="shared" si="75"/>
        <v>458.97</v>
      </c>
      <c r="Y180" s="167">
        <f t="shared" si="66"/>
        <v>8.1713344316310318E-3</v>
      </c>
      <c r="Z180" s="377">
        <v>1.76</v>
      </c>
      <c r="AA180" s="359">
        <v>7.82</v>
      </c>
      <c r="AB180" s="138">
        <f t="shared" si="76"/>
        <v>9.58</v>
      </c>
      <c r="AC180" s="6">
        <v>453.3</v>
      </c>
      <c r="AD180" s="138">
        <f t="shared" si="77"/>
        <v>462.88</v>
      </c>
      <c r="AE180" s="167">
        <f t="shared" si="78"/>
        <v>8.5190753208269996E-3</v>
      </c>
      <c r="AF180" s="307">
        <v>1.76</v>
      </c>
      <c r="AG180" s="4">
        <v>11.72</v>
      </c>
      <c r="AH180" s="138">
        <f t="shared" si="79"/>
        <v>13.48</v>
      </c>
      <c r="AI180" s="6">
        <v>453.3</v>
      </c>
      <c r="AJ180" s="138">
        <f t="shared" si="80"/>
        <v>466.78000000000003</v>
      </c>
      <c r="AK180" s="167">
        <f t="shared" si="81"/>
        <v>8.4255098513654376E-3</v>
      </c>
      <c r="AL180" s="6">
        <v>0.88</v>
      </c>
      <c r="AM180" s="6">
        <v>15.63</v>
      </c>
      <c r="AN180" s="138">
        <f t="shared" si="82"/>
        <v>16.510000000000002</v>
      </c>
      <c r="AO180" s="6">
        <v>453.3</v>
      </c>
      <c r="AP180" s="138">
        <f t="shared" si="83"/>
        <v>469.81</v>
      </c>
      <c r="AQ180" s="167">
        <f t="shared" si="84"/>
        <v>6.4912806889754759E-3</v>
      </c>
      <c r="AR180" s="164">
        <f t="shared" si="67"/>
        <v>2313.69</v>
      </c>
      <c r="AS180" s="165">
        <f t="shared" si="68"/>
        <v>7.9014628492937167E-3</v>
      </c>
    </row>
    <row r="181" spans="2:45" outlineLevel="1" x14ac:dyDescent="0.35">
      <c r="B181" s="294" t="s">
        <v>115</v>
      </c>
      <c r="C181" s="62" t="s">
        <v>147</v>
      </c>
      <c r="D181" s="70">
        <v>51.195347680696756</v>
      </c>
      <c r="E181" s="70">
        <v>40.3394460956806</v>
      </c>
      <c r="F181" s="167">
        <f t="shared" si="63"/>
        <v>-0.21204859575764501</v>
      </c>
      <c r="G181" s="70">
        <v>55.419504619635902</v>
      </c>
      <c r="H181" s="167">
        <f t="shared" si="69"/>
        <v>0.37382909245176815</v>
      </c>
      <c r="I181" s="70">
        <v>56.6</v>
      </c>
      <c r="J181" s="167">
        <f t="shared" si="70"/>
        <v>2.1301081423702115E-2</v>
      </c>
      <c r="K181" s="70">
        <v>49.7</v>
      </c>
      <c r="L181" s="167">
        <f t="shared" si="71"/>
        <v>-0.12190812720848054</v>
      </c>
      <c r="M181" s="164">
        <f t="shared" si="72"/>
        <v>253.25429839601327</v>
      </c>
      <c r="N181" s="165">
        <f t="shared" si="64"/>
        <v>-7.3835390535604839E-3</v>
      </c>
      <c r="P181" s="359">
        <v>0.98</v>
      </c>
      <c r="Q181" s="6">
        <v>31.26</v>
      </c>
      <c r="R181" s="138">
        <f t="shared" si="73"/>
        <v>32.24</v>
      </c>
      <c r="S181" s="185">
        <f t="shared" si="65"/>
        <v>-0.35130784708249496</v>
      </c>
      <c r="T181" s="359">
        <v>0.88</v>
      </c>
      <c r="U181" s="359">
        <v>1.95</v>
      </c>
      <c r="V181" s="138">
        <f t="shared" si="74"/>
        <v>2.83</v>
      </c>
      <c r="W181" s="6">
        <v>31.26</v>
      </c>
      <c r="X181" s="138">
        <f t="shared" si="75"/>
        <v>34.090000000000003</v>
      </c>
      <c r="Y181" s="167">
        <f t="shared" si="66"/>
        <v>5.7382133995037263E-2</v>
      </c>
      <c r="Z181" s="377">
        <v>0.88</v>
      </c>
      <c r="AA181" s="359">
        <v>3.91</v>
      </c>
      <c r="AB181" s="138">
        <f t="shared" si="76"/>
        <v>4.79</v>
      </c>
      <c r="AC181" s="6">
        <v>31.26</v>
      </c>
      <c r="AD181" s="138">
        <f t="shared" si="77"/>
        <v>36.050000000000004</v>
      </c>
      <c r="AE181" s="167">
        <f t="shared" si="78"/>
        <v>5.7494866529774147E-2</v>
      </c>
      <c r="AF181" s="307">
        <v>0.88</v>
      </c>
      <c r="AG181" s="4">
        <v>5.86</v>
      </c>
      <c r="AH181" s="138">
        <f t="shared" si="79"/>
        <v>6.74</v>
      </c>
      <c r="AI181" s="6">
        <v>31.26</v>
      </c>
      <c r="AJ181" s="138">
        <f t="shared" si="80"/>
        <v>38</v>
      </c>
      <c r="AK181" s="167">
        <f t="shared" si="81"/>
        <v>5.4091539528432604E-2</v>
      </c>
      <c r="AL181" s="6">
        <v>0.88</v>
      </c>
      <c r="AM181" s="6">
        <v>7.82</v>
      </c>
      <c r="AN181" s="138">
        <f t="shared" si="82"/>
        <v>8.7000000000000011</v>
      </c>
      <c r="AO181" s="6">
        <v>31.26</v>
      </c>
      <c r="AP181" s="138">
        <f t="shared" si="83"/>
        <v>39.96</v>
      </c>
      <c r="AQ181" s="167">
        <f t="shared" si="84"/>
        <v>5.1578947368421078E-2</v>
      </c>
      <c r="AR181" s="164">
        <f t="shared" si="67"/>
        <v>180.34000000000003</v>
      </c>
      <c r="AS181" s="165">
        <f t="shared" si="68"/>
        <v>5.5133985180711553E-2</v>
      </c>
    </row>
    <row r="182" spans="2:45" outlineLevel="1" x14ac:dyDescent="0.35">
      <c r="B182" s="294" t="s">
        <v>116</v>
      </c>
      <c r="C182" s="62" t="s">
        <v>147</v>
      </c>
      <c r="D182" s="70">
        <v>354.30500902407357</v>
      </c>
      <c r="E182" s="70">
        <v>459.47033893891501</v>
      </c>
      <c r="F182" s="167">
        <f t="shared" si="63"/>
        <v>0.29682145957946615</v>
      </c>
      <c r="G182" s="70">
        <v>447.543016538453</v>
      </c>
      <c r="H182" s="167">
        <f t="shared" si="69"/>
        <v>-2.5958851724806765E-2</v>
      </c>
      <c r="I182" s="70">
        <v>325.89999999999998</v>
      </c>
      <c r="J182" s="167">
        <f t="shared" si="70"/>
        <v>-0.27180184260120488</v>
      </c>
      <c r="K182" s="70">
        <v>306.60000000000002</v>
      </c>
      <c r="L182" s="167">
        <f t="shared" si="71"/>
        <v>-5.9220619822031161E-2</v>
      </c>
      <c r="M182" s="164">
        <f t="shared" si="72"/>
        <v>1893.8183645014415</v>
      </c>
      <c r="N182" s="165">
        <f t="shared" si="64"/>
        <v>-3.5507811596778738E-2</v>
      </c>
      <c r="P182" s="359">
        <v>1.95</v>
      </c>
      <c r="Q182" s="6">
        <v>402.5</v>
      </c>
      <c r="R182" s="138">
        <f t="shared" si="73"/>
        <v>404.45</v>
      </c>
      <c r="S182" s="185">
        <f t="shared" si="65"/>
        <v>0.31914546640574026</v>
      </c>
      <c r="T182" s="359">
        <v>1.76</v>
      </c>
      <c r="U182" s="359">
        <v>3.91</v>
      </c>
      <c r="V182" s="138">
        <f t="shared" si="74"/>
        <v>5.67</v>
      </c>
      <c r="W182" s="6">
        <v>402.5</v>
      </c>
      <c r="X182" s="138">
        <f t="shared" si="75"/>
        <v>408.17</v>
      </c>
      <c r="Y182" s="167">
        <f t="shared" si="66"/>
        <v>9.197675856100946E-3</v>
      </c>
      <c r="Z182" s="377">
        <v>1.76</v>
      </c>
      <c r="AA182" s="359">
        <v>7.82</v>
      </c>
      <c r="AB182" s="138">
        <f t="shared" si="76"/>
        <v>9.58</v>
      </c>
      <c r="AC182" s="6">
        <v>402.5</v>
      </c>
      <c r="AD182" s="138">
        <f t="shared" si="77"/>
        <v>412.08</v>
      </c>
      <c r="AE182" s="167">
        <f t="shared" si="78"/>
        <v>9.5793419408578967E-3</v>
      </c>
      <c r="AF182" s="307">
        <v>1.76</v>
      </c>
      <c r="AG182" s="4">
        <v>11.72</v>
      </c>
      <c r="AH182" s="138">
        <f t="shared" si="79"/>
        <v>13.48</v>
      </c>
      <c r="AI182" s="6">
        <v>402.5</v>
      </c>
      <c r="AJ182" s="138">
        <f t="shared" si="80"/>
        <v>415.98</v>
      </c>
      <c r="AK182" s="167">
        <f t="shared" si="81"/>
        <v>9.464181712288959E-3</v>
      </c>
      <c r="AL182" s="6">
        <v>0.88</v>
      </c>
      <c r="AM182" s="6">
        <v>15.63</v>
      </c>
      <c r="AN182" s="138">
        <f t="shared" si="82"/>
        <v>16.510000000000002</v>
      </c>
      <c r="AO182" s="6">
        <v>402.5</v>
      </c>
      <c r="AP182" s="138">
        <f t="shared" si="83"/>
        <v>419.01</v>
      </c>
      <c r="AQ182" s="167">
        <f t="shared" si="84"/>
        <v>7.2840040386556388E-3</v>
      </c>
      <c r="AR182" s="164">
        <f t="shared" si="67"/>
        <v>2059.69</v>
      </c>
      <c r="AS182" s="165">
        <f t="shared" si="68"/>
        <v>8.8808696195987746E-3</v>
      </c>
    </row>
    <row r="183" spans="2:45" outlineLevel="1" x14ac:dyDescent="0.35">
      <c r="B183" s="294" t="s">
        <v>117</v>
      </c>
      <c r="C183" s="62" t="s">
        <v>147</v>
      </c>
      <c r="D183" s="70">
        <v>171.0913213271576</v>
      </c>
      <c r="E183" s="70">
        <v>216.147309877152</v>
      </c>
      <c r="F183" s="167">
        <f t="shared" si="63"/>
        <v>0.26334467581695264</v>
      </c>
      <c r="G183" s="70">
        <v>287.190893865063</v>
      </c>
      <c r="H183" s="167">
        <f t="shared" si="69"/>
        <v>0.32868132399283084</v>
      </c>
      <c r="I183" s="70">
        <v>173.4</v>
      </c>
      <c r="J183" s="167">
        <f t="shared" si="70"/>
        <v>-0.39622041052084261</v>
      </c>
      <c r="K183" s="70">
        <v>193.1</v>
      </c>
      <c r="L183" s="167">
        <f t="shared" si="71"/>
        <v>0.11361014994232981</v>
      </c>
      <c r="M183" s="164">
        <f t="shared" si="72"/>
        <v>1040.9295250693726</v>
      </c>
      <c r="N183" s="165">
        <f t="shared" si="64"/>
        <v>3.0714945359008983E-2</v>
      </c>
      <c r="P183" s="359">
        <v>2.93</v>
      </c>
      <c r="Q183" s="6">
        <v>250.1</v>
      </c>
      <c r="R183" s="138">
        <f t="shared" si="73"/>
        <v>253.03</v>
      </c>
      <c r="S183" s="185">
        <f t="shared" si="65"/>
        <v>0.31035732780942521</v>
      </c>
      <c r="T183" s="359">
        <v>3.52</v>
      </c>
      <c r="U183" s="359">
        <v>5.86</v>
      </c>
      <c r="V183" s="138">
        <f t="shared" si="74"/>
        <v>9.3800000000000008</v>
      </c>
      <c r="W183" s="6">
        <v>250.1</v>
      </c>
      <c r="X183" s="138">
        <f t="shared" si="75"/>
        <v>259.48</v>
      </c>
      <c r="Y183" s="167">
        <f t="shared" si="66"/>
        <v>2.549104849227371E-2</v>
      </c>
      <c r="Z183" s="377">
        <v>3.52</v>
      </c>
      <c r="AA183" s="359">
        <v>13.68</v>
      </c>
      <c r="AB183" s="138">
        <f t="shared" si="76"/>
        <v>17.2</v>
      </c>
      <c r="AC183" s="6">
        <v>250.1</v>
      </c>
      <c r="AD183" s="138">
        <f t="shared" si="77"/>
        <v>267.3</v>
      </c>
      <c r="AE183" s="167">
        <f t="shared" si="78"/>
        <v>3.0137197471866783E-2</v>
      </c>
      <c r="AF183" s="307">
        <v>4.4000000000000004</v>
      </c>
      <c r="AG183" s="4">
        <v>21.49</v>
      </c>
      <c r="AH183" s="138">
        <f t="shared" si="79"/>
        <v>25.89</v>
      </c>
      <c r="AI183" s="6">
        <v>250.1</v>
      </c>
      <c r="AJ183" s="138">
        <f t="shared" si="80"/>
        <v>275.99</v>
      </c>
      <c r="AK183" s="167">
        <f t="shared" si="81"/>
        <v>3.2510288065843614E-2</v>
      </c>
      <c r="AL183" s="6">
        <v>3.52</v>
      </c>
      <c r="AM183" s="6">
        <v>31.26</v>
      </c>
      <c r="AN183" s="138">
        <f t="shared" si="82"/>
        <v>34.78</v>
      </c>
      <c r="AO183" s="6">
        <v>250.1</v>
      </c>
      <c r="AP183" s="138">
        <f t="shared" si="83"/>
        <v>284.88</v>
      </c>
      <c r="AQ183" s="167">
        <f t="shared" si="84"/>
        <v>3.2211312004058065E-2</v>
      </c>
      <c r="AR183" s="164">
        <f t="shared" si="67"/>
        <v>1340.6799999999998</v>
      </c>
      <c r="AS183" s="165">
        <f t="shared" si="68"/>
        <v>3.0083631986947967E-2</v>
      </c>
    </row>
    <row r="184" spans="2:45" outlineLevel="1" x14ac:dyDescent="0.35">
      <c r="B184" s="294" t="s">
        <v>118</v>
      </c>
      <c r="C184" s="62" t="s">
        <v>147</v>
      </c>
      <c r="D184" s="70">
        <v>83.211457546725612</v>
      </c>
      <c r="E184" s="70">
        <v>81.141322934481707</v>
      </c>
      <c r="F184" s="167">
        <f t="shared" si="63"/>
        <v>-2.487799965625485E-2</v>
      </c>
      <c r="G184" s="70">
        <v>99.068879399394405</v>
      </c>
      <c r="H184" s="167">
        <f t="shared" si="69"/>
        <v>0.22094237333779318</v>
      </c>
      <c r="I184" s="70">
        <v>58.6</v>
      </c>
      <c r="J184" s="167">
        <f t="shared" si="70"/>
        <v>-0.40849235042060833</v>
      </c>
      <c r="K184" s="70">
        <v>56.4</v>
      </c>
      <c r="L184" s="167">
        <f t="shared" si="71"/>
        <v>-3.7542662116041001E-2</v>
      </c>
      <c r="M184" s="164">
        <f t="shared" si="72"/>
        <v>378.42165988060174</v>
      </c>
      <c r="N184" s="165">
        <f t="shared" si="64"/>
        <v>-9.2651775613163845E-2</v>
      </c>
      <c r="P184" s="359"/>
      <c r="Q184" s="6">
        <v>148.5</v>
      </c>
      <c r="R184" s="138">
        <f t="shared" si="73"/>
        <v>148.5</v>
      </c>
      <c r="S184" s="185">
        <f t="shared" si="65"/>
        <v>1.6329787234042552</v>
      </c>
      <c r="T184" s="359">
        <v>0.88</v>
      </c>
      <c r="U184" s="359"/>
      <c r="V184" s="138">
        <f t="shared" si="74"/>
        <v>0.88</v>
      </c>
      <c r="W184" s="6">
        <v>148.5</v>
      </c>
      <c r="X184" s="138">
        <f t="shared" si="75"/>
        <v>149.38</v>
      </c>
      <c r="Y184" s="167">
        <f t="shared" si="66"/>
        <v>5.9259259259258953E-3</v>
      </c>
      <c r="Z184" s="377">
        <v>0.88</v>
      </c>
      <c r="AA184" s="359">
        <v>1.95</v>
      </c>
      <c r="AB184" s="138">
        <f t="shared" si="76"/>
        <v>2.83</v>
      </c>
      <c r="AC184" s="6">
        <v>148.5</v>
      </c>
      <c r="AD184" s="138">
        <f t="shared" si="77"/>
        <v>151.33000000000001</v>
      </c>
      <c r="AE184" s="167">
        <f t="shared" si="78"/>
        <v>1.305395635292554E-2</v>
      </c>
      <c r="AF184" s="307"/>
      <c r="AG184" s="4">
        <v>3.91</v>
      </c>
      <c r="AH184" s="138">
        <f t="shared" si="79"/>
        <v>3.91</v>
      </c>
      <c r="AI184" s="6">
        <v>148.5</v>
      </c>
      <c r="AJ184" s="138">
        <f t="shared" si="80"/>
        <v>152.41</v>
      </c>
      <c r="AK184" s="167">
        <f t="shared" si="81"/>
        <v>7.1367210731512849E-3</v>
      </c>
      <c r="AL184" s="6"/>
      <c r="AM184" s="6">
        <v>3.91</v>
      </c>
      <c r="AN184" s="138">
        <f t="shared" si="82"/>
        <v>3.91</v>
      </c>
      <c r="AO184" s="6">
        <v>148.5</v>
      </c>
      <c r="AP184" s="138">
        <f t="shared" si="83"/>
        <v>152.41</v>
      </c>
      <c r="AQ184" s="167">
        <f t="shared" si="84"/>
        <v>0</v>
      </c>
      <c r="AR184" s="164">
        <f t="shared" si="67"/>
        <v>754.03</v>
      </c>
      <c r="AS184" s="165">
        <f t="shared" si="68"/>
        <v>6.5184783179657035E-3</v>
      </c>
    </row>
    <row r="185" spans="2:45" outlineLevel="1" x14ac:dyDescent="0.35">
      <c r="B185" s="294" t="s">
        <v>119</v>
      </c>
      <c r="C185" s="62" t="s">
        <v>147</v>
      </c>
      <c r="D185" s="70">
        <v>0</v>
      </c>
      <c r="E185" s="70">
        <v>0</v>
      </c>
      <c r="F185" s="167">
        <f t="shared" si="63"/>
        <v>0</v>
      </c>
      <c r="G185" s="70">
        <v>0</v>
      </c>
      <c r="H185" s="167">
        <f t="shared" si="69"/>
        <v>0</v>
      </c>
      <c r="I185" s="70"/>
      <c r="J185" s="167">
        <f t="shared" si="70"/>
        <v>0</v>
      </c>
      <c r="K185" s="70"/>
      <c r="L185" s="167">
        <f t="shared" si="71"/>
        <v>0</v>
      </c>
      <c r="M185" s="164">
        <f t="shared" si="72"/>
        <v>0</v>
      </c>
      <c r="N185" s="165">
        <f t="shared" si="64"/>
        <v>0</v>
      </c>
      <c r="P185" s="359"/>
      <c r="Q185" s="6"/>
      <c r="R185" s="138">
        <f t="shared" si="73"/>
        <v>0</v>
      </c>
      <c r="S185" s="185">
        <f t="shared" si="65"/>
        <v>0</v>
      </c>
      <c r="T185" s="359"/>
      <c r="U185" s="359"/>
      <c r="V185" s="138">
        <f t="shared" si="74"/>
        <v>0</v>
      </c>
      <c r="W185" s="6"/>
      <c r="X185" s="138">
        <f t="shared" si="75"/>
        <v>0</v>
      </c>
      <c r="Y185" s="167">
        <f t="shared" si="66"/>
        <v>0</v>
      </c>
      <c r="Z185" s="377"/>
      <c r="AA185" s="359"/>
      <c r="AB185" s="138">
        <f t="shared" si="76"/>
        <v>0</v>
      </c>
      <c r="AC185" s="6"/>
      <c r="AD185" s="138">
        <f t="shared" si="77"/>
        <v>0</v>
      </c>
      <c r="AE185" s="167">
        <f t="shared" si="78"/>
        <v>0</v>
      </c>
      <c r="AF185" s="307"/>
      <c r="AG185" s="4"/>
      <c r="AH185" s="138">
        <f t="shared" si="79"/>
        <v>0</v>
      </c>
      <c r="AI185" s="6"/>
      <c r="AJ185" s="138">
        <f t="shared" si="80"/>
        <v>0</v>
      </c>
      <c r="AK185" s="167">
        <f t="shared" si="81"/>
        <v>0</v>
      </c>
      <c r="AL185" s="6"/>
      <c r="AM185" s="6"/>
      <c r="AN185" s="138">
        <f t="shared" si="82"/>
        <v>0</v>
      </c>
      <c r="AO185" s="6"/>
      <c r="AP185" s="138">
        <f t="shared" si="83"/>
        <v>0</v>
      </c>
      <c r="AQ185" s="167">
        <f t="shared" si="84"/>
        <v>0</v>
      </c>
      <c r="AR185" s="164">
        <f t="shared" si="67"/>
        <v>0</v>
      </c>
      <c r="AS185" s="165">
        <f t="shared" si="68"/>
        <v>0</v>
      </c>
    </row>
    <row r="186" spans="2:45" outlineLevel="1" x14ac:dyDescent="0.35">
      <c r="B186" s="294" t="s">
        <v>120</v>
      </c>
      <c r="C186" s="62" t="s">
        <v>147</v>
      </c>
      <c r="D186" s="70">
        <v>144.69906091165007</v>
      </c>
      <c r="E186" s="70">
        <v>141.08466167337701</v>
      </c>
      <c r="F186" s="167">
        <f t="shared" si="63"/>
        <v>-2.4978733210161752E-2</v>
      </c>
      <c r="G186" s="70">
        <v>135.076587994432</v>
      </c>
      <c r="H186" s="167">
        <f t="shared" si="69"/>
        <v>-4.2584882067862283E-2</v>
      </c>
      <c r="I186" s="70">
        <v>89.7</v>
      </c>
      <c r="J186" s="167">
        <f t="shared" si="70"/>
        <v>-0.33593229343565051</v>
      </c>
      <c r="K186" s="70">
        <v>87.1</v>
      </c>
      <c r="L186" s="167">
        <f t="shared" si="71"/>
        <v>-2.8985507246376906E-2</v>
      </c>
      <c r="M186" s="164">
        <f t="shared" si="72"/>
        <v>597.66031057945906</v>
      </c>
      <c r="N186" s="165">
        <f t="shared" si="64"/>
        <v>-0.11917808664871687</v>
      </c>
      <c r="P186" s="359"/>
      <c r="Q186" s="6">
        <v>209.07</v>
      </c>
      <c r="R186" s="138">
        <f t="shared" si="73"/>
        <v>209.07</v>
      </c>
      <c r="S186" s="185">
        <f t="shared" si="65"/>
        <v>1.4003444316877154</v>
      </c>
      <c r="T186" s="359"/>
      <c r="U186" s="359"/>
      <c r="V186" s="138">
        <f t="shared" si="74"/>
        <v>0</v>
      </c>
      <c r="W186" s="6">
        <v>209.07</v>
      </c>
      <c r="X186" s="138">
        <f t="shared" si="75"/>
        <v>209.07</v>
      </c>
      <c r="Y186" s="167">
        <f t="shared" si="66"/>
        <v>0</v>
      </c>
      <c r="Z186" s="377">
        <v>0.88</v>
      </c>
      <c r="AA186" s="359">
        <v>0</v>
      </c>
      <c r="AB186" s="138">
        <f t="shared" si="76"/>
        <v>0.88</v>
      </c>
      <c r="AC186" s="6">
        <v>209.07</v>
      </c>
      <c r="AD186" s="138">
        <f t="shared" si="77"/>
        <v>209.95</v>
      </c>
      <c r="AE186" s="167">
        <f t="shared" si="78"/>
        <v>4.2091165638302747E-3</v>
      </c>
      <c r="AF186" s="307"/>
      <c r="AG186" s="4">
        <v>1.95</v>
      </c>
      <c r="AH186" s="138">
        <f t="shared" si="79"/>
        <v>1.95</v>
      </c>
      <c r="AI186" s="6">
        <v>209.07</v>
      </c>
      <c r="AJ186" s="138">
        <f t="shared" si="80"/>
        <v>211.01999999999998</v>
      </c>
      <c r="AK186" s="167">
        <f t="shared" si="81"/>
        <v>5.0964515360799869E-3</v>
      </c>
      <c r="AL186" s="6">
        <v>0.88</v>
      </c>
      <c r="AM186" s="6">
        <v>1.95</v>
      </c>
      <c r="AN186" s="138">
        <f t="shared" si="82"/>
        <v>2.83</v>
      </c>
      <c r="AO186" s="6">
        <v>209.07</v>
      </c>
      <c r="AP186" s="138">
        <f t="shared" si="83"/>
        <v>211.9</v>
      </c>
      <c r="AQ186" s="167">
        <f t="shared" si="84"/>
        <v>4.1702208321487246E-3</v>
      </c>
      <c r="AR186" s="164">
        <f t="shared" si="67"/>
        <v>1051.01</v>
      </c>
      <c r="AS186" s="165">
        <f t="shared" si="68"/>
        <v>3.3669909114304453E-3</v>
      </c>
    </row>
    <row r="187" spans="2:45" outlineLevel="1" x14ac:dyDescent="0.35">
      <c r="B187" s="294" t="s">
        <v>121</v>
      </c>
      <c r="C187" s="62" t="s">
        <v>147</v>
      </c>
      <c r="D187" s="70">
        <v>17.997835284005667</v>
      </c>
      <c r="E187" s="70">
        <v>21.297349332819799</v>
      </c>
      <c r="F187" s="167">
        <f t="shared" si="63"/>
        <v>0.18332838348322628</v>
      </c>
      <c r="G187" s="70">
        <v>27.642655186892</v>
      </c>
      <c r="H187" s="167">
        <f t="shared" si="69"/>
        <v>0.29793876012043952</v>
      </c>
      <c r="I187" s="70">
        <v>20.3</v>
      </c>
      <c r="J187" s="167">
        <f t="shared" si="70"/>
        <v>-0.2656277096844824</v>
      </c>
      <c r="K187" s="70">
        <v>18.899999999999999</v>
      </c>
      <c r="L187" s="167">
        <f t="shared" si="71"/>
        <v>-6.8965517241379407E-2</v>
      </c>
      <c r="M187" s="164">
        <f t="shared" si="72"/>
        <v>106.13783980371747</v>
      </c>
      <c r="N187" s="165">
        <f t="shared" si="64"/>
        <v>1.230267118759909E-2</v>
      </c>
      <c r="P187" s="359"/>
      <c r="Q187" s="6">
        <v>17.59</v>
      </c>
      <c r="R187" s="138">
        <f t="shared" si="73"/>
        <v>17.59</v>
      </c>
      <c r="S187" s="185">
        <f t="shared" si="65"/>
        <v>-6.9312169312169256E-2</v>
      </c>
      <c r="T187" s="359"/>
      <c r="U187" s="359"/>
      <c r="V187" s="138">
        <f t="shared" si="74"/>
        <v>0</v>
      </c>
      <c r="W187" s="6">
        <v>17.59</v>
      </c>
      <c r="X187" s="138">
        <f t="shared" si="75"/>
        <v>17.59</v>
      </c>
      <c r="Y187" s="167">
        <f t="shared" si="66"/>
        <v>0</v>
      </c>
      <c r="Z187" s="377">
        <v>0.88</v>
      </c>
      <c r="AA187" s="359">
        <v>0</v>
      </c>
      <c r="AB187" s="138">
        <f t="shared" si="76"/>
        <v>0.88</v>
      </c>
      <c r="AC187" s="6">
        <v>17.59</v>
      </c>
      <c r="AD187" s="138">
        <f t="shared" si="77"/>
        <v>18.47</v>
      </c>
      <c r="AE187" s="167">
        <f t="shared" si="78"/>
        <v>5.0028425241614501E-2</v>
      </c>
      <c r="AF187" s="307">
        <v>0.88</v>
      </c>
      <c r="AG187" s="4">
        <v>1.95</v>
      </c>
      <c r="AH187" s="138">
        <f t="shared" si="79"/>
        <v>2.83</v>
      </c>
      <c r="AI187" s="6">
        <v>17.59</v>
      </c>
      <c r="AJ187" s="138">
        <f t="shared" si="80"/>
        <v>20.420000000000002</v>
      </c>
      <c r="AK187" s="167">
        <f t="shared" si="81"/>
        <v>0.10557661072008678</v>
      </c>
      <c r="AL187" s="6">
        <v>0.88</v>
      </c>
      <c r="AM187" s="6">
        <v>3.91</v>
      </c>
      <c r="AN187" s="138">
        <f t="shared" si="82"/>
        <v>4.79</v>
      </c>
      <c r="AO187" s="6">
        <v>17.59</v>
      </c>
      <c r="AP187" s="138">
        <f t="shared" si="83"/>
        <v>22.38</v>
      </c>
      <c r="AQ187" s="167">
        <f t="shared" si="84"/>
        <v>9.598432908912817E-2</v>
      </c>
      <c r="AR187" s="164">
        <f t="shared" si="67"/>
        <v>96.449999999999989</v>
      </c>
      <c r="AS187" s="165">
        <f t="shared" si="68"/>
        <v>6.2058797360678986E-2</v>
      </c>
    </row>
    <row r="188" spans="2:45" outlineLevel="1" x14ac:dyDescent="0.35">
      <c r="B188" s="294" t="s">
        <v>137</v>
      </c>
      <c r="C188" s="62" t="s">
        <v>147</v>
      </c>
      <c r="D188" s="70">
        <v>0</v>
      </c>
      <c r="E188" s="70">
        <v>0</v>
      </c>
      <c r="F188" s="167">
        <f t="shared" si="63"/>
        <v>0</v>
      </c>
      <c r="G188" s="70">
        <v>0</v>
      </c>
      <c r="H188" s="167">
        <f t="shared" si="69"/>
        <v>0</v>
      </c>
      <c r="I188" s="70"/>
      <c r="J188" s="167">
        <f t="shared" si="70"/>
        <v>0</v>
      </c>
      <c r="K188" s="70"/>
      <c r="L188" s="167">
        <f t="shared" si="71"/>
        <v>0</v>
      </c>
      <c r="M188" s="164">
        <f t="shared" si="72"/>
        <v>0</v>
      </c>
      <c r="N188" s="165">
        <f t="shared" si="64"/>
        <v>0</v>
      </c>
      <c r="P188" s="359"/>
      <c r="Q188" s="6"/>
      <c r="R188" s="138">
        <f t="shared" si="73"/>
        <v>0</v>
      </c>
      <c r="S188" s="185">
        <f t="shared" si="65"/>
        <v>0</v>
      </c>
      <c r="T188" s="359"/>
      <c r="U188" s="359"/>
      <c r="V188" s="138">
        <f t="shared" si="74"/>
        <v>0</v>
      </c>
      <c r="W188" s="6"/>
      <c r="X188" s="138">
        <f t="shared" si="75"/>
        <v>0</v>
      </c>
      <c r="Y188" s="167">
        <f t="shared" si="66"/>
        <v>0</v>
      </c>
      <c r="Z188" s="377"/>
      <c r="AA188" s="359"/>
      <c r="AB188" s="138">
        <f t="shared" si="76"/>
        <v>0</v>
      </c>
      <c r="AC188" s="6"/>
      <c r="AD188" s="138">
        <f t="shared" si="77"/>
        <v>0</v>
      </c>
      <c r="AE188" s="167">
        <f t="shared" si="78"/>
        <v>0</v>
      </c>
      <c r="AF188" s="307"/>
      <c r="AG188" s="4"/>
      <c r="AH188" s="138">
        <f t="shared" si="79"/>
        <v>0</v>
      </c>
      <c r="AI188" s="6"/>
      <c r="AJ188" s="138">
        <f t="shared" si="80"/>
        <v>0</v>
      </c>
      <c r="AK188" s="167">
        <f t="shared" si="81"/>
        <v>0</v>
      </c>
      <c r="AL188" s="6">
        <v>0.88</v>
      </c>
      <c r="AM188" s="6"/>
      <c r="AN188" s="138">
        <f t="shared" si="82"/>
        <v>0.88</v>
      </c>
      <c r="AO188" s="6"/>
      <c r="AP188" s="138">
        <f t="shared" si="83"/>
        <v>0.88</v>
      </c>
      <c r="AQ188" s="167">
        <f t="shared" si="84"/>
        <v>0</v>
      </c>
      <c r="AR188" s="164">
        <f t="shared" si="67"/>
        <v>0.88</v>
      </c>
      <c r="AS188" s="165">
        <f t="shared" si="68"/>
        <v>0</v>
      </c>
    </row>
    <row r="189" spans="2:45" outlineLevel="1" x14ac:dyDescent="0.35">
      <c r="B189" s="294" t="s">
        <v>123</v>
      </c>
      <c r="C189" s="62" t="s">
        <v>147</v>
      </c>
      <c r="D189" s="70">
        <v>302.98135407355886</v>
      </c>
      <c r="E189" s="70">
        <v>334.30179998108002</v>
      </c>
      <c r="F189" s="167">
        <f t="shared" si="63"/>
        <v>0.10337416968542915</v>
      </c>
      <c r="G189" s="70">
        <v>322.18099618358099</v>
      </c>
      <c r="H189" s="167">
        <f t="shared" si="69"/>
        <v>-3.6257070103077577E-2</v>
      </c>
      <c r="I189" s="70">
        <v>231</v>
      </c>
      <c r="J189" s="167">
        <f t="shared" si="70"/>
        <v>-0.28301171473076397</v>
      </c>
      <c r="K189" s="70">
        <v>242.6</v>
      </c>
      <c r="L189" s="167">
        <f t="shared" si="71"/>
        <v>5.0216450216450194E-2</v>
      </c>
      <c r="M189" s="164">
        <f t="shared" si="72"/>
        <v>1433.0641502382198</v>
      </c>
      <c r="N189" s="165">
        <f t="shared" si="64"/>
        <v>-5.4048819358130551E-2</v>
      </c>
      <c r="P189" s="359">
        <v>1.95</v>
      </c>
      <c r="Q189" s="6">
        <v>240.33</v>
      </c>
      <c r="R189" s="138">
        <f t="shared" si="73"/>
        <v>242.28</v>
      </c>
      <c r="S189" s="185">
        <f t="shared" si="65"/>
        <v>-1.3190436933223132E-3</v>
      </c>
      <c r="T189" s="359">
        <v>2.64</v>
      </c>
      <c r="U189" s="359">
        <v>3.91</v>
      </c>
      <c r="V189" s="138">
        <f t="shared" si="74"/>
        <v>6.5500000000000007</v>
      </c>
      <c r="W189" s="6">
        <v>240.33</v>
      </c>
      <c r="X189" s="138">
        <f t="shared" si="75"/>
        <v>246.88000000000002</v>
      </c>
      <c r="Y189" s="167">
        <f t="shared" si="66"/>
        <v>1.8986296846623833E-2</v>
      </c>
      <c r="Z189" s="377">
        <v>2.64</v>
      </c>
      <c r="AA189" s="359">
        <v>9.77</v>
      </c>
      <c r="AB189" s="138">
        <f t="shared" si="76"/>
        <v>12.41</v>
      </c>
      <c r="AC189" s="6">
        <v>240.33</v>
      </c>
      <c r="AD189" s="138">
        <f t="shared" si="77"/>
        <v>252.74</v>
      </c>
      <c r="AE189" s="167">
        <f t="shared" si="78"/>
        <v>2.3736228127025215E-2</v>
      </c>
      <c r="AF189" s="307">
        <v>1.76</v>
      </c>
      <c r="AG189" s="4">
        <v>15.63</v>
      </c>
      <c r="AH189" s="138">
        <f t="shared" si="79"/>
        <v>17.39</v>
      </c>
      <c r="AI189" s="6">
        <v>240.33</v>
      </c>
      <c r="AJ189" s="138">
        <f t="shared" si="80"/>
        <v>257.72000000000003</v>
      </c>
      <c r="AK189" s="167">
        <f t="shared" si="81"/>
        <v>1.9704043681253534E-2</v>
      </c>
      <c r="AL189" s="6">
        <v>1.76</v>
      </c>
      <c r="AM189" s="6">
        <v>19.54</v>
      </c>
      <c r="AN189" s="138">
        <f t="shared" si="82"/>
        <v>21.3</v>
      </c>
      <c r="AO189" s="6">
        <v>240.33</v>
      </c>
      <c r="AP189" s="138">
        <f t="shared" si="83"/>
        <v>261.63</v>
      </c>
      <c r="AQ189" s="167">
        <f t="shared" si="84"/>
        <v>1.5171503957783517E-2</v>
      </c>
      <c r="AR189" s="164">
        <f t="shared" si="67"/>
        <v>1261.25</v>
      </c>
      <c r="AS189" s="165">
        <f t="shared" si="68"/>
        <v>1.9394988157460658E-2</v>
      </c>
    </row>
    <row r="190" spans="2:45" outlineLevel="1" x14ac:dyDescent="0.35">
      <c r="B190" s="294" t="s">
        <v>124</v>
      </c>
      <c r="C190" s="62" t="s">
        <v>147</v>
      </c>
      <c r="D190" s="70">
        <v>0.23713578220981313</v>
      </c>
      <c r="E190" s="70">
        <v>1.4938215970689701</v>
      </c>
      <c r="F190" s="167">
        <f t="shared" si="63"/>
        <v>5.2994356361928796</v>
      </c>
      <c r="G190" s="70">
        <v>1.7137235272085201</v>
      </c>
      <c r="H190" s="167">
        <f t="shared" si="69"/>
        <v>0.14720762544270341</v>
      </c>
      <c r="I190" s="70">
        <v>1.3</v>
      </c>
      <c r="J190" s="167">
        <f t="shared" si="70"/>
        <v>-0.24141789538387981</v>
      </c>
      <c r="K190" s="70">
        <v>1.3</v>
      </c>
      <c r="L190" s="167">
        <f t="shared" si="71"/>
        <v>0</v>
      </c>
      <c r="M190" s="164">
        <f t="shared" si="72"/>
        <v>6.0446809064873026</v>
      </c>
      <c r="N190" s="165">
        <f t="shared" si="64"/>
        <v>0.53015901505691909</v>
      </c>
      <c r="P190" s="359"/>
      <c r="Q190" s="6">
        <v>1.95</v>
      </c>
      <c r="R190" s="138">
        <f t="shared" si="73"/>
        <v>1.95</v>
      </c>
      <c r="S190" s="185">
        <f t="shared" si="65"/>
        <v>0.49999999999999989</v>
      </c>
      <c r="T190" s="359"/>
      <c r="U190" s="359"/>
      <c r="V190" s="138">
        <f t="shared" si="74"/>
        <v>0</v>
      </c>
      <c r="W190" s="6">
        <v>1.95</v>
      </c>
      <c r="X190" s="138">
        <f t="shared" si="75"/>
        <v>1.95</v>
      </c>
      <c r="Y190" s="167">
        <f t="shared" si="66"/>
        <v>0</v>
      </c>
      <c r="Z190" s="377"/>
      <c r="AA190" s="359"/>
      <c r="AB190" s="138">
        <f t="shared" si="76"/>
        <v>0</v>
      </c>
      <c r="AC190" s="6">
        <v>1.95</v>
      </c>
      <c r="AD190" s="138">
        <f t="shared" si="77"/>
        <v>1.95</v>
      </c>
      <c r="AE190" s="167">
        <f t="shared" si="78"/>
        <v>0</v>
      </c>
      <c r="AF190" s="307"/>
      <c r="AG190" s="4"/>
      <c r="AH190" s="138">
        <f t="shared" si="79"/>
        <v>0</v>
      </c>
      <c r="AI190" s="6">
        <v>1.95</v>
      </c>
      <c r="AJ190" s="138">
        <f t="shared" si="80"/>
        <v>1.95</v>
      </c>
      <c r="AK190" s="167">
        <f t="shared" si="81"/>
        <v>0</v>
      </c>
      <c r="AL190" s="6"/>
      <c r="AM190" s="6"/>
      <c r="AN190" s="138">
        <f t="shared" si="82"/>
        <v>0</v>
      </c>
      <c r="AO190" s="6">
        <v>1.95</v>
      </c>
      <c r="AP190" s="138">
        <f t="shared" si="83"/>
        <v>1.95</v>
      </c>
      <c r="AQ190" s="167">
        <f t="shared" si="84"/>
        <v>0</v>
      </c>
      <c r="AR190" s="164">
        <f t="shared" si="67"/>
        <v>9.75</v>
      </c>
      <c r="AS190" s="165">
        <f t="shared" si="68"/>
        <v>0</v>
      </c>
    </row>
    <row r="191" spans="2:45" outlineLevel="1" x14ac:dyDescent="0.35">
      <c r="B191" s="294" t="s">
        <v>125</v>
      </c>
      <c r="C191" s="62" t="s">
        <v>147</v>
      </c>
      <c r="D191" s="70">
        <v>15.023240576256615</v>
      </c>
      <c r="E191" s="70">
        <v>19.456174530876801</v>
      </c>
      <c r="F191" s="167">
        <f t="shared" si="63"/>
        <v>0.29507175446728773</v>
      </c>
      <c r="G191" s="70">
        <v>14.5831671948254</v>
      </c>
      <c r="H191" s="167">
        <f t="shared" si="69"/>
        <v>-0.25046071252691404</v>
      </c>
      <c r="I191" s="70">
        <v>9.4</v>
      </c>
      <c r="J191" s="167">
        <f t="shared" si="70"/>
        <v>-0.35542122815848687</v>
      </c>
      <c r="K191" s="70">
        <v>26</v>
      </c>
      <c r="L191" s="167">
        <f t="shared" si="71"/>
        <v>1.7659574468085106</v>
      </c>
      <c r="M191" s="164">
        <f t="shared" si="72"/>
        <v>84.462582301958818</v>
      </c>
      <c r="N191" s="165">
        <f t="shared" si="64"/>
        <v>0.14697098459845503</v>
      </c>
      <c r="P191" s="359"/>
      <c r="Q191" s="6">
        <v>27.35</v>
      </c>
      <c r="R191" s="138">
        <f t="shared" si="73"/>
        <v>27.35</v>
      </c>
      <c r="S191" s="185">
        <f t="shared" si="65"/>
        <v>5.1923076923076975E-2</v>
      </c>
      <c r="T191" s="359"/>
      <c r="U191" s="359"/>
      <c r="V191" s="138">
        <f t="shared" si="74"/>
        <v>0</v>
      </c>
      <c r="W191" s="6">
        <v>27.35</v>
      </c>
      <c r="X191" s="138">
        <f t="shared" si="75"/>
        <v>27.35</v>
      </c>
      <c r="Y191" s="167">
        <f t="shared" si="66"/>
        <v>0</v>
      </c>
      <c r="Z191" s="377"/>
      <c r="AA191" s="359"/>
      <c r="AB191" s="138">
        <f t="shared" si="76"/>
        <v>0</v>
      </c>
      <c r="AC191" s="6">
        <v>27.35</v>
      </c>
      <c r="AD191" s="138">
        <f t="shared" si="77"/>
        <v>27.35</v>
      </c>
      <c r="AE191" s="167">
        <f t="shared" si="78"/>
        <v>0</v>
      </c>
      <c r="AF191" s="307"/>
      <c r="AG191" s="4"/>
      <c r="AH191" s="138">
        <f t="shared" si="79"/>
        <v>0</v>
      </c>
      <c r="AI191" s="6">
        <v>27.35</v>
      </c>
      <c r="AJ191" s="138">
        <f t="shared" si="80"/>
        <v>27.35</v>
      </c>
      <c r="AK191" s="167">
        <f t="shared" si="81"/>
        <v>0</v>
      </c>
      <c r="AL191" s="6"/>
      <c r="AM191" s="6"/>
      <c r="AN191" s="138">
        <f t="shared" si="82"/>
        <v>0</v>
      </c>
      <c r="AO191" s="6">
        <v>27.35</v>
      </c>
      <c r="AP191" s="138">
        <f t="shared" si="83"/>
        <v>27.35</v>
      </c>
      <c r="AQ191" s="167">
        <f t="shared" si="84"/>
        <v>0</v>
      </c>
      <c r="AR191" s="164">
        <f t="shared" si="67"/>
        <v>136.75</v>
      </c>
      <c r="AS191" s="165">
        <f t="shared" si="68"/>
        <v>0</v>
      </c>
    </row>
    <row r="192" spans="2:45" outlineLevel="1" x14ac:dyDescent="0.35">
      <c r="B192" s="48" t="s">
        <v>126</v>
      </c>
      <c r="C192" s="62" t="s">
        <v>147</v>
      </c>
      <c r="D192" s="70">
        <v>89.844657482093609</v>
      </c>
      <c r="E192" s="70">
        <v>105.172515350141</v>
      </c>
      <c r="F192" s="167">
        <f t="shared" si="63"/>
        <v>0.17060399914265675</v>
      </c>
      <c r="G192" s="70">
        <v>134.36995518747199</v>
      </c>
      <c r="H192" s="167">
        <f t="shared" si="69"/>
        <v>0.27761473366046907</v>
      </c>
      <c r="I192" s="70">
        <v>81.8</v>
      </c>
      <c r="J192" s="167">
        <f t="shared" si="70"/>
        <v>-0.3912329591397628</v>
      </c>
      <c r="K192" s="70">
        <v>112.3</v>
      </c>
      <c r="L192" s="167">
        <f t="shared" si="71"/>
        <v>0.37286063569682154</v>
      </c>
      <c r="M192" s="164">
        <f t="shared" si="72"/>
        <v>523.48712801970657</v>
      </c>
      <c r="N192" s="165">
        <f t="shared" si="64"/>
        <v>5.7357559833690619E-2</v>
      </c>
      <c r="P192" s="359">
        <v>1.95</v>
      </c>
      <c r="Q192" s="6">
        <v>197.34</v>
      </c>
      <c r="R192" s="138">
        <f t="shared" si="73"/>
        <v>199.29</v>
      </c>
      <c r="S192" s="185">
        <f t="shared" si="65"/>
        <v>0.77462154942119321</v>
      </c>
      <c r="T192" s="359">
        <v>1.76</v>
      </c>
      <c r="U192" s="359">
        <v>3.91</v>
      </c>
      <c r="V192" s="138">
        <f t="shared" si="74"/>
        <v>5.67</v>
      </c>
      <c r="W192" s="6">
        <v>197.34</v>
      </c>
      <c r="X192" s="138">
        <f t="shared" si="75"/>
        <v>203.01</v>
      </c>
      <c r="Y192" s="167">
        <f t="shared" si="66"/>
        <v>1.8666265241607704E-2</v>
      </c>
      <c r="Z192" s="377">
        <v>1.76</v>
      </c>
      <c r="AA192" s="359">
        <v>7.82</v>
      </c>
      <c r="AB192" s="138">
        <f t="shared" si="76"/>
        <v>9.58</v>
      </c>
      <c r="AC192" s="6">
        <v>197.34</v>
      </c>
      <c r="AD192" s="138">
        <f t="shared" si="77"/>
        <v>206.92000000000002</v>
      </c>
      <c r="AE192" s="167">
        <f t="shared" si="78"/>
        <v>1.9260134968720876E-2</v>
      </c>
      <c r="AF192" s="307">
        <v>0.88</v>
      </c>
      <c r="AG192" s="4">
        <v>11.72</v>
      </c>
      <c r="AH192" s="138">
        <f t="shared" si="79"/>
        <v>12.600000000000001</v>
      </c>
      <c r="AI192" s="6">
        <v>197.34</v>
      </c>
      <c r="AJ192" s="138">
        <f t="shared" si="80"/>
        <v>209.94</v>
      </c>
      <c r="AK192" s="167">
        <f t="shared" si="81"/>
        <v>1.4595012565242517E-2</v>
      </c>
      <c r="AL192" s="6">
        <v>1.76</v>
      </c>
      <c r="AM192" s="6">
        <v>13.68</v>
      </c>
      <c r="AN192" s="138">
        <f t="shared" si="82"/>
        <v>15.44</v>
      </c>
      <c r="AO192" s="6">
        <v>197.34</v>
      </c>
      <c r="AP192" s="138">
        <f t="shared" si="83"/>
        <v>212.78</v>
      </c>
      <c r="AQ192" s="167">
        <f t="shared" si="84"/>
        <v>1.3527674573687736E-2</v>
      </c>
      <c r="AR192" s="164">
        <f t="shared" si="67"/>
        <v>1031.94</v>
      </c>
      <c r="AS192" s="165">
        <f t="shared" si="68"/>
        <v>1.6509225134602845E-2</v>
      </c>
    </row>
    <row r="193" spans="2:45" outlineLevel="1" x14ac:dyDescent="0.35">
      <c r="B193" s="48" t="s">
        <v>127</v>
      </c>
      <c r="C193" s="62" t="s">
        <v>147</v>
      </c>
      <c r="D193" s="70">
        <v>0</v>
      </c>
      <c r="E193" s="70">
        <v>0</v>
      </c>
      <c r="F193" s="167">
        <f t="shared" si="63"/>
        <v>0</v>
      </c>
      <c r="G193" s="70">
        <v>0</v>
      </c>
      <c r="H193" s="167">
        <f t="shared" si="69"/>
        <v>0</v>
      </c>
      <c r="I193" s="70"/>
      <c r="J193" s="167">
        <f t="shared" si="70"/>
        <v>0</v>
      </c>
      <c r="K193" s="70"/>
      <c r="L193" s="167">
        <f t="shared" si="71"/>
        <v>0</v>
      </c>
      <c r="M193" s="164">
        <f t="shared" si="72"/>
        <v>0</v>
      </c>
      <c r="N193" s="165">
        <f t="shared" si="64"/>
        <v>0</v>
      </c>
      <c r="P193" s="359"/>
      <c r="Q193" s="6"/>
      <c r="R193" s="138">
        <f t="shared" si="73"/>
        <v>0</v>
      </c>
      <c r="S193" s="185">
        <f t="shared" si="65"/>
        <v>0</v>
      </c>
      <c r="T193" s="359"/>
      <c r="U193" s="359"/>
      <c r="V193" s="138">
        <f t="shared" si="74"/>
        <v>0</v>
      </c>
      <c r="W193" s="6"/>
      <c r="X193" s="138">
        <f t="shared" si="75"/>
        <v>0</v>
      </c>
      <c r="Y193" s="167">
        <f t="shared" si="66"/>
        <v>0</v>
      </c>
      <c r="Z193" s="377"/>
      <c r="AA193" s="359"/>
      <c r="AB193" s="138">
        <f t="shared" si="76"/>
        <v>0</v>
      </c>
      <c r="AC193" s="6"/>
      <c r="AD193" s="138">
        <f t="shared" si="77"/>
        <v>0</v>
      </c>
      <c r="AE193" s="167">
        <f t="shared" si="78"/>
        <v>0</v>
      </c>
      <c r="AF193" s="307"/>
      <c r="AG193" s="4"/>
      <c r="AH193" s="138">
        <f t="shared" si="79"/>
        <v>0</v>
      </c>
      <c r="AI193" s="6"/>
      <c r="AJ193" s="138">
        <f t="shared" si="80"/>
        <v>0</v>
      </c>
      <c r="AK193" s="167">
        <f t="shared" si="81"/>
        <v>0</v>
      </c>
      <c r="AL193" s="6"/>
      <c r="AM193" s="6"/>
      <c r="AN193" s="138">
        <f t="shared" si="82"/>
        <v>0</v>
      </c>
      <c r="AO193" s="6"/>
      <c r="AP193" s="138">
        <f t="shared" si="83"/>
        <v>0</v>
      </c>
      <c r="AQ193" s="167">
        <f t="shared" si="84"/>
        <v>0</v>
      </c>
      <c r="AR193" s="164">
        <f t="shared" si="67"/>
        <v>0</v>
      </c>
      <c r="AS193" s="165">
        <f t="shared" si="68"/>
        <v>0</v>
      </c>
    </row>
    <row r="194" spans="2:45" s="245" customFormat="1" ht="15" customHeight="1" outlineLevel="1" x14ac:dyDescent="0.35">
      <c r="B194" s="246" t="s">
        <v>138</v>
      </c>
      <c r="C194" s="247" t="s">
        <v>147</v>
      </c>
      <c r="D194" s="254">
        <f>SUM(D140:D193)</f>
        <v>7991.3252576293344</v>
      </c>
      <c r="E194" s="254">
        <f>SUM(E140:E193)</f>
        <v>8775.872099117767</v>
      </c>
      <c r="F194" s="250">
        <f>IFERROR((E194-D194)/D194,0)</f>
        <v>9.8174810334421589E-2</v>
      </c>
      <c r="G194" s="254">
        <f>SUM(G140:G193)</f>
        <v>9058.0621540189768</v>
      </c>
      <c r="H194" s="250">
        <f t="shared" si="69"/>
        <v>3.2155215084501768E-2</v>
      </c>
      <c r="I194" s="254">
        <f>SUM(I140:I193)</f>
        <v>8158.2999999999993</v>
      </c>
      <c r="J194" s="250">
        <f t="shared" si="70"/>
        <v>-9.9332742337141233E-2</v>
      </c>
      <c r="K194" s="254">
        <f>SUM(K140:K193)</f>
        <v>7071.3999999999987</v>
      </c>
      <c r="L194" s="250">
        <f>IFERROR((K194-I194)/I194,0)</f>
        <v>-0.13322628488778307</v>
      </c>
      <c r="M194" s="254">
        <f>SUM(M140:M193)</f>
        <v>41054.959510766093</v>
      </c>
      <c r="N194" s="252">
        <f t="shared" si="64"/>
        <v>-3.0111858924098178E-2</v>
      </c>
      <c r="P194" s="344">
        <f>SUM(P140:P193)</f>
        <v>78.130000000000024</v>
      </c>
      <c r="Q194" s="254">
        <f>SUM(Q140:Q193)</f>
        <v>9560.4100000000017</v>
      </c>
      <c r="R194" s="248">
        <f>SUM(R140:R193)</f>
        <v>9638.5400000000009</v>
      </c>
      <c r="S194" s="250">
        <f t="shared" si="65"/>
        <v>0.36303136578329648</v>
      </c>
      <c r="T194" s="344">
        <f>SUM(T140:T193)</f>
        <v>92.35</v>
      </c>
      <c r="U194" s="344">
        <f>SUM(U140:U193)</f>
        <v>156.29999999999998</v>
      </c>
      <c r="V194" s="248">
        <f>SUM(V140:V193)</f>
        <v>248.65</v>
      </c>
      <c r="W194" s="248">
        <f>SUM(W140:W193)</f>
        <v>9560.4100000000017</v>
      </c>
      <c r="X194" s="248">
        <f>SUM(X140:X193)</f>
        <v>9809.0599999999977</v>
      </c>
      <c r="Y194" s="250">
        <f>IFERROR((X194-R194)/R194,0)</f>
        <v>1.7691476094926908E-2</v>
      </c>
      <c r="Z194" s="344">
        <f t="shared" ref="Z194:AB194" si="85">SUM(Z140:Z193)</f>
        <v>92.36999999999999</v>
      </c>
      <c r="AA194" s="344">
        <f t="shared" si="85"/>
        <v>361.4799999999999</v>
      </c>
      <c r="AB194" s="248">
        <f t="shared" si="85"/>
        <v>453.84999999999991</v>
      </c>
      <c r="AC194" s="248">
        <f>SUM(AC140:AC193)</f>
        <v>9560.4100000000017</v>
      </c>
      <c r="AD194" s="248">
        <f t="shared" ref="AD194" si="86">SUM(AD140:AD193)</f>
        <v>10014.259999999997</v>
      </c>
      <c r="AE194" s="255">
        <f t="shared" si="78"/>
        <v>2.0919435705358001E-2</v>
      </c>
      <c r="AF194" s="248">
        <f>SUM(AF140:AF193)</f>
        <v>83.570000000000022</v>
      </c>
      <c r="AG194" s="248">
        <f t="shared" ref="AG194:AJ194" si="87">SUM(AG140:AG193)</f>
        <v>566.60000000000025</v>
      </c>
      <c r="AH194" s="248">
        <f t="shared" si="87"/>
        <v>650.17000000000019</v>
      </c>
      <c r="AI194" s="248">
        <f t="shared" si="87"/>
        <v>9560.4100000000017</v>
      </c>
      <c r="AJ194" s="248">
        <f t="shared" si="87"/>
        <v>10210.579999999998</v>
      </c>
      <c r="AK194" s="266">
        <f t="shared" si="81"/>
        <v>1.9604044632354423E-2</v>
      </c>
      <c r="AL194" s="248">
        <f t="shared" ref="AL194:AN194" si="88">SUM(AL140:AL193)</f>
        <v>79.169999999999987</v>
      </c>
      <c r="AM194" s="248">
        <f t="shared" si="88"/>
        <v>752.2600000000001</v>
      </c>
      <c r="AN194" s="248">
        <f t="shared" si="88"/>
        <v>831.43000000000006</v>
      </c>
      <c r="AO194" s="248">
        <f>SUM(AO140:AO193)</f>
        <v>9560.4100000000017</v>
      </c>
      <c r="AP194" s="248">
        <f>SUM(AP140:AP193)</f>
        <v>10391.84</v>
      </c>
      <c r="AQ194" s="250">
        <f>IFERROR((AP194-AJ194)/AJ194,0)</f>
        <v>1.7752174705061033E-2</v>
      </c>
      <c r="AR194" s="310">
        <f>SUM(AR140:AR193)</f>
        <v>50064.28</v>
      </c>
      <c r="AS194" s="252">
        <f>IFERROR((AP194/R194)^(1/4)-1,0)</f>
        <v>1.899088532990767E-2</v>
      </c>
    </row>
    <row r="195" spans="2:45" ht="15" customHeight="1" x14ac:dyDescent="0.35">
      <c r="AJ195" s="39">
        <f>AJ194-AJ170-AJ171</f>
        <v>10210.579999999998</v>
      </c>
      <c r="AP195" s="39">
        <f>AP194-AP170-AP171</f>
        <v>10391.84</v>
      </c>
    </row>
    <row r="196" spans="2:45" ht="15.5" x14ac:dyDescent="0.35">
      <c r="B196" s="419" t="s">
        <v>52</v>
      </c>
      <c r="C196" s="419"/>
      <c r="D196" s="419"/>
      <c r="E196" s="419"/>
      <c r="F196" s="419"/>
      <c r="G196" s="419"/>
      <c r="H196" s="419"/>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c r="AJ196" s="419"/>
      <c r="AK196" s="419"/>
      <c r="AL196" s="419"/>
      <c r="AM196" s="419"/>
      <c r="AN196" s="419"/>
      <c r="AO196" s="419"/>
      <c r="AP196" s="419"/>
      <c r="AQ196" s="419"/>
      <c r="AR196" s="419"/>
      <c r="AS196" s="419"/>
    </row>
    <row r="197" spans="2:45" ht="5.9" customHeight="1" outlineLevel="1" x14ac:dyDescent="0.35">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row>
    <row r="198" spans="2:45" outlineLevel="1" x14ac:dyDescent="0.35">
      <c r="B198" s="462"/>
      <c r="C198" s="465" t="s">
        <v>134</v>
      </c>
      <c r="D198" s="435" t="s">
        <v>169</v>
      </c>
      <c r="E198" s="436"/>
      <c r="F198" s="436"/>
      <c r="G198" s="436"/>
      <c r="H198" s="436"/>
      <c r="I198" s="436"/>
      <c r="J198" s="436"/>
      <c r="K198" s="436"/>
      <c r="L198" s="437"/>
      <c r="M198" s="431" t="str">
        <f xml:space="preserve"> D199&amp;" - "&amp;K199</f>
        <v>2019 - 2023</v>
      </c>
      <c r="N198" s="456"/>
      <c r="P198" s="435" t="s">
        <v>170</v>
      </c>
      <c r="Q198" s="436"/>
      <c r="R198" s="436"/>
      <c r="S198" s="436"/>
      <c r="T198" s="436"/>
      <c r="U198" s="436"/>
      <c r="V198" s="436"/>
      <c r="W198" s="436"/>
      <c r="X198" s="436"/>
      <c r="Y198" s="436"/>
      <c r="Z198" s="436"/>
      <c r="AA198" s="436"/>
      <c r="AB198" s="436"/>
      <c r="AC198" s="436"/>
      <c r="AD198" s="436"/>
      <c r="AE198" s="436"/>
      <c r="AF198" s="436"/>
      <c r="AG198" s="436"/>
      <c r="AH198" s="436"/>
      <c r="AI198" s="436"/>
      <c r="AJ198" s="436"/>
      <c r="AK198" s="436"/>
      <c r="AL198" s="436"/>
      <c r="AM198" s="436"/>
      <c r="AN198" s="436"/>
      <c r="AO198" s="436"/>
      <c r="AP198" s="436"/>
      <c r="AQ198" s="436"/>
      <c r="AR198" s="436"/>
      <c r="AS198" s="437"/>
    </row>
    <row r="199" spans="2:45" outlineLevel="1" x14ac:dyDescent="0.35">
      <c r="B199" s="463"/>
      <c r="C199" s="465"/>
      <c r="D199" s="79">
        <f>$C$3-5</f>
        <v>2019</v>
      </c>
      <c r="E199" s="435">
        <f>$C$3-4</f>
        <v>2020</v>
      </c>
      <c r="F199" s="437"/>
      <c r="G199" s="435">
        <f>$C$3-3</f>
        <v>2021</v>
      </c>
      <c r="H199" s="437"/>
      <c r="I199" s="435">
        <f>$C$3-2</f>
        <v>2022</v>
      </c>
      <c r="J199" s="437"/>
      <c r="K199" s="435">
        <f>$C$3-1</f>
        <v>2023</v>
      </c>
      <c r="L199" s="437"/>
      <c r="M199" s="433"/>
      <c r="N199" s="457"/>
      <c r="P199" s="490">
        <f>$C$3</f>
        <v>2024</v>
      </c>
      <c r="Q199" s="491"/>
      <c r="R199" s="491"/>
      <c r="S199" s="485"/>
      <c r="T199" s="490">
        <f>$C$3+1</f>
        <v>2025</v>
      </c>
      <c r="U199" s="491"/>
      <c r="V199" s="491"/>
      <c r="W199" s="491"/>
      <c r="X199" s="491"/>
      <c r="Y199" s="485"/>
      <c r="Z199" s="435">
        <f>$C$3+2</f>
        <v>2026</v>
      </c>
      <c r="AA199" s="436"/>
      <c r="AB199" s="436"/>
      <c r="AC199" s="436"/>
      <c r="AD199" s="436"/>
      <c r="AE199" s="437"/>
      <c r="AF199" s="435">
        <f>$C$3+3</f>
        <v>2027</v>
      </c>
      <c r="AG199" s="436"/>
      <c r="AH199" s="436"/>
      <c r="AI199" s="436"/>
      <c r="AJ199" s="436"/>
      <c r="AK199" s="437"/>
      <c r="AL199" s="435">
        <f>$C$3+4</f>
        <v>2028</v>
      </c>
      <c r="AM199" s="436"/>
      <c r="AN199" s="436"/>
      <c r="AO199" s="436"/>
      <c r="AP199" s="436"/>
      <c r="AQ199" s="437"/>
      <c r="AR199" s="439" t="str">
        <f>P199&amp;" - "&amp;AL199</f>
        <v>2024 - 2028</v>
      </c>
      <c r="AS199" s="458"/>
    </row>
    <row r="200" spans="2:45" ht="15" customHeight="1" outlineLevel="1" x14ac:dyDescent="0.35">
      <c r="B200" s="463"/>
      <c r="C200" s="465"/>
      <c r="D200" s="492" t="s">
        <v>225</v>
      </c>
      <c r="E200" s="494" t="s">
        <v>225</v>
      </c>
      <c r="F200" s="496" t="s">
        <v>173</v>
      </c>
      <c r="G200" s="494" t="s">
        <v>225</v>
      </c>
      <c r="H200" s="496" t="s">
        <v>173</v>
      </c>
      <c r="I200" s="494" t="s">
        <v>225</v>
      </c>
      <c r="J200" s="470" t="s">
        <v>173</v>
      </c>
      <c r="K200" s="494" t="s">
        <v>225</v>
      </c>
      <c r="L200" s="470" t="s">
        <v>173</v>
      </c>
      <c r="M200" s="494" t="s">
        <v>164</v>
      </c>
      <c r="N200" s="498" t="s">
        <v>174</v>
      </c>
      <c r="P200" s="494" t="str">
        <f>"Διανεμόμενες ποσότητες σε πελάτες που συνδέθηκαν το "&amp;P199</f>
        <v>Διανεμόμενες ποσότητες σε πελάτες που συνδέθηκαν το 2024</v>
      </c>
      <c r="Q200" s="484" t="s">
        <v>226</v>
      </c>
      <c r="R200" s="484" t="s">
        <v>227</v>
      </c>
      <c r="S200" s="500" t="s">
        <v>173</v>
      </c>
      <c r="T200" s="490" t="s">
        <v>228</v>
      </c>
      <c r="U200" s="491"/>
      <c r="V200" s="491"/>
      <c r="W200" s="484" t="s">
        <v>226</v>
      </c>
      <c r="X200" s="484" t="s">
        <v>227</v>
      </c>
      <c r="Y200" s="485" t="s">
        <v>173</v>
      </c>
      <c r="Z200" s="490" t="s">
        <v>228</v>
      </c>
      <c r="AA200" s="491"/>
      <c r="AB200" s="491"/>
      <c r="AC200" s="484" t="s">
        <v>226</v>
      </c>
      <c r="AD200" s="484" t="s">
        <v>227</v>
      </c>
      <c r="AE200" s="485" t="s">
        <v>173</v>
      </c>
      <c r="AF200" s="490" t="s">
        <v>228</v>
      </c>
      <c r="AG200" s="491"/>
      <c r="AH200" s="491"/>
      <c r="AI200" s="484" t="s">
        <v>226</v>
      </c>
      <c r="AJ200" s="484" t="s">
        <v>227</v>
      </c>
      <c r="AK200" s="485" t="s">
        <v>173</v>
      </c>
      <c r="AL200" s="490" t="s">
        <v>228</v>
      </c>
      <c r="AM200" s="491"/>
      <c r="AN200" s="491"/>
      <c r="AO200" s="484" t="s">
        <v>226</v>
      </c>
      <c r="AP200" s="484" t="s">
        <v>227</v>
      </c>
      <c r="AQ200" s="485" t="s">
        <v>173</v>
      </c>
      <c r="AR200" s="486" t="s">
        <v>164</v>
      </c>
      <c r="AS200" s="488" t="s">
        <v>174</v>
      </c>
    </row>
    <row r="201" spans="2:45" ht="58" outlineLevel="1" x14ac:dyDescent="0.35">
      <c r="B201" s="464"/>
      <c r="C201" s="465"/>
      <c r="D201" s="493"/>
      <c r="E201" s="495"/>
      <c r="F201" s="497"/>
      <c r="G201" s="495"/>
      <c r="H201" s="497"/>
      <c r="I201" s="495"/>
      <c r="J201" s="455"/>
      <c r="K201" s="495"/>
      <c r="L201" s="455"/>
      <c r="M201" s="495"/>
      <c r="N201" s="499"/>
      <c r="P201" s="495"/>
      <c r="Q201" s="484"/>
      <c r="R201" s="484"/>
      <c r="S201" s="500"/>
      <c r="T201" s="122" t="str">
        <f>"Διανεμόμενες ποσότητες σε πελάτες που συνδέθηκαν το "&amp;T199</f>
        <v>Διανεμόμενες ποσότητες σε πελάτες που συνδέθηκαν το 2025</v>
      </c>
      <c r="U201" s="105" t="str">
        <f>"Διανεμόμενες ποσότητες σε πελάτες που συνδέθηκαν το "&amp;P199</f>
        <v>Διανεμόμενες ποσότητες σε πελάτες που συνδέθηκαν το 2024</v>
      </c>
      <c r="V201" s="57" t="s">
        <v>229</v>
      </c>
      <c r="W201" s="484"/>
      <c r="X201" s="484"/>
      <c r="Y201" s="485"/>
      <c r="Z201" s="122" t="str">
        <f>"Διανεμόμενες ποσότητες σε πελάτες που συνδέθηκαν το "&amp;Z199</f>
        <v>Διανεμόμενες ποσότητες σε πελάτες που συνδέθηκαν το 2026</v>
      </c>
      <c r="AA201" s="105" t="str">
        <f>"Διανεμόμενες ποσότητες σε πελάτες που συνδέθηκαν το "&amp;$P$12&amp;" - "&amp;T199</f>
        <v>Διανεμόμενες ποσότητες σε πελάτες που συνδέθηκαν το 2024 - 2025</v>
      </c>
      <c r="AB201" s="57" t="s">
        <v>229</v>
      </c>
      <c r="AC201" s="484"/>
      <c r="AD201" s="484"/>
      <c r="AE201" s="485"/>
      <c r="AF201" s="122" t="str">
        <f>"Διανεμόμενες ποσότητες σε πελάτες που συνδέθηκαν το "&amp;AF199</f>
        <v>Διανεμόμενες ποσότητες σε πελάτες που συνδέθηκαν το 2027</v>
      </c>
      <c r="AG201" s="105" t="str">
        <f>"Διανεμόμενες ποσότητες σε πελάτες που συνδέθηκαν το "&amp;$P$12&amp;" - "&amp;Z199</f>
        <v>Διανεμόμενες ποσότητες σε πελάτες που συνδέθηκαν το 2024 - 2026</v>
      </c>
      <c r="AH201" s="57" t="s">
        <v>229</v>
      </c>
      <c r="AI201" s="484"/>
      <c r="AJ201" s="484"/>
      <c r="AK201" s="485"/>
      <c r="AL201" s="122" t="str">
        <f>"Διανεμόμενες ποσότητες σε πελάτες που συνδέθηκαν το "&amp;AL199</f>
        <v>Διανεμόμενες ποσότητες σε πελάτες που συνδέθηκαν το 2028</v>
      </c>
      <c r="AM201" s="105" t="str">
        <f>"Διανεμόμενες ποσότητες σε πελάτες που συνδέθηκαν το "&amp;$P$12&amp;" - "&amp;AF199</f>
        <v>Διανεμόμενες ποσότητες σε πελάτες που συνδέθηκαν το 2024 - 2027</v>
      </c>
      <c r="AN201" s="57" t="s">
        <v>229</v>
      </c>
      <c r="AO201" s="484"/>
      <c r="AP201" s="484"/>
      <c r="AQ201" s="485"/>
      <c r="AR201" s="487"/>
      <c r="AS201" s="489"/>
    </row>
    <row r="202" spans="2:45" outlineLevel="1" x14ac:dyDescent="0.35">
      <c r="B202" s="48" t="s">
        <v>74</v>
      </c>
      <c r="C202" s="62" t="s">
        <v>147</v>
      </c>
      <c r="D202" s="70">
        <v>4066.9115080294914</v>
      </c>
      <c r="E202" s="70">
        <v>2448.7170148678761</v>
      </c>
      <c r="F202" s="167">
        <f t="shared" ref="F202:F255" si="89">IFERROR((E202-D202)/D202,0)</f>
        <v>-0.39789272276191384</v>
      </c>
      <c r="G202" s="70">
        <v>3093.0250299236709</v>
      </c>
      <c r="H202" s="167">
        <f>IFERROR((G202-E202)/E202,0)</f>
        <v>0.26312065099550075</v>
      </c>
      <c r="I202" s="70">
        <v>2279.6999999999998</v>
      </c>
      <c r="J202" s="167">
        <f>IFERROR((I202-G202)/G202,0)</f>
        <v>-0.26295455809607277</v>
      </c>
      <c r="K202" s="70">
        <v>2407.4</v>
      </c>
      <c r="L202" s="167">
        <f>IFERROR((K202-I202)/I202,0)</f>
        <v>5.6016142474887169E-2</v>
      </c>
      <c r="M202" s="164">
        <f>D202+E202+G202+I202+K202</f>
        <v>14295.753552821037</v>
      </c>
      <c r="N202" s="165">
        <f t="shared" ref="N202:N256" si="90">IFERROR((K202/D202)^(1/4)-1,0)</f>
        <v>-0.12285602748216662</v>
      </c>
      <c r="P202" s="6"/>
      <c r="Q202" s="6">
        <v>2622.36</v>
      </c>
      <c r="R202" s="138">
        <f>P202+Q202</f>
        <v>2622.36</v>
      </c>
      <c r="S202" s="185">
        <f t="shared" ref="S202:S256" si="91">IFERROR((R202-K202)/K202,0)</f>
        <v>8.9291351665697447E-2</v>
      </c>
      <c r="T202" s="6">
        <v>31.52</v>
      </c>
      <c r="U202" s="6"/>
      <c r="V202" s="138">
        <f>T202+U202</f>
        <v>31.52</v>
      </c>
      <c r="W202" s="6">
        <v>2622.36</v>
      </c>
      <c r="X202" s="138">
        <f>V202+W202</f>
        <v>2653.88</v>
      </c>
      <c r="Y202" s="167">
        <f t="shared" ref="Y202:Y255" si="92">IFERROR((X202-R202)/R202,0)</f>
        <v>1.2019707439100649E-2</v>
      </c>
      <c r="Z202" s="70">
        <v>94.65</v>
      </c>
      <c r="AA202" s="6">
        <v>70.11</v>
      </c>
      <c r="AB202" s="138">
        <f>Z202+AA202</f>
        <v>164.76</v>
      </c>
      <c r="AC202" s="6">
        <v>2622.36</v>
      </c>
      <c r="AD202" s="138">
        <f>AB202+AC202</f>
        <v>2787.12</v>
      </c>
      <c r="AE202" s="167">
        <f>IFERROR((AD202-X202)/X202,0)</f>
        <v>5.0205736506548818E-2</v>
      </c>
      <c r="AF202" s="307">
        <v>94.73</v>
      </c>
      <c r="AG202" s="4">
        <v>280.44</v>
      </c>
      <c r="AH202" s="138">
        <f>AF202+AG202</f>
        <v>375.17</v>
      </c>
      <c r="AI202" s="6">
        <v>2622.36</v>
      </c>
      <c r="AJ202" s="138">
        <f>AH202+AI202</f>
        <v>2997.53</v>
      </c>
      <c r="AK202" s="167">
        <f>IFERROR((AJ202-AD202)/AD202,0)</f>
        <v>7.5493699589540567E-2</v>
      </c>
      <c r="AL202" s="6">
        <v>94.81</v>
      </c>
      <c r="AM202" s="6">
        <v>490.77</v>
      </c>
      <c r="AN202" s="138">
        <f>AL202+AM202</f>
        <v>585.57999999999993</v>
      </c>
      <c r="AO202" s="6">
        <v>2622.36</v>
      </c>
      <c r="AP202" s="138">
        <f>AN202+AO202</f>
        <v>3207.94</v>
      </c>
      <c r="AQ202" s="167">
        <f>IFERROR((AP202-AJ202)/AJ202,0)</f>
        <v>7.01944601054868E-2</v>
      </c>
      <c r="AR202" s="164">
        <f t="shared" ref="AR202:AR255" si="93">R202+X202+AD202+AJ202+AP202</f>
        <v>14268.83</v>
      </c>
      <c r="AS202" s="165">
        <f t="shared" ref="AS202:AS255" si="94">IFERROR((AP202/R202)^(1/4)-1,0)</f>
        <v>5.1679676284275944E-2</v>
      </c>
    </row>
    <row r="203" spans="2:45" outlineLevel="1" x14ac:dyDescent="0.35">
      <c r="B203" s="294" t="s">
        <v>75</v>
      </c>
      <c r="C203" s="62" t="s">
        <v>147</v>
      </c>
      <c r="D203" s="70">
        <v>25959.875947779179</v>
      </c>
      <c r="E203" s="70">
        <v>24673.506410040656</v>
      </c>
      <c r="F203" s="167">
        <f t="shared" si="89"/>
        <v>-4.9552222064781076E-2</v>
      </c>
      <c r="G203" s="70">
        <v>26709.534242785456</v>
      </c>
      <c r="H203" s="167">
        <f t="shared" ref="H203:H256" si="95">IFERROR((G203-E203)/E203,0)</f>
        <v>8.2518787516810202E-2</v>
      </c>
      <c r="I203" s="70">
        <v>25960.6</v>
      </c>
      <c r="J203" s="167">
        <f t="shared" ref="J203:J256" si="96">IFERROR((I203-G203)/G203,0)</f>
        <v>-2.8039958914212543E-2</v>
      </c>
      <c r="K203" s="70">
        <v>23250.7</v>
      </c>
      <c r="L203" s="167">
        <f t="shared" ref="L203:L255" si="97">IFERROR((K203-I203)/I203,0)</f>
        <v>-0.10438510666163332</v>
      </c>
      <c r="M203" s="164">
        <f t="shared" ref="M203:M255" si="98">D203+E203+G203+I203+K203</f>
        <v>126554.2166006053</v>
      </c>
      <c r="N203" s="165">
        <f t="shared" si="90"/>
        <v>-2.7178063853361523E-2</v>
      </c>
      <c r="P203" s="6">
        <v>78.040000000000006</v>
      </c>
      <c r="Q203" s="6">
        <v>25641.42</v>
      </c>
      <c r="R203" s="138">
        <f t="shared" ref="R203:R255" si="99">P203+Q203</f>
        <v>25719.46</v>
      </c>
      <c r="S203" s="185">
        <f t="shared" si="91"/>
        <v>0.10618002898837448</v>
      </c>
      <c r="T203" s="6">
        <v>94.56</v>
      </c>
      <c r="U203" s="6">
        <v>140.22</v>
      </c>
      <c r="V203" s="138">
        <f t="shared" ref="V203:V255" si="100">T203+U203</f>
        <v>234.78</v>
      </c>
      <c r="W203" s="6">
        <v>25641.42</v>
      </c>
      <c r="X203" s="138">
        <f t="shared" ref="X203:X255" si="101">V203+W203</f>
        <v>25876.199999999997</v>
      </c>
      <c r="Y203" s="167">
        <f t="shared" si="92"/>
        <v>6.0942181523250477E-3</v>
      </c>
      <c r="Z203" s="70">
        <v>94.65</v>
      </c>
      <c r="AA203" s="6">
        <v>350.55</v>
      </c>
      <c r="AB203" s="138">
        <f t="shared" ref="AB203:AB255" si="102">Z203+AA203</f>
        <v>445.20000000000005</v>
      </c>
      <c r="AC203" s="6">
        <v>25641.42</v>
      </c>
      <c r="AD203" s="138">
        <f t="shared" ref="AD203:AD255" si="103">AB203+AC203</f>
        <v>26086.62</v>
      </c>
      <c r="AE203" s="167">
        <f t="shared" ref="AE203:AE256" si="104">IFERROR((AD203-X203)/X203,0)</f>
        <v>8.1317967862360747E-3</v>
      </c>
      <c r="AF203" s="307">
        <v>94.73</v>
      </c>
      <c r="AG203" s="4">
        <v>560.88</v>
      </c>
      <c r="AH203" s="138">
        <f t="shared" ref="AH203:AH255" si="105">AF203+AG203</f>
        <v>655.61</v>
      </c>
      <c r="AI203" s="6">
        <v>25641.42</v>
      </c>
      <c r="AJ203" s="138">
        <f t="shared" ref="AJ203:AJ255" si="106">AH203+AI203</f>
        <v>26297.03</v>
      </c>
      <c r="AK203" s="167">
        <f t="shared" ref="AK203:AK256" si="107">IFERROR((AJ203-AD203)/AD203,0)</f>
        <v>8.065820715753895E-3</v>
      </c>
      <c r="AL203" s="6">
        <v>94.81</v>
      </c>
      <c r="AM203" s="6">
        <v>771.21</v>
      </c>
      <c r="AN203" s="138">
        <f t="shared" ref="AN203:AN255" si="108">AL203+AM203</f>
        <v>866.02</v>
      </c>
      <c r="AO203" s="6">
        <v>25641.42</v>
      </c>
      <c r="AP203" s="138">
        <f t="shared" ref="AP203:AP255" si="109">AN203+AO203</f>
        <v>26507.439999999999</v>
      </c>
      <c r="AQ203" s="167">
        <f t="shared" ref="AQ203:AQ255" si="110">IFERROR((AP203-AJ203)/AJ203,0)</f>
        <v>8.0012837951662173E-3</v>
      </c>
      <c r="AR203" s="164">
        <f t="shared" si="93"/>
        <v>130486.75</v>
      </c>
      <c r="AS203" s="165">
        <f t="shared" si="94"/>
        <v>7.5729167070051062E-3</v>
      </c>
    </row>
    <row r="204" spans="2:45" outlineLevel="1" x14ac:dyDescent="0.35">
      <c r="B204" s="294" t="s">
        <v>76</v>
      </c>
      <c r="C204" s="62" t="s">
        <v>147</v>
      </c>
      <c r="D204" s="70">
        <v>5977.5477925676232</v>
      </c>
      <c r="E204" s="70">
        <v>5211.4568903608333</v>
      </c>
      <c r="F204" s="167">
        <f t="shared" si="89"/>
        <v>-0.1281614014294179</v>
      </c>
      <c r="G204" s="70">
        <v>5748.4124884609328</v>
      </c>
      <c r="H204" s="167">
        <f t="shared" si="95"/>
        <v>0.10303368317087268</v>
      </c>
      <c r="I204" s="70">
        <v>5277.9</v>
      </c>
      <c r="J204" s="167">
        <f t="shared" si="96"/>
        <v>-8.1850856981021403E-2</v>
      </c>
      <c r="K204" s="70">
        <v>5142.3</v>
      </c>
      <c r="L204" s="167">
        <f t="shared" si="97"/>
        <v>-2.5692036605467983E-2</v>
      </c>
      <c r="M204" s="164">
        <f t="shared" si="98"/>
        <v>27357.617171389389</v>
      </c>
      <c r="N204" s="165">
        <f t="shared" si="90"/>
        <v>-3.6928373439565676E-2</v>
      </c>
      <c r="P204" s="6">
        <v>156.07</v>
      </c>
      <c r="Q204" s="6">
        <v>7703.17</v>
      </c>
      <c r="R204" s="138">
        <f t="shared" si="99"/>
        <v>7859.24</v>
      </c>
      <c r="S204" s="185">
        <f t="shared" si="91"/>
        <v>0.5283511269276393</v>
      </c>
      <c r="T204" s="6">
        <v>126.08</v>
      </c>
      <c r="U204" s="6">
        <v>280.44</v>
      </c>
      <c r="V204" s="138">
        <f t="shared" si="100"/>
        <v>406.52</v>
      </c>
      <c r="W204" s="6">
        <v>7703.17</v>
      </c>
      <c r="X204" s="138">
        <f t="shared" si="101"/>
        <v>8109.6900000000005</v>
      </c>
      <c r="Y204" s="167">
        <f t="shared" si="92"/>
        <v>3.1866948967075794E-2</v>
      </c>
      <c r="Z204" s="70">
        <v>220.85</v>
      </c>
      <c r="AA204" s="6">
        <v>560.88</v>
      </c>
      <c r="AB204" s="138">
        <f t="shared" si="102"/>
        <v>781.73</v>
      </c>
      <c r="AC204" s="6">
        <v>7703.17</v>
      </c>
      <c r="AD204" s="138">
        <f t="shared" si="103"/>
        <v>8484.9</v>
      </c>
      <c r="AE204" s="167">
        <f t="shared" si="104"/>
        <v>4.6266873333012618E-2</v>
      </c>
      <c r="AF204" s="307">
        <v>221.04</v>
      </c>
      <c r="AG204" s="4">
        <v>1051.6600000000001</v>
      </c>
      <c r="AH204" s="138">
        <f t="shared" si="105"/>
        <v>1272.7</v>
      </c>
      <c r="AI204" s="6">
        <v>7703.17</v>
      </c>
      <c r="AJ204" s="138">
        <f t="shared" si="106"/>
        <v>8975.8700000000008</v>
      </c>
      <c r="AK204" s="167">
        <f t="shared" si="107"/>
        <v>5.7863970111610173E-2</v>
      </c>
      <c r="AL204" s="6">
        <v>252.83</v>
      </c>
      <c r="AM204" s="6">
        <v>1542.43</v>
      </c>
      <c r="AN204" s="138">
        <f t="shared" si="108"/>
        <v>1795.26</v>
      </c>
      <c r="AO204" s="6">
        <v>7703.17</v>
      </c>
      <c r="AP204" s="138">
        <f t="shared" si="109"/>
        <v>9498.43</v>
      </c>
      <c r="AQ204" s="167">
        <f t="shared" si="110"/>
        <v>5.8218311985356229E-2</v>
      </c>
      <c r="AR204" s="164">
        <f t="shared" si="93"/>
        <v>42928.130000000005</v>
      </c>
      <c r="AS204" s="165">
        <f t="shared" si="94"/>
        <v>4.8498512886667511E-2</v>
      </c>
    </row>
    <row r="205" spans="2:45" outlineLevel="1" x14ac:dyDescent="0.35">
      <c r="B205" s="294" t="s">
        <v>77</v>
      </c>
      <c r="C205" s="62" t="s">
        <v>147</v>
      </c>
      <c r="D205" s="70">
        <v>1656.2176955137973</v>
      </c>
      <c r="E205" s="70">
        <v>1362.7395147496181</v>
      </c>
      <c r="F205" s="167">
        <f t="shared" si="89"/>
        <v>-0.17719782946355694</v>
      </c>
      <c r="G205" s="70">
        <v>1346.2176493672659</v>
      </c>
      <c r="H205" s="167">
        <f t="shared" si="95"/>
        <v>-1.2124008442939897E-2</v>
      </c>
      <c r="I205" s="70">
        <v>1495.4</v>
      </c>
      <c r="J205" s="167">
        <f t="shared" si="96"/>
        <v>0.11081592244972509</v>
      </c>
      <c r="K205" s="70">
        <v>1646.1</v>
      </c>
      <c r="L205" s="167">
        <f t="shared" si="97"/>
        <v>0.10077571218403091</v>
      </c>
      <c r="M205" s="164">
        <f t="shared" si="98"/>
        <v>7506.6748596306825</v>
      </c>
      <c r="N205" s="165">
        <f t="shared" si="90"/>
        <v>-1.5307402740977194E-3</v>
      </c>
      <c r="P205" s="6">
        <v>39.020000000000003</v>
      </c>
      <c r="Q205" s="6">
        <v>2540.41</v>
      </c>
      <c r="R205" s="138">
        <f t="shared" si="99"/>
        <v>2579.4299999999998</v>
      </c>
      <c r="S205" s="185">
        <f t="shared" si="91"/>
        <v>0.56699471478038999</v>
      </c>
      <c r="T205" s="6">
        <v>31.52</v>
      </c>
      <c r="U205" s="6">
        <v>70.11</v>
      </c>
      <c r="V205" s="138">
        <f t="shared" si="100"/>
        <v>101.63</v>
      </c>
      <c r="W205" s="6">
        <v>2540.41</v>
      </c>
      <c r="X205" s="138">
        <f t="shared" si="101"/>
        <v>2642.04</v>
      </c>
      <c r="Y205" s="167">
        <f t="shared" si="92"/>
        <v>2.4272804456798646E-2</v>
      </c>
      <c r="Z205" s="70">
        <v>31.55</v>
      </c>
      <c r="AA205" s="6">
        <v>140.22</v>
      </c>
      <c r="AB205" s="138">
        <f t="shared" si="102"/>
        <v>171.77</v>
      </c>
      <c r="AC205" s="6">
        <v>2540.41</v>
      </c>
      <c r="AD205" s="138">
        <f t="shared" si="103"/>
        <v>2712.18</v>
      </c>
      <c r="AE205" s="167">
        <f t="shared" si="104"/>
        <v>2.6547667711313935E-2</v>
      </c>
      <c r="AF205" s="307">
        <v>63.16</v>
      </c>
      <c r="AG205" s="4">
        <v>210.33</v>
      </c>
      <c r="AH205" s="138">
        <f t="shared" si="105"/>
        <v>273.49</v>
      </c>
      <c r="AI205" s="6">
        <v>2540.41</v>
      </c>
      <c r="AJ205" s="138">
        <f t="shared" si="106"/>
        <v>2813.8999999999996</v>
      </c>
      <c r="AK205" s="167">
        <f t="shared" si="107"/>
        <v>3.7504885368965117E-2</v>
      </c>
      <c r="AL205" s="6">
        <v>31.6</v>
      </c>
      <c r="AM205" s="6">
        <v>350.55</v>
      </c>
      <c r="AN205" s="138">
        <f t="shared" si="108"/>
        <v>382.15000000000003</v>
      </c>
      <c r="AO205" s="6">
        <v>2540.41</v>
      </c>
      <c r="AP205" s="138">
        <f t="shared" si="109"/>
        <v>2922.56</v>
      </c>
      <c r="AQ205" s="167">
        <f t="shared" si="110"/>
        <v>3.8615444756388048E-2</v>
      </c>
      <c r="AR205" s="164">
        <f t="shared" si="93"/>
        <v>13670.109999999999</v>
      </c>
      <c r="AS205" s="165">
        <f t="shared" si="94"/>
        <v>3.1715421897768437E-2</v>
      </c>
    </row>
    <row r="206" spans="2:45" outlineLevel="1" x14ac:dyDescent="0.35">
      <c r="B206" s="294" t="s">
        <v>78</v>
      </c>
      <c r="C206" s="62" t="s">
        <v>147</v>
      </c>
      <c r="D206" s="70">
        <v>437614.94419607706</v>
      </c>
      <c r="E206" s="70">
        <v>365805.32342884544</v>
      </c>
      <c r="F206" s="167">
        <f t="shared" si="89"/>
        <v>-0.16409316390954126</v>
      </c>
      <c r="G206" s="70">
        <v>389504.16429153027</v>
      </c>
      <c r="H206" s="167">
        <f t="shared" si="95"/>
        <v>6.4785390875522889E-2</v>
      </c>
      <c r="I206" s="70">
        <v>389506</v>
      </c>
      <c r="J206" s="167">
        <f t="shared" si="96"/>
        <v>4.7129366975408346E-6</v>
      </c>
      <c r="K206" s="70">
        <v>384706.7</v>
      </c>
      <c r="L206" s="167">
        <f t="shared" si="97"/>
        <v>-1.2321504675152599E-2</v>
      </c>
      <c r="M206" s="164">
        <f t="shared" si="98"/>
        <v>1967137.1319164529</v>
      </c>
      <c r="N206" s="165">
        <f t="shared" si="90"/>
        <v>-3.1701182692441821E-2</v>
      </c>
      <c r="P206" s="6">
        <v>6390</v>
      </c>
      <c r="Q206" s="6">
        <v>420231.9</v>
      </c>
      <c r="R206" s="138">
        <f t="shared" si="99"/>
        <v>426621.9</v>
      </c>
      <c r="S206" s="185">
        <f t="shared" si="91"/>
        <v>0.10895365222388903</v>
      </c>
      <c r="T206" s="6">
        <v>2868.38</v>
      </c>
      <c r="U206" s="6">
        <v>15771.38</v>
      </c>
      <c r="V206" s="138">
        <f t="shared" si="100"/>
        <v>18639.759999999998</v>
      </c>
      <c r="W206" s="6">
        <v>420231.9</v>
      </c>
      <c r="X206" s="138">
        <f t="shared" si="101"/>
        <v>438871.66000000003</v>
      </c>
      <c r="Y206" s="167">
        <f t="shared" si="92"/>
        <v>2.8713387662471168E-2</v>
      </c>
      <c r="Z206" s="70">
        <v>4774.01</v>
      </c>
      <c r="AA206" s="6">
        <v>22151.42</v>
      </c>
      <c r="AB206" s="138">
        <f t="shared" si="102"/>
        <v>26925.43</v>
      </c>
      <c r="AC206" s="6">
        <v>420231.9</v>
      </c>
      <c r="AD206" s="138">
        <f t="shared" si="103"/>
        <v>447157.33</v>
      </c>
      <c r="AE206" s="167">
        <f t="shared" si="104"/>
        <v>1.8879482899397018E-2</v>
      </c>
      <c r="AF206" s="307">
        <v>2494.52</v>
      </c>
      <c r="AG206" s="4">
        <v>33686.870000000003</v>
      </c>
      <c r="AH206" s="138">
        <f t="shared" si="105"/>
        <v>36181.39</v>
      </c>
      <c r="AI206" s="6">
        <v>420231.9</v>
      </c>
      <c r="AJ206" s="138">
        <f t="shared" si="106"/>
        <v>456413.29000000004</v>
      </c>
      <c r="AK206" s="167">
        <f t="shared" si="107"/>
        <v>2.0699560040757962E-2</v>
      </c>
      <c r="AL206" s="6">
        <v>2149.06</v>
      </c>
      <c r="AM206" s="6">
        <v>40396.49</v>
      </c>
      <c r="AN206" s="138">
        <f t="shared" si="108"/>
        <v>42545.549999999996</v>
      </c>
      <c r="AO206" s="6">
        <v>420231.9</v>
      </c>
      <c r="AP206" s="138">
        <f t="shared" si="109"/>
        <v>462777.45</v>
      </c>
      <c r="AQ206" s="167">
        <f t="shared" si="110"/>
        <v>1.3943853387792398E-2</v>
      </c>
      <c r="AR206" s="164">
        <f t="shared" si="93"/>
        <v>2231841.6300000004</v>
      </c>
      <c r="AS206" s="165">
        <f t="shared" si="94"/>
        <v>2.0545238503338226E-2</v>
      </c>
    </row>
    <row r="207" spans="2:45" outlineLevel="1" x14ac:dyDescent="0.35">
      <c r="B207" s="294" t="s">
        <v>79</v>
      </c>
      <c r="C207" s="62" t="s">
        <v>147</v>
      </c>
      <c r="D207" s="70">
        <v>17903.270270651534</v>
      </c>
      <c r="E207" s="70">
        <v>14679.907672147279</v>
      </c>
      <c r="F207" s="167">
        <f t="shared" si="89"/>
        <v>-0.18004322952037691</v>
      </c>
      <c r="G207" s="70">
        <v>17078.938855943888</v>
      </c>
      <c r="H207" s="167">
        <f t="shared" si="95"/>
        <v>0.1634227705906065</v>
      </c>
      <c r="I207" s="70">
        <v>16764.400000000001</v>
      </c>
      <c r="J207" s="167">
        <f t="shared" si="96"/>
        <v>-1.8416768078914916E-2</v>
      </c>
      <c r="K207" s="70">
        <v>16752</v>
      </c>
      <c r="L207" s="167">
        <f t="shared" si="97"/>
        <v>-7.3966261840575595E-4</v>
      </c>
      <c r="M207" s="164">
        <f t="shared" si="98"/>
        <v>83178.516798742698</v>
      </c>
      <c r="N207" s="165">
        <f t="shared" si="90"/>
        <v>-1.6479143211640679E-2</v>
      </c>
      <c r="P207" s="6">
        <v>39.020000000000003</v>
      </c>
      <c r="Q207" s="6">
        <v>19594.349999999999</v>
      </c>
      <c r="R207" s="138">
        <f t="shared" si="99"/>
        <v>19633.37</v>
      </c>
      <c r="S207" s="185">
        <f t="shared" si="91"/>
        <v>0.17200155205348608</v>
      </c>
      <c r="T207" s="6">
        <v>31.52</v>
      </c>
      <c r="U207" s="6">
        <v>70.11</v>
      </c>
      <c r="V207" s="138">
        <f t="shared" si="100"/>
        <v>101.63</v>
      </c>
      <c r="W207" s="6">
        <v>19594.349999999999</v>
      </c>
      <c r="X207" s="138">
        <f t="shared" si="101"/>
        <v>19695.98</v>
      </c>
      <c r="Y207" s="167">
        <f t="shared" si="92"/>
        <v>3.1889583907398775E-3</v>
      </c>
      <c r="Z207" s="70">
        <v>31.55</v>
      </c>
      <c r="AA207" s="6">
        <v>140.22</v>
      </c>
      <c r="AB207" s="138">
        <f t="shared" si="102"/>
        <v>171.77</v>
      </c>
      <c r="AC207" s="6">
        <v>19594.349999999999</v>
      </c>
      <c r="AD207" s="138">
        <f t="shared" si="103"/>
        <v>19766.12</v>
      </c>
      <c r="AE207" s="167">
        <f t="shared" si="104"/>
        <v>3.5611327793793161E-3</v>
      </c>
      <c r="AF207" s="307">
        <v>31.58</v>
      </c>
      <c r="AG207" s="4">
        <v>210.33</v>
      </c>
      <c r="AH207" s="138">
        <f t="shared" si="105"/>
        <v>241.91000000000003</v>
      </c>
      <c r="AI207" s="6">
        <v>19594.349999999999</v>
      </c>
      <c r="AJ207" s="138">
        <f t="shared" si="106"/>
        <v>19836.259999999998</v>
      </c>
      <c r="AK207" s="167">
        <f t="shared" si="107"/>
        <v>3.5484961135518463E-3</v>
      </c>
      <c r="AL207" s="6">
        <v>63.21</v>
      </c>
      <c r="AM207" s="6">
        <v>280.44</v>
      </c>
      <c r="AN207" s="138">
        <f t="shared" si="108"/>
        <v>343.65</v>
      </c>
      <c r="AO207" s="6">
        <v>19594.349999999999</v>
      </c>
      <c r="AP207" s="138">
        <f t="shared" si="109"/>
        <v>19938</v>
      </c>
      <c r="AQ207" s="167">
        <f t="shared" si="110"/>
        <v>5.1289910497241721E-3</v>
      </c>
      <c r="AR207" s="164">
        <f t="shared" si="93"/>
        <v>98869.73</v>
      </c>
      <c r="AS207" s="165">
        <f t="shared" si="94"/>
        <v>3.8566149342509348E-3</v>
      </c>
    </row>
    <row r="208" spans="2:45" outlineLevel="1" x14ac:dyDescent="0.35">
      <c r="B208" s="294" t="s">
        <v>80</v>
      </c>
      <c r="C208" s="62" t="s">
        <v>147</v>
      </c>
      <c r="D208" s="70">
        <v>5754.504952066005</v>
      </c>
      <c r="E208" s="70">
        <v>4355.7822449504702</v>
      </c>
      <c r="F208" s="167">
        <f t="shared" si="89"/>
        <v>-0.24306568832013253</v>
      </c>
      <c r="G208" s="70">
        <v>4235.51232997222</v>
      </c>
      <c r="H208" s="167">
        <f t="shared" si="95"/>
        <v>-2.761155361190876E-2</v>
      </c>
      <c r="I208" s="70">
        <v>5426.6</v>
      </c>
      <c r="J208" s="167">
        <f t="shared" si="96"/>
        <v>0.28121454436554372</v>
      </c>
      <c r="K208" s="70">
        <v>5229.1000000000004</v>
      </c>
      <c r="L208" s="167">
        <f t="shared" si="97"/>
        <v>-3.6394796004864921E-2</v>
      </c>
      <c r="M208" s="164">
        <f t="shared" si="98"/>
        <v>25001.499526988693</v>
      </c>
      <c r="N208" s="165">
        <f t="shared" si="90"/>
        <v>-2.365176662080215E-2</v>
      </c>
      <c r="P208" s="6">
        <v>195.09</v>
      </c>
      <c r="Q208" s="6">
        <v>6509.23</v>
      </c>
      <c r="R208" s="138">
        <f t="shared" si="99"/>
        <v>6704.32</v>
      </c>
      <c r="S208" s="185">
        <f t="shared" si="91"/>
        <v>0.28211738157617933</v>
      </c>
      <c r="T208" s="6">
        <v>157.6</v>
      </c>
      <c r="U208" s="6">
        <v>350.55</v>
      </c>
      <c r="V208" s="138">
        <f t="shared" si="100"/>
        <v>508.15</v>
      </c>
      <c r="W208" s="6">
        <v>6509.23</v>
      </c>
      <c r="X208" s="138">
        <f t="shared" si="101"/>
        <v>7017.3799999999992</v>
      </c>
      <c r="Y208" s="167">
        <f t="shared" si="92"/>
        <v>4.6695265142475226E-2</v>
      </c>
      <c r="Z208" s="70">
        <v>126.2</v>
      </c>
      <c r="AA208" s="6">
        <v>701.1</v>
      </c>
      <c r="AB208" s="138">
        <f t="shared" si="102"/>
        <v>827.30000000000007</v>
      </c>
      <c r="AC208" s="6">
        <v>6509.23</v>
      </c>
      <c r="AD208" s="138">
        <f t="shared" si="103"/>
        <v>7336.53</v>
      </c>
      <c r="AE208" s="167">
        <f t="shared" si="104"/>
        <v>4.5479936956528015E-2</v>
      </c>
      <c r="AF208" s="307">
        <v>126.31</v>
      </c>
      <c r="AG208" s="4">
        <v>981.54</v>
      </c>
      <c r="AH208" s="138">
        <f t="shared" si="105"/>
        <v>1107.8499999999999</v>
      </c>
      <c r="AI208" s="6">
        <v>6509.23</v>
      </c>
      <c r="AJ208" s="138">
        <f t="shared" si="106"/>
        <v>7617.08</v>
      </c>
      <c r="AK208" s="167">
        <f t="shared" si="107"/>
        <v>3.8240148953251771E-2</v>
      </c>
      <c r="AL208" s="6">
        <v>94.81</v>
      </c>
      <c r="AM208" s="6">
        <v>1261.99</v>
      </c>
      <c r="AN208" s="138">
        <f t="shared" si="108"/>
        <v>1356.8</v>
      </c>
      <c r="AO208" s="6">
        <v>6509.23</v>
      </c>
      <c r="AP208" s="138">
        <f t="shared" si="109"/>
        <v>7866.03</v>
      </c>
      <c r="AQ208" s="167">
        <f t="shared" si="110"/>
        <v>3.2683127917784743E-2</v>
      </c>
      <c r="AR208" s="164">
        <f t="shared" si="93"/>
        <v>36541.339999999997</v>
      </c>
      <c r="AS208" s="165">
        <f t="shared" si="94"/>
        <v>4.0759097437306435E-2</v>
      </c>
    </row>
    <row r="209" spans="2:45" outlineLevel="1" x14ac:dyDescent="0.35">
      <c r="B209" s="294" t="s">
        <v>81</v>
      </c>
      <c r="C209" s="62" t="s">
        <v>147</v>
      </c>
      <c r="D209" s="70">
        <v>103652.91736165453</v>
      </c>
      <c r="E209" s="70">
        <v>97143.046839665069</v>
      </c>
      <c r="F209" s="167">
        <f t="shared" si="89"/>
        <v>-6.2804508427639585E-2</v>
      </c>
      <c r="G209" s="70">
        <v>94306.580008769466</v>
      </c>
      <c r="H209" s="167">
        <f t="shared" si="95"/>
        <v>-2.9198866240804661E-2</v>
      </c>
      <c r="I209" s="70">
        <v>92912</v>
      </c>
      <c r="J209" s="167">
        <f t="shared" si="96"/>
        <v>-1.4787727522722015E-2</v>
      </c>
      <c r="K209" s="70">
        <v>86197.7</v>
      </c>
      <c r="L209" s="167">
        <f t="shared" si="97"/>
        <v>-7.2265154124332737E-2</v>
      </c>
      <c r="M209" s="164">
        <f t="shared" si="98"/>
        <v>474212.24421008909</v>
      </c>
      <c r="N209" s="165">
        <f t="shared" si="90"/>
        <v>-4.5054609057944006E-2</v>
      </c>
      <c r="P209" s="6">
        <v>195.09</v>
      </c>
      <c r="Q209" s="6">
        <v>84461.94</v>
      </c>
      <c r="R209" s="138">
        <f t="shared" si="99"/>
        <v>84657.03</v>
      </c>
      <c r="S209" s="185">
        <f t="shared" si="91"/>
        <v>-1.7873678764050528E-2</v>
      </c>
      <c r="T209" s="6">
        <v>126.08</v>
      </c>
      <c r="U209" s="6">
        <v>350.55</v>
      </c>
      <c r="V209" s="138">
        <f t="shared" si="100"/>
        <v>476.63</v>
      </c>
      <c r="W209" s="6">
        <v>84461.94</v>
      </c>
      <c r="X209" s="138">
        <f t="shared" si="101"/>
        <v>84938.57</v>
      </c>
      <c r="Y209" s="167">
        <f t="shared" si="92"/>
        <v>3.3256541128363249E-3</v>
      </c>
      <c r="Z209" s="70">
        <v>126.2</v>
      </c>
      <c r="AA209" s="6">
        <v>630.99</v>
      </c>
      <c r="AB209" s="138">
        <f t="shared" si="102"/>
        <v>757.19</v>
      </c>
      <c r="AC209" s="6">
        <v>84461.94</v>
      </c>
      <c r="AD209" s="138">
        <f t="shared" si="103"/>
        <v>85219.13</v>
      </c>
      <c r="AE209" s="167">
        <f t="shared" si="104"/>
        <v>3.3030930471280319E-3</v>
      </c>
      <c r="AF209" s="307">
        <v>94.73</v>
      </c>
      <c r="AG209" s="4">
        <v>911.43</v>
      </c>
      <c r="AH209" s="138">
        <f t="shared" si="105"/>
        <v>1006.16</v>
      </c>
      <c r="AI209" s="6">
        <v>84461.94</v>
      </c>
      <c r="AJ209" s="138">
        <f t="shared" si="106"/>
        <v>85468.1</v>
      </c>
      <c r="AK209" s="167">
        <f t="shared" si="107"/>
        <v>2.9215271265970581E-3</v>
      </c>
      <c r="AL209" s="6">
        <v>63.21</v>
      </c>
      <c r="AM209" s="6">
        <v>1121.77</v>
      </c>
      <c r="AN209" s="138">
        <f t="shared" si="108"/>
        <v>1184.98</v>
      </c>
      <c r="AO209" s="6">
        <v>84461.94</v>
      </c>
      <c r="AP209" s="138">
        <f t="shared" si="109"/>
        <v>85646.92</v>
      </c>
      <c r="AQ209" s="167">
        <f t="shared" si="110"/>
        <v>2.0922426027955741E-3</v>
      </c>
      <c r="AR209" s="164">
        <f t="shared" si="93"/>
        <v>425929.75</v>
      </c>
      <c r="AS209" s="165">
        <f t="shared" si="94"/>
        <v>2.9105050305935354E-3</v>
      </c>
    </row>
    <row r="210" spans="2:45" outlineLevel="1" x14ac:dyDescent="0.35">
      <c r="B210" s="294" t="s">
        <v>82</v>
      </c>
      <c r="C210" s="62" t="s">
        <v>147</v>
      </c>
      <c r="D210" s="70">
        <v>4524.8894277949157</v>
      </c>
      <c r="E210" s="70">
        <v>4616.3348903569058</v>
      </c>
      <c r="F210" s="167">
        <f t="shared" si="89"/>
        <v>2.0209435837320253E-2</v>
      </c>
      <c r="G210" s="70">
        <v>5492.9895520729942</v>
      </c>
      <c r="H210" s="167">
        <f t="shared" si="95"/>
        <v>0.18990274374316701</v>
      </c>
      <c r="I210" s="70">
        <v>3407.7</v>
      </c>
      <c r="J210" s="167">
        <f t="shared" si="96"/>
        <v>-0.37962743826556689</v>
      </c>
      <c r="K210" s="70">
        <v>3304.8</v>
      </c>
      <c r="L210" s="167">
        <f t="shared" si="97"/>
        <v>-3.0196320098600123E-2</v>
      </c>
      <c r="M210" s="164">
        <f t="shared" si="98"/>
        <v>21346.713870224816</v>
      </c>
      <c r="N210" s="165">
        <f t="shared" si="90"/>
        <v>-7.5548135447963127E-2</v>
      </c>
      <c r="P210" s="6"/>
      <c r="Q210" s="6">
        <v>845.35</v>
      </c>
      <c r="R210" s="138">
        <f t="shared" si="99"/>
        <v>845.35</v>
      </c>
      <c r="S210" s="185">
        <f t="shared" si="91"/>
        <v>-0.74420539820866627</v>
      </c>
      <c r="T210" s="6"/>
      <c r="U210" s="6"/>
      <c r="V210" s="138">
        <f t="shared" si="100"/>
        <v>0</v>
      </c>
      <c r="W210" s="6">
        <v>845.35</v>
      </c>
      <c r="X210" s="138">
        <f t="shared" si="101"/>
        <v>845.35</v>
      </c>
      <c r="Y210" s="167">
        <f t="shared" si="92"/>
        <v>0</v>
      </c>
      <c r="Z210" s="70"/>
      <c r="AA210" s="6">
        <v>0</v>
      </c>
      <c r="AB210" s="138">
        <f t="shared" si="102"/>
        <v>0</v>
      </c>
      <c r="AC210" s="6">
        <v>845.35</v>
      </c>
      <c r="AD210" s="138">
        <f t="shared" si="103"/>
        <v>845.35</v>
      </c>
      <c r="AE210" s="167">
        <f t="shared" si="104"/>
        <v>0</v>
      </c>
      <c r="AF210" s="307"/>
      <c r="AG210" s="4"/>
      <c r="AH210" s="138">
        <f t="shared" si="105"/>
        <v>0</v>
      </c>
      <c r="AI210" s="6">
        <v>845.35</v>
      </c>
      <c r="AJ210" s="138">
        <f t="shared" si="106"/>
        <v>845.35</v>
      </c>
      <c r="AK210" s="167">
        <f t="shared" si="107"/>
        <v>0</v>
      </c>
      <c r="AL210" s="6"/>
      <c r="AM210" s="6"/>
      <c r="AN210" s="138">
        <f t="shared" si="108"/>
        <v>0</v>
      </c>
      <c r="AO210" s="6">
        <v>845.35</v>
      </c>
      <c r="AP210" s="138">
        <f t="shared" si="109"/>
        <v>845.35</v>
      </c>
      <c r="AQ210" s="167">
        <f t="shared" si="110"/>
        <v>0</v>
      </c>
      <c r="AR210" s="164">
        <f t="shared" si="93"/>
        <v>4226.75</v>
      </c>
      <c r="AS210" s="165">
        <f t="shared" si="94"/>
        <v>0</v>
      </c>
    </row>
    <row r="211" spans="2:45" outlineLevel="1" x14ac:dyDescent="0.35">
      <c r="B211" s="294" t="s">
        <v>83</v>
      </c>
      <c r="C211" s="62" t="s">
        <v>147</v>
      </c>
      <c r="D211" s="70">
        <v>8961.9093919238167</v>
      </c>
      <c r="E211" s="70">
        <v>10340.112713982111</v>
      </c>
      <c r="F211" s="167">
        <f t="shared" si="89"/>
        <v>0.15378456328740467</v>
      </c>
      <c r="G211" s="70">
        <v>11602.85008174621</v>
      </c>
      <c r="H211" s="167">
        <f t="shared" si="95"/>
        <v>0.12212027109304135</v>
      </c>
      <c r="I211" s="70">
        <v>10900.7</v>
      </c>
      <c r="J211" s="167">
        <f t="shared" si="96"/>
        <v>-6.0515311048519281E-2</v>
      </c>
      <c r="K211" s="70">
        <v>9453</v>
      </c>
      <c r="L211" s="167">
        <f t="shared" si="97"/>
        <v>-0.13280798480831513</v>
      </c>
      <c r="M211" s="164">
        <f t="shared" si="98"/>
        <v>51258.572187652142</v>
      </c>
      <c r="N211" s="165">
        <f t="shared" si="90"/>
        <v>1.342654867724713E-2</v>
      </c>
      <c r="P211" s="6">
        <v>1478.4</v>
      </c>
      <c r="Q211" s="6">
        <v>3893.08</v>
      </c>
      <c r="R211" s="138">
        <f t="shared" si="99"/>
        <v>5371.48</v>
      </c>
      <c r="S211" s="185">
        <f t="shared" si="91"/>
        <v>-0.43176980852639379</v>
      </c>
      <c r="T211" s="6">
        <v>126.08</v>
      </c>
      <c r="U211" s="6">
        <v>2579.14</v>
      </c>
      <c r="V211" s="138">
        <f t="shared" si="100"/>
        <v>2705.22</v>
      </c>
      <c r="W211" s="6">
        <v>3893.08</v>
      </c>
      <c r="X211" s="138">
        <f t="shared" si="101"/>
        <v>6598.2999999999993</v>
      </c>
      <c r="Y211" s="167">
        <f t="shared" si="92"/>
        <v>0.22839515366342233</v>
      </c>
      <c r="Z211" s="70">
        <v>126.2</v>
      </c>
      <c r="AA211" s="6">
        <v>2859.58</v>
      </c>
      <c r="AB211" s="138">
        <f t="shared" si="102"/>
        <v>2985.7799999999997</v>
      </c>
      <c r="AC211" s="6">
        <v>3893.08</v>
      </c>
      <c r="AD211" s="138">
        <f t="shared" si="103"/>
        <v>6878.86</v>
      </c>
      <c r="AE211" s="167">
        <f t="shared" si="104"/>
        <v>4.2520043041389517E-2</v>
      </c>
      <c r="AF211" s="307">
        <v>126.31</v>
      </c>
      <c r="AG211" s="4">
        <v>3140.02</v>
      </c>
      <c r="AH211" s="138">
        <f t="shared" si="105"/>
        <v>3266.33</v>
      </c>
      <c r="AI211" s="6">
        <v>3893.08</v>
      </c>
      <c r="AJ211" s="138">
        <f t="shared" si="106"/>
        <v>7159.41</v>
      </c>
      <c r="AK211" s="167">
        <f t="shared" si="107"/>
        <v>4.0784374155019898E-2</v>
      </c>
      <c r="AL211" s="6">
        <v>94.81</v>
      </c>
      <c r="AM211" s="6">
        <v>3420.47</v>
      </c>
      <c r="AN211" s="138">
        <f t="shared" si="108"/>
        <v>3515.2799999999997</v>
      </c>
      <c r="AO211" s="6">
        <v>3893.08</v>
      </c>
      <c r="AP211" s="138">
        <f t="shared" si="109"/>
        <v>7408.36</v>
      </c>
      <c r="AQ211" s="167">
        <f t="shared" si="110"/>
        <v>3.4772418397605365E-2</v>
      </c>
      <c r="AR211" s="164">
        <f t="shared" si="93"/>
        <v>33416.409999999996</v>
      </c>
      <c r="AS211" s="165">
        <f t="shared" si="94"/>
        <v>8.369489814893849E-2</v>
      </c>
    </row>
    <row r="212" spans="2:45" outlineLevel="1" x14ac:dyDescent="0.35">
      <c r="B212" s="294" t="s">
        <v>84</v>
      </c>
      <c r="C212" s="62" t="s">
        <v>147</v>
      </c>
      <c r="D212" s="70">
        <v>5485.7817055582309</v>
      </c>
      <c r="E212" s="70">
        <v>5223.6866510960244</v>
      </c>
      <c r="F212" s="167">
        <f t="shared" si="89"/>
        <v>-4.7777157118127758E-2</v>
      </c>
      <c r="G212" s="70">
        <v>5456.5895449966974</v>
      </c>
      <c r="H212" s="167">
        <f t="shared" si="95"/>
        <v>4.4585923593216628E-2</v>
      </c>
      <c r="I212" s="70">
        <v>8348</v>
      </c>
      <c r="J212" s="167">
        <f t="shared" si="96"/>
        <v>0.52989333926619409</v>
      </c>
      <c r="K212" s="70">
        <v>9494.2999999999993</v>
      </c>
      <c r="L212" s="167">
        <f t="shared" si="97"/>
        <v>0.13731432678485855</v>
      </c>
      <c r="M212" s="164">
        <f t="shared" si="98"/>
        <v>34008.357901650947</v>
      </c>
      <c r="N212" s="165">
        <f t="shared" si="90"/>
        <v>0.14698069196795949</v>
      </c>
      <c r="P212" s="6">
        <v>1784.82</v>
      </c>
      <c r="Q212" s="6">
        <v>10552.76</v>
      </c>
      <c r="R212" s="138">
        <f t="shared" si="99"/>
        <v>12337.58</v>
      </c>
      <c r="S212" s="185">
        <f t="shared" si="91"/>
        <v>0.2994723149679282</v>
      </c>
      <c r="T212" s="6">
        <v>94.56</v>
      </c>
      <c r="U212" s="6">
        <v>5886.97</v>
      </c>
      <c r="V212" s="138">
        <f t="shared" si="100"/>
        <v>5981.5300000000007</v>
      </c>
      <c r="W212" s="6">
        <v>10552.76</v>
      </c>
      <c r="X212" s="138">
        <f t="shared" si="101"/>
        <v>16534.29</v>
      </c>
      <c r="Y212" s="167">
        <f t="shared" si="92"/>
        <v>0.3401566595718124</v>
      </c>
      <c r="Z212" s="70">
        <v>126.2</v>
      </c>
      <c r="AA212" s="6">
        <v>6097.3</v>
      </c>
      <c r="AB212" s="138">
        <f t="shared" si="102"/>
        <v>6223.5</v>
      </c>
      <c r="AC212" s="6">
        <v>10552.76</v>
      </c>
      <c r="AD212" s="138">
        <f t="shared" si="103"/>
        <v>16776.260000000002</v>
      </c>
      <c r="AE212" s="167">
        <f t="shared" si="104"/>
        <v>1.4634435467141386E-2</v>
      </c>
      <c r="AF212" s="307">
        <v>157.88999999999999</v>
      </c>
      <c r="AG212" s="4">
        <v>6377.74</v>
      </c>
      <c r="AH212" s="138">
        <f t="shared" si="105"/>
        <v>6535.63</v>
      </c>
      <c r="AI212" s="6">
        <v>10552.76</v>
      </c>
      <c r="AJ212" s="138">
        <f t="shared" si="106"/>
        <v>17088.39</v>
      </c>
      <c r="AK212" s="167">
        <f t="shared" si="107"/>
        <v>1.8605457950699223E-2</v>
      </c>
      <c r="AL212" s="6">
        <v>158.02000000000001</v>
      </c>
      <c r="AM212" s="6">
        <v>6728.29</v>
      </c>
      <c r="AN212" s="138">
        <f t="shared" si="108"/>
        <v>6886.31</v>
      </c>
      <c r="AO212" s="6">
        <v>10552.76</v>
      </c>
      <c r="AP212" s="138">
        <f t="shared" si="109"/>
        <v>17439.07</v>
      </c>
      <c r="AQ212" s="167">
        <f t="shared" si="110"/>
        <v>2.0521535381624618E-2</v>
      </c>
      <c r="AR212" s="164">
        <f t="shared" si="93"/>
        <v>80175.59</v>
      </c>
      <c r="AS212" s="165">
        <f t="shared" si="94"/>
        <v>9.0368596042391669E-2</v>
      </c>
    </row>
    <row r="213" spans="2:45" outlineLevel="1" x14ac:dyDescent="0.35">
      <c r="B213" s="294" t="s">
        <v>85</v>
      </c>
      <c r="C213" s="62" t="s">
        <v>147</v>
      </c>
      <c r="D213" s="70">
        <v>2325.6915427233707</v>
      </c>
      <c r="E213" s="70">
        <v>2416.8271917214242</v>
      </c>
      <c r="F213" s="167">
        <f t="shared" si="89"/>
        <v>3.9186473065699085E-2</v>
      </c>
      <c r="G213" s="70">
        <v>2709.7667498106312</v>
      </c>
      <c r="H213" s="167">
        <f t="shared" si="95"/>
        <v>0.12120831770373949</v>
      </c>
      <c r="I213" s="70">
        <v>2350.1999999999998</v>
      </c>
      <c r="J213" s="167">
        <f t="shared" si="96"/>
        <v>-0.13269287839470287</v>
      </c>
      <c r="K213" s="70">
        <v>2531.8000000000002</v>
      </c>
      <c r="L213" s="167">
        <f t="shared" si="97"/>
        <v>7.7270019572802481E-2</v>
      </c>
      <c r="M213" s="164">
        <f t="shared" si="98"/>
        <v>12334.285484255426</v>
      </c>
      <c r="N213" s="165">
        <f t="shared" si="90"/>
        <v>2.1455192521208755E-2</v>
      </c>
      <c r="P213" s="6"/>
      <c r="Q213" s="6">
        <v>2868.2</v>
      </c>
      <c r="R213" s="138">
        <f t="shared" si="99"/>
        <v>2868.2</v>
      </c>
      <c r="S213" s="185">
        <f t="shared" si="91"/>
        <v>0.13286989493640872</v>
      </c>
      <c r="T213" s="6">
        <v>31.52</v>
      </c>
      <c r="U213" s="6"/>
      <c r="V213" s="138">
        <f t="shared" si="100"/>
        <v>31.52</v>
      </c>
      <c r="W213" s="6">
        <v>2868.2</v>
      </c>
      <c r="X213" s="138">
        <f t="shared" si="101"/>
        <v>2899.72</v>
      </c>
      <c r="Y213" s="167">
        <f t="shared" si="92"/>
        <v>1.0989470748204442E-2</v>
      </c>
      <c r="Z213" s="70">
        <v>31.55</v>
      </c>
      <c r="AA213" s="6">
        <v>70.11</v>
      </c>
      <c r="AB213" s="138">
        <f t="shared" si="102"/>
        <v>101.66</v>
      </c>
      <c r="AC213" s="6">
        <v>2868.2</v>
      </c>
      <c r="AD213" s="138">
        <f t="shared" si="103"/>
        <v>2969.8599999999997</v>
      </c>
      <c r="AE213" s="167">
        <f t="shared" si="104"/>
        <v>2.4188542342019188E-2</v>
      </c>
      <c r="AF213" s="307">
        <v>31.58</v>
      </c>
      <c r="AG213" s="4">
        <v>140.22</v>
      </c>
      <c r="AH213" s="138">
        <f t="shared" si="105"/>
        <v>171.8</v>
      </c>
      <c r="AI213" s="6">
        <v>2868.2</v>
      </c>
      <c r="AJ213" s="138">
        <f t="shared" si="106"/>
        <v>3040</v>
      </c>
      <c r="AK213" s="167">
        <f t="shared" si="107"/>
        <v>2.3617274888378691E-2</v>
      </c>
      <c r="AL213" s="6">
        <v>31.6</v>
      </c>
      <c r="AM213" s="6">
        <v>210.33</v>
      </c>
      <c r="AN213" s="138">
        <f t="shared" si="108"/>
        <v>241.93</v>
      </c>
      <c r="AO213" s="6">
        <v>2868.2</v>
      </c>
      <c r="AP213" s="138">
        <f t="shared" si="109"/>
        <v>3110.1299999999997</v>
      </c>
      <c r="AQ213" s="167">
        <f t="shared" si="110"/>
        <v>2.3069078947368309E-2</v>
      </c>
      <c r="AR213" s="164">
        <f t="shared" si="93"/>
        <v>14887.909999999998</v>
      </c>
      <c r="AS213" s="165">
        <f t="shared" si="94"/>
        <v>2.0451286976907568E-2</v>
      </c>
    </row>
    <row r="214" spans="2:45" outlineLevel="1" x14ac:dyDescent="0.35">
      <c r="B214" s="294" t="s">
        <v>86</v>
      </c>
      <c r="C214" s="62" t="s">
        <v>147</v>
      </c>
      <c r="D214" s="70">
        <v>5307.8048188302018</v>
      </c>
      <c r="E214" s="70">
        <v>4514.5857277423756</v>
      </c>
      <c r="F214" s="167">
        <f t="shared" si="89"/>
        <v>-0.14944390725781159</v>
      </c>
      <c r="G214" s="70">
        <v>5095.5499789591349</v>
      </c>
      <c r="H214" s="167">
        <f t="shared" si="95"/>
        <v>0.12868606030597721</v>
      </c>
      <c r="I214" s="70">
        <v>5501</v>
      </c>
      <c r="J214" s="167">
        <f t="shared" si="96"/>
        <v>7.956943268441577E-2</v>
      </c>
      <c r="K214" s="70">
        <v>5661.2</v>
      </c>
      <c r="L214" s="167">
        <f t="shared" si="97"/>
        <v>2.912197782221411E-2</v>
      </c>
      <c r="M214" s="164">
        <f t="shared" si="98"/>
        <v>26080.140525531711</v>
      </c>
      <c r="N214" s="165">
        <f t="shared" si="90"/>
        <v>1.6244921734290152E-2</v>
      </c>
      <c r="P214" s="6">
        <v>78.040000000000006</v>
      </c>
      <c r="Q214" s="6">
        <v>7903.74</v>
      </c>
      <c r="R214" s="138">
        <f t="shared" si="99"/>
        <v>7981.78</v>
      </c>
      <c r="S214" s="185">
        <f t="shared" si="91"/>
        <v>0.40990955981064087</v>
      </c>
      <c r="T214" s="6">
        <v>189.12</v>
      </c>
      <c r="U214" s="6">
        <v>140.22</v>
      </c>
      <c r="V214" s="138">
        <f t="shared" si="100"/>
        <v>329.34000000000003</v>
      </c>
      <c r="W214" s="6">
        <v>7903.74</v>
      </c>
      <c r="X214" s="138">
        <f t="shared" si="101"/>
        <v>8233.08</v>
      </c>
      <c r="Y214" s="167">
        <f t="shared" si="92"/>
        <v>3.1484205277519578E-2</v>
      </c>
      <c r="Z214" s="70">
        <v>315.5</v>
      </c>
      <c r="AA214" s="6">
        <v>560.88</v>
      </c>
      <c r="AB214" s="138">
        <f t="shared" si="102"/>
        <v>876.38</v>
      </c>
      <c r="AC214" s="6">
        <v>7903.74</v>
      </c>
      <c r="AD214" s="138">
        <f t="shared" si="103"/>
        <v>8780.119999999999</v>
      </c>
      <c r="AE214" s="167">
        <f t="shared" si="104"/>
        <v>6.6444149698533114E-2</v>
      </c>
      <c r="AF214" s="307">
        <v>315.77999999999997</v>
      </c>
      <c r="AG214" s="4">
        <v>1261.99</v>
      </c>
      <c r="AH214" s="138">
        <f t="shared" si="105"/>
        <v>1577.77</v>
      </c>
      <c r="AI214" s="6">
        <v>7903.74</v>
      </c>
      <c r="AJ214" s="138">
        <f t="shared" si="106"/>
        <v>9481.51</v>
      </c>
      <c r="AK214" s="167">
        <f t="shared" si="107"/>
        <v>7.988387402450095E-2</v>
      </c>
      <c r="AL214" s="6">
        <v>284.43</v>
      </c>
      <c r="AM214" s="6">
        <v>1963.09</v>
      </c>
      <c r="AN214" s="138">
        <f t="shared" si="108"/>
        <v>2247.52</v>
      </c>
      <c r="AO214" s="6">
        <v>7903.74</v>
      </c>
      <c r="AP214" s="138">
        <f t="shared" si="109"/>
        <v>10151.26</v>
      </c>
      <c r="AQ214" s="167">
        <f t="shared" si="110"/>
        <v>7.0637482848196126E-2</v>
      </c>
      <c r="AR214" s="164">
        <f t="shared" si="93"/>
        <v>44627.75</v>
      </c>
      <c r="AS214" s="165">
        <f t="shared" si="94"/>
        <v>6.1952396970858414E-2</v>
      </c>
    </row>
    <row r="215" spans="2:45" outlineLevel="1" x14ac:dyDescent="0.35">
      <c r="B215" s="294" t="s">
        <v>87</v>
      </c>
      <c r="C215" s="62" t="s">
        <v>147</v>
      </c>
      <c r="D215" s="70">
        <v>9004.7673156583805</v>
      </c>
      <c r="E215" s="70">
        <v>6036.0738507351034</v>
      </c>
      <c r="F215" s="167">
        <f t="shared" si="89"/>
        <v>-0.32968019726184589</v>
      </c>
      <c r="G215" s="70">
        <v>6059.317974251715</v>
      </c>
      <c r="H215" s="167">
        <f t="shared" si="95"/>
        <v>3.850867979983511E-3</v>
      </c>
      <c r="I215" s="70">
        <v>6877.8</v>
      </c>
      <c r="J215" s="167">
        <f t="shared" si="96"/>
        <v>0.13507824300132759</v>
      </c>
      <c r="K215" s="70">
        <v>6795</v>
      </c>
      <c r="L215" s="167">
        <f t="shared" si="97"/>
        <v>-1.2038733315885919E-2</v>
      </c>
      <c r="M215" s="164">
        <f t="shared" si="98"/>
        <v>34772.959140645195</v>
      </c>
      <c r="N215" s="165">
        <f t="shared" si="90"/>
        <v>-6.7971395093361586E-2</v>
      </c>
      <c r="P215" s="6">
        <v>737.7</v>
      </c>
      <c r="Q215" s="6">
        <v>8559.7800000000007</v>
      </c>
      <c r="R215" s="138">
        <f t="shared" si="99"/>
        <v>9297.4800000000014</v>
      </c>
      <c r="S215" s="185">
        <f t="shared" si="91"/>
        <v>0.36828256070640197</v>
      </c>
      <c r="T215" s="6">
        <v>157.6</v>
      </c>
      <c r="U215" s="6">
        <v>2509.0300000000002</v>
      </c>
      <c r="V215" s="138">
        <f t="shared" si="100"/>
        <v>2666.63</v>
      </c>
      <c r="W215" s="6">
        <v>8559.7800000000007</v>
      </c>
      <c r="X215" s="138">
        <f t="shared" si="101"/>
        <v>11226.41</v>
      </c>
      <c r="Y215" s="167">
        <f t="shared" si="92"/>
        <v>0.20746804510469485</v>
      </c>
      <c r="Z215" s="70">
        <v>157.75</v>
      </c>
      <c r="AA215" s="6">
        <v>2859.58</v>
      </c>
      <c r="AB215" s="138">
        <f t="shared" si="102"/>
        <v>3017.33</v>
      </c>
      <c r="AC215" s="6">
        <v>8559.7800000000007</v>
      </c>
      <c r="AD215" s="138">
        <f t="shared" si="103"/>
        <v>11577.11</v>
      </c>
      <c r="AE215" s="167">
        <f t="shared" si="104"/>
        <v>3.1238837705018854E-2</v>
      </c>
      <c r="AF215" s="307">
        <v>126.31</v>
      </c>
      <c r="AG215" s="4">
        <v>3210.13</v>
      </c>
      <c r="AH215" s="138">
        <f t="shared" si="105"/>
        <v>3336.44</v>
      </c>
      <c r="AI215" s="6">
        <v>8559.7800000000007</v>
      </c>
      <c r="AJ215" s="138">
        <f t="shared" si="106"/>
        <v>11896.220000000001</v>
      </c>
      <c r="AK215" s="167">
        <f t="shared" si="107"/>
        <v>2.7563873885624354E-2</v>
      </c>
      <c r="AL215" s="6">
        <v>126.42</v>
      </c>
      <c r="AM215" s="6">
        <v>3490.58</v>
      </c>
      <c r="AN215" s="138">
        <f t="shared" si="108"/>
        <v>3617</v>
      </c>
      <c r="AO215" s="6">
        <v>8559.7800000000007</v>
      </c>
      <c r="AP215" s="138">
        <f t="shared" si="109"/>
        <v>12176.78</v>
      </c>
      <c r="AQ215" s="167">
        <f t="shared" si="110"/>
        <v>2.3583961964388642E-2</v>
      </c>
      <c r="AR215" s="164">
        <f t="shared" si="93"/>
        <v>56174</v>
      </c>
      <c r="AS215" s="165">
        <f t="shared" si="94"/>
        <v>6.9773416697687773E-2</v>
      </c>
    </row>
    <row r="216" spans="2:45" outlineLevel="1" x14ac:dyDescent="0.35">
      <c r="B216" s="294" t="s">
        <v>88</v>
      </c>
      <c r="C216" s="62" t="s">
        <v>147</v>
      </c>
      <c r="D216" s="70">
        <v>18145.916408840076</v>
      </c>
      <c r="E216" s="70">
        <v>13903.294536941099</v>
      </c>
      <c r="F216" s="167">
        <f t="shared" si="89"/>
        <v>-0.23380587545482767</v>
      </c>
      <c r="G216" s="70">
        <v>15616.527095620871</v>
      </c>
      <c r="H216" s="167">
        <f t="shared" si="95"/>
        <v>0.12322493450222952</v>
      </c>
      <c r="I216" s="70">
        <v>15323.3</v>
      </c>
      <c r="J216" s="167">
        <f t="shared" si="96"/>
        <v>-1.8776716092216039E-2</v>
      </c>
      <c r="K216" s="70">
        <v>17885.5</v>
      </c>
      <c r="L216" s="167">
        <f t="shared" si="97"/>
        <v>0.16720941311597376</v>
      </c>
      <c r="M216" s="164">
        <f t="shared" si="98"/>
        <v>80874.538041402047</v>
      </c>
      <c r="N216" s="165">
        <f t="shared" si="90"/>
        <v>-3.6072819294740155E-3</v>
      </c>
      <c r="P216" s="6">
        <v>273.12</v>
      </c>
      <c r="Q216" s="6">
        <v>18842.900000000001</v>
      </c>
      <c r="R216" s="138">
        <f t="shared" si="99"/>
        <v>19116.02</v>
      </c>
      <c r="S216" s="185">
        <f t="shared" si="91"/>
        <v>6.8799865813088834E-2</v>
      </c>
      <c r="T216" s="6">
        <v>283.69</v>
      </c>
      <c r="U216" s="6">
        <v>490.77</v>
      </c>
      <c r="V216" s="138">
        <f t="shared" si="100"/>
        <v>774.46</v>
      </c>
      <c r="W216" s="6">
        <v>18842.900000000001</v>
      </c>
      <c r="X216" s="138">
        <f t="shared" si="101"/>
        <v>19617.36</v>
      </c>
      <c r="Y216" s="167">
        <f t="shared" si="92"/>
        <v>2.6226170510388676E-2</v>
      </c>
      <c r="Z216" s="70">
        <v>347.05</v>
      </c>
      <c r="AA216" s="6">
        <v>1121.77</v>
      </c>
      <c r="AB216" s="138">
        <f t="shared" si="102"/>
        <v>1468.82</v>
      </c>
      <c r="AC216" s="6">
        <v>18842.900000000001</v>
      </c>
      <c r="AD216" s="138">
        <f t="shared" si="103"/>
        <v>20311.72</v>
      </c>
      <c r="AE216" s="167">
        <f t="shared" si="104"/>
        <v>3.5395180595146368E-2</v>
      </c>
      <c r="AF216" s="307">
        <v>284.2</v>
      </c>
      <c r="AG216" s="4">
        <v>1892.98</v>
      </c>
      <c r="AH216" s="138">
        <f t="shared" si="105"/>
        <v>2177.1799999999998</v>
      </c>
      <c r="AI216" s="6">
        <v>18842.900000000001</v>
      </c>
      <c r="AJ216" s="138">
        <f t="shared" si="106"/>
        <v>21020.080000000002</v>
      </c>
      <c r="AK216" s="167">
        <f t="shared" si="107"/>
        <v>3.4874446871067569E-2</v>
      </c>
      <c r="AL216" s="6">
        <v>284.43</v>
      </c>
      <c r="AM216" s="6">
        <v>2523.9699999999998</v>
      </c>
      <c r="AN216" s="138">
        <f t="shared" si="108"/>
        <v>2808.3999999999996</v>
      </c>
      <c r="AO216" s="6">
        <v>18842.900000000001</v>
      </c>
      <c r="AP216" s="138">
        <f t="shared" si="109"/>
        <v>21651.300000000003</v>
      </c>
      <c r="AQ216" s="167">
        <f t="shared" si="110"/>
        <v>3.0029381429566449E-2</v>
      </c>
      <c r="AR216" s="164">
        <f t="shared" si="93"/>
        <v>101716.48000000001</v>
      </c>
      <c r="AS216" s="165">
        <f t="shared" si="94"/>
        <v>3.1624447088603125E-2</v>
      </c>
    </row>
    <row r="217" spans="2:45" outlineLevel="1" x14ac:dyDescent="0.35">
      <c r="B217" s="294" t="s">
        <v>89</v>
      </c>
      <c r="C217" s="62" t="s">
        <v>147</v>
      </c>
      <c r="D217" s="70">
        <v>4758.4388418969138</v>
      </c>
      <c r="E217" s="70">
        <v>6109.3394924517397</v>
      </c>
      <c r="F217" s="167">
        <f t="shared" si="89"/>
        <v>0.28389576822139007</v>
      </c>
      <c r="G217" s="70">
        <v>6026.3602439951082</v>
      </c>
      <c r="H217" s="167">
        <f t="shared" si="95"/>
        <v>-1.3582360017667156E-2</v>
      </c>
      <c r="I217" s="70">
        <v>5121.8999999999996</v>
      </c>
      <c r="J217" s="167">
        <f t="shared" si="96"/>
        <v>-0.15008399886089563</v>
      </c>
      <c r="K217" s="70">
        <v>4461.8999999999996</v>
      </c>
      <c r="L217" s="167">
        <f t="shared" si="97"/>
        <v>-0.12885843144145728</v>
      </c>
      <c r="M217" s="164">
        <f t="shared" si="98"/>
        <v>26477.938578343761</v>
      </c>
      <c r="N217" s="165">
        <f t="shared" si="90"/>
        <v>-1.5957546385134025E-2</v>
      </c>
      <c r="P217" s="6">
        <v>117.05</v>
      </c>
      <c r="Q217" s="6">
        <v>5900.3</v>
      </c>
      <c r="R217" s="138">
        <f t="shared" si="99"/>
        <v>6017.35</v>
      </c>
      <c r="S217" s="185">
        <f t="shared" si="91"/>
        <v>0.34860709563190589</v>
      </c>
      <c r="T217" s="6">
        <v>94.56</v>
      </c>
      <c r="U217" s="6">
        <v>210.33</v>
      </c>
      <c r="V217" s="138">
        <f t="shared" si="100"/>
        <v>304.89</v>
      </c>
      <c r="W217" s="6">
        <v>5900.3</v>
      </c>
      <c r="X217" s="138">
        <f t="shared" si="101"/>
        <v>6205.1900000000005</v>
      </c>
      <c r="Y217" s="167">
        <f t="shared" si="92"/>
        <v>3.1216399245515076E-2</v>
      </c>
      <c r="Z217" s="70">
        <v>126.2</v>
      </c>
      <c r="AA217" s="6">
        <v>420.66</v>
      </c>
      <c r="AB217" s="138">
        <f t="shared" si="102"/>
        <v>546.86</v>
      </c>
      <c r="AC217" s="6">
        <v>5900.3</v>
      </c>
      <c r="AD217" s="138">
        <f t="shared" si="103"/>
        <v>6447.16</v>
      </c>
      <c r="AE217" s="167">
        <f t="shared" si="104"/>
        <v>3.8994776952840982E-2</v>
      </c>
      <c r="AF217" s="307">
        <v>126.31</v>
      </c>
      <c r="AG217" s="4">
        <v>701.1</v>
      </c>
      <c r="AH217" s="138">
        <f t="shared" si="105"/>
        <v>827.41000000000008</v>
      </c>
      <c r="AI217" s="6">
        <v>5900.3</v>
      </c>
      <c r="AJ217" s="138">
        <f t="shared" si="106"/>
        <v>6727.71</v>
      </c>
      <c r="AK217" s="167">
        <f t="shared" si="107"/>
        <v>4.3515284249188817E-2</v>
      </c>
      <c r="AL217" s="6">
        <v>126.42</v>
      </c>
      <c r="AM217" s="6">
        <v>981.54</v>
      </c>
      <c r="AN217" s="138">
        <f t="shared" si="108"/>
        <v>1107.96</v>
      </c>
      <c r="AO217" s="6">
        <v>5900.3</v>
      </c>
      <c r="AP217" s="138">
        <f t="shared" si="109"/>
        <v>7008.26</v>
      </c>
      <c r="AQ217" s="167">
        <f t="shared" si="110"/>
        <v>4.1700667834969132E-2</v>
      </c>
      <c r="AR217" s="164">
        <f t="shared" si="93"/>
        <v>32405.67</v>
      </c>
      <c r="AS217" s="165">
        <f t="shared" si="94"/>
        <v>3.8846146366805945E-2</v>
      </c>
    </row>
    <row r="218" spans="2:45" outlineLevel="1" x14ac:dyDescent="0.35">
      <c r="B218" s="294" t="s">
        <v>90</v>
      </c>
      <c r="C218" s="62" t="s">
        <v>147</v>
      </c>
      <c r="D218" s="70">
        <v>9057.2422664492951</v>
      </c>
      <c r="E218" s="70">
        <v>6419.9724403322471</v>
      </c>
      <c r="F218" s="167">
        <f t="shared" si="89"/>
        <v>-0.29117801517646003</v>
      </c>
      <c r="G218" s="70">
        <v>6554.7905731860756</v>
      </c>
      <c r="H218" s="167">
        <f t="shared" si="95"/>
        <v>2.0999799314847429E-2</v>
      </c>
      <c r="I218" s="70">
        <v>6268.7</v>
      </c>
      <c r="J218" s="167">
        <f t="shared" si="96"/>
        <v>-4.3646028044953419E-2</v>
      </c>
      <c r="K218" s="70">
        <v>6331.4</v>
      </c>
      <c r="L218" s="167">
        <f t="shared" si="97"/>
        <v>1.0002073795204718E-2</v>
      </c>
      <c r="M218" s="164">
        <f t="shared" si="98"/>
        <v>34632.105279967618</v>
      </c>
      <c r="N218" s="165">
        <f t="shared" si="90"/>
        <v>-8.5621634762213295E-2</v>
      </c>
      <c r="P218" s="6"/>
      <c r="Q218" s="6">
        <v>4482.47</v>
      </c>
      <c r="R218" s="138">
        <f t="shared" si="99"/>
        <v>4482.47</v>
      </c>
      <c r="S218" s="185">
        <f t="shared" si="91"/>
        <v>-0.29202546040370209</v>
      </c>
      <c r="T218" s="6"/>
      <c r="U218" s="6"/>
      <c r="V218" s="138">
        <f t="shared" si="100"/>
        <v>0</v>
      </c>
      <c r="W218" s="6">
        <v>4482.47</v>
      </c>
      <c r="X218" s="138">
        <f t="shared" si="101"/>
        <v>4482.47</v>
      </c>
      <c r="Y218" s="167">
        <f t="shared" si="92"/>
        <v>0</v>
      </c>
      <c r="Z218" s="70"/>
      <c r="AA218" s="6">
        <v>0</v>
      </c>
      <c r="AB218" s="138">
        <f t="shared" si="102"/>
        <v>0</v>
      </c>
      <c r="AC218" s="6">
        <v>4482.47</v>
      </c>
      <c r="AD218" s="138">
        <f t="shared" si="103"/>
        <v>4482.47</v>
      </c>
      <c r="AE218" s="167">
        <f t="shared" si="104"/>
        <v>0</v>
      </c>
      <c r="AF218" s="307"/>
      <c r="AG218" s="4"/>
      <c r="AH218" s="138">
        <f t="shared" si="105"/>
        <v>0</v>
      </c>
      <c r="AI218" s="6">
        <v>4482.47</v>
      </c>
      <c r="AJ218" s="138">
        <f t="shared" si="106"/>
        <v>4482.47</v>
      </c>
      <c r="AK218" s="167">
        <f t="shared" si="107"/>
        <v>0</v>
      </c>
      <c r="AL218" s="6"/>
      <c r="AM218" s="6"/>
      <c r="AN218" s="138">
        <f t="shared" si="108"/>
        <v>0</v>
      </c>
      <c r="AO218" s="6">
        <v>4482.47</v>
      </c>
      <c r="AP218" s="138">
        <f t="shared" si="109"/>
        <v>4482.47</v>
      </c>
      <c r="AQ218" s="167">
        <f t="shared" si="110"/>
        <v>0</v>
      </c>
      <c r="AR218" s="164">
        <f t="shared" si="93"/>
        <v>22412.350000000002</v>
      </c>
      <c r="AS218" s="165">
        <f t="shared" si="94"/>
        <v>0</v>
      </c>
    </row>
    <row r="219" spans="2:45" outlineLevel="1" x14ac:dyDescent="0.35">
      <c r="B219" s="294" t="s">
        <v>91</v>
      </c>
      <c r="C219" s="62" t="s">
        <v>147</v>
      </c>
      <c r="D219" s="70">
        <v>1168.3520583690727</v>
      </c>
      <c r="E219" s="70">
        <v>1083.2568406040034</v>
      </c>
      <c r="F219" s="167">
        <f t="shared" si="89"/>
        <v>-7.2833541187795295E-2</v>
      </c>
      <c r="G219" s="70">
        <v>1158.3486530369562</v>
      </c>
      <c r="H219" s="167">
        <f t="shared" si="95"/>
        <v>6.9320413791324892E-2</v>
      </c>
      <c r="I219" s="70">
        <v>1020.9</v>
      </c>
      <c r="J219" s="167">
        <f t="shared" si="96"/>
        <v>-0.1186591383143526</v>
      </c>
      <c r="K219" s="70">
        <v>1223.7</v>
      </c>
      <c r="L219" s="167">
        <f t="shared" si="97"/>
        <v>0.19864825154275645</v>
      </c>
      <c r="M219" s="164">
        <f t="shared" si="98"/>
        <v>5654.5575520100319</v>
      </c>
      <c r="N219" s="165">
        <f t="shared" si="90"/>
        <v>1.1638404587892559E-2</v>
      </c>
      <c r="P219" s="6"/>
      <c r="Q219" s="6">
        <v>737.54</v>
      </c>
      <c r="R219" s="138">
        <f t="shared" si="99"/>
        <v>737.54</v>
      </c>
      <c r="S219" s="185">
        <f t="shared" si="91"/>
        <v>-0.39728691672795624</v>
      </c>
      <c r="T219" s="6"/>
      <c r="U219" s="6"/>
      <c r="V219" s="138">
        <f t="shared" si="100"/>
        <v>0</v>
      </c>
      <c r="W219" s="6">
        <v>737.54</v>
      </c>
      <c r="X219" s="138">
        <f t="shared" si="101"/>
        <v>737.54</v>
      </c>
      <c r="Y219" s="167">
        <f t="shared" si="92"/>
        <v>0</v>
      </c>
      <c r="Z219" s="70"/>
      <c r="AA219" s="6">
        <v>0</v>
      </c>
      <c r="AB219" s="138">
        <f t="shared" si="102"/>
        <v>0</v>
      </c>
      <c r="AC219" s="6">
        <v>737.54</v>
      </c>
      <c r="AD219" s="138">
        <f t="shared" si="103"/>
        <v>737.54</v>
      </c>
      <c r="AE219" s="167">
        <f t="shared" si="104"/>
        <v>0</v>
      </c>
      <c r="AF219" s="307"/>
      <c r="AG219" s="4"/>
      <c r="AH219" s="138">
        <f t="shared" si="105"/>
        <v>0</v>
      </c>
      <c r="AI219" s="6">
        <v>737.54</v>
      </c>
      <c r="AJ219" s="138">
        <f t="shared" si="106"/>
        <v>737.54</v>
      </c>
      <c r="AK219" s="167">
        <f t="shared" si="107"/>
        <v>0</v>
      </c>
      <c r="AL219" s="6"/>
      <c r="AM219" s="6"/>
      <c r="AN219" s="138">
        <f t="shared" si="108"/>
        <v>0</v>
      </c>
      <c r="AO219" s="6">
        <v>737.54</v>
      </c>
      <c r="AP219" s="138">
        <f t="shared" si="109"/>
        <v>737.54</v>
      </c>
      <c r="AQ219" s="167">
        <f t="shared" si="110"/>
        <v>0</v>
      </c>
      <c r="AR219" s="164">
        <f t="shared" si="93"/>
        <v>3687.7</v>
      </c>
      <c r="AS219" s="165">
        <f t="shared" si="94"/>
        <v>0</v>
      </c>
    </row>
    <row r="220" spans="2:45" outlineLevel="1" x14ac:dyDescent="0.35">
      <c r="B220" s="294" t="s">
        <v>92</v>
      </c>
      <c r="C220" s="62" t="s">
        <v>147</v>
      </c>
      <c r="D220" s="70">
        <v>8200.3873281657634</v>
      </c>
      <c r="E220" s="70">
        <v>6739.2905293736039</v>
      </c>
      <c r="F220" s="167">
        <f t="shared" si="89"/>
        <v>-0.17817412035816277</v>
      </c>
      <c r="G220" s="70">
        <v>7182.1776444389616</v>
      </c>
      <c r="H220" s="167">
        <f t="shared" si="95"/>
        <v>6.5717172027976459E-2</v>
      </c>
      <c r="I220" s="70">
        <v>7366.6</v>
      </c>
      <c r="J220" s="167">
        <f t="shared" si="96"/>
        <v>2.567777694886646E-2</v>
      </c>
      <c r="K220" s="70">
        <v>8359.7000000000007</v>
      </c>
      <c r="L220" s="167">
        <f t="shared" si="97"/>
        <v>0.1348111747617626</v>
      </c>
      <c r="M220" s="164">
        <f t="shared" si="98"/>
        <v>37848.155501978326</v>
      </c>
      <c r="N220" s="165">
        <f t="shared" si="90"/>
        <v>4.8218762567222573E-3</v>
      </c>
      <c r="P220" s="6">
        <v>156.07</v>
      </c>
      <c r="Q220" s="6">
        <v>10859.4</v>
      </c>
      <c r="R220" s="138">
        <f t="shared" si="99"/>
        <v>11015.47</v>
      </c>
      <c r="S220" s="185">
        <f t="shared" si="91"/>
        <v>0.31768723758029577</v>
      </c>
      <c r="T220" s="6">
        <v>126.08</v>
      </c>
      <c r="U220" s="6">
        <v>280.44</v>
      </c>
      <c r="V220" s="138">
        <f t="shared" si="100"/>
        <v>406.52</v>
      </c>
      <c r="W220" s="6">
        <v>10859.4</v>
      </c>
      <c r="X220" s="138">
        <f t="shared" si="101"/>
        <v>11265.92</v>
      </c>
      <c r="Y220" s="167">
        <f t="shared" si="92"/>
        <v>2.2736206444209893E-2</v>
      </c>
      <c r="Z220" s="70">
        <v>157.75</v>
      </c>
      <c r="AA220" s="6">
        <v>560.88</v>
      </c>
      <c r="AB220" s="138">
        <f t="shared" si="102"/>
        <v>718.63</v>
      </c>
      <c r="AC220" s="6">
        <v>10859.4</v>
      </c>
      <c r="AD220" s="138">
        <f t="shared" si="103"/>
        <v>11578.029999999999</v>
      </c>
      <c r="AE220" s="167">
        <f t="shared" si="104"/>
        <v>2.7703907004487761E-2</v>
      </c>
      <c r="AF220" s="307">
        <v>126.31</v>
      </c>
      <c r="AG220" s="4">
        <v>911.43</v>
      </c>
      <c r="AH220" s="138">
        <f t="shared" si="105"/>
        <v>1037.74</v>
      </c>
      <c r="AI220" s="6">
        <v>10859.4</v>
      </c>
      <c r="AJ220" s="138">
        <f t="shared" si="106"/>
        <v>11897.14</v>
      </c>
      <c r="AK220" s="167">
        <f t="shared" si="107"/>
        <v>2.7561683637026387E-2</v>
      </c>
      <c r="AL220" s="6">
        <v>771.73</v>
      </c>
      <c r="AM220" s="6">
        <v>1191.8800000000001</v>
      </c>
      <c r="AN220" s="138">
        <f t="shared" si="108"/>
        <v>1963.6100000000001</v>
      </c>
      <c r="AO220" s="6">
        <v>10859.4</v>
      </c>
      <c r="AP220" s="138">
        <f t="shared" si="109"/>
        <v>12823.01</v>
      </c>
      <c r="AQ220" s="167">
        <f t="shared" si="110"/>
        <v>7.7822905336912981E-2</v>
      </c>
      <c r="AR220" s="164">
        <f t="shared" si="93"/>
        <v>58579.57</v>
      </c>
      <c r="AS220" s="165">
        <f t="shared" si="94"/>
        <v>3.8715798717871674E-2</v>
      </c>
    </row>
    <row r="221" spans="2:45" outlineLevel="1" x14ac:dyDescent="0.35">
      <c r="B221" s="294" t="s">
        <v>93</v>
      </c>
      <c r="C221" s="62" t="s">
        <v>147</v>
      </c>
      <c r="D221" s="70">
        <v>29106.536322115746</v>
      </c>
      <c r="E221" s="70">
        <v>24742.15304806866</v>
      </c>
      <c r="F221" s="167">
        <f t="shared" si="89"/>
        <v>-0.14994512661167925</v>
      </c>
      <c r="G221" s="70">
        <v>20779.701531622311</v>
      </c>
      <c r="H221" s="167">
        <f t="shared" si="95"/>
        <v>-0.1601498264418687</v>
      </c>
      <c r="I221" s="70">
        <v>23555.7</v>
      </c>
      <c r="J221" s="167">
        <f t="shared" si="96"/>
        <v>0.13359183548200665</v>
      </c>
      <c r="K221" s="70">
        <v>24581.9</v>
      </c>
      <c r="L221" s="167">
        <f t="shared" si="97"/>
        <v>4.3564827196814392E-2</v>
      </c>
      <c r="M221" s="164">
        <f t="shared" si="98"/>
        <v>122765.99090180671</v>
      </c>
      <c r="N221" s="165">
        <f t="shared" si="90"/>
        <v>-4.1358490772693157E-2</v>
      </c>
      <c r="P221" s="6">
        <v>195.09</v>
      </c>
      <c r="Q221" s="6">
        <v>23698.33</v>
      </c>
      <c r="R221" s="138">
        <f t="shared" si="99"/>
        <v>23893.420000000002</v>
      </c>
      <c r="S221" s="185">
        <f t="shared" si="91"/>
        <v>-2.8007599087133198E-2</v>
      </c>
      <c r="T221" s="6">
        <v>220.64</v>
      </c>
      <c r="U221" s="6">
        <v>350.55</v>
      </c>
      <c r="V221" s="138">
        <f t="shared" si="100"/>
        <v>571.19000000000005</v>
      </c>
      <c r="W221" s="6">
        <v>23698.33</v>
      </c>
      <c r="X221" s="138">
        <f t="shared" si="101"/>
        <v>24269.52</v>
      </c>
      <c r="Y221" s="167">
        <f t="shared" si="92"/>
        <v>1.5740735315413135E-2</v>
      </c>
      <c r="Z221" s="70">
        <v>378.6</v>
      </c>
      <c r="AA221" s="6">
        <v>841.32</v>
      </c>
      <c r="AB221" s="138">
        <f t="shared" si="102"/>
        <v>1219.92</v>
      </c>
      <c r="AC221" s="6">
        <v>23698.33</v>
      </c>
      <c r="AD221" s="138">
        <f t="shared" si="103"/>
        <v>24918.25</v>
      </c>
      <c r="AE221" s="167">
        <f t="shared" si="104"/>
        <v>2.673023611509414E-2</v>
      </c>
      <c r="AF221" s="307">
        <v>442.09</v>
      </c>
      <c r="AG221" s="4">
        <v>1682.65</v>
      </c>
      <c r="AH221" s="138">
        <f t="shared" si="105"/>
        <v>2124.7400000000002</v>
      </c>
      <c r="AI221" s="6">
        <v>23698.33</v>
      </c>
      <c r="AJ221" s="138">
        <f t="shared" si="106"/>
        <v>25823.070000000003</v>
      </c>
      <c r="AK221" s="167">
        <f t="shared" si="107"/>
        <v>3.6311538731652639E-2</v>
      </c>
      <c r="AL221" s="6">
        <v>410.85</v>
      </c>
      <c r="AM221" s="6">
        <v>2664.19</v>
      </c>
      <c r="AN221" s="138">
        <f t="shared" si="108"/>
        <v>3075.04</v>
      </c>
      <c r="AO221" s="6">
        <v>23698.33</v>
      </c>
      <c r="AP221" s="138">
        <f t="shared" si="109"/>
        <v>26773.370000000003</v>
      </c>
      <c r="AQ221" s="167">
        <f t="shared" si="110"/>
        <v>3.6800426905089098E-2</v>
      </c>
      <c r="AR221" s="164">
        <f t="shared" si="93"/>
        <v>125677.63</v>
      </c>
      <c r="AS221" s="165">
        <f t="shared" si="94"/>
        <v>2.8859757414529952E-2</v>
      </c>
    </row>
    <row r="222" spans="2:45" outlineLevel="1" x14ac:dyDescent="0.35">
      <c r="B222" s="294" t="s">
        <v>94</v>
      </c>
      <c r="C222" s="62" t="s">
        <v>147</v>
      </c>
      <c r="D222" s="70">
        <v>9755.722857472243</v>
      </c>
      <c r="E222" s="70">
        <v>8346.84457786243</v>
      </c>
      <c r="F222" s="167">
        <f t="shared" si="89"/>
        <v>-0.14441557024456725</v>
      </c>
      <c r="G222" s="70">
        <v>9486.9246173410993</v>
      </c>
      <c r="H222" s="167">
        <f t="shared" si="95"/>
        <v>0.13658814763394528</v>
      </c>
      <c r="I222" s="70">
        <v>9264.5</v>
      </c>
      <c r="J222" s="167">
        <f t="shared" si="96"/>
        <v>-2.3445386815294234E-2</v>
      </c>
      <c r="K222" s="70">
        <v>9226.1</v>
      </c>
      <c r="L222" s="167">
        <f t="shared" si="97"/>
        <v>-4.1448540126288128E-3</v>
      </c>
      <c r="M222" s="164">
        <f t="shared" si="98"/>
        <v>46080.092052675769</v>
      </c>
      <c r="N222" s="165">
        <f t="shared" si="90"/>
        <v>-1.3857500632362019E-2</v>
      </c>
      <c r="P222" s="6">
        <v>78.040000000000006</v>
      </c>
      <c r="Q222" s="6">
        <v>11584.41</v>
      </c>
      <c r="R222" s="138">
        <f t="shared" si="99"/>
        <v>11662.45</v>
      </c>
      <c r="S222" s="185">
        <f t="shared" si="91"/>
        <v>0.26407149283012327</v>
      </c>
      <c r="T222" s="6">
        <v>94.56</v>
      </c>
      <c r="U222" s="6">
        <v>140.22</v>
      </c>
      <c r="V222" s="138">
        <f t="shared" si="100"/>
        <v>234.78</v>
      </c>
      <c r="W222" s="6">
        <v>11584.41</v>
      </c>
      <c r="X222" s="138">
        <f t="shared" si="101"/>
        <v>11819.19</v>
      </c>
      <c r="Y222" s="167">
        <f t="shared" si="92"/>
        <v>1.3439714639719765E-2</v>
      </c>
      <c r="Z222" s="70">
        <v>157.75</v>
      </c>
      <c r="AA222" s="6">
        <v>350.55</v>
      </c>
      <c r="AB222" s="138">
        <f t="shared" si="102"/>
        <v>508.3</v>
      </c>
      <c r="AC222" s="6">
        <v>11584.41</v>
      </c>
      <c r="AD222" s="138">
        <f t="shared" si="103"/>
        <v>12092.71</v>
      </c>
      <c r="AE222" s="167">
        <f t="shared" si="104"/>
        <v>2.3142025807182946E-2</v>
      </c>
      <c r="AF222" s="307">
        <v>126.31</v>
      </c>
      <c r="AG222" s="4">
        <v>701.1</v>
      </c>
      <c r="AH222" s="138">
        <f t="shared" si="105"/>
        <v>827.41000000000008</v>
      </c>
      <c r="AI222" s="6">
        <v>11584.41</v>
      </c>
      <c r="AJ222" s="138">
        <f t="shared" si="106"/>
        <v>12411.82</v>
      </c>
      <c r="AK222" s="167">
        <f t="shared" si="107"/>
        <v>2.6388625874597223E-2</v>
      </c>
      <c r="AL222" s="6">
        <v>158.02000000000001</v>
      </c>
      <c r="AM222" s="6">
        <v>981.54</v>
      </c>
      <c r="AN222" s="138">
        <f t="shared" si="108"/>
        <v>1139.56</v>
      </c>
      <c r="AO222" s="6">
        <v>11584.41</v>
      </c>
      <c r="AP222" s="138">
        <f t="shared" si="109"/>
        <v>12723.97</v>
      </c>
      <c r="AQ222" s="167">
        <f t="shared" si="110"/>
        <v>2.5149414026307153E-2</v>
      </c>
      <c r="AR222" s="164">
        <f t="shared" si="93"/>
        <v>60710.14</v>
      </c>
      <c r="AS222" s="165">
        <f t="shared" si="94"/>
        <v>2.2017213202978336E-2</v>
      </c>
    </row>
    <row r="223" spans="2:45" outlineLevel="1" x14ac:dyDescent="0.35">
      <c r="B223" s="294" t="s">
        <v>95</v>
      </c>
      <c r="C223" s="62" t="s">
        <v>147</v>
      </c>
      <c r="D223" s="70">
        <v>5423.6572541852329</v>
      </c>
      <c r="E223" s="70">
        <v>4684.9936482204403</v>
      </c>
      <c r="F223" s="167">
        <f t="shared" si="89"/>
        <v>-0.13619289924613021</v>
      </c>
      <c r="G223" s="70">
        <v>5500.3077706050099</v>
      </c>
      <c r="H223" s="167">
        <f t="shared" si="95"/>
        <v>0.17402672951205828</v>
      </c>
      <c r="I223" s="70">
        <v>4977.5</v>
      </c>
      <c r="J223" s="167">
        <f t="shared" si="96"/>
        <v>-9.5050639420401609E-2</v>
      </c>
      <c r="K223" s="70">
        <v>4796.2</v>
      </c>
      <c r="L223" s="167">
        <f t="shared" si="97"/>
        <v>-3.6423907584128612E-2</v>
      </c>
      <c r="M223" s="164">
        <f t="shared" si="98"/>
        <v>25382.658673010683</v>
      </c>
      <c r="N223" s="165">
        <f t="shared" si="90"/>
        <v>-3.0269038352298105E-2</v>
      </c>
      <c r="P223" s="6">
        <v>39.020000000000003</v>
      </c>
      <c r="Q223" s="6">
        <v>6228.1</v>
      </c>
      <c r="R223" s="138">
        <f t="shared" si="99"/>
        <v>6267.1200000000008</v>
      </c>
      <c r="S223" s="185">
        <f t="shared" si="91"/>
        <v>0.30668445852966952</v>
      </c>
      <c r="T223" s="6">
        <v>31.52</v>
      </c>
      <c r="U223" s="6">
        <v>70.11</v>
      </c>
      <c r="V223" s="138">
        <f t="shared" si="100"/>
        <v>101.63</v>
      </c>
      <c r="W223" s="6">
        <v>6228.1</v>
      </c>
      <c r="X223" s="138">
        <f t="shared" si="101"/>
        <v>6329.7300000000005</v>
      </c>
      <c r="Y223" s="167">
        <f t="shared" si="92"/>
        <v>9.9902347489755523E-3</v>
      </c>
      <c r="Z223" s="70">
        <v>63.1</v>
      </c>
      <c r="AA223" s="6">
        <v>140.22</v>
      </c>
      <c r="AB223" s="138">
        <f t="shared" si="102"/>
        <v>203.32</v>
      </c>
      <c r="AC223" s="6">
        <v>6228.1</v>
      </c>
      <c r="AD223" s="138">
        <f t="shared" si="103"/>
        <v>6431.42</v>
      </c>
      <c r="AE223" s="167">
        <f t="shared" si="104"/>
        <v>1.6065456188494549E-2</v>
      </c>
      <c r="AF223" s="307">
        <v>94.73</v>
      </c>
      <c r="AG223" s="4">
        <v>280.44</v>
      </c>
      <c r="AH223" s="138">
        <f t="shared" si="105"/>
        <v>375.17</v>
      </c>
      <c r="AI223" s="6">
        <v>6228.1</v>
      </c>
      <c r="AJ223" s="138">
        <f t="shared" si="106"/>
        <v>6603.27</v>
      </c>
      <c r="AK223" s="167">
        <f t="shared" si="107"/>
        <v>2.6720382124009994E-2</v>
      </c>
      <c r="AL223" s="6">
        <v>63.21</v>
      </c>
      <c r="AM223" s="6">
        <v>490.77</v>
      </c>
      <c r="AN223" s="138">
        <f t="shared" si="108"/>
        <v>553.98</v>
      </c>
      <c r="AO223" s="6">
        <v>6228.1</v>
      </c>
      <c r="AP223" s="138">
        <f t="shared" si="109"/>
        <v>6782.08</v>
      </c>
      <c r="AQ223" s="167">
        <f t="shared" si="110"/>
        <v>2.7079007824910913E-2</v>
      </c>
      <c r="AR223" s="164">
        <f t="shared" si="93"/>
        <v>32413.620000000003</v>
      </c>
      <c r="AS223" s="165">
        <f t="shared" si="94"/>
        <v>1.9937886798960358E-2</v>
      </c>
    </row>
    <row r="224" spans="2:45" outlineLevel="1" x14ac:dyDescent="0.35">
      <c r="B224" s="294" t="s">
        <v>96</v>
      </c>
      <c r="C224" s="62" t="s">
        <v>147</v>
      </c>
      <c r="D224" s="70">
        <v>9933.5968887118106</v>
      </c>
      <c r="E224" s="70">
        <v>6567.7910098373504</v>
      </c>
      <c r="F224" s="167">
        <f t="shared" si="89"/>
        <v>-0.33883052801339697</v>
      </c>
      <c r="G224" s="70">
        <v>7775.9312160852096</v>
      </c>
      <c r="H224" s="167">
        <f t="shared" si="95"/>
        <v>0.1839492463201533</v>
      </c>
      <c r="I224" s="70">
        <v>8959.1</v>
      </c>
      <c r="J224" s="167">
        <f t="shared" si="96"/>
        <v>0.15215782535052524</v>
      </c>
      <c r="K224" s="70">
        <v>9079.5</v>
      </c>
      <c r="L224" s="167">
        <f t="shared" si="97"/>
        <v>1.3438849884474961E-2</v>
      </c>
      <c r="M224" s="164">
        <f t="shared" si="98"/>
        <v>42315.919114634373</v>
      </c>
      <c r="N224" s="165">
        <f t="shared" si="90"/>
        <v>-2.2225177180995148E-2</v>
      </c>
      <c r="P224" s="6">
        <v>39.020000000000003</v>
      </c>
      <c r="Q224" s="6">
        <v>11043.3</v>
      </c>
      <c r="R224" s="138">
        <f t="shared" si="99"/>
        <v>11082.32</v>
      </c>
      <c r="S224" s="185">
        <f t="shared" si="91"/>
        <v>0.2205870367310975</v>
      </c>
      <c r="T224" s="6">
        <v>63.04</v>
      </c>
      <c r="U224" s="6">
        <v>70.11</v>
      </c>
      <c r="V224" s="138">
        <f t="shared" si="100"/>
        <v>133.15</v>
      </c>
      <c r="W224" s="6">
        <v>11043.3</v>
      </c>
      <c r="X224" s="138">
        <f t="shared" si="101"/>
        <v>11176.449999999999</v>
      </c>
      <c r="Y224" s="167">
        <f t="shared" si="92"/>
        <v>8.4937088984977163E-3</v>
      </c>
      <c r="Z224" s="70">
        <v>94.65</v>
      </c>
      <c r="AA224" s="6">
        <v>210.33</v>
      </c>
      <c r="AB224" s="138">
        <f t="shared" si="102"/>
        <v>304.98</v>
      </c>
      <c r="AC224" s="6">
        <v>11043.3</v>
      </c>
      <c r="AD224" s="138">
        <f t="shared" si="103"/>
        <v>11348.279999999999</v>
      </c>
      <c r="AE224" s="167">
        <f t="shared" si="104"/>
        <v>1.5374291478957983E-2</v>
      </c>
      <c r="AF224" s="307">
        <v>94.73</v>
      </c>
      <c r="AG224" s="4">
        <v>420.66</v>
      </c>
      <c r="AH224" s="138">
        <f t="shared" si="105"/>
        <v>515.39</v>
      </c>
      <c r="AI224" s="6">
        <v>11043.3</v>
      </c>
      <c r="AJ224" s="138">
        <f t="shared" si="106"/>
        <v>11558.689999999999</v>
      </c>
      <c r="AK224" s="167">
        <f t="shared" si="107"/>
        <v>1.8541135749206038E-2</v>
      </c>
      <c r="AL224" s="6">
        <v>94.81</v>
      </c>
      <c r="AM224" s="6">
        <v>630.99</v>
      </c>
      <c r="AN224" s="138">
        <f t="shared" si="108"/>
        <v>725.8</v>
      </c>
      <c r="AO224" s="6">
        <v>11043.3</v>
      </c>
      <c r="AP224" s="138">
        <f t="shared" si="109"/>
        <v>11769.099999999999</v>
      </c>
      <c r="AQ224" s="167">
        <f t="shared" si="110"/>
        <v>1.8203619960393425E-2</v>
      </c>
      <c r="AR224" s="164">
        <f t="shared" si="93"/>
        <v>56934.839999999989</v>
      </c>
      <c r="AS224" s="165">
        <f t="shared" si="94"/>
        <v>1.5145144491077067E-2</v>
      </c>
    </row>
    <row r="225" spans="2:45" outlineLevel="1" x14ac:dyDescent="0.35">
      <c r="B225" s="294" t="s">
        <v>97</v>
      </c>
      <c r="C225" s="62" t="s">
        <v>147</v>
      </c>
      <c r="D225" s="70">
        <v>25460.245243595986</v>
      </c>
      <c r="E225" s="70">
        <v>23290.965234337498</v>
      </c>
      <c r="F225" s="167">
        <f t="shared" si="89"/>
        <v>-8.520263605096759E-2</v>
      </c>
      <c r="G225" s="70">
        <v>24828.059476201368</v>
      </c>
      <c r="H225" s="167">
        <f t="shared" si="95"/>
        <v>6.5995300168915125E-2</v>
      </c>
      <c r="I225" s="70">
        <v>22835.3</v>
      </c>
      <c r="J225" s="167">
        <f t="shared" si="96"/>
        <v>-8.026239336632425E-2</v>
      </c>
      <c r="K225" s="70">
        <v>20866.7</v>
      </c>
      <c r="L225" s="167">
        <f t="shared" si="97"/>
        <v>-8.6208633125030049E-2</v>
      </c>
      <c r="M225" s="164">
        <f t="shared" si="98"/>
        <v>117281.26995413486</v>
      </c>
      <c r="N225" s="165">
        <f t="shared" si="90"/>
        <v>-4.8524089230683631E-2</v>
      </c>
      <c r="P225" s="6">
        <v>390.18</v>
      </c>
      <c r="Q225" s="6">
        <v>27643.25</v>
      </c>
      <c r="R225" s="138">
        <f t="shared" si="99"/>
        <v>28033.43</v>
      </c>
      <c r="S225" s="185">
        <f t="shared" si="91"/>
        <v>0.34345296573008666</v>
      </c>
      <c r="T225" s="6">
        <v>409.77</v>
      </c>
      <c r="U225" s="6">
        <v>701.1</v>
      </c>
      <c r="V225" s="138">
        <f t="shared" si="100"/>
        <v>1110.8699999999999</v>
      </c>
      <c r="W225" s="6">
        <v>27643.25</v>
      </c>
      <c r="X225" s="138">
        <f t="shared" si="101"/>
        <v>28754.12</v>
      </c>
      <c r="Y225" s="167">
        <f t="shared" si="92"/>
        <v>2.5708234775409171E-2</v>
      </c>
      <c r="Z225" s="70">
        <v>410.15</v>
      </c>
      <c r="AA225" s="6">
        <v>1612.54</v>
      </c>
      <c r="AB225" s="138">
        <f t="shared" si="102"/>
        <v>2022.69</v>
      </c>
      <c r="AC225" s="6">
        <v>27643.25</v>
      </c>
      <c r="AD225" s="138">
        <f t="shared" si="103"/>
        <v>29665.94</v>
      </c>
      <c r="AE225" s="167">
        <f t="shared" si="104"/>
        <v>3.1710933946161445E-2</v>
      </c>
      <c r="AF225" s="307">
        <v>315.77999999999997</v>
      </c>
      <c r="AG225" s="4">
        <v>2523.9699999999998</v>
      </c>
      <c r="AH225" s="138">
        <f t="shared" si="105"/>
        <v>2839.75</v>
      </c>
      <c r="AI225" s="6">
        <v>27643.25</v>
      </c>
      <c r="AJ225" s="138">
        <f t="shared" si="106"/>
        <v>30483</v>
      </c>
      <c r="AK225" s="167">
        <f t="shared" si="107"/>
        <v>2.7542022939438335E-2</v>
      </c>
      <c r="AL225" s="6">
        <v>347.64</v>
      </c>
      <c r="AM225" s="6">
        <v>3225.08</v>
      </c>
      <c r="AN225" s="138">
        <f t="shared" si="108"/>
        <v>3572.72</v>
      </c>
      <c r="AO225" s="6">
        <v>27643.25</v>
      </c>
      <c r="AP225" s="138">
        <f t="shared" si="109"/>
        <v>31215.97</v>
      </c>
      <c r="AQ225" s="167">
        <f t="shared" si="110"/>
        <v>2.4045205524390684E-2</v>
      </c>
      <c r="AR225" s="164">
        <f t="shared" si="93"/>
        <v>148152.46000000002</v>
      </c>
      <c r="AS225" s="165">
        <f t="shared" si="94"/>
        <v>2.7247632481275375E-2</v>
      </c>
    </row>
    <row r="226" spans="2:45" outlineLevel="1" x14ac:dyDescent="0.35">
      <c r="B226" s="294" t="s">
        <v>98</v>
      </c>
      <c r="C226" s="62" t="s">
        <v>147</v>
      </c>
      <c r="D226" s="70">
        <v>7181.6177648853372</v>
      </c>
      <c r="E226" s="70">
        <v>6436.0074503747928</v>
      </c>
      <c r="F226" s="167">
        <f t="shared" si="89"/>
        <v>-0.10382205499103848</v>
      </c>
      <c r="G226" s="70">
        <v>7019.6225066505904</v>
      </c>
      <c r="H226" s="167">
        <f t="shared" si="95"/>
        <v>9.0679673815761586E-2</v>
      </c>
      <c r="I226" s="70">
        <v>14507.5</v>
      </c>
      <c r="J226" s="167">
        <f t="shared" si="96"/>
        <v>1.0667065766364474</v>
      </c>
      <c r="K226" s="70">
        <v>6163.4</v>
      </c>
      <c r="L226" s="167">
        <f t="shared" si="97"/>
        <v>-0.57515767706358778</v>
      </c>
      <c r="M226" s="164">
        <f t="shared" si="98"/>
        <v>41308.147721910726</v>
      </c>
      <c r="N226" s="165">
        <f t="shared" si="90"/>
        <v>-3.7502706669681252E-2</v>
      </c>
      <c r="P226" s="6">
        <v>39.020000000000003</v>
      </c>
      <c r="Q226" s="6">
        <v>8826.09</v>
      </c>
      <c r="R226" s="138">
        <f t="shared" si="99"/>
        <v>8865.11</v>
      </c>
      <c r="S226" s="185">
        <f t="shared" si="91"/>
        <v>0.43834734075348042</v>
      </c>
      <c r="T226" s="6">
        <v>94.56</v>
      </c>
      <c r="U226" s="6">
        <v>70.11</v>
      </c>
      <c r="V226" s="138">
        <f t="shared" si="100"/>
        <v>164.67000000000002</v>
      </c>
      <c r="W226" s="6">
        <v>8826.09</v>
      </c>
      <c r="X226" s="138">
        <f t="shared" si="101"/>
        <v>8990.76</v>
      </c>
      <c r="Y226" s="167">
        <f t="shared" si="92"/>
        <v>1.4173540993851133E-2</v>
      </c>
      <c r="Z226" s="70">
        <v>157.75</v>
      </c>
      <c r="AA226" s="6">
        <v>280.44</v>
      </c>
      <c r="AB226" s="138">
        <f t="shared" si="102"/>
        <v>438.19</v>
      </c>
      <c r="AC226" s="6">
        <v>8826.09</v>
      </c>
      <c r="AD226" s="138">
        <f t="shared" si="103"/>
        <v>9264.2800000000007</v>
      </c>
      <c r="AE226" s="167">
        <f t="shared" si="104"/>
        <v>3.0422344718355337E-2</v>
      </c>
      <c r="AF226" s="307">
        <v>157.88999999999999</v>
      </c>
      <c r="AG226" s="4">
        <v>630.99</v>
      </c>
      <c r="AH226" s="138">
        <f t="shared" si="105"/>
        <v>788.88</v>
      </c>
      <c r="AI226" s="6">
        <v>8826.09</v>
      </c>
      <c r="AJ226" s="138">
        <f t="shared" si="106"/>
        <v>9614.9699999999993</v>
      </c>
      <c r="AK226" s="167">
        <f t="shared" si="107"/>
        <v>3.7853994050266036E-2</v>
      </c>
      <c r="AL226" s="6">
        <v>189.62</v>
      </c>
      <c r="AM226" s="6">
        <v>981.54</v>
      </c>
      <c r="AN226" s="138">
        <f t="shared" si="108"/>
        <v>1171.1599999999999</v>
      </c>
      <c r="AO226" s="6">
        <v>8826.09</v>
      </c>
      <c r="AP226" s="138">
        <f t="shared" si="109"/>
        <v>9997.25</v>
      </c>
      <c r="AQ226" s="167">
        <f t="shared" si="110"/>
        <v>3.9758834400939441E-2</v>
      </c>
      <c r="AR226" s="164">
        <f t="shared" si="93"/>
        <v>46732.37</v>
      </c>
      <c r="AS226" s="165">
        <f t="shared" si="94"/>
        <v>3.0502633442117233E-2</v>
      </c>
    </row>
    <row r="227" spans="2:45" outlineLevel="1" x14ac:dyDescent="0.35">
      <c r="B227" s="294" t="s">
        <v>99</v>
      </c>
      <c r="C227" s="62" t="s">
        <v>147</v>
      </c>
      <c r="D227" s="70">
        <v>50530.376442645342</v>
      </c>
      <c r="E227" s="70">
        <v>47107.886344603015</v>
      </c>
      <c r="F227" s="167">
        <f t="shared" si="89"/>
        <v>-6.7731339819465511E-2</v>
      </c>
      <c r="G227" s="70">
        <v>49768.16389388714</v>
      </c>
      <c r="H227" s="167">
        <f t="shared" si="95"/>
        <v>5.6472021050227049E-2</v>
      </c>
      <c r="I227" s="70">
        <v>45265.4</v>
      </c>
      <c r="J227" s="167">
        <f t="shared" si="96"/>
        <v>-9.0474784311667125E-2</v>
      </c>
      <c r="K227" s="70">
        <v>42659.3</v>
      </c>
      <c r="L227" s="167">
        <f t="shared" si="97"/>
        <v>-5.7573775996677339E-2</v>
      </c>
      <c r="M227" s="164">
        <f t="shared" si="98"/>
        <v>235331.1266811355</v>
      </c>
      <c r="N227" s="165">
        <f t="shared" si="90"/>
        <v>-4.1448838476617955E-2</v>
      </c>
      <c r="P227" s="6">
        <v>429.2</v>
      </c>
      <c r="Q227" s="6">
        <v>38732.870000000003</v>
      </c>
      <c r="R227" s="138">
        <f t="shared" si="99"/>
        <v>39162.07</v>
      </c>
      <c r="S227" s="185">
        <f t="shared" si="91"/>
        <v>-8.19804825676934E-2</v>
      </c>
      <c r="T227" s="6">
        <v>315.20999999999998</v>
      </c>
      <c r="U227" s="6">
        <v>771.21</v>
      </c>
      <c r="V227" s="138">
        <f t="shared" si="100"/>
        <v>1086.42</v>
      </c>
      <c r="W227" s="6">
        <v>38732.870000000003</v>
      </c>
      <c r="X227" s="138">
        <f t="shared" si="101"/>
        <v>39819.29</v>
      </c>
      <c r="Y227" s="167">
        <f t="shared" si="92"/>
        <v>1.6782054676885087E-2</v>
      </c>
      <c r="Z227" s="70">
        <v>315.5</v>
      </c>
      <c r="AA227" s="6">
        <v>1472.32</v>
      </c>
      <c r="AB227" s="138">
        <f t="shared" si="102"/>
        <v>1787.82</v>
      </c>
      <c r="AC227" s="6">
        <v>38732.870000000003</v>
      </c>
      <c r="AD227" s="138">
        <f t="shared" si="103"/>
        <v>40520.69</v>
      </c>
      <c r="AE227" s="167">
        <f t="shared" si="104"/>
        <v>1.7614578260938391E-2</v>
      </c>
      <c r="AF227" s="307">
        <v>284.2</v>
      </c>
      <c r="AG227" s="4">
        <v>2173.42</v>
      </c>
      <c r="AH227" s="138">
        <f t="shared" si="105"/>
        <v>2457.62</v>
      </c>
      <c r="AI227" s="6">
        <v>38732.870000000003</v>
      </c>
      <c r="AJ227" s="138">
        <f t="shared" si="106"/>
        <v>41190.490000000005</v>
      </c>
      <c r="AK227" s="167">
        <f t="shared" si="107"/>
        <v>1.652982710807745E-2</v>
      </c>
      <c r="AL227" s="6">
        <v>252.83</v>
      </c>
      <c r="AM227" s="6">
        <v>2804.41</v>
      </c>
      <c r="AN227" s="138">
        <f t="shared" si="108"/>
        <v>3057.24</v>
      </c>
      <c r="AO227" s="6">
        <v>38732.870000000003</v>
      </c>
      <c r="AP227" s="138">
        <f t="shared" si="109"/>
        <v>41790.11</v>
      </c>
      <c r="AQ227" s="167">
        <f t="shared" si="110"/>
        <v>1.4557243674449983E-2</v>
      </c>
      <c r="AR227" s="164">
        <f t="shared" si="93"/>
        <v>202482.65000000002</v>
      </c>
      <c r="AS227" s="165">
        <f t="shared" si="94"/>
        <v>1.6370306938659818E-2</v>
      </c>
    </row>
    <row r="228" spans="2:45" outlineLevel="1" x14ac:dyDescent="0.35">
      <c r="B228" s="294" t="s">
        <v>100</v>
      </c>
      <c r="C228" s="62" t="s">
        <v>147</v>
      </c>
      <c r="D228" s="70">
        <v>4124.2095648572122</v>
      </c>
      <c r="E228" s="70">
        <v>3994.2510288980338</v>
      </c>
      <c r="F228" s="167">
        <f t="shared" si="89"/>
        <v>-3.1511137810883223E-2</v>
      </c>
      <c r="G228" s="70">
        <v>4276.8102130608631</v>
      </c>
      <c r="H228" s="167">
        <f t="shared" si="95"/>
        <v>7.074146870553201E-2</v>
      </c>
      <c r="I228" s="70">
        <v>3749.2</v>
      </c>
      <c r="J228" s="167">
        <f t="shared" si="96"/>
        <v>-0.12336535566848519</v>
      </c>
      <c r="K228" s="70">
        <v>3519.2</v>
      </c>
      <c r="L228" s="167">
        <f t="shared" si="97"/>
        <v>-6.1346420569721546E-2</v>
      </c>
      <c r="M228" s="164">
        <f t="shared" si="98"/>
        <v>19663.67080681611</v>
      </c>
      <c r="N228" s="165">
        <f t="shared" si="90"/>
        <v>-3.8884002626573655E-2</v>
      </c>
      <c r="P228" s="6">
        <v>234.11</v>
      </c>
      <c r="Q228" s="6">
        <v>5572.51</v>
      </c>
      <c r="R228" s="138">
        <f t="shared" si="99"/>
        <v>5806.62</v>
      </c>
      <c r="S228" s="185">
        <f t="shared" si="91"/>
        <v>0.64998295067060696</v>
      </c>
      <c r="T228" s="6">
        <v>220.64</v>
      </c>
      <c r="U228" s="6">
        <v>420.66</v>
      </c>
      <c r="V228" s="138">
        <f t="shared" si="100"/>
        <v>641.29999999999995</v>
      </c>
      <c r="W228" s="6">
        <v>5572.51</v>
      </c>
      <c r="X228" s="138">
        <f t="shared" si="101"/>
        <v>6213.81</v>
      </c>
      <c r="Y228" s="167">
        <f t="shared" si="92"/>
        <v>7.0125133037808665E-2</v>
      </c>
      <c r="Z228" s="70">
        <v>283.95</v>
      </c>
      <c r="AA228" s="6">
        <v>911.43</v>
      </c>
      <c r="AB228" s="138">
        <f t="shared" si="102"/>
        <v>1195.3799999999999</v>
      </c>
      <c r="AC228" s="6">
        <v>5572.51</v>
      </c>
      <c r="AD228" s="138">
        <f t="shared" si="103"/>
        <v>6767.89</v>
      </c>
      <c r="AE228" s="167">
        <f t="shared" si="104"/>
        <v>8.9169124900825722E-2</v>
      </c>
      <c r="AF228" s="307">
        <v>252.62</v>
      </c>
      <c r="AG228" s="4">
        <v>1542.43</v>
      </c>
      <c r="AH228" s="138">
        <f t="shared" si="105"/>
        <v>1795.0500000000002</v>
      </c>
      <c r="AI228" s="6">
        <v>5572.51</v>
      </c>
      <c r="AJ228" s="138">
        <f t="shared" si="106"/>
        <v>7367.56</v>
      </c>
      <c r="AK228" s="167">
        <f t="shared" si="107"/>
        <v>8.8605163499997794E-2</v>
      </c>
      <c r="AL228" s="6">
        <v>316.04000000000002</v>
      </c>
      <c r="AM228" s="6">
        <v>2103.31</v>
      </c>
      <c r="AN228" s="138">
        <f t="shared" si="108"/>
        <v>2419.35</v>
      </c>
      <c r="AO228" s="6">
        <v>5572.51</v>
      </c>
      <c r="AP228" s="138">
        <f t="shared" si="109"/>
        <v>7991.8600000000006</v>
      </c>
      <c r="AQ228" s="167">
        <f t="shared" si="110"/>
        <v>8.473633061692068E-2</v>
      </c>
      <c r="AR228" s="164">
        <f t="shared" si="93"/>
        <v>34147.740000000005</v>
      </c>
      <c r="AS228" s="165">
        <f t="shared" si="94"/>
        <v>8.3131323231748766E-2</v>
      </c>
    </row>
    <row r="229" spans="2:45" outlineLevel="1" x14ac:dyDescent="0.35">
      <c r="B229" s="294" t="s">
        <v>101</v>
      </c>
      <c r="C229" s="62" t="s">
        <v>147</v>
      </c>
      <c r="D229" s="70">
        <v>5656.1636738205871</v>
      </c>
      <c r="E229" s="70">
        <v>5253.9461817524507</v>
      </c>
      <c r="F229" s="167">
        <f t="shared" si="89"/>
        <v>-7.1111360148538499E-2</v>
      </c>
      <c r="G229" s="70">
        <v>5601.6832123001677</v>
      </c>
      <c r="H229" s="167">
        <f t="shared" si="95"/>
        <v>6.6185876009816597E-2</v>
      </c>
      <c r="I229" s="70">
        <v>4312.8999999999996</v>
      </c>
      <c r="J229" s="167">
        <f t="shared" si="96"/>
        <v>-0.23007070615315409</v>
      </c>
      <c r="K229" s="70">
        <v>5052.3999999999996</v>
      </c>
      <c r="L229" s="167">
        <f t="shared" si="97"/>
        <v>0.17146235711470242</v>
      </c>
      <c r="M229" s="164">
        <f t="shared" si="98"/>
        <v>25877.093067873211</v>
      </c>
      <c r="N229" s="165">
        <f t="shared" si="90"/>
        <v>-2.7826139885551049E-2</v>
      </c>
      <c r="P229" s="6"/>
      <c r="Q229" s="6">
        <v>2942.8</v>
      </c>
      <c r="R229" s="138">
        <f t="shared" si="99"/>
        <v>2942.8</v>
      </c>
      <c r="S229" s="185">
        <f t="shared" si="91"/>
        <v>-0.41754413743963259</v>
      </c>
      <c r="T229" s="6"/>
      <c r="U229" s="6"/>
      <c r="V229" s="138">
        <f t="shared" si="100"/>
        <v>0</v>
      </c>
      <c r="W229" s="6">
        <v>2942.8</v>
      </c>
      <c r="X229" s="138">
        <f t="shared" si="101"/>
        <v>2942.8</v>
      </c>
      <c r="Y229" s="167">
        <f t="shared" si="92"/>
        <v>0</v>
      </c>
      <c r="Z229" s="70"/>
      <c r="AA229" s="6">
        <v>0</v>
      </c>
      <c r="AB229" s="138">
        <f t="shared" si="102"/>
        <v>0</v>
      </c>
      <c r="AC229" s="6">
        <v>2942.8</v>
      </c>
      <c r="AD229" s="138">
        <f t="shared" si="103"/>
        <v>2942.8</v>
      </c>
      <c r="AE229" s="167">
        <f t="shared" si="104"/>
        <v>0</v>
      </c>
      <c r="AF229" s="307"/>
      <c r="AG229" s="4"/>
      <c r="AH229" s="138">
        <f t="shared" si="105"/>
        <v>0</v>
      </c>
      <c r="AI229" s="6">
        <v>2942.8</v>
      </c>
      <c r="AJ229" s="138">
        <f t="shared" si="106"/>
        <v>2942.8</v>
      </c>
      <c r="AK229" s="167">
        <f t="shared" si="107"/>
        <v>0</v>
      </c>
      <c r="AL229" s="6"/>
      <c r="AM229" s="6"/>
      <c r="AN229" s="138">
        <f t="shared" si="108"/>
        <v>0</v>
      </c>
      <c r="AO229" s="6">
        <v>2942.8</v>
      </c>
      <c r="AP229" s="138">
        <f t="shared" si="109"/>
        <v>2942.8</v>
      </c>
      <c r="AQ229" s="167">
        <f t="shared" si="110"/>
        <v>0</v>
      </c>
      <c r="AR229" s="164">
        <f t="shared" si="93"/>
        <v>14714</v>
      </c>
      <c r="AS229" s="165">
        <f t="shared" si="94"/>
        <v>0</v>
      </c>
    </row>
    <row r="230" spans="2:45" outlineLevel="1" x14ac:dyDescent="0.35">
      <c r="B230" s="294" t="s">
        <v>102</v>
      </c>
      <c r="C230" s="62" t="s">
        <v>147</v>
      </c>
      <c r="D230" s="70">
        <v>6926.7305723136251</v>
      </c>
      <c r="E230" s="70">
        <v>6592.9388852726497</v>
      </c>
      <c r="F230" s="167">
        <f t="shared" si="89"/>
        <v>-4.8188923122714195E-2</v>
      </c>
      <c r="G230" s="70">
        <v>7177.9699592185698</v>
      </c>
      <c r="H230" s="167">
        <f t="shared" si="95"/>
        <v>8.8736007435586323E-2</v>
      </c>
      <c r="I230" s="70">
        <v>6967.1</v>
      </c>
      <c r="J230" s="167">
        <f t="shared" si="96"/>
        <v>-2.9377381128177053E-2</v>
      </c>
      <c r="K230" s="70">
        <v>7470.3</v>
      </c>
      <c r="L230" s="167">
        <f t="shared" si="97"/>
        <v>7.2225172596919782E-2</v>
      </c>
      <c r="M230" s="164">
        <f t="shared" si="98"/>
        <v>35135.039416804844</v>
      </c>
      <c r="N230" s="165">
        <f t="shared" si="90"/>
        <v>1.9066292953265673E-2</v>
      </c>
      <c r="P230" s="6">
        <v>78.040000000000006</v>
      </c>
      <c r="Q230" s="6">
        <v>7785.12</v>
      </c>
      <c r="R230" s="138">
        <f t="shared" si="99"/>
        <v>7863.16</v>
      </c>
      <c r="S230" s="185">
        <f t="shared" si="91"/>
        <v>5.2589588102218074E-2</v>
      </c>
      <c r="T230" s="6">
        <v>63.04</v>
      </c>
      <c r="U230" s="6">
        <v>140.22</v>
      </c>
      <c r="V230" s="138">
        <f t="shared" si="100"/>
        <v>203.26</v>
      </c>
      <c r="W230" s="6">
        <v>7785.12</v>
      </c>
      <c r="X230" s="138">
        <f t="shared" si="101"/>
        <v>7988.38</v>
      </c>
      <c r="Y230" s="167">
        <f t="shared" si="92"/>
        <v>1.5924895334700078E-2</v>
      </c>
      <c r="Z230" s="70">
        <v>63.1</v>
      </c>
      <c r="AA230" s="6">
        <v>280.44</v>
      </c>
      <c r="AB230" s="138">
        <f t="shared" si="102"/>
        <v>343.54</v>
      </c>
      <c r="AC230" s="6">
        <v>7785.12</v>
      </c>
      <c r="AD230" s="138">
        <f t="shared" si="103"/>
        <v>8128.66</v>
      </c>
      <c r="AE230" s="167">
        <f t="shared" si="104"/>
        <v>1.7560506635888595E-2</v>
      </c>
      <c r="AF230" s="307">
        <v>63.16</v>
      </c>
      <c r="AG230" s="4">
        <v>420.66</v>
      </c>
      <c r="AH230" s="138">
        <f t="shared" si="105"/>
        <v>483.82000000000005</v>
      </c>
      <c r="AI230" s="6">
        <v>7785.12</v>
      </c>
      <c r="AJ230" s="138">
        <f t="shared" si="106"/>
        <v>8268.94</v>
      </c>
      <c r="AK230" s="167">
        <f t="shared" si="107"/>
        <v>1.725745694862384E-2</v>
      </c>
      <c r="AL230" s="6">
        <v>31.6</v>
      </c>
      <c r="AM230" s="6">
        <v>560.88</v>
      </c>
      <c r="AN230" s="138">
        <f t="shared" si="108"/>
        <v>592.48</v>
      </c>
      <c r="AO230" s="6">
        <v>7785.12</v>
      </c>
      <c r="AP230" s="138">
        <f t="shared" si="109"/>
        <v>8377.6</v>
      </c>
      <c r="AQ230" s="167">
        <f t="shared" si="110"/>
        <v>1.3140741134897563E-2</v>
      </c>
      <c r="AR230" s="164">
        <f t="shared" si="93"/>
        <v>40626.74</v>
      </c>
      <c r="AS230" s="165">
        <f t="shared" si="94"/>
        <v>1.5969398388051115E-2</v>
      </c>
    </row>
    <row r="231" spans="2:45" outlineLevel="1" x14ac:dyDescent="0.35">
      <c r="B231" s="294" t="s">
        <v>103</v>
      </c>
      <c r="C231" s="62" t="s">
        <v>147</v>
      </c>
      <c r="D231" s="70">
        <v>12024.97594904118</v>
      </c>
      <c r="E231" s="70">
        <v>11573.592646963843</v>
      </c>
      <c r="F231" s="167">
        <f t="shared" si="89"/>
        <v>-3.7537148015113306E-2</v>
      </c>
      <c r="G231" s="70">
        <v>12690.564468787274</v>
      </c>
      <c r="H231" s="167">
        <f t="shared" si="95"/>
        <v>9.6510379783968883E-2</v>
      </c>
      <c r="I231" s="70">
        <v>12141.1</v>
      </c>
      <c r="J231" s="167">
        <f t="shared" si="96"/>
        <v>-4.3297086598369477E-2</v>
      </c>
      <c r="K231" s="70">
        <v>11497.3</v>
      </c>
      <c r="L231" s="167">
        <f t="shared" si="97"/>
        <v>-5.3026496775415828E-2</v>
      </c>
      <c r="M231" s="164">
        <f t="shared" si="98"/>
        <v>59927.533064792296</v>
      </c>
      <c r="N231" s="165">
        <f t="shared" si="90"/>
        <v>-1.1155706107584651E-2</v>
      </c>
      <c r="P231" s="6"/>
      <c r="Q231" s="6">
        <v>10751.48</v>
      </c>
      <c r="R231" s="138">
        <f t="shared" si="99"/>
        <v>10751.48</v>
      </c>
      <c r="S231" s="185">
        <f t="shared" si="91"/>
        <v>-6.4869143190140269E-2</v>
      </c>
      <c r="T231" s="6"/>
      <c r="U231" s="6"/>
      <c r="V231" s="138">
        <f t="shared" si="100"/>
        <v>0</v>
      </c>
      <c r="W231" s="6">
        <v>10751.48</v>
      </c>
      <c r="X231" s="138">
        <f t="shared" si="101"/>
        <v>10751.48</v>
      </c>
      <c r="Y231" s="167">
        <f t="shared" si="92"/>
        <v>0</v>
      </c>
      <c r="Z231" s="70"/>
      <c r="AA231" s="6">
        <v>0</v>
      </c>
      <c r="AB231" s="138">
        <f t="shared" si="102"/>
        <v>0</v>
      </c>
      <c r="AC231" s="6">
        <v>10751.48</v>
      </c>
      <c r="AD231" s="138">
        <f t="shared" si="103"/>
        <v>10751.48</v>
      </c>
      <c r="AE231" s="167">
        <f t="shared" si="104"/>
        <v>0</v>
      </c>
      <c r="AF231" s="307"/>
      <c r="AG231" s="4"/>
      <c r="AH231" s="138">
        <f t="shared" si="105"/>
        <v>0</v>
      </c>
      <c r="AI231" s="6">
        <v>10751.48</v>
      </c>
      <c r="AJ231" s="138">
        <f t="shared" si="106"/>
        <v>10751.48</v>
      </c>
      <c r="AK231" s="167">
        <f t="shared" si="107"/>
        <v>0</v>
      </c>
      <c r="AL231" s="6"/>
      <c r="AM231" s="6"/>
      <c r="AN231" s="138">
        <f t="shared" si="108"/>
        <v>0</v>
      </c>
      <c r="AO231" s="6">
        <v>10751.48</v>
      </c>
      <c r="AP231" s="138">
        <f t="shared" si="109"/>
        <v>10751.48</v>
      </c>
      <c r="AQ231" s="167">
        <f t="shared" si="110"/>
        <v>0</v>
      </c>
      <c r="AR231" s="164">
        <f t="shared" si="93"/>
        <v>53757.399999999994</v>
      </c>
      <c r="AS231" s="165">
        <f t="shared" si="94"/>
        <v>0</v>
      </c>
    </row>
    <row r="232" spans="2:45" outlineLevel="1" x14ac:dyDescent="0.35">
      <c r="B232" s="294" t="s">
        <v>104</v>
      </c>
      <c r="C232" s="62" t="s">
        <v>147</v>
      </c>
      <c r="D232" s="70">
        <v>27844.500565893959</v>
      </c>
      <c r="E232" s="70">
        <v>26365.3415408088</v>
      </c>
      <c r="F232" s="167">
        <f t="shared" si="89"/>
        <v>-5.3122124477856282E-2</v>
      </c>
      <c r="G232" s="70">
        <v>27109.604253880399</v>
      </c>
      <c r="H232" s="167">
        <f t="shared" si="95"/>
        <v>2.8228828817544977E-2</v>
      </c>
      <c r="I232" s="70">
        <v>31181.3</v>
      </c>
      <c r="J232" s="167">
        <f t="shared" si="96"/>
        <v>0.15019384672636038</v>
      </c>
      <c r="K232" s="70">
        <v>26116.1</v>
      </c>
      <c r="L232" s="167">
        <f t="shared" si="97"/>
        <v>-0.16244351582519012</v>
      </c>
      <c r="M232" s="164"/>
      <c r="N232" s="165">
        <f t="shared" si="90"/>
        <v>-1.5893222962781506E-2</v>
      </c>
      <c r="P232" s="6"/>
      <c r="Q232" s="6">
        <v>26814.34</v>
      </c>
      <c r="R232" s="138">
        <f t="shared" si="99"/>
        <v>26814.34</v>
      </c>
      <c r="S232" s="185">
        <f t="shared" si="91"/>
        <v>2.6735998100788465E-2</v>
      </c>
      <c r="T232" s="6"/>
      <c r="U232" s="6"/>
      <c r="V232" s="138">
        <f t="shared" si="100"/>
        <v>0</v>
      </c>
      <c r="W232" s="6">
        <v>26814.34</v>
      </c>
      <c r="X232" s="138">
        <f t="shared" si="101"/>
        <v>26814.34</v>
      </c>
      <c r="Y232" s="167">
        <f t="shared" si="92"/>
        <v>0</v>
      </c>
      <c r="Z232" s="70"/>
      <c r="AA232" s="6">
        <v>0</v>
      </c>
      <c r="AB232" s="138">
        <f t="shared" si="102"/>
        <v>0</v>
      </c>
      <c r="AC232" s="6">
        <v>26814.34</v>
      </c>
      <c r="AD232" s="138">
        <f t="shared" si="103"/>
        <v>26814.34</v>
      </c>
      <c r="AE232" s="167">
        <f t="shared" si="104"/>
        <v>0</v>
      </c>
      <c r="AF232" s="307"/>
      <c r="AG232" s="4"/>
      <c r="AH232" s="138">
        <f t="shared" si="105"/>
        <v>0</v>
      </c>
      <c r="AI232" s="6">
        <v>26814.34</v>
      </c>
      <c r="AJ232" s="138">
        <f t="shared" si="106"/>
        <v>26814.34</v>
      </c>
      <c r="AK232" s="167">
        <f t="shared" si="107"/>
        <v>0</v>
      </c>
      <c r="AL232" s="6"/>
      <c r="AM232" s="6"/>
      <c r="AN232" s="138">
        <f t="shared" si="108"/>
        <v>0</v>
      </c>
      <c r="AO232" s="6">
        <v>26814.34</v>
      </c>
      <c r="AP232" s="138">
        <f t="shared" si="109"/>
        <v>26814.34</v>
      </c>
      <c r="AQ232" s="167">
        <f t="shared" si="110"/>
        <v>0</v>
      </c>
      <c r="AR232" s="164">
        <f t="shared" si="93"/>
        <v>134071.70000000001</v>
      </c>
      <c r="AS232" s="165">
        <f t="shared" si="94"/>
        <v>0</v>
      </c>
    </row>
    <row r="233" spans="2:45" outlineLevel="1" x14ac:dyDescent="0.35">
      <c r="B233" s="294" t="s">
        <v>136</v>
      </c>
      <c r="C233" s="62" t="s">
        <v>147</v>
      </c>
      <c r="D233" s="70">
        <v>0</v>
      </c>
      <c r="E233" s="70">
        <v>0</v>
      </c>
      <c r="F233" s="167">
        <f t="shared" si="89"/>
        <v>0</v>
      </c>
      <c r="G233" s="70">
        <v>0</v>
      </c>
      <c r="H233" s="167">
        <f t="shared" si="95"/>
        <v>0</v>
      </c>
      <c r="I233" s="70">
        <v>0</v>
      </c>
      <c r="J233" s="167">
        <f t="shared" si="96"/>
        <v>0</v>
      </c>
      <c r="K233" s="70"/>
      <c r="L233" s="167">
        <f t="shared" si="97"/>
        <v>0</v>
      </c>
      <c r="M233" s="164">
        <f t="shared" si="98"/>
        <v>0</v>
      </c>
      <c r="N233" s="165">
        <f t="shared" si="90"/>
        <v>0</v>
      </c>
      <c r="P233" s="6"/>
      <c r="Q233" s="6"/>
      <c r="R233" s="138">
        <f t="shared" si="99"/>
        <v>0</v>
      </c>
      <c r="S233" s="185">
        <f t="shared" si="91"/>
        <v>0</v>
      </c>
      <c r="T233" s="6"/>
      <c r="U233" s="6"/>
      <c r="V233" s="138">
        <f t="shared" si="100"/>
        <v>0</v>
      </c>
      <c r="W233" s="6"/>
      <c r="X233" s="138">
        <f t="shared" si="101"/>
        <v>0</v>
      </c>
      <c r="Y233" s="167">
        <f t="shared" si="92"/>
        <v>0</v>
      </c>
      <c r="Z233" s="70"/>
      <c r="AA233" s="6">
        <v>0</v>
      </c>
      <c r="AB233" s="138">
        <f t="shared" si="102"/>
        <v>0</v>
      </c>
      <c r="AC233" s="6"/>
      <c r="AD233" s="138">
        <f t="shared" si="103"/>
        <v>0</v>
      </c>
      <c r="AE233" s="167">
        <f t="shared" si="104"/>
        <v>0</v>
      </c>
      <c r="AF233" s="307">
        <v>31.58</v>
      </c>
      <c r="AG233" s="4"/>
      <c r="AH233" s="138">
        <f t="shared" si="105"/>
        <v>31.58</v>
      </c>
      <c r="AI233" s="6"/>
      <c r="AJ233" s="138">
        <f t="shared" si="106"/>
        <v>31.58</v>
      </c>
      <c r="AK233" s="167">
        <f t="shared" si="107"/>
        <v>0</v>
      </c>
      <c r="AL233" s="6">
        <v>31.6</v>
      </c>
      <c r="AM233" s="6">
        <v>70.11</v>
      </c>
      <c r="AN233" s="138">
        <f t="shared" si="108"/>
        <v>101.71000000000001</v>
      </c>
      <c r="AO233" s="6"/>
      <c r="AP233" s="138">
        <f t="shared" si="109"/>
        <v>101.71000000000001</v>
      </c>
      <c r="AQ233" s="167">
        <f t="shared" si="110"/>
        <v>2.2207093096896773</v>
      </c>
      <c r="AR233" s="164">
        <f t="shared" si="93"/>
        <v>133.29000000000002</v>
      </c>
      <c r="AS233" s="165">
        <f t="shared" si="94"/>
        <v>0</v>
      </c>
    </row>
    <row r="234" spans="2:45" outlineLevel="1" x14ac:dyDescent="0.35">
      <c r="B234" s="294" t="s">
        <v>106</v>
      </c>
      <c r="C234" s="62" t="s">
        <v>147</v>
      </c>
      <c r="D234" s="70">
        <v>7600.2700697801274</v>
      </c>
      <c r="E234" s="70">
        <v>5896.0941809905999</v>
      </c>
      <c r="F234" s="167">
        <f t="shared" si="89"/>
        <v>-0.22422570160573632</v>
      </c>
      <c r="G234" s="70">
        <v>7235.9621741719002</v>
      </c>
      <c r="H234" s="167">
        <f t="shared" si="95"/>
        <v>0.22724670808365374</v>
      </c>
      <c r="I234" s="70">
        <v>6712.1</v>
      </c>
      <c r="J234" s="167">
        <f t="shared" si="96"/>
        <v>-7.2397030493301581E-2</v>
      </c>
      <c r="K234" s="70">
        <v>7625.2</v>
      </c>
      <c r="L234" s="167">
        <f t="shared" si="97"/>
        <v>0.136037901699915</v>
      </c>
      <c r="M234" s="164">
        <f t="shared" si="98"/>
        <v>35069.626424942624</v>
      </c>
      <c r="N234" s="165">
        <f t="shared" si="90"/>
        <v>8.1902759492291644E-4</v>
      </c>
      <c r="P234" s="6">
        <v>39.020000000000003</v>
      </c>
      <c r="Q234" s="6">
        <v>7066.32</v>
      </c>
      <c r="R234" s="138">
        <f t="shared" si="99"/>
        <v>7105.34</v>
      </c>
      <c r="S234" s="185">
        <f t="shared" si="91"/>
        <v>-6.8176572417772613E-2</v>
      </c>
      <c r="T234" s="6">
        <v>31.52</v>
      </c>
      <c r="U234" s="6">
        <v>70.11</v>
      </c>
      <c r="V234" s="138">
        <f t="shared" si="100"/>
        <v>101.63</v>
      </c>
      <c r="W234" s="6">
        <v>7066.32</v>
      </c>
      <c r="X234" s="138">
        <f t="shared" si="101"/>
        <v>7167.95</v>
      </c>
      <c r="Y234" s="167">
        <f t="shared" si="92"/>
        <v>8.8116824810634924E-3</v>
      </c>
      <c r="Z234" s="70">
        <v>31.55</v>
      </c>
      <c r="AA234" s="6">
        <v>140.22</v>
      </c>
      <c r="AB234" s="138">
        <f t="shared" si="102"/>
        <v>171.77</v>
      </c>
      <c r="AC234" s="6">
        <v>7066.32</v>
      </c>
      <c r="AD234" s="138">
        <f t="shared" si="103"/>
        <v>7238.09</v>
      </c>
      <c r="AE234" s="167">
        <f t="shared" si="104"/>
        <v>9.7852245063093819E-3</v>
      </c>
      <c r="AF234" s="307">
        <v>63.16</v>
      </c>
      <c r="AG234" s="4">
        <v>210.33</v>
      </c>
      <c r="AH234" s="138">
        <f t="shared" si="105"/>
        <v>273.49</v>
      </c>
      <c r="AI234" s="6">
        <v>7066.32</v>
      </c>
      <c r="AJ234" s="138">
        <f t="shared" si="106"/>
        <v>7339.8099999999995</v>
      </c>
      <c r="AK234" s="167">
        <f t="shared" si="107"/>
        <v>1.4053431222877768E-2</v>
      </c>
      <c r="AL234" s="6">
        <v>63.21</v>
      </c>
      <c r="AM234" s="6">
        <v>350.55</v>
      </c>
      <c r="AN234" s="138">
        <f t="shared" si="108"/>
        <v>413.76</v>
      </c>
      <c r="AO234" s="6">
        <v>7066.32</v>
      </c>
      <c r="AP234" s="138">
        <f t="shared" si="109"/>
        <v>7480.08</v>
      </c>
      <c r="AQ234" s="167">
        <f t="shared" si="110"/>
        <v>1.9110848918432555E-2</v>
      </c>
      <c r="AR234" s="164">
        <f t="shared" si="93"/>
        <v>36331.270000000004</v>
      </c>
      <c r="AS234" s="165">
        <f t="shared" si="94"/>
        <v>1.2932124188635763E-2</v>
      </c>
    </row>
    <row r="235" spans="2:45" outlineLevel="1" x14ac:dyDescent="0.35">
      <c r="B235" s="294" t="s">
        <v>107</v>
      </c>
      <c r="C235" s="62" t="s">
        <v>147</v>
      </c>
      <c r="D235" s="70">
        <v>9841.9106863944035</v>
      </c>
      <c r="E235" s="70">
        <v>8390.2745506311203</v>
      </c>
      <c r="F235" s="167">
        <f t="shared" si="89"/>
        <v>-0.14749535755999549</v>
      </c>
      <c r="G235" s="70">
        <v>10166.024068612989</v>
      </c>
      <c r="H235" s="167">
        <f t="shared" si="95"/>
        <v>0.21164379154294732</v>
      </c>
      <c r="I235" s="70">
        <v>8219.7999999999993</v>
      </c>
      <c r="J235" s="167">
        <f t="shared" si="96"/>
        <v>-0.1914439760792859</v>
      </c>
      <c r="K235" s="70">
        <v>7206.4</v>
      </c>
      <c r="L235" s="167">
        <f t="shared" si="97"/>
        <v>-0.12328767123287668</v>
      </c>
      <c r="M235" s="164">
        <f t="shared" si="98"/>
        <v>43824.40930563851</v>
      </c>
      <c r="N235" s="165">
        <f t="shared" si="90"/>
        <v>-7.4961653723122801E-2</v>
      </c>
      <c r="P235" s="6">
        <v>117.05</v>
      </c>
      <c r="Q235" s="6">
        <v>7047.58</v>
      </c>
      <c r="R235" s="138">
        <f t="shared" si="99"/>
        <v>7164.63</v>
      </c>
      <c r="S235" s="185">
        <f t="shared" si="91"/>
        <v>-5.7962366785079275E-3</v>
      </c>
      <c r="T235" s="6">
        <v>126.08</v>
      </c>
      <c r="U235" s="6">
        <v>210.33</v>
      </c>
      <c r="V235" s="138">
        <f t="shared" si="100"/>
        <v>336.41</v>
      </c>
      <c r="W235" s="6">
        <v>7047.58</v>
      </c>
      <c r="X235" s="138">
        <f t="shared" si="101"/>
        <v>7383.99</v>
      </c>
      <c r="Y235" s="167">
        <f t="shared" si="92"/>
        <v>3.0617073037965625E-2</v>
      </c>
      <c r="Z235" s="70">
        <v>94.65</v>
      </c>
      <c r="AA235" s="6">
        <v>490.77</v>
      </c>
      <c r="AB235" s="138">
        <f t="shared" si="102"/>
        <v>585.41999999999996</v>
      </c>
      <c r="AC235" s="6">
        <v>7047.58</v>
      </c>
      <c r="AD235" s="138">
        <f t="shared" si="103"/>
        <v>7633</v>
      </c>
      <c r="AE235" s="167">
        <f t="shared" si="104"/>
        <v>3.3722960079848457E-2</v>
      </c>
      <c r="AF235" s="307">
        <v>94.73</v>
      </c>
      <c r="AG235" s="4">
        <v>701.1</v>
      </c>
      <c r="AH235" s="138">
        <f t="shared" si="105"/>
        <v>795.83</v>
      </c>
      <c r="AI235" s="6">
        <v>7047.58</v>
      </c>
      <c r="AJ235" s="138">
        <f t="shared" si="106"/>
        <v>7843.41</v>
      </c>
      <c r="AK235" s="167">
        <f t="shared" si="107"/>
        <v>2.7565832569107801E-2</v>
      </c>
      <c r="AL235" s="6">
        <v>63.21</v>
      </c>
      <c r="AM235" s="6">
        <v>911.43</v>
      </c>
      <c r="AN235" s="138">
        <f t="shared" si="108"/>
        <v>974.64</v>
      </c>
      <c r="AO235" s="6">
        <v>7047.58</v>
      </c>
      <c r="AP235" s="138">
        <f t="shared" si="109"/>
        <v>8022.22</v>
      </c>
      <c r="AQ235" s="167">
        <f t="shared" si="110"/>
        <v>2.2797482217555936E-2</v>
      </c>
      <c r="AR235" s="164">
        <f t="shared" si="93"/>
        <v>38047.25</v>
      </c>
      <c r="AS235" s="165">
        <f t="shared" si="94"/>
        <v>2.8667929466944519E-2</v>
      </c>
    </row>
    <row r="236" spans="2:45" outlineLevel="1" x14ac:dyDescent="0.35">
      <c r="B236" s="294" t="s">
        <v>108</v>
      </c>
      <c r="C236" s="62" t="s">
        <v>147</v>
      </c>
      <c r="D236" s="70">
        <v>11606.403896343543</v>
      </c>
      <c r="E236" s="70">
        <v>11229.88585629551</v>
      </c>
      <c r="F236" s="167">
        <f t="shared" si="89"/>
        <v>-3.244054260136945E-2</v>
      </c>
      <c r="G236" s="70">
        <v>12150.139894654691</v>
      </c>
      <c r="H236" s="167">
        <f t="shared" si="95"/>
        <v>8.1946873738105094E-2</v>
      </c>
      <c r="I236" s="70">
        <v>11683.2</v>
      </c>
      <c r="J236" s="167">
        <f t="shared" si="96"/>
        <v>-3.8430824558663271E-2</v>
      </c>
      <c r="K236" s="70">
        <v>11067.6</v>
      </c>
      <c r="L236" s="167">
        <f t="shared" si="97"/>
        <v>-5.2691043549712435E-2</v>
      </c>
      <c r="M236" s="164">
        <f t="shared" si="98"/>
        <v>57737.229647293738</v>
      </c>
      <c r="N236" s="165">
        <f t="shared" si="90"/>
        <v>-1.1813438065747084E-2</v>
      </c>
      <c r="P236" s="6">
        <v>234.11</v>
      </c>
      <c r="Q236" s="6">
        <v>11502.58</v>
      </c>
      <c r="R236" s="138">
        <f t="shared" si="99"/>
        <v>11736.69</v>
      </c>
      <c r="S236" s="185">
        <f t="shared" si="91"/>
        <v>6.0454841157974643E-2</v>
      </c>
      <c r="T236" s="6">
        <v>157.6</v>
      </c>
      <c r="U236" s="6">
        <v>420.66</v>
      </c>
      <c r="V236" s="138">
        <f t="shared" si="100"/>
        <v>578.26</v>
      </c>
      <c r="W236" s="6">
        <v>11502.58</v>
      </c>
      <c r="X236" s="138">
        <f t="shared" si="101"/>
        <v>12080.84</v>
      </c>
      <c r="Y236" s="167">
        <f t="shared" si="92"/>
        <v>2.9322577319499759E-2</v>
      </c>
      <c r="Z236" s="70">
        <v>220.85</v>
      </c>
      <c r="AA236" s="6">
        <v>771.21</v>
      </c>
      <c r="AB236" s="138">
        <f t="shared" si="102"/>
        <v>992.06000000000006</v>
      </c>
      <c r="AC236" s="6">
        <v>11502.58</v>
      </c>
      <c r="AD236" s="138">
        <f t="shared" si="103"/>
        <v>12494.64</v>
      </c>
      <c r="AE236" s="167">
        <f t="shared" si="104"/>
        <v>3.4252585085143027E-2</v>
      </c>
      <c r="AF236" s="307">
        <v>315.77999999999997</v>
      </c>
      <c r="AG236" s="4">
        <v>1261.99</v>
      </c>
      <c r="AH236" s="138">
        <f t="shared" si="105"/>
        <v>1577.77</v>
      </c>
      <c r="AI236" s="6">
        <v>11502.58</v>
      </c>
      <c r="AJ236" s="138">
        <f t="shared" si="106"/>
        <v>13080.35</v>
      </c>
      <c r="AK236" s="167">
        <f t="shared" si="107"/>
        <v>4.687690081506958E-2</v>
      </c>
      <c r="AL236" s="6">
        <v>284.43</v>
      </c>
      <c r="AM236" s="6">
        <v>1963.09</v>
      </c>
      <c r="AN236" s="138">
        <f t="shared" si="108"/>
        <v>2247.52</v>
      </c>
      <c r="AO236" s="6">
        <v>11502.58</v>
      </c>
      <c r="AP236" s="138">
        <f t="shared" si="109"/>
        <v>13750.1</v>
      </c>
      <c r="AQ236" s="167">
        <f t="shared" si="110"/>
        <v>5.1202758335977247E-2</v>
      </c>
      <c r="AR236" s="164">
        <f t="shared" si="93"/>
        <v>63142.619999999995</v>
      </c>
      <c r="AS236" s="165">
        <f t="shared" si="94"/>
        <v>4.0375354744129677E-2</v>
      </c>
    </row>
    <row r="237" spans="2:45" outlineLevel="1" x14ac:dyDescent="0.35">
      <c r="B237" s="294" t="s">
        <v>109</v>
      </c>
      <c r="C237" s="62" t="s">
        <v>147</v>
      </c>
      <c r="D237" s="70">
        <v>13121.578645331316</v>
      </c>
      <c r="E237" s="70">
        <v>12022.162285553299</v>
      </c>
      <c r="F237" s="167">
        <f t="shared" si="89"/>
        <v>-8.378689710244519E-2</v>
      </c>
      <c r="G237" s="70">
        <v>12918.217921668989</v>
      </c>
      <c r="H237" s="167">
        <f t="shared" si="95"/>
        <v>7.4533650006742627E-2</v>
      </c>
      <c r="I237" s="70">
        <v>11704.7</v>
      </c>
      <c r="J237" s="167">
        <f t="shared" si="96"/>
        <v>-9.3938492834482717E-2</v>
      </c>
      <c r="K237" s="70">
        <v>11402.8</v>
      </c>
      <c r="L237" s="167">
        <f t="shared" si="97"/>
        <v>-2.5793057489726472E-2</v>
      </c>
      <c r="M237" s="164">
        <f t="shared" si="98"/>
        <v>61169.458852553609</v>
      </c>
      <c r="N237" s="165">
        <f t="shared" si="90"/>
        <v>-3.4490936838676434E-2</v>
      </c>
      <c r="P237" s="6">
        <v>156.07</v>
      </c>
      <c r="Q237" s="6">
        <v>15341.29</v>
      </c>
      <c r="R237" s="138">
        <f t="shared" si="99"/>
        <v>15497.36</v>
      </c>
      <c r="S237" s="185">
        <f t="shared" si="91"/>
        <v>0.35908373381976372</v>
      </c>
      <c r="T237" s="6">
        <v>126.08</v>
      </c>
      <c r="U237" s="6">
        <v>280.44</v>
      </c>
      <c r="V237" s="138">
        <f t="shared" si="100"/>
        <v>406.52</v>
      </c>
      <c r="W237" s="6">
        <v>15341.29</v>
      </c>
      <c r="X237" s="138">
        <f t="shared" si="101"/>
        <v>15747.810000000001</v>
      </c>
      <c r="Y237" s="167">
        <f t="shared" si="92"/>
        <v>1.6160817068197469E-2</v>
      </c>
      <c r="Z237" s="70">
        <v>126.2</v>
      </c>
      <c r="AA237" s="6">
        <v>560.88</v>
      </c>
      <c r="AB237" s="138">
        <f t="shared" si="102"/>
        <v>687.08</v>
      </c>
      <c r="AC237" s="6">
        <v>15341.29</v>
      </c>
      <c r="AD237" s="138">
        <f t="shared" si="103"/>
        <v>16028.37</v>
      </c>
      <c r="AE237" s="167">
        <f t="shared" si="104"/>
        <v>1.7815810579375764E-2</v>
      </c>
      <c r="AF237" s="307">
        <v>94.73</v>
      </c>
      <c r="AG237" s="4">
        <v>841.32</v>
      </c>
      <c r="AH237" s="138">
        <f t="shared" si="105"/>
        <v>936.05000000000007</v>
      </c>
      <c r="AI237" s="6">
        <v>15341.29</v>
      </c>
      <c r="AJ237" s="138">
        <f t="shared" si="106"/>
        <v>16277.34</v>
      </c>
      <c r="AK237" s="167">
        <f t="shared" si="107"/>
        <v>1.5533082902378679E-2</v>
      </c>
      <c r="AL237" s="6">
        <v>94.81</v>
      </c>
      <c r="AM237" s="6">
        <v>1051.6600000000001</v>
      </c>
      <c r="AN237" s="138">
        <f t="shared" si="108"/>
        <v>1146.47</v>
      </c>
      <c r="AO237" s="6">
        <v>15341.29</v>
      </c>
      <c r="AP237" s="138">
        <f t="shared" si="109"/>
        <v>16487.760000000002</v>
      </c>
      <c r="AQ237" s="167">
        <f t="shared" si="110"/>
        <v>1.2927173604532553E-2</v>
      </c>
      <c r="AR237" s="164">
        <f t="shared" si="93"/>
        <v>80038.640000000014</v>
      </c>
      <c r="AS237" s="165">
        <f t="shared" si="94"/>
        <v>1.5607697568764234E-2</v>
      </c>
    </row>
    <row r="238" spans="2:45" outlineLevel="1" x14ac:dyDescent="0.35">
      <c r="B238" s="294" t="s">
        <v>110</v>
      </c>
      <c r="C238" s="62" t="s">
        <v>147</v>
      </c>
      <c r="D238" s="70">
        <v>5516.6336621012688</v>
      </c>
      <c r="E238" s="70">
        <v>4689.0337078020084</v>
      </c>
      <c r="F238" s="167">
        <f t="shared" si="89"/>
        <v>-0.15001901612296475</v>
      </c>
      <c r="G238" s="70">
        <v>4658.095333221785</v>
      </c>
      <c r="H238" s="167">
        <f t="shared" si="95"/>
        <v>-6.5980277618276628E-3</v>
      </c>
      <c r="I238" s="70">
        <v>4078.2</v>
      </c>
      <c r="J238" s="167">
        <f t="shared" si="96"/>
        <v>-0.12449194182135791</v>
      </c>
      <c r="K238" s="70">
        <v>4288.7</v>
      </c>
      <c r="L238" s="167">
        <f t="shared" si="97"/>
        <v>5.1615908979451723E-2</v>
      </c>
      <c r="M238" s="164">
        <f t="shared" si="98"/>
        <v>23230.662703125061</v>
      </c>
      <c r="N238" s="165">
        <f t="shared" si="90"/>
        <v>-6.1005862775375674E-2</v>
      </c>
      <c r="P238" s="6">
        <v>195.09</v>
      </c>
      <c r="Q238" s="6">
        <v>7450.89</v>
      </c>
      <c r="R238" s="138">
        <f t="shared" si="99"/>
        <v>7645.9800000000005</v>
      </c>
      <c r="S238" s="185">
        <f t="shared" si="91"/>
        <v>0.78281996875510085</v>
      </c>
      <c r="T238" s="6">
        <v>126.08</v>
      </c>
      <c r="U238" s="6">
        <v>350.55</v>
      </c>
      <c r="V238" s="138">
        <f t="shared" si="100"/>
        <v>476.63</v>
      </c>
      <c r="W238" s="6">
        <v>7450.89</v>
      </c>
      <c r="X238" s="138">
        <f t="shared" si="101"/>
        <v>7927.52</v>
      </c>
      <c r="Y238" s="167">
        <f t="shared" si="92"/>
        <v>3.6821963960146371E-2</v>
      </c>
      <c r="Z238" s="70">
        <v>94.65</v>
      </c>
      <c r="AA238" s="6">
        <v>630.99</v>
      </c>
      <c r="AB238" s="138">
        <f t="shared" si="102"/>
        <v>725.64</v>
      </c>
      <c r="AC238" s="6">
        <v>7450.89</v>
      </c>
      <c r="AD238" s="138">
        <f t="shared" si="103"/>
        <v>8176.5300000000007</v>
      </c>
      <c r="AE238" s="167">
        <f t="shared" si="104"/>
        <v>3.1410832139181007E-2</v>
      </c>
      <c r="AF238" s="307">
        <v>94.73</v>
      </c>
      <c r="AG238" s="4">
        <v>841.32</v>
      </c>
      <c r="AH238" s="138">
        <f t="shared" si="105"/>
        <v>936.05000000000007</v>
      </c>
      <c r="AI238" s="6">
        <v>7450.89</v>
      </c>
      <c r="AJ238" s="138">
        <f t="shared" si="106"/>
        <v>8386.94</v>
      </c>
      <c r="AK238" s="167">
        <f t="shared" si="107"/>
        <v>2.573341013853063E-2</v>
      </c>
      <c r="AL238" s="6">
        <v>94.81</v>
      </c>
      <c r="AM238" s="6">
        <v>1051.6600000000001</v>
      </c>
      <c r="AN238" s="138">
        <f t="shared" si="108"/>
        <v>1146.47</v>
      </c>
      <c r="AO238" s="6">
        <v>7450.89</v>
      </c>
      <c r="AP238" s="138">
        <f t="shared" si="109"/>
        <v>8597.36</v>
      </c>
      <c r="AQ238" s="167">
        <f t="shared" si="110"/>
        <v>2.5089007432985099E-2</v>
      </c>
      <c r="AR238" s="164">
        <f t="shared" si="93"/>
        <v>40734.33</v>
      </c>
      <c r="AS238" s="165">
        <f t="shared" si="94"/>
        <v>2.975281702091892E-2</v>
      </c>
    </row>
    <row r="239" spans="2:45" outlineLevel="1" x14ac:dyDescent="0.35">
      <c r="B239" s="294" t="s">
        <v>111</v>
      </c>
      <c r="C239" s="62" t="s">
        <v>147</v>
      </c>
      <c r="D239" s="70">
        <v>4721.9011497975207</v>
      </c>
      <c r="E239" s="70">
        <v>5155.6499909580907</v>
      </c>
      <c r="F239" s="167">
        <f t="shared" si="89"/>
        <v>9.185894143065014E-2</v>
      </c>
      <c r="G239" s="70">
        <v>5128.0518693255817</v>
      </c>
      <c r="H239" s="167">
        <f t="shared" si="95"/>
        <v>-5.3529858855644206E-3</v>
      </c>
      <c r="I239" s="70">
        <v>4810</v>
      </c>
      <c r="J239" s="167">
        <f t="shared" si="96"/>
        <v>-6.202196807486865E-2</v>
      </c>
      <c r="K239" s="70">
        <v>5377</v>
      </c>
      <c r="L239" s="167">
        <f t="shared" si="97"/>
        <v>0.11787941787941789</v>
      </c>
      <c r="M239" s="164">
        <f t="shared" si="98"/>
        <v>25192.603010081191</v>
      </c>
      <c r="N239" s="165">
        <f t="shared" si="90"/>
        <v>3.3012998528030746E-2</v>
      </c>
      <c r="P239" s="6">
        <v>78.040000000000006</v>
      </c>
      <c r="Q239" s="6">
        <v>7651.34</v>
      </c>
      <c r="R239" s="138">
        <f t="shared" si="99"/>
        <v>7729.38</v>
      </c>
      <c r="S239" s="185">
        <f t="shared" si="91"/>
        <v>0.43748930630463084</v>
      </c>
      <c r="T239" s="6">
        <v>63.04</v>
      </c>
      <c r="U239" s="6">
        <v>140.22</v>
      </c>
      <c r="V239" s="138">
        <f t="shared" si="100"/>
        <v>203.26</v>
      </c>
      <c r="W239" s="6">
        <v>7651.34</v>
      </c>
      <c r="X239" s="138">
        <f t="shared" si="101"/>
        <v>7854.6</v>
      </c>
      <c r="Y239" s="167">
        <f t="shared" si="92"/>
        <v>1.6200523198497196E-2</v>
      </c>
      <c r="Z239" s="70">
        <v>94.65</v>
      </c>
      <c r="AA239" s="6">
        <v>280.44</v>
      </c>
      <c r="AB239" s="138">
        <f t="shared" si="102"/>
        <v>375.09000000000003</v>
      </c>
      <c r="AC239" s="6">
        <v>7651.34</v>
      </c>
      <c r="AD239" s="138">
        <f t="shared" si="103"/>
        <v>8026.43</v>
      </c>
      <c r="AE239" s="167">
        <f t="shared" si="104"/>
        <v>2.1876352710513573E-2</v>
      </c>
      <c r="AF239" s="307">
        <v>94.73</v>
      </c>
      <c r="AG239" s="4">
        <v>490.77</v>
      </c>
      <c r="AH239" s="138">
        <f t="shared" si="105"/>
        <v>585.5</v>
      </c>
      <c r="AI239" s="6">
        <v>7651.34</v>
      </c>
      <c r="AJ239" s="138">
        <f t="shared" si="106"/>
        <v>8236.84</v>
      </c>
      <c r="AK239" s="167">
        <f t="shared" si="107"/>
        <v>2.6214643371959868E-2</v>
      </c>
      <c r="AL239" s="6">
        <v>94.81</v>
      </c>
      <c r="AM239" s="6">
        <v>701.1</v>
      </c>
      <c r="AN239" s="138">
        <f t="shared" si="108"/>
        <v>795.91000000000008</v>
      </c>
      <c r="AO239" s="6">
        <v>7651.34</v>
      </c>
      <c r="AP239" s="138">
        <f t="shared" si="109"/>
        <v>8447.25</v>
      </c>
      <c r="AQ239" s="167">
        <f t="shared" si="110"/>
        <v>2.5544990554630154E-2</v>
      </c>
      <c r="AR239" s="164">
        <f t="shared" si="93"/>
        <v>40294.5</v>
      </c>
      <c r="AS239" s="165">
        <f t="shared" si="94"/>
        <v>2.245139571734267E-2</v>
      </c>
    </row>
    <row r="240" spans="2:45" outlineLevel="1" x14ac:dyDescent="0.35">
      <c r="B240" s="294" t="s">
        <v>112</v>
      </c>
      <c r="C240" s="62" t="s">
        <v>147</v>
      </c>
      <c r="D240" s="70">
        <v>26015.458040165693</v>
      </c>
      <c r="E240" s="70">
        <v>25288.293696413541</v>
      </c>
      <c r="F240" s="167">
        <f t="shared" si="89"/>
        <v>-2.7951241243935492E-2</v>
      </c>
      <c r="G240" s="70">
        <v>26325.952001296529</v>
      </c>
      <c r="H240" s="167">
        <f t="shared" si="95"/>
        <v>4.1033148275644735E-2</v>
      </c>
      <c r="I240" s="70">
        <v>23684.2</v>
      </c>
      <c r="J240" s="167">
        <f t="shared" si="96"/>
        <v>-0.10034782412299562</v>
      </c>
      <c r="K240" s="70">
        <v>22567.599999999999</v>
      </c>
      <c r="L240" s="167">
        <f t="shared" si="97"/>
        <v>-4.7145354286824218E-2</v>
      </c>
      <c r="M240" s="164">
        <f t="shared" si="98"/>
        <v>123881.50373787576</v>
      </c>
      <c r="N240" s="165">
        <f t="shared" si="90"/>
        <v>-3.4919646280757166E-2</v>
      </c>
      <c r="P240" s="6">
        <v>156.07</v>
      </c>
      <c r="Q240" s="6">
        <v>23636.73</v>
      </c>
      <c r="R240" s="138">
        <f t="shared" si="99"/>
        <v>23792.799999999999</v>
      </c>
      <c r="S240" s="185">
        <f t="shared" si="91"/>
        <v>5.4290221379322608E-2</v>
      </c>
      <c r="T240" s="6">
        <v>157.6</v>
      </c>
      <c r="U240" s="6">
        <v>280.44</v>
      </c>
      <c r="V240" s="138">
        <f t="shared" si="100"/>
        <v>438.03999999999996</v>
      </c>
      <c r="W240" s="6">
        <v>23636.73</v>
      </c>
      <c r="X240" s="138">
        <f t="shared" si="101"/>
        <v>24074.77</v>
      </c>
      <c r="Y240" s="167">
        <f t="shared" si="92"/>
        <v>1.1851064187485339E-2</v>
      </c>
      <c r="Z240" s="70">
        <v>220.85</v>
      </c>
      <c r="AA240" s="6">
        <v>630.99</v>
      </c>
      <c r="AB240" s="138">
        <f t="shared" si="102"/>
        <v>851.84</v>
      </c>
      <c r="AC240" s="6">
        <v>23636.73</v>
      </c>
      <c r="AD240" s="138">
        <f t="shared" si="103"/>
        <v>24488.57</v>
      </c>
      <c r="AE240" s="167">
        <f t="shared" si="104"/>
        <v>1.7188118515773954E-2</v>
      </c>
      <c r="AF240" s="307">
        <v>189.47</v>
      </c>
      <c r="AG240" s="4">
        <v>1121.77</v>
      </c>
      <c r="AH240" s="138">
        <f t="shared" si="105"/>
        <v>1311.24</v>
      </c>
      <c r="AI240" s="6">
        <v>23636.73</v>
      </c>
      <c r="AJ240" s="138">
        <f t="shared" si="106"/>
        <v>24947.97</v>
      </c>
      <c r="AK240" s="167">
        <f t="shared" si="107"/>
        <v>1.8759772416274266E-2</v>
      </c>
      <c r="AL240" s="6">
        <v>221.23</v>
      </c>
      <c r="AM240" s="6">
        <v>1542.43</v>
      </c>
      <c r="AN240" s="138">
        <f t="shared" si="108"/>
        <v>1763.66</v>
      </c>
      <c r="AO240" s="6">
        <v>23636.73</v>
      </c>
      <c r="AP240" s="138">
        <f t="shared" si="109"/>
        <v>25400.39</v>
      </c>
      <c r="AQ240" s="167">
        <f t="shared" si="110"/>
        <v>1.8134541607994489E-2</v>
      </c>
      <c r="AR240" s="164">
        <f t="shared" si="93"/>
        <v>122704.5</v>
      </c>
      <c r="AS240" s="165">
        <f t="shared" si="94"/>
        <v>1.6479695105005465E-2</v>
      </c>
    </row>
    <row r="241" spans="2:45" outlineLevel="1" x14ac:dyDescent="0.35">
      <c r="B241" s="294" t="s">
        <v>113</v>
      </c>
      <c r="C241" s="62" t="s">
        <v>147</v>
      </c>
      <c r="D241" s="70">
        <v>0</v>
      </c>
      <c r="E241" s="70">
        <v>0</v>
      </c>
      <c r="F241" s="167">
        <f t="shared" si="89"/>
        <v>0</v>
      </c>
      <c r="G241" s="70">
        <v>0</v>
      </c>
      <c r="H241" s="167">
        <f t="shared" si="95"/>
        <v>0</v>
      </c>
      <c r="I241" s="70">
        <v>0</v>
      </c>
      <c r="J241" s="167">
        <f t="shared" si="96"/>
        <v>0</v>
      </c>
      <c r="K241" s="70"/>
      <c r="L241" s="167">
        <f t="shared" si="97"/>
        <v>0</v>
      </c>
      <c r="M241" s="164">
        <f t="shared" si="98"/>
        <v>0</v>
      </c>
      <c r="N241" s="165">
        <f t="shared" si="90"/>
        <v>0</v>
      </c>
      <c r="P241" s="6"/>
      <c r="Q241" s="6"/>
      <c r="R241" s="138">
        <f t="shared" si="99"/>
        <v>0</v>
      </c>
      <c r="S241" s="185">
        <f t="shared" si="91"/>
        <v>0</v>
      </c>
      <c r="T241" s="6"/>
      <c r="U241" s="6"/>
      <c r="V241" s="138">
        <f t="shared" si="100"/>
        <v>0</v>
      </c>
      <c r="W241" s="6"/>
      <c r="X241" s="138">
        <f t="shared" si="101"/>
        <v>0</v>
      </c>
      <c r="Y241" s="167">
        <f t="shared" si="92"/>
        <v>0</v>
      </c>
      <c r="Z241" s="70"/>
      <c r="AA241" s="6">
        <v>0</v>
      </c>
      <c r="AB241" s="138">
        <f t="shared" si="102"/>
        <v>0</v>
      </c>
      <c r="AC241" s="6"/>
      <c r="AD241" s="138">
        <f t="shared" si="103"/>
        <v>0</v>
      </c>
      <c r="AE241" s="167">
        <f t="shared" si="104"/>
        <v>0</v>
      </c>
      <c r="AF241" s="307"/>
      <c r="AG241" s="4"/>
      <c r="AH241" s="138">
        <f t="shared" si="105"/>
        <v>0</v>
      </c>
      <c r="AI241" s="6"/>
      <c r="AJ241" s="138">
        <f t="shared" si="106"/>
        <v>0</v>
      </c>
      <c r="AK241" s="167">
        <f t="shared" si="107"/>
        <v>0</v>
      </c>
      <c r="AL241" s="6"/>
      <c r="AM241" s="6"/>
      <c r="AN241" s="138">
        <f t="shared" si="108"/>
        <v>0</v>
      </c>
      <c r="AO241" s="6"/>
      <c r="AP241" s="138">
        <f t="shared" si="109"/>
        <v>0</v>
      </c>
      <c r="AQ241" s="167">
        <f t="shared" si="110"/>
        <v>0</v>
      </c>
      <c r="AR241" s="164">
        <f t="shared" si="93"/>
        <v>0</v>
      </c>
      <c r="AS241" s="165">
        <f t="shared" si="94"/>
        <v>0</v>
      </c>
    </row>
    <row r="242" spans="2:45" outlineLevel="1" x14ac:dyDescent="0.35">
      <c r="B242" s="294" t="s">
        <v>114</v>
      </c>
      <c r="C242" s="62" t="s">
        <v>147</v>
      </c>
      <c r="D242" s="70">
        <v>21221.880807314541</v>
      </c>
      <c r="E242" s="70">
        <v>17043.130919232171</v>
      </c>
      <c r="F242" s="167">
        <f t="shared" si="89"/>
        <v>-0.19690761276173413</v>
      </c>
      <c r="G242" s="70">
        <v>18609.823678041274</v>
      </c>
      <c r="H242" s="167">
        <f t="shared" si="95"/>
        <v>9.1925173035030866E-2</v>
      </c>
      <c r="I242" s="70">
        <v>27054.9</v>
      </c>
      <c r="J242" s="167">
        <f t="shared" si="96"/>
        <v>0.45379668652763888</v>
      </c>
      <c r="K242" s="70">
        <v>17853.400000000001</v>
      </c>
      <c r="L242" s="167">
        <f t="shared" si="97"/>
        <v>-0.34010474997135454</v>
      </c>
      <c r="M242" s="164">
        <f t="shared" si="98"/>
        <v>101783.13540458799</v>
      </c>
      <c r="N242" s="165">
        <f t="shared" si="90"/>
        <v>-4.2289462098723862E-2</v>
      </c>
      <c r="P242" s="6">
        <v>156.07</v>
      </c>
      <c r="Q242" s="6">
        <v>19403.669999999998</v>
      </c>
      <c r="R242" s="138">
        <f t="shared" si="99"/>
        <v>19559.739999999998</v>
      </c>
      <c r="S242" s="185">
        <f t="shared" si="91"/>
        <v>9.557507253520317E-2</v>
      </c>
      <c r="T242" s="6">
        <v>126.08</v>
      </c>
      <c r="U242" s="6">
        <v>280.44</v>
      </c>
      <c r="V242" s="138">
        <f t="shared" si="100"/>
        <v>406.52</v>
      </c>
      <c r="W242" s="6">
        <v>19403.669999999998</v>
      </c>
      <c r="X242" s="138">
        <f t="shared" si="101"/>
        <v>19810.189999999999</v>
      </c>
      <c r="Y242" s="167">
        <f t="shared" si="92"/>
        <v>1.280436243017549E-2</v>
      </c>
      <c r="Z242" s="70">
        <v>94.65</v>
      </c>
      <c r="AA242" s="6">
        <v>560.88</v>
      </c>
      <c r="AB242" s="138">
        <f t="shared" si="102"/>
        <v>655.53</v>
      </c>
      <c r="AC242" s="6">
        <v>19403.669999999998</v>
      </c>
      <c r="AD242" s="138">
        <f t="shared" si="103"/>
        <v>20059.199999999997</v>
      </c>
      <c r="AE242" s="167">
        <f t="shared" si="104"/>
        <v>1.2569793626411379E-2</v>
      </c>
      <c r="AF242" s="307">
        <v>63.16</v>
      </c>
      <c r="AG242" s="4">
        <v>771.21</v>
      </c>
      <c r="AH242" s="138">
        <f t="shared" si="105"/>
        <v>834.37</v>
      </c>
      <c r="AI242" s="6">
        <v>19403.669999999998</v>
      </c>
      <c r="AJ242" s="138">
        <f t="shared" si="106"/>
        <v>20238.039999999997</v>
      </c>
      <c r="AK242" s="167">
        <f t="shared" si="107"/>
        <v>8.9156097950067893E-3</v>
      </c>
      <c r="AL242" s="6">
        <v>63.21</v>
      </c>
      <c r="AM242" s="6">
        <v>911.43</v>
      </c>
      <c r="AN242" s="138">
        <f t="shared" si="108"/>
        <v>974.64</v>
      </c>
      <c r="AO242" s="6">
        <v>19403.669999999998</v>
      </c>
      <c r="AP242" s="138">
        <f t="shared" si="109"/>
        <v>20378.309999999998</v>
      </c>
      <c r="AQ242" s="167">
        <f t="shared" si="110"/>
        <v>6.9310071528666042E-3</v>
      </c>
      <c r="AR242" s="164">
        <f t="shared" si="93"/>
        <v>100045.47999999998</v>
      </c>
      <c r="AS242" s="165">
        <f t="shared" si="94"/>
        <v>1.0302137299349035E-2</v>
      </c>
    </row>
    <row r="243" spans="2:45" outlineLevel="1" x14ac:dyDescent="0.35">
      <c r="B243" s="294" t="s">
        <v>115</v>
      </c>
      <c r="C243" s="62" t="s">
        <v>147</v>
      </c>
      <c r="D243" s="70">
        <v>384.14867669506805</v>
      </c>
      <c r="E243" s="70">
        <v>2064.4551371023808</v>
      </c>
      <c r="F243" s="167">
        <f t="shared" si="89"/>
        <v>4.3741045130323775</v>
      </c>
      <c r="G243" s="70">
        <v>4363.631700676644</v>
      </c>
      <c r="H243" s="167">
        <f t="shared" si="95"/>
        <v>1.1136965498806293</v>
      </c>
      <c r="I243" s="70">
        <v>85979.9</v>
      </c>
      <c r="J243" s="167">
        <f t="shared" si="96"/>
        <v>18.703748138658806</v>
      </c>
      <c r="K243" s="70">
        <v>4046.6</v>
      </c>
      <c r="L243" s="167">
        <f t="shared" si="97"/>
        <v>-0.95293551167191393</v>
      </c>
      <c r="M243" s="164">
        <f t="shared" si="98"/>
        <v>96838.735514474087</v>
      </c>
      <c r="N243" s="165">
        <f t="shared" si="90"/>
        <v>0.80155586536962398</v>
      </c>
      <c r="P243" s="6">
        <v>78.040000000000006</v>
      </c>
      <c r="Q243" s="6">
        <v>2225.0300000000002</v>
      </c>
      <c r="R243" s="138">
        <f t="shared" si="99"/>
        <v>2303.0700000000002</v>
      </c>
      <c r="S243" s="185">
        <f t="shared" si="91"/>
        <v>-0.43086294667127956</v>
      </c>
      <c r="T243" s="6">
        <v>94.56</v>
      </c>
      <c r="U243" s="6">
        <v>140.22</v>
      </c>
      <c r="V243" s="138">
        <f t="shared" si="100"/>
        <v>234.78</v>
      </c>
      <c r="W243" s="6">
        <v>2225.0300000000002</v>
      </c>
      <c r="X243" s="138">
        <f t="shared" si="101"/>
        <v>2459.8100000000004</v>
      </c>
      <c r="Y243" s="167">
        <f t="shared" si="92"/>
        <v>6.8056984807235654E-2</v>
      </c>
      <c r="Z243" s="70">
        <v>94.65</v>
      </c>
      <c r="AA243" s="6">
        <v>350.55</v>
      </c>
      <c r="AB243" s="138">
        <f t="shared" si="102"/>
        <v>445.20000000000005</v>
      </c>
      <c r="AC243" s="6">
        <v>2225.0300000000002</v>
      </c>
      <c r="AD243" s="138">
        <f t="shared" si="103"/>
        <v>2670.2300000000005</v>
      </c>
      <c r="AE243" s="167">
        <f t="shared" si="104"/>
        <v>8.5543192360385573E-2</v>
      </c>
      <c r="AF243" s="307">
        <v>94.73</v>
      </c>
      <c r="AG243" s="4">
        <v>560.88</v>
      </c>
      <c r="AH243" s="138">
        <f t="shared" si="105"/>
        <v>655.61</v>
      </c>
      <c r="AI243" s="6">
        <v>2225.0300000000002</v>
      </c>
      <c r="AJ243" s="138">
        <f t="shared" si="106"/>
        <v>2880.6400000000003</v>
      </c>
      <c r="AK243" s="167">
        <f t="shared" si="107"/>
        <v>7.8798455563752867E-2</v>
      </c>
      <c r="AL243" s="6">
        <v>126.42</v>
      </c>
      <c r="AM243" s="6">
        <v>771.21</v>
      </c>
      <c r="AN243" s="138">
        <f t="shared" si="108"/>
        <v>897.63</v>
      </c>
      <c r="AO243" s="6">
        <v>2225.0300000000002</v>
      </c>
      <c r="AP243" s="138">
        <f t="shared" si="109"/>
        <v>3122.6600000000003</v>
      </c>
      <c r="AQ243" s="167">
        <f t="shared" si="110"/>
        <v>8.4016051988446999E-2</v>
      </c>
      <c r="AR243" s="164">
        <f t="shared" si="93"/>
        <v>13436.410000000002</v>
      </c>
      <c r="AS243" s="165">
        <f t="shared" si="94"/>
        <v>7.9081856605942802E-2</v>
      </c>
    </row>
    <row r="244" spans="2:45" outlineLevel="1" x14ac:dyDescent="0.35">
      <c r="B244" s="294" t="s">
        <v>116</v>
      </c>
      <c r="C244" s="62" t="s">
        <v>147</v>
      </c>
      <c r="D244" s="70">
        <v>14031.724039620192</v>
      </c>
      <c r="E244" s="70">
        <v>13013.875475075727</v>
      </c>
      <c r="F244" s="167">
        <f t="shared" si="89"/>
        <v>-7.2539095101247175E-2</v>
      </c>
      <c r="G244" s="70">
        <v>15687.257766304752</v>
      </c>
      <c r="H244" s="167">
        <f t="shared" si="95"/>
        <v>0.20542553187550527</v>
      </c>
      <c r="I244" s="70">
        <v>14693.4</v>
      </c>
      <c r="J244" s="167">
        <f t="shared" si="96"/>
        <v>-6.3354461379444976E-2</v>
      </c>
      <c r="K244" s="70">
        <v>14421.9</v>
      </c>
      <c r="L244" s="167">
        <f t="shared" si="97"/>
        <v>-1.847768385805872E-2</v>
      </c>
      <c r="M244" s="164">
        <f t="shared" si="98"/>
        <v>71848.157281000676</v>
      </c>
      <c r="N244" s="165">
        <f t="shared" si="90"/>
        <v>6.8803404515527244E-3</v>
      </c>
      <c r="P244" s="6">
        <v>234.11</v>
      </c>
      <c r="Q244" s="6">
        <v>15961.71</v>
      </c>
      <c r="R244" s="138">
        <f t="shared" si="99"/>
        <v>16195.82</v>
      </c>
      <c r="S244" s="185">
        <f t="shared" si="91"/>
        <v>0.1230018236154737</v>
      </c>
      <c r="T244" s="6">
        <v>157.6</v>
      </c>
      <c r="U244" s="6">
        <v>420.66</v>
      </c>
      <c r="V244" s="138">
        <f t="shared" si="100"/>
        <v>578.26</v>
      </c>
      <c r="W244" s="6">
        <v>15961.71</v>
      </c>
      <c r="X244" s="138">
        <f t="shared" si="101"/>
        <v>16539.969999999998</v>
      </c>
      <c r="Y244" s="167">
        <f t="shared" si="92"/>
        <v>2.1249310007149858E-2</v>
      </c>
      <c r="Z244" s="70">
        <v>126.2</v>
      </c>
      <c r="AA244" s="6">
        <v>771.21</v>
      </c>
      <c r="AB244" s="138">
        <f t="shared" si="102"/>
        <v>897.41000000000008</v>
      </c>
      <c r="AC244" s="6">
        <v>15961.71</v>
      </c>
      <c r="AD244" s="138">
        <f t="shared" si="103"/>
        <v>16859.12</v>
      </c>
      <c r="AE244" s="167">
        <f t="shared" si="104"/>
        <v>1.9295681914779865E-2</v>
      </c>
      <c r="AF244" s="307">
        <v>94.73</v>
      </c>
      <c r="AG244" s="4">
        <v>1051.6600000000001</v>
      </c>
      <c r="AH244" s="138">
        <f t="shared" si="105"/>
        <v>1146.3900000000001</v>
      </c>
      <c r="AI244" s="6">
        <v>15961.71</v>
      </c>
      <c r="AJ244" s="138">
        <f t="shared" si="106"/>
        <v>17108.099999999999</v>
      </c>
      <c r="AK244" s="167">
        <f t="shared" si="107"/>
        <v>1.476826785739704E-2</v>
      </c>
      <c r="AL244" s="6">
        <v>94.81</v>
      </c>
      <c r="AM244" s="6">
        <v>1261.99</v>
      </c>
      <c r="AN244" s="138">
        <f t="shared" si="108"/>
        <v>1356.8</v>
      </c>
      <c r="AO244" s="6">
        <v>15961.71</v>
      </c>
      <c r="AP244" s="138">
        <f t="shared" si="109"/>
        <v>17318.509999999998</v>
      </c>
      <c r="AQ244" s="167">
        <f t="shared" si="110"/>
        <v>1.229885259029348E-2</v>
      </c>
      <c r="AR244" s="164">
        <f t="shared" si="93"/>
        <v>84021.51999999999</v>
      </c>
      <c r="AS244" s="165">
        <f t="shared" si="94"/>
        <v>1.6896835464841553E-2</v>
      </c>
    </row>
    <row r="245" spans="2:45" outlineLevel="1" x14ac:dyDescent="0.35">
      <c r="B245" s="294" t="s">
        <v>117</v>
      </c>
      <c r="C245" s="62" t="s">
        <v>147</v>
      </c>
      <c r="D245" s="70">
        <v>46283.691448405312</v>
      </c>
      <c r="E245" s="70">
        <v>40885.001266295643</v>
      </c>
      <c r="F245" s="167">
        <f t="shared" si="89"/>
        <v>-0.11664346583348591</v>
      </c>
      <c r="G245" s="70">
        <v>43032.855376774416</v>
      </c>
      <c r="H245" s="167">
        <f t="shared" si="95"/>
        <v>5.2534035562068052E-2</v>
      </c>
      <c r="I245" s="70">
        <v>41277.5</v>
      </c>
      <c r="J245" s="167">
        <f t="shared" si="96"/>
        <v>-4.0791050498633935E-2</v>
      </c>
      <c r="K245" s="70">
        <v>41678.1</v>
      </c>
      <c r="L245" s="167">
        <f t="shared" si="97"/>
        <v>9.7050451214341603E-3</v>
      </c>
      <c r="M245" s="164">
        <f t="shared" si="98"/>
        <v>213157.14809147539</v>
      </c>
      <c r="N245" s="165">
        <f t="shared" si="90"/>
        <v>-2.5863131247085391E-2</v>
      </c>
      <c r="P245" s="6">
        <v>546.25</v>
      </c>
      <c r="Q245" s="6">
        <v>44804.31</v>
      </c>
      <c r="R245" s="138">
        <f t="shared" si="99"/>
        <v>45350.559999999998</v>
      </c>
      <c r="S245" s="185">
        <f t="shared" si="91"/>
        <v>8.811486128206418E-2</v>
      </c>
      <c r="T245" s="6">
        <v>1158.0999999999999</v>
      </c>
      <c r="U245" s="6">
        <v>981.54</v>
      </c>
      <c r="V245" s="138">
        <f t="shared" si="100"/>
        <v>2139.64</v>
      </c>
      <c r="W245" s="6">
        <v>44804.31</v>
      </c>
      <c r="X245" s="138">
        <f t="shared" si="101"/>
        <v>46943.95</v>
      </c>
      <c r="Y245" s="167">
        <f t="shared" si="92"/>
        <v>3.5134957539664328E-2</v>
      </c>
      <c r="Z245" s="70">
        <v>630.99</v>
      </c>
      <c r="AA245" s="6">
        <v>3820.22</v>
      </c>
      <c r="AB245" s="138">
        <f t="shared" si="102"/>
        <v>4451.21</v>
      </c>
      <c r="AC245" s="6">
        <v>44804.31</v>
      </c>
      <c r="AD245" s="138">
        <f t="shared" si="103"/>
        <v>49255.519999999997</v>
      </c>
      <c r="AE245" s="167">
        <f t="shared" si="104"/>
        <v>4.9241063012379654E-2</v>
      </c>
      <c r="AF245" s="307">
        <v>694.71</v>
      </c>
      <c r="AG245" s="4">
        <v>5563.94</v>
      </c>
      <c r="AH245" s="138">
        <f t="shared" si="105"/>
        <v>6258.65</v>
      </c>
      <c r="AI245" s="6">
        <v>44804.31</v>
      </c>
      <c r="AJ245" s="138">
        <f t="shared" si="106"/>
        <v>51062.96</v>
      </c>
      <c r="AK245" s="167">
        <f t="shared" si="107"/>
        <v>3.6695176500014665E-2</v>
      </c>
      <c r="AL245" s="6">
        <v>663.68</v>
      </c>
      <c r="AM245" s="6">
        <v>7106.37</v>
      </c>
      <c r="AN245" s="138">
        <f t="shared" si="108"/>
        <v>7770.05</v>
      </c>
      <c r="AO245" s="6">
        <v>44804.31</v>
      </c>
      <c r="AP245" s="138">
        <f t="shared" si="109"/>
        <v>52574.36</v>
      </c>
      <c r="AQ245" s="167">
        <f t="shared" si="110"/>
        <v>2.9598754165445981E-2</v>
      </c>
      <c r="AR245" s="164">
        <f t="shared" si="93"/>
        <v>245187.34999999998</v>
      </c>
      <c r="AS245" s="165">
        <f t="shared" si="94"/>
        <v>3.7642700054226985E-2</v>
      </c>
    </row>
    <row r="246" spans="2:45" outlineLevel="1" x14ac:dyDescent="0.35">
      <c r="B246" s="294" t="s">
        <v>118</v>
      </c>
      <c r="C246" s="62" t="s">
        <v>147</v>
      </c>
      <c r="D246" s="70">
        <v>6596.2122036023457</v>
      </c>
      <c r="E246" s="70">
        <v>5516.2571279001504</v>
      </c>
      <c r="F246" s="167">
        <f t="shared" si="89"/>
        <v>-0.16372351925130707</v>
      </c>
      <c r="G246" s="70">
        <v>6673.9509677122805</v>
      </c>
      <c r="H246" s="167">
        <f t="shared" si="95"/>
        <v>0.20986944824539469</v>
      </c>
      <c r="I246" s="70">
        <v>6171.8</v>
      </c>
      <c r="J246" s="167">
        <f t="shared" si="96"/>
        <v>-7.5240434060966643E-2</v>
      </c>
      <c r="K246" s="70">
        <v>7700.3</v>
      </c>
      <c r="L246" s="167">
        <f t="shared" si="97"/>
        <v>0.24765870572604426</v>
      </c>
      <c r="M246" s="164">
        <f t="shared" si="98"/>
        <v>32658.520299214775</v>
      </c>
      <c r="N246" s="165">
        <f t="shared" si="90"/>
        <v>3.9449169728459133E-2</v>
      </c>
      <c r="P246" s="6">
        <v>78.040000000000006</v>
      </c>
      <c r="Q246" s="6">
        <v>7682.49</v>
      </c>
      <c r="R246" s="138">
        <f t="shared" si="99"/>
        <v>7760.53</v>
      </c>
      <c r="S246" s="185">
        <f t="shared" si="91"/>
        <v>7.8217731776683459E-3</v>
      </c>
      <c r="T246" s="6">
        <v>63.04</v>
      </c>
      <c r="U246" s="6">
        <v>140.22</v>
      </c>
      <c r="V246" s="138">
        <f t="shared" si="100"/>
        <v>203.26</v>
      </c>
      <c r="W246" s="6">
        <v>7682.49</v>
      </c>
      <c r="X246" s="138">
        <f t="shared" si="101"/>
        <v>7885.75</v>
      </c>
      <c r="Y246" s="167">
        <f t="shared" si="92"/>
        <v>1.6135495900408896E-2</v>
      </c>
      <c r="Z246" s="70">
        <v>31.55</v>
      </c>
      <c r="AA246" s="6">
        <v>280.44</v>
      </c>
      <c r="AB246" s="138">
        <f t="shared" si="102"/>
        <v>311.99</v>
      </c>
      <c r="AC246" s="6">
        <v>7682.49</v>
      </c>
      <c r="AD246" s="138">
        <f t="shared" si="103"/>
        <v>7994.48</v>
      </c>
      <c r="AE246" s="167">
        <f t="shared" si="104"/>
        <v>1.3788162191294369E-2</v>
      </c>
      <c r="AF246" s="307">
        <v>31.58</v>
      </c>
      <c r="AG246" s="4">
        <v>350.55</v>
      </c>
      <c r="AH246" s="138">
        <f t="shared" si="105"/>
        <v>382.13</v>
      </c>
      <c r="AI246" s="6">
        <v>7682.49</v>
      </c>
      <c r="AJ246" s="138">
        <f t="shared" si="106"/>
        <v>8064.62</v>
      </c>
      <c r="AK246" s="167">
        <f t="shared" si="107"/>
        <v>8.773553752088983E-3</v>
      </c>
      <c r="AL246" s="6">
        <v>31.6</v>
      </c>
      <c r="AM246" s="6">
        <v>420.66</v>
      </c>
      <c r="AN246" s="138">
        <f t="shared" si="108"/>
        <v>452.26000000000005</v>
      </c>
      <c r="AO246" s="6">
        <v>7682.49</v>
      </c>
      <c r="AP246" s="138">
        <f t="shared" si="109"/>
        <v>8134.75</v>
      </c>
      <c r="AQ246" s="167">
        <f t="shared" si="110"/>
        <v>8.6960079954170322E-3</v>
      </c>
      <c r="AR246" s="164">
        <f t="shared" si="93"/>
        <v>39840.129999999997</v>
      </c>
      <c r="AS246" s="165">
        <f t="shared" si="94"/>
        <v>1.184317606037566E-2</v>
      </c>
    </row>
    <row r="247" spans="2:45" outlineLevel="1" x14ac:dyDescent="0.35">
      <c r="B247" s="294" t="s">
        <v>119</v>
      </c>
      <c r="C247" s="62" t="s">
        <v>147</v>
      </c>
      <c r="D247" s="70">
        <v>253.67858781112184</v>
      </c>
      <c r="E247" s="70">
        <v>249.0281086967376</v>
      </c>
      <c r="F247" s="167">
        <f t="shared" si="89"/>
        <v>-1.8332170462281139E-2</v>
      </c>
      <c r="G247" s="70">
        <v>445.63659445902198</v>
      </c>
      <c r="H247" s="167">
        <f t="shared" si="95"/>
        <v>0.78950318817909426</v>
      </c>
      <c r="I247" s="70">
        <v>298.39999999999998</v>
      </c>
      <c r="J247" s="167">
        <f t="shared" si="96"/>
        <v>-0.33039610366325284</v>
      </c>
      <c r="K247" s="70">
        <v>1550.3</v>
      </c>
      <c r="L247" s="167">
        <f t="shared" si="97"/>
        <v>4.1953753351206444</v>
      </c>
      <c r="M247" s="164">
        <f t="shared" si="98"/>
        <v>2797.0432909668816</v>
      </c>
      <c r="N247" s="165">
        <f t="shared" si="90"/>
        <v>0.57229120072368755</v>
      </c>
      <c r="P247" s="6"/>
      <c r="Q247" s="6">
        <v>737.54</v>
      </c>
      <c r="R247" s="138">
        <f t="shared" si="99"/>
        <v>737.54</v>
      </c>
      <c r="S247" s="185">
        <f t="shared" si="91"/>
        <v>-0.52425982067986843</v>
      </c>
      <c r="T247" s="6"/>
      <c r="U247" s="6"/>
      <c r="V247" s="138">
        <f t="shared" si="100"/>
        <v>0</v>
      </c>
      <c r="W247" s="6">
        <v>737.54</v>
      </c>
      <c r="X247" s="138">
        <f t="shared" si="101"/>
        <v>737.54</v>
      </c>
      <c r="Y247" s="167">
        <f t="shared" si="92"/>
        <v>0</v>
      </c>
      <c r="Z247" s="70"/>
      <c r="AA247" s="6">
        <v>0</v>
      </c>
      <c r="AB247" s="138">
        <f t="shared" si="102"/>
        <v>0</v>
      </c>
      <c r="AC247" s="6">
        <v>737.54</v>
      </c>
      <c r="AD247" s="138">
        <f t="shared" si="103"/>
        <v>737.54</v>
      </c>
      <c r="AE247" s="167">
        <f t="shared" si="104"/>
        <v>0</v>
      </c>
      <c r="AF247" s="307"/>
      <c r="AG247" s="4"/>
      <c r="AH247" s="138">
        <f t="shared" si="105"/>
        <v>0</v>
      </c>
      <c r="AI247" s="6">
        <v>737.54</v>
      </c>
      <c r="AJ247" s="138">
        <f t="shared" si="106"/>
        <v>737.54</v>
      </c>
      <c r="AK247" s="167">
        <f t="shared" si="107"/>
        <v>0</v>
      </c>
      <c r="AL247" s="6"/>
      <c r="AM247" s="6"/>
      <c r="AN247" s="138">
        <f t="shared" si="108"/>
        <v>0</v>
      </c>
      <c r="AO247" s="6">
        <v>737.54</v>
      </c>
      <c r="AP247" s="138">
        <f t="shared" si="109"/>
        <v>737.54</v>
      </c>
      <c r="AQ247" s="167">
        <f t="shared" si="110"/>
        <v>0</v>
      </c>
      <c r="AR247" s="164">
        <f t="shared" si="93"/>
        <v>3687.7</v>
      </c>
      <c r="AS247" s="165">
        <f t="shared" si="94"/>
        <v>0</v>
      </c>
    </row>
    <row r="248" spans="2:45" outlineLevel="1" x14ac:dyDescent="0.35">
      <c r="B248" s="294" t="s">
        <v>120</v>
      </c>
      <c r="C248" s="62" t="s">
        <v>147</v>
      </c>
      <c r="D248" s="70">
        <v>28331.713504894542</v>
      </c>
      <c r="E248" s="70">
        <v>22783.162406387106</v>
      </c>
      <c r="F248" s="167">
        <f t="shared" si="89"/>
        <v>-0.19584241163348193</v>
      </c>
      <c r="G248" s="70">
        <v>26237.940460748912</v>
      </c>
      <c r="H248" s="167">
        <f t="shared" si="95"/>
        <v>0.15163733606153301</v>
      </c>
      <c r="I248" s="70">
        <v>25518.400000000001</v>
      </c>
      <c r="J248" s="167">
        <f t="shared" si="96"/>
        <v>-2.7423663904768726E-2</v>
      </c>
      <c r="K248" s="70">
        <v>27125.200000000001</v>
      </c>
      <c r="L248" s="167">
        <f t="shared" si="97"/>
        <v>6.2966330177440563E-2</v>
      </c>
      <c r="M248" s="164">
        <f t="shared" si="98"/>
        <v>129996.41637203055</v>
      </c>
      <c r="N248" s="165">
        <f t="shared" si="90"/>
        <v>-1.0820683294876621E-2</v>
      </c>
      <c r="P248" s="6">
        <v>351.16</v>
      </c>
      <c r="Q248" s="6">
        <v>29654.15</v>
      </c>
      <c r="R248" s="138">
        <f t="shared" si="99"/>
        <v>30005.31</v>
      </c>
      <c r="S248" s="185">
        <f t="shared" si="91"/>
        <v>0.10617838762479173</v>
      </c>
      <c r="T248" s="6">
        <v>252.17</v>
      </c>
      <c r="U248" s="6">
        <v>630.99</v>
      </c>
      <c r="V248" s="138">
        <f t="shared" si="100"/>
        <v>883.16</v>
      </c>
      <c r="W248" s="6">
        <v>29654.15</v>
      </c>
      <c r="X248" s="138">
        <f t="shared" si="101"/>
        <v>30537.31</v>
      </c>
      <c r="Y248" s="167">
        <f t="shared" si="92"/>
        <v>1.7730195088802615E-2</v>
      </c>
      <c r="Z248" s="70">
        <v>283.95</v>
      </c>
      <c r="AA248" s="6">
        <v>1191.8800000000001</v>
      </c>
      <c r="AB248" s="138">
        <f t="shared" si="102"/>
        <v>1475.8300000000002</v>
      </c>
      <c r="AC248" s="6">
        <v>29654.15</v>
      </c>
      <c r="AD248" s="138">
        <f t="shared" si="103"/>
        <v>31129.980000000003</v>
      </c>
      <c r="AE248" s="167">
        <f t="shared" si="104"/>
        <v>1.9408061810290488E-2</v>
      </c>
      <c r="AF248" s="307">
        <v>252.62</v>
      </c>
      <c r="AG248" s="4">
        <v>1822.87</v>
      </c>
      <c r="AH248" s="138">
        <f t="shared" si="105"/>
        <v>2075.4899999999998</v>
      </c>
      <c r="AI248" s="6">
        <v>29654.15</v>
      </c>
      <c r="AJ248" s="138">
        <f t="shared" si="106"/>
        <v>31729.64</v>
      </c>
      <c r="AK248" s="167">
        <f t="shared" si="107"/>
        <v>1.9263102642532896E-2</v>
      </c>
      <c r="AL248" s="6">
        <v>252.83</v>
      </c>
      <c r="AM248" s="6">
        <v>2383.75</v>
      </c>
      <c r="AN248" s="138">
        <f t="shared" si="108"/>
        <v>2636.58</v>
      </c>
      <c r="AO248" s="6">
        <v>29654.15</v>
      </c>
      <c r="AP248" s="138">
        <f t="shared" si="109"/>
        <v>32290.730000000003</v>
      </c>
      <c r="AQ248" s="167">
        <f t="shared" si="110"/>
        <v>1.7683465680669676E-2</v>
      </c>
      <c r="AR248" s="164">
        <f t="shared" si="93"/>
        <v>155692.97</v>
      </c>
      <c r="AS248" s="165">
        <f t="shared" si="94"/>
        <v>1.8520879309884997E-2</v>
      </c>
    </row>
    <row r="249" spans="2:45" outlineLevel="1" x14ac:dyDescent="0.35">
      <c r="B249" s="294" t="s">
        <v>121</v>
      </c>
      <c r="C249" s="62" t="s">
        <v>147</v>
      </c>
      <c r="D249" s="70">
        <v>4514.4405023607915</v>
      </c>
      <c r="E249" s="70">
        <v>2505.980930290872</v>
      </c>
      <c r="F249" s="167">
        <f t="shared" si="89"/>
        <v>-0.44489667568320174</v>
      </c>
      <c r="G249" s="70">
        <v>3007.9742549807529</v>
      </c>
      <c r="H249" s="167">
        <f t="shared" si="95"/>
        <v>0.20031809445238433</v>
      </c>
      <c r="I249" s="70">
        <v>3180.2</v>
      </c>
      <c r="J249" s="167">
        <f t="shared" si="96"/>
        <v>5.7256389323833805E-2</v>
      </c>
      <c r="K249" s="70">
        <v>3332.9</v>
      </c>
      <c r="L249" s="167">
        <f t="shared" si="97"/>
        <v>4.8015848059870539E-2</v>
      </c>
      <c r="M249" s="164">
        <f t="shared" si="98"/>
        <v>16541.495687632418</v>
      </c>
      <c r="N249" s="165">
        <f t="shared" si="90"/>
        <v>-7.3053674042008909E-2</v>
      </c>
      <c r="P249" s="6"/>
      <c r="Q249" s="6">
        <v>4282.0200000000004</v>
      </c>
      <c r="R249" s="138">
        <f t="shared" si="99"/>
        <v>4282.0200000000004</v>
      </c>
      <c r="S249" s="185">
        <f t="shared" si="91"/>
        <v>0.28477302049266412</v>
      </c>
      <c r="T249" s="6">
        <v>31.52</v>
      </c>
      <c r="U249" s="6"/>
      <c r="V249" s="138">
        <f t="shared" si="100"/>
        <v>31.52</v>
      </c>
      <c r="W249" s="6">
        <v>4282.0200000000004</v>
      </c>
      <c r="X249" s="138">
        <f t="shared" si="101"/>
        <v>4313.5400000000009</v>
      </c>
      <c r="Y249" s="167">
        <f t="shared" si="92"/>
        <v>7.3610118588891306E-3</v>
      </c>
      <c r="Z249" s="70">
        <v>94.65</v>
      </c>
      <c r="AA249" s="6">
        <v>70.11</v>
      </c>
      <c r="AB249" s="138">
        <f t="shared" si="102"/>
        <v>164.76</v>
      </c>
      <c r="AC249" s="6">
        <v>4282.0200000000004</v>
      </c>
      <c r="AD249" s="138">
        <f t="shared" si="103"/>
        <v>4446.7800000000007</v>
      </c>
      <c r="AE249" s="167">
        <f t="shared" si="104"/>
        <v>3.0888782763113302E-2</v>
      </c>
      <c r="AF249" s="307">
        <v>94.73</v>
      </c>
      <c r="AG249" s="4">
        <v>280.44</v>
      </c>
      <c r="AH249" s="138">
        <f t="shared" si="105"/>
        <v>375.17</v>
      </c>
      <c r="AI249" s="6">
        <v>4282.0200000000004</v>
      </c>
      <c r="AJ249" s="138">
        <f t="shared" si="106"/>
        <v>4657.1900000000005</v>
      </c>
      <c r="AK249" s="167">
        <f t="shared" si="107"/>
        <v>4.7317384714332576E-2</v>
      </c>
      <c r="AL249" s="6">
        <v>158.02000000000001</v>
      </c>
      <c r="AM249" s="6">
        <v>490.77</v>
      </c>
      <c r="AN249" s="138">
        <f t="shared" si="108"/>
        <v>648.79</v>
      </c>
      <c r="AO249" s="6">
        <v>4282.0200000000004</v>
      </c>
      <c r="AP249" s="138">
        <f t="shared" si="109"/>
        <v>4930.8100000000004</v>
      </c>
      <c r="AQ249" s="167">
        <f t="shared" si="110"/>
        <v>5.8752166005681505E-2</v>
      </c>
      <c r="AR249" s="164">
        <f t="shared" si="93"/>
        <v>22630.340000000004</v>
      </c>
      <c r="AS249" s="165">
        <f t="shared" si="94"/>
        <v>3.5898953110344411E-2</v>
      </c>
    </row>
    <row r="250" spans="2:45" outlineLevel="1" x14ac:dyDescent="0.35">
      <c r="B250" s="294" t="s">
        <v>137</v>
      </c>
      <c r="C250" s="62" t="s">
        <v>147</v>
      </c>
      <c r="D250" s="70">
        <v>0</v>
      </c>
      <c r="E250" s="70">
        <v>0</v>
      </c>
      <c r="F250" s="167">
        <f t="shared" si="89"/>
        <v>0</v>
      </c>
      <c r="G250" s="70">
        <v>0</v>
      </c>
      <c r="H250" s="167">
        <f t="shared" si="95"/>
        <v>0</v>
      </c>
      <c r="I250" s="70">
        <v>0</v>
      </c>
      <c r="J250" s="167">
        <f t="shared" si="96"/>
        <v>0</v>
      </c>
      <c r="K250" s="70"/>
      <c r="L250" s="167">
        <f t="shared" si="97"/>
        <v>0</v>
      </c>
      <c r="M250" s="164">
        <f t="shared" si="98"/>
        <v>0</v>
      </c>
      <c r="N250" s="165">
        <f t="shared" si="90"/>
        <v>0</v>
      </c>
      <c r="P250" s="6"/>
      <c r="Q250" s="6"/>
      <c r="R250" s="138">
        <f t="shared" si="99"/>
        <v>0</v>
      </c>
      <c r="S250" s="185">
        <f t="shared" si="91"/>
        <v>0</v>
      </c>
      <c r="T250" s="6"/>
      <c r="U250" s="6"/>
      <c r="V250" s="138">
        <f t="shared" si="100"/>
        <v>0</v>
      </c>
      <c r="W250" s="6"/>
      <c r="X250" s="138">
        <f t="shared" si="101"/>
        <v>0</v>
      </c>
      <c r="Y250" s="167">
        <f t="shared" si="92"/>
        <v>0</v>
      </c>
      <c r="Z250" s="70"/>
      <c r="AA250" s="6">
        <v>0</v>
      </c>
      <c r="AB250" s="138">
        <f t="shared" si="102"/>
        <v>0</v>
      </c>
      <c r="AC250" s="6"/>
      <c r="AD250" s="138">
        <f t="shared" si="103"/>
        <v>0</v>
      </c>
      <c r="AE250" s="167">
        <f t="shared" si="104"/>
        <v>0</v>
      </c>
      <c r="AF250" s="307">
        <v>31.58</v>
      </c>
      <c r="AG250" s="4"/>
      <c r="AH250" s="138">
        <f t="shared" si="105"/>
        <v>31.58</v>
      </c>
      <c r="AI250" s="6"/>
      <c r="AJ250" s="138">
        <f t="shared" si="106"/>
        <v>31.58</v>
      </c>
      <c r="AK250" s="167">
        <f t="shared" si="107"/>
        <v>0</v>
      </c>
      <c r="AL250" s="6">
        <v>63.21</v>
      </c>
      <c r="AM250" s="6">
        <v>70.11</v>
      </c>
      <c r="AN250" s="138">
        <f t="shared" si="108"/>
        <v>133.32</v>
      </c>
      <c r="AO250" s="6"/>
      <c r="AP250" s="138">
        <f t="shared" si="109"/>
        <v>133.32</v>
      </c>
      <c r="AQ250" s="167">
        <f t="shared" si="110"/>
        <v>3.2216592780240658</v>
      </c>
      <c r="AR250" s="164">
        <f t="shared" si="93"/>
        <v>164.89999999999998</v>
      </c>
      <c r="AS250" s="165">
        <f t="shared" si="94"/>
        <v>0</v>
      </c>
    </row>
    <row r="251" spans="2:45" outlineLevel="1" x14ac:dyDescent="0.35">
      <c r="B251" s="294" t="s">
        <v>123</v>
      </c>
      <c r="C251" s="62" t="s">
        <v>147</v>
      </c>
      <c r="D251" s="70">
        <v>13640.891470925035</v>
      </c>
      <c r="E251" s="70">
        <v>11908.532616494864</v>
      </c>
      <c r="F251" s="167">
        <f t="shared" si="89"/>
        <v>-0.12699748092876617</v>
      </c>
      <c r="G251" s="70">
        <v>13582.257519293969</v>
      </c>
      <c r="H251" s="167">
        <f t="shared" si="95"/>
        <v>0.14054837457310057</v>
      </c>
      <c r="I251" s="70">
        <v>12958.9</v>
      </c>
      <c r="J251" s="167">
        <f t="shared" si="96"/>
        <v>-4.5894986043996978E-2</v>
      </c>
      <c r="K251" s="70">
        <v>11149.6</v>
      </c>
      <c r="L251" s="167">
        <f t="shared" si="97"/>
        <v>-0.13961833180285357</v>
      </c>
      <c r="M251" s="164">
        <f t="shared" si="98"/>
        <v>63240.181606713872</v>
      </c>
      <c r="N251" s="165">
        <f t="shared" si="90"/>
        <v>-4.9167246890269301E-2</v>
      </c>
      <c r="P251" s="6">
        <v>39.020000000000003</v>
      </c>
      <c r="Q251" s="6">
        <v>12313.68</v>
      </c>
      <c r="R251" s="138">
        <f t="shared" si="99"/>
        <v>12352.7</v>
      </c>
      <c r="S251" s="185">
        <f t="shared" si="91"/>
        <v>0.10790521633063073</v>
      </c>
      <c r="T251" s="6">
        <v>31.52</v>
      </c>
      <c r="U251" s="6">
        <v>70.11</v>
      </c>
      <c r="V251" s="138">
        <f t="shared" si="100"/>
        <v>101.63</v>
      </c>
      <c r="W251" s="6">
        <v>12313.68</v>
      </c>
      <c r="X251" s="138">
        <f t="shared" si="101"/>
        <v>12415.31</v>
      </c>
      <c r="Y251" s="167">
        <f t="shared" si="92"/>
        <v>5.0685275283945015E-3</v>
      </c>
      <c r="Z251" s="70">
        <v>63.1</v>
      </c>
      <c r="AA251" s="6">
        <v>140.22</v>
      </c>
      <c r="AB251" s="138">
        <f t="shared" si="102"/>
        <v>203.32</v>
      </c>
      <c r="AC251" s="6">
        <v>12313.68</v>
      </c>
      <c r="AD251" s="138">
        <f t="shared" si="103"/>
        <v>12517</v>
      </c>
      <c r="AE251" s="167">
        <f t="shared" si="104"/>
        <v>8.1906935871919849E-3</v>
      </c>
      <c r="AF251" s="307">
        <v>63.16</v>
      </c>
      <c r="AG251" s="4">
        <v>280.44</v>
      </c>
      <c r="AH251" s="138">
        <f t="shared" si="105"/>
        <v>343.6</v>
      </c>
      <c r="AI251" s="6">
        <v>12313.68</v>
      </c>
      <c r="AJ251" s="138">
        <f t="shared" si="106"/>
        <v>12657.28</v>
      </c>
      <c r="AK251" s="167">
        <f t="shared" si="107"/>
        <v>1.120715826475998E-2</v>
      </c>
      <c r="AL251" s="6">
        <v>63.21</v>
      </c>
      <c r="AM251" s="6">
        <v>420.66</v>
      </c>
      <c r="AN251" s="138">
        <f t="shared" si="108"/>
        <v>483.87</v>
      </c>
      <c r="AO251" s="6">
        <v>12313.68</v>
      </c>
      <c r="AP251" s="138">
        <f t="shared" si="109"/>
        <v>12797.550000000001</v>
      </c>
      <c r="AQ251" s="167">
        <f t="shared" si="110"/>
        <v>1.1082159832128263E-2</v>
      </c>
      <c r="AR251" s="164">
        <f t="shared" si="93"/>
        <v>62739.840000000004</v>
      </c>
      <c r="AS251" s="165">
        <f t="shared" si="94"/>
        <v>8.884001486304749E-3</v>
      </c>
    </row>
    <row r="252" spans="2:45" outlineLevel="1" x14ac:dyDescent="0.35">
      <c r="B252" s="294" t="s">
        <v>124</v>
      </c>
      <c r="C252" s="62" t="s">
        <v>147</v>
      </c>
      <c r="D252" s="70">
        <v>3524.4275450166283</v>
      </c>
      <c r="E252" s="70">
        <v>2261.9826254678051</v>
      </c>
      <c r="F252" s="167">
        <f t="shared" si="89"/>
        <v>-0.35819857364747359</v>
      </c>
      <c r="G252" s="70">
        <v>2224.465953740998</v>
      </c>
      <c r="H252" s="167">
        <f t="shared" si="95"/>
        <v>-1.6585747080638247E-2</v>
      </c>
      <c r="I252" s="70">
        <v>4259.7</v>
      </c>
      <c r="J252" s="167">
        <f t="shared" si="96"/>
        <v>0.91493153349290191</v>
      </c>
      <c r="K252" s="70">
        <v>4125.3</v>
      </c>
      <c r="L252" s="167">
        <f t="shared" si="97"/>
        <v>-3.1551517712514882E-2</v>
      </c>
      <c r="M252" s="164">
        <f t="shared" si="98"/>
        <v>16395.87612422543</v>
      </c>
      <c r="N252" s="165">
        <f t="shared" si="90"/>
        <v>4.0139854901344529E-2</v>
      </c>
      <c r="P252" s="6">
        <v>78.040000000000006</v>
      </c>
      <c r="Q252" s="6">
        <v>4211.5600000000004</v>
      </c>
      <c r="R252" s="138">
        <f t="shared" si="99"/>
        <v>4289.6000000000004</v>
      </c>
      <c r="S252" s="185">
        <f t="shared" si="91"/>
        <v>3.9827406491649134E-2</v>
      </c>
      <c r="T252" s="6">
        <v>31.52</v>
      </c>
      <c r="U252" s="6">
        <v>140.22</v>
      </c>
      <c r="V252" s="138">
        <f t="shared" si="100"/>
        <v>171.74</v>
      </c>
      <c r="W252" s="6">
        <v>4211.5600000000004</v>
      </c>
      <c r="X252" s="138">
        <f t="shared" si="101"/>
        <v>4383.3</v>
      </c>
      <c r="Y252" s="167">
        <f t="shared" si="92"/>
        <v>2.1843528534129013E-2</v>
      </c>
      <c r="Z252" s="70">
        <v>31.55</v>
      </c>
      <c r="AA252" s="6">
        <v>210.33</v>
      </c>
      <c r="AB252" s="138">
        <f t="shared" si="102"/>
        <v>241.88000000000002</v>
      </c>
      <c r="AC252" s="6">
        <v>4211.5600000000004</v>
      </c>
      <c r="AD252" s="138">
        <f t="shared" si="103"/>
        <v>4453.4400000000005</v>
      </c>
      <c r="AE252" s="167">
        <f t="shared" si="104"/>
        <v>1.6001642598042643E-2</v>
      </c>
      <c r="AF252" s="307">
        <v>31.58</v>
      </c>
      <c r="AG252" s="4">
        <v>280.44</v>
      </c>
      <c r="AH252" s="138">
        <f t="shared" si="105"/>
        <v>312.02</v>
      </c>
      <c r="AI252" s="6">
        <v>4211.5600000000004</v>
      </c>
      <c r="AJ252" s="138">
        <f t="shared" si="106"/>
        <v>4523.58</v>
      </c>
      <c r="AK252" s="167">
        <f t="shared" si="107"/>
        <v>1.574962276352649E-2</v>
      </c>
      <c r="AL252" s="6">
        <v>31.6</v>
      </c>
      <c r="AM252" s="6">
        <v>350.55</v>
      </c>
      <c r="AN252" s="138">
        <f t="shared" si="108"/>
        <v>382.15000000000003</v>
      </c>
      <c r="AO252" s="6">
        <v>4211.5600000000004</v>
      </c>
      <c r="AP252" s="138">
        <f t="shared" si="109"/>
        <v>4593.71</v>
      </c>
      <c r="AQ252" s="167">
        <f t="shared" si="110"/>
        <v>1.5503207636429577E-2</v>
      </c>
      <c r="AR252" s="164">
        <f t="shared" si="93"/>
        <v>22243.63</v>
      </c>
      <c r="AS252" s="165">
        <f t="shared" si="94"/>
        <v>1.7271071626265844E-2</v>
      </c>
    </row>
    <row r="253" spans="2:45" outlineLevel="1" x14ac:dyDescent="0.35">
      <c r="B253" s="294" t="s">
        <v>125</v>
      </c>
      <c r="C253" s="62" t="s">
        <v>147</v>
      </c>
      <c r="D253" s="70">
        <v>34327.196575337381</v>
      </c>
      <c r="E253" s="70">
        <v>32598.915554802548</v>
      </c>
      <c r="F253" s="167">
        <f t="shared" si="89"/>
        <v>-5.0347281250940491E-2</v>
      </c>
      <c r="G253" s="70">
        <v>32761.682792121486</v>
      </c>
      <c r="H253" s="167">
        <f t="shared" si="95"/>
        <v>4.9930261344217856E-3</v>
      </c>
      <c r="I253" s="70">
        <v>32158.5</v>
      </c>
      <c r="J253" s="167">
        <f t="shared" si="96"/>
        <v>-1.8411227406992029E-2</v>
      </c>
      <c r="K253" s="70">
        <v>29025</v>
      </c>
      <c r="L253" s="167">
        <f t="shared" si="97"/>
        <v>-9.7439246233499699E-2</v>
      </c>
      <c r="M253" s="164">
        <f t="shared" si="98"/>
        <v>160871.29492226141</v>
      </c>
      <c r="N253" s="165">
        <f t="shared" si="90"/>
        <v>-4.1077579741926717E-2</v>
      </c>
      <c r="P253" s="6">
        <v>117.05</v>
      </c>
      <c r="Q253" s="6">
        <v>31719.88</v>
      </c>
      <c r="R253" s="138">
        <f t="shared" si="99"/>
        <v>31836.93</v>
      </c>
      <c r="S253" s="185">
        <f t="shared" si="91"/>
        <v>9.6879586563307502E-2</v>
      </c>
      <c r="T253" s="6">
        <v>94.56</v>
      </c>
      <c r="U253" s="6">
        <v>210.33</v>
      </c>
      <c r="V253" s="138">
        <f t="shared" si="100"/>
        <v>304.89</v>
      </c>
      <c r="W253" s="6">
        <v>31719.88</v>
      </c>
      <c r="X253" s="138">
        <f t="shared" si="101"/>
        <v>32024.77</v>
      </c>
      <c r="Y253" s="167">
        <f t="shared" si="92"/>
        <v>5.9000663694646479E-3</v>
      </c>
      <c r="Z253" s="70">
        <v>63.1</v>
      </c>
      <c r="AA253" s="6">
        <v>420.66</v>
      </c>
      <c r="AB253" s="138">
        <f t="shared" si="102"/>
        <v>483.76000000000005</v>
      </c>
      <c r="AC253" s="6">
        <v>31719.88</v>
      </c>
      <c r="AD253" s="138">
        <f t="shared" si="103"/>
        <v>32203.64</v>
      </c>
      <c r="AE253" s="167">
        <f t="shared" si="104"/>
        <v>5.5853640791174762E-3</v>
      </c>
      <c r="AF253" s="307">
        <v>63.16</v>
      </c>
      <c r="AG253" s="4">
        <v>560.88</v>
      </c>
      <c r="AH253" s="138">
        <f t="shared" si="105"/>
        <v>624.04</v>
      </c>
      <c r="AI253" s="6">
        <v>31719.88</v>
      </c>
      <c r="AJ253" s="138">
        <f t="shared" si="106"/>
        <v>32343.920000000002</v>
      </c>
      <c r="AK253" s="167">
        <f t="shared" si="107"/>
        <v>4.3560293184249504E-3</v>
      </c>
      <c r="AL253" s="6">
        <v>31.6</v>
      </c>
      <c r="AM253" s="6">
        <v>701.1</v>
      </c>
      <c r="AN253" s="138">
        <f t="shared" si="108"/>
        <v>732.7</v>
      </c>
      <c r="AO253" s="6">
        <v>31719.88</v>
      </c>
      <c r="AP253" s="138">
        <f t="shared" si="109"/>
        <v>32452.58</v>
      </c>
      <c r="AQ253" s="167">
        <f t="shared" si="110"/>
        <v>3.3595185741245913E-3</v>
      </c>
      <c r="AR253" s="164">
        <f t="shared" si="93"/>
        <v>160861.84</v>
      </c>
      <c r="AS253" s="165">
        <f t="shared" si="94"/>
        <v>4.7997345486103793E-3</v>
      </c>
    </row>
    <row r="254" spans="2:45" outlineLevel="1" x14ac:dyDescent="0.35">
      <c r="B254" s="48" t="s">
        <v>126</v>
      </c>
      <c r="C254" s="62" t="s">
        <v>147</v>
      </c>
      <c r="D254" s="70">
        <v>17699.838558015956</v>
      </c>
      <c r="E254" s="70">
        <v>14646.699028152228</v>
      </c>
      <c r="F254" s="167">
        <f t="shared" si="89"/>
        <v>-0.1724953320820552</v>
      </c>
      <c r="G254" s="70">
        <v>16489.153868279449</v>
      </c>
      <c r="H254" s="167">
        <f t="shared" si="95"/>
        <v>0.1257931795134086</v>
      </c>
      <c r="I254" s="70">
        <v>15536.5</v>
      </c>
      <c r="J254" s="167">
        <f t="shared" si="96"/>
        <v>-5.7774575693182798E-2</v>
      </c>
      <c r="K254" s="70">
        <v>15316.9</v>
      </c>
      <c r="L254" s="167">
        <f t="shared" si="97"/>
        <v>-1.4134457567663268E-2</v>
      </c>
      <c r="M254" s="164">
        <f t="shared" si="98"/>
        <v>79689.091454447625</v>
      </c>
      <c r="N254" s="165">
        <f t="shared" si="90"/>
        <v>-3.550408416882822E-2</v>
      </c>
      <c r="P254" s="6">
        <v>312.14</v>
      </c>
      <c r="Q254" s="6">
        <v>14841.56</v>
      </c>
      <c r="R254" s="138">
        <f t="shared" si="99"/>
        <v>15153.699999999999</v>
      </c>
      <c r="S254" s="185">
        <f t="shared" si="91"/>
        <v>-1.0654897531484879E-2</v>
      </c>
      <c r="T254" s="6">
        <v>283.69</v>
      </c>
      <c r="U254" s="6">
        <v>560.88</v>
      </c>
      <c r="V254" s="138">
        <f t="shared" si="100"/>
        <v>844.56999999999994</v>
      </c>
      <c r="W254" s="6">
        <v>14841.56</v>
      </c>
      <c r="X254" s="138">
        <f t="shared" si="101"/>
        <v>15686.13</v>
      </c>
      <c r="Y254" s="167">
        <f t="shared" si="92"/>
        <v>3.5135313487795083E-2</v>
      </c>
      <c r="Z254" s="70">
        <v>283.95</v>
      </c>
      <c r="AA254" s="6">
        <v>1191.8800000000001</v>
      </c>
      <c r="AB254" s="138">
        <f t="shared" si="102"/>
        <v>1475.8300000000002</v>
      </c>
      <c r="AC254" s="6">
        <v>14841.56</v>
      </c>
      <c r="AD254" s="138">
        <f t="shared" si="103"/>
        <v>16317.39</v>
      </c>
      <c r="AE254" s="167">
        <f t="shared" si="104"/>
        <v>4.0243195740440774E-2</v>
      </c>
      <c r="AF254" s="307">
        <v>189.47</v>
      </c>
      <c r="AG254" s="4">
        <v>1822.87</v>
      </c>
      <c r="AH254" s="138">
        <f t="shared" si="105"/>
        <v>2012.34</v>
      </c>
      <c r="AI254" s="6">
        <v>14841.56</v>
      </c>
      <c r="AJ254" s="138">
        <f t="shared" si="106"/>
        <v>16853.899999999998</v>
      </c>
      <c r="AK254" s="167">
        <f t="shared" si="107"/>
        <v>3.2879645580573755E-2</v>
      </c>
      <c r="AL254" s="6">
        <v>221.23</v>
      </c>
      <c r="AM254" s="6">
        <v>2243.5300000000002</v>
      </c>
      <c r="AN254" s="138">
        <f t="shared" si="108"/>
        <v>2464.7600000000002</v>
      </c>
      <c r="AO254" s="6">
        <v>14841.56</v>
      </c>
      <c r="AP254" s="138">
        <f t="shared" si="109"/>
        <v>17306.32</v>
      </c>
      <c r="AQ254" s="167">
        <f t="shared" si="110"/>
        <v>2.6843638564368007E-2</v>
      </c>
      <c r="AR254" s="164">
        <f t="shared" si="93"/>
        <v>81317.440000000002</v>
      </c>
      <c r="AS254" s="165">
        <f t="shared" si="94"/>
        <v>3.3764254665047622E-2</v>
      </c>
    </row>
    <row r="255" spans="2:45" outlineLevel="1" x14ac:dyDescent="0.35">
      <c r="B255" s="48" t="s">
        <v>127</v>
      </c>
      <c r="C255" s="62" t="s">
        <v>147</v>
      </c>
      <c r="D255" s="70">
        <v>0</v>
      </c>
      <c r="E255" s="70">
        <v>0</v>
      </c>
      <c r="F255" s="167">
        <f t="shared" si="89"/>
        <v>0</v>
      </c>
      <c r="G255" s="70">
        <v>0</v>
      </c>
      <c r="H255" s="167">
        <f t="shared" si="95"/>
        <v>0</v>
      </c>
      <c r="I255" s="70">
        <v>0</v>
      </c>
      <c r="J255" s="167">
        <f t="shared" si="96"/>
        <v>0</v>
      </c>
      <c r="K255" s="70"/>
      <c r="L255" s="167">
        <f t="shared" si="97"/>
        <v>0</v>
      </c>
      <c r="M255" s="164">
        <f t="shared" si="98"/>
        <v>0</v>
      </c>
      <c r="N255" s="165">
        <f t="shared" si="90"/>
        <v>0</v>
      </c>
      <c r="P255" s="6"/>
      <c r="Q255" s="6"/>
      <c r="R255" s="138">
        <f t="shared" si="99"/>
        <v>0</v>
      </c>
      <c r="S255" s="185">
        <f t="shared" si="91"/>
        <v>0</v>
      </c>
      <c r="T255" s="6"/>
      <c r="U255" s="6"/>
      <c r="V255" s="138">
        <f t="shared" si="100"/>
        <v>0</v>
      </c>
      <c r="W255" s="6"/>
      <c r="X255" s="138">
        <f t="shared" si="101"/>
        <v>0</v>
      </c>
      <c r="Y255" s="167">
        <f t="shared" si="92"/>
        <v>0</v>
      </c>
      <c r="Z255" s="70"/>
      <c r="AA255" s="6">
        <v>0</v>
      </c>
      <c r="AB255" s="138">
        <f t="shared" si="102"/>
        <v>0</v>
      </c>
      <c r="AC255" s="6"/>
      <c r="AD255" s="138">
        <f t="shared" si="103"/>
        <v>0</v>
      </c>
      <c r="AE255" s="167">
        <f t="shared" si="104"/>
        <v>0</v>
      </c>
      <c r="AF255" s="307"/>
      <c r="AG255" s="4"/>
      <c r="AH255" s="138">
        <f t="shared" si="105"/>
        <v>0</v>
      </c>
      <c r="AI255" s="6"/>
      <c r="AJ255" s="138">
        <f t="shared" si="106"/>
        <v>0</v>
      </c>
      <c r="AK255" s="167">
        <f t="shared" si="107"/>
        <v>0</v>
      </c>
      <c r="AL255" s="6"/>
      <c r="AM255" s="6"/>
      <c r="AN255" s="138">
        <f t="shared" si="108"/>
        <v>0</v>
      </c>
      <c r="AO255" s="6"/>
      <c r="AP255" s="138">
        <f t="shared" si="109"/>
        <v>0</v>
      </c>
      <c r="AQ255" s="167">
        <f t="shared" si="110"/>
        <v>0</v>
      </c>
      <c r="AR255" s="164">
        <f t="shared" si="93"/>
        <v>0</v>
      </c>
      <c r="AS255" s="165">
        <f t="shared" si="94"/>
        <v>0</v>
      </c>
    </row>
    <row r="256" spans="2:45" s="245" customFormat="1" ht="15" customHeight="1" outlineLevel="1" x14ac:dyDescent="0.35">
      <c r="B256" s="246" t="s">
        <v>138</v>
      </c>
      <c r="C256" s="247" t="s">
        <v>147</v>
      </c>
      <c r="D256" s="254">
        <f>SUM(D202:D255)</f>
        <v>1142729.7039999999</v>
      </c>
      <c r="E256" s="254">
        <f>SUM(E202:E255)</f>
        <v>996188.38194250595</v>
      </c>
      <c r="F256" s="250">
        <f>IFERROR((E256-D256)/D256,0)</f>
        <v>-0.12823795648659708</v>
      </c>
      <c r="G256" s="254">
        <f>SUM(G202:G255)</f>
        <v>1058692.0703045954</v>
      </c>
      <c r="H256" s="250">
        <f t="shared" si="95"/>
        <v>6.2742840104409878E-2</v>
      </c>
      <c r="I256" s="254">
        <f>SUM(I202:I255)</f>
        <v>1139806.2999999996</v>
      </c>
      <c r="J256" s="250">
        <f t="shared" si="96"/>
        <v>7.6617396097117152E-2</v>
      </c>
      <c r="K256" s="254">
        <f>SUM(K202:K255)</f>
        <v>1018723.5000000001</v>
      </c>
      <c r="L256" s="250">
        <f>IFERROR((K256-I256)/I256,0)</f>
        <v>-0.10623103241313854</v>
      </c>
      <c r="M256" s="254">
        <f>SUM(M202:M255)</f>
        <v>5217523.1098865215</v>
      </c>
      <c r="N256" s="252">
        <f t="shared" si="90"/>
        <v>-2.8308951233732782E-2</v>
      </c>
      <c r="P256" s="248">
        <f>SUM(P202:P255)</f>
        <v>16204.62000000001</v>
      </c>
      <c r="Q256" s="248">
        <f>SUM(Q202:Q255)</f>
        <v>1093907.23</v>
      </c>
      <c r="R256" s="248">
        <f>SUM(R202:R255)</f>
        <v>1110111.8499999996</v>
      </c>
      <c r="S256" s="250">
        <f t="shared" si="91"/>
        <v>8.9708689354863716E-2</v>
      </c>
      <c r="T256" s="248">
        <f>SUM(T202:T255)</f>
        <v>9195.8100000000049</v>
      </c>
      <c r="U256" s="344">
        <f>SUM(U202:U255)</f>
        <v>37192.910000000018</v>
      </c>
      <c r="V256" s="248">
        <f>SUM(V202:V255)</f>
        <v>46388.72</v>
      </c>
      <c r="W256" s="248">
        <f>SUM(W202:W255)</f>
        <v>1093907.23</v>
      </c>
      <c r="X256" s="248">
        <f>SUM(X202:X255)</f>
        <v>1140295.95</v>
      </c>
      <c r="Y256" s="250">
        <f>IFERROR((X256-R256)/R256,0)</f>
        <v>2.7190143047297746E-2</v>
      </c>
      <c r="Z256" s="248">
        <f>SUM(Z202:Z255)</f>
        <v>11494.150000000001</v>
      </c>
      <c r="AA256" s="248">
        <f>SUM(AA202:AA255)</f>
        <v>57909.720000000008</v>
      </c>
      <c r="AB256" s="248">
        <f>SUM(AB202:AB255)</f>
        <v>69403.87</v>
      </c>
      <c r="AC256" s="248">
        <f>SUM(AC202:AC255)</f>
        <v>1093907.23</v>
      </c>
      <c r="AD256" s="248">
        <f>SUM(AD202:AD255)</f>
        <v>1163311.0999999996</v>
      </c>
      <c r="AE256" s="255">
        <f t="shared" si="104"/>
        <v>2.0183488330375702E-2</v>
      </c>
      <c r="AF256" s="248">
        <f>SUM(AF202:AF255)</f>
        <v>9031.1199999999972</v>
      </c>
      <c r="AG256" s="248">
        <f t="shared" ref="AG256:AJ256" si="111">SUM(AG202:AG255)</f>
        <v>84720.190000000061</v>
      </c>
      <c r="AH256" s="248">
        <f t="shared" si="111"/>
        <v>93751.310000000041</v>
      </c>
      <c r="AI256" s="248">
        <f t="shared" si="111"/>
        <v>1093907.23</v>
      </c>
      <c r="AJ256" s="248">
        <f t="shared" si="111"/>
        <v>1187658.5399999998</v>
      </c>
      <c r="AK256" s="250">
        <f t="shared" si="107"/>
        <v>2.0929431516642612E-2</v>
      </c>
      <c r="AL256" s="253">
        <f>SUM(AL202:AL255)</f>
        <v>9336.3500000000022</v>
      </c>
      <c r="AM256" s="253">
        <f t="shared" ref="AM256:AR256" si="112">SUM(AM202:AM255)</f>
        <v>105942.67000000003</v>
      </c>
      <c r="AN256" s="253">
        <f t="shared" si="112"/>
        <v>115279.02</v>
      </c>
      <c r="AO256" s="253">
        <f t="shared" si="112"/>
        <v>1093907.23</v>
      </c>
      <c r="AP256" s="253">
        <f t="shared" si="112"/>
        <v>1209186.2500000002</v>
      </c>
      <c r="AQ256" s="250">
        <f>IFERROR((AP256-AJ256)/AJ256,0)</f>
        <v>1.8126177916424051E-2</v>
      </c>
      <c r="AR256" s="253">
        <f t="shared" si="112"/>
        <v>5810563.6900000004</v>
      </c>
      <c r="AS256" s="252">
        <f>IFERROR((AP256/R256)^(1/4)-1,0)</f>
        <v>2.1601719800120378E-2</v>
      </c>
    </row>
    <row r="257" spans="2:45" x14ac:dyDescent="0.35">
      <c r="AJ257" s="39">
        <f>AJ256-AJ231-AJ232</f>
        <v>1150092.7199999997</v>
      </c>
      <c r="AO257" s="39">
        <f>AO256-AO231-AO232</f>
        <v>1056341.4099999999</v>
      </c>
    </row>
    <row r="258" spans="2:45" ht="15.5" x14ac:dyDescent="0.35">
      <c r="B258" s="419" t="s">
        <v>152</v>
      </c>
      <c r="C258" s="419"/>
      <c r="D258" s="419"/>
      <c r="E258" s="419"/>
      <c r="F258" s="419"/>
      <c r="G258" s="419"/>
      <c r="H258" s="419"/>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c r="AJ258" s="419"/>
      <c r="AK258" s="419"/>
      <c r="AL258" s="419"/>
      <c r="AM258" s="419"/>
      <c r="AN258" s="419"/>
      <c r="AO258" s="419"/>
      <c r="AP258" s="419"/>
      <c r="AQ258" s="419"/>
      <c r="AR258" s="419"/>
      <c r="AS258" s="419"/>
    </row>
    <row r="259" spans="2:45" ht="5.9" hidden="1" customHeight="1" outlineLevel="1" x14ac:dyDescent="0.35">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K259" s="103"/>
    </row>
    <row r="260" spans="2:45" hidden="1" outlineLevel="1" x14ac:dyDescent="0.35">
      <c r="B260" s="462"/>
      <c r="C260" s="465" t="s">
        <v>134</v>
      </c>
      <c r="D260" s="435" t="s">
        <v>169</v>
      </c>
      <c r="E260" s="436"/>
      <c r="F260" s="436"/>
      <c r="G260" s="436"/>
      <c r="H260" s="436"/>
      <c r="I260" s="436"/>
      <c r="J260" s="436"/>
      <c r="K260" s="435" t="s">
        <v>207</v>
      </c>
      <c r="L260" s="437"/>
      <c r="M260" s="431" t="str">
        <f xml:space="preserve"> D261&amp;" - "&amp;K261</f>
        <v>2019 - 2023</v>
      </c>
      <c r="N260" s="456"/>
      <c r="P260" s="435" t="s">
        <v>170</v>
      </c>
      <c r="Q260" s="436"/>
      <c r="R260" s="436"/>
      <c r="S260" s="436"/>
      <c r="T260" s="436"/>
      <c r="U260" s="436"/>
      <c r="V260" s="436"/>
      <c r="W260" s="436"/>
      <c r="X260" s="436"/>
      <c r="Y260" s="436"/>
      <c r="Z260" s="436"/>
      <c r="AA260" s="436"/>
      <c r="AB260" s="436"/>
      <c r="AC260" s="436"/>
      <c r="AD260" s="436"/>
      <c r="AE260" s="436"/>
      <c r="AF260" s="436"/>
      <c r="AG260" s="436"/>
      <c r="AH260" s="436"/>
      <c r="AI260" s="436"/>
      <c r="AJ260" s="436"/>
      <c r="AK260" s="436"/>
      <c r="AL260" s="436"/>
      <c r="AM260" s="436"/>
      <c r="AN260" s="436"/>
      <c r="AO260" s="436"/>
      <c r="AP260" s="436"/>
      <c r="AQ260" s="436"/>
      <c r="AR260" s="436"/>
      <c r="AS260" s="437"/>
    </row>
    <row r="261" spans="2:45" hidden="1" outlineLevel="1" x14ac:dyDescent="0.35">
      <c r="B261" s="463"/>
      <c r="C261" s="465"/>
      <c r="D261" s="79">
        <f>$C$3-5</f>
        <v>2019</v>
      </c>
      <c r="E261" s="435">
        <f>$C$3-4</f>
        <v>2020</v>
      </c>
      <c r="F261" s="437"/>
      <c r="G261" s="435">
        <f>$C$3-3</f>
        <v>2021</v>
      </c>
      <c r="H261" s="437"/>
      <c r="I261" s="435">
        <f>$C$3-2</f>
        <v>2022</v>
      </c>
      <c r="J261" s="437"/>
      <c r="K261" s="435">
        <f>$C$3-1</f>
        <v>2023</v>
      </c>
      <c r="L261" s="437"/>
      <c r="M261" s="433"/>
      <c r="N261" s="457"/>
      <c r="P261" s="490">
        <f>$C$3</f>
        <v>2024</v>
      </c>
      <c r="Q261" s="491"/>
      <c r="R261" s="491"/>
      <c r="S261" s="485"/>
      <c r="T261" s="490">
        <f>$C$3+1</f>
        <v>2025</v>
      </c>
      <c r="U261" s="491"/>
      <c r="V261" s="491"/>
      <c r="W261" s="491"/>
      <c r="X261" s="491"/>
      <c r="Y261" s="485"/>
      <c r="Z261" s="435">
        <f>$C$3+2</f>
        <v>2026</v>
      </c>
      <c r="AA261" s="436"/>
      <c r="AB261" s="436"/>
      <c r="AC261" s="436"/>
      <c r="AD261" s="436"/>
      <c r="AE261" s="437"/>
      <c r="AF261" s="435">
        <f>$C$3+3</f>
        <v>2027</v>
      </c>
      <c r="AG261" s="436"/>
      <c r="AH261" s="436"/>
      <c r="AI261" s="436"/>
      <c r="AJ261" s="436"/>
      <c r="AK261" s="437"/>
      <c r="AL261" s="435">
        <f>$C$3+4</f>
        <v>2028</v>
      </c>
      <c r="AM261" s="436"/>
      <c r="AN261" s="436"/>
      <c r="AO261" s="436"/>
      <c r="AP261" s="436"/>
      <c r="AQ261" s="437"/>
      <c r="AR261" s="439" t="str">
        <f>P261&amp;" - "&amp;AL261</f>
        <v>2024 - 2028</v>
      </c>
      <c r="AS261" s="458"/>
    </row>
    <row r="262" spans="2:45" ht="15" hidden="1" customHeight="1" outlineLevel="1" x14ac:dyDescent="0.35">
      <c r="B262" s="463"/>
      <c r="C262" s="465"/>
      <c r="D262" s="492" t="s">
        <v>225</v>
      </c>
      <c r="E262" s="494" t="s">
        <v>225</v>
      </c>
      <c r="F262" s="496" t="s">
        <v>173</v>
      </c>
      <c r="G262" s="494" t="s">
        <v>225</v>
      </c>
      <c r="H262" s="496" t="s">
        <v>173</v>
      </c>
      <c r="I262" s="494" t="s">
        <v>225</v>
      </c>
      <c r="J262" s="470" t="s">
        <v>173</v>
      </c>
      <c r="K262" s="494" t="s">
        <v>225</v>
      </c>
      <c r="L262" s="470" t="s">
        <v>173</v>
      </c>
      <c r="M262" s="494" t="s">
        <v>164</v>
      </c>
      <c r="N262" s="498" t="s">
        <v>174</v>
      </c>
      <c r="P262" s="494" t="str">
        <f>"Διανεμόμενες ποσότητες σε πελάτες που συνδέθηκαν το "&amp;P261</f>
        <v>Διανεμόμενες ποσότητες σε πελάτες που συνδέθηκαν το 2024</v>
      </c>
      <c r="Q262" s="484" t="s">
        <v>226</v>
      </c>
      <c r="R262" s="484" t="s">
        <v>227</v>
      </c>
      <c r="S262" s="500" t="s">
        <v>173</v>
      </c>
      <c r="T262" s="490" t="s">
        <v>228</v>
      </c>
      <c r="U262" s="491"/>
      <c r="V262" s="491"/>
      <c r="W262" s="484" t="s">
        <v>226</v>
      </c>
      <c r="X262" s="484" t="s">
        <v>227</v>
      </c>
      <c r="Y262" s="485" t="s">
        <v>173</v>
      </c>
      <c r="Z262" s="490" t="s">
        <v>228</v>
      </c>
      <c r="AA262" s="491"/>
      <c r="AB262" s="491"/>
      <c r="AC262" s="484" t="s">
        <v>226</v>
      </c>
      <c r="AD262" s="484" t="s">
        <v>227</v>
      </c>
      <c r="AE262" s="485" t="s">
        <v>173</v>
      </c>
      <c r="AF262" s="490" t="s">
        <v>228</v>
      </c>
      <c r="AG262" s="491"/>
      <c r="AH262" s="491"/>
      <c r="AI262" s="484" t="s">
        <v>226</v>
      </c>
      <c r="AJ262" s="484" t="s">
        <v>227</v>
      </c>
      <c r="AK262" s="485" t="s">
        <v>173</v>
      </c>
      <c r="AL262" s="490" t="s">
        <v>228</v>
      </c>
      <c r="AM262" s="491"/>
      <c r="AN262" s="491"/>
      <c r="AO262" s="484" t="s">
        <v>226</v>
      </c>
      <c r="AP262" s="484" t="s">
        <v>227</v>
      </c>
      <c r="AQ262" s="485" t="s">
        <v>173</v>
      </c>
      <c r="AR262" s="486" t="s">
        <v>164</v>
      </c>
      <c r="AS262" s="488" t="s">
        <v>174</v>
      </c>
    </row>
    <row r="263" spans="2:45" ht="58" hidden="1" outlineLevel="1" x14ac:dyDescent="0.35">
      <c r="B263" s="464"/>
      <c r="C263" s="465"/>
      <c r="D263" s="493"/>
      <c r="E263" s="495"/>
      <c r="F263" s="497"/>
      <c r="G263" s="495"/>
      <c r="H263" s="497"/>
      <c r="I263" s="495"/>
      <c r="J263" s="455"/>
      <c r="K263" s="495"/>
      <c r="L263" s="455"/>
      <c r="M263" s="495"/>
      <c r="N263" s="499"/>
      <c r="P263" s="495"/>
      <c r="Q263" s="484"/>
      <c r="R263" s="484"/>
      <c r="S263" s="500"/>
      <c r="T263" s="122" t="str">
        <f>"Διανεμόμενες ποσότητες σε πελάτες που συνδέθηκαν το "&amp;T261</f>
        <v>Διανεμόμενες ποσότητες σε πελάτες που συνδέθηκαν το 2025</v>
      </c>
      <c r="U263" s="105" t="str">
        <f>"Διανεμόμενες ποσότητες σε πελάτες που συνδέθηκαν το "&amp;P261</f>
        <v>Διανεμόμενες ποσότητες σε πελάτες που συνδέθηκαν το 2024</v>
      </c>
      <c r="V263" s="57" t="s">
        <v>229</v>
      </c>
      <c r="W263" s="484"/>
      <c r="X263" s="484"/>
      <c r="Y263" s="485"/>
      <c r="Z263" s="122" t="str">
        <f>"Διανεμόμενες ποσότητες σε πελάτες που συνδέθηκαν το "&amp;Z261</f>
        <v>Διανεμόμενες ποσότητες σε πελάτες που συνδέθηκαν το 2026</v>
      </c>
      <c r="AA263" s="105" t="str">
        <f>"Διανεμόμενες ποσότητες σε πελάτες που συνδέθηκαν το "&amp;$P$12&amp;" - "&amp;T261</f>
        <v>Διανεμόμενες ποσότητες σε πελάτες που συνδέθηκαν το 2024 - 2025</v>
      </c>
      <c r="AB263" s="57" t="s">
        <v>229</v>
      </c>
      <c r="AC263" s="484"/>
      <c r="AD263" s="484"/>
      <c r="AE263" s="485"/>
      <c r="AF263" s="122" t="str">
        <f>"Διανεμόμενες ποσότητες σε πελάτες που συνδέθηκαν το "&amp;AF261</f>
        <v>Διανεμόμενες ποσότητες σε πελάτες που συνδέθηκαν το 2027</v>
      </c>
      <c r="AG263" s="105" t="str">
        <f>"Διανεμόμενες ποσότητες σε πελάτες που συνδέθηκαν το "&amp;$P$12&amp;" - "&amp;Z261</f>
        <v>Διανεμόμενες ποσότητες σε πελάτες που συνδέθηκαν το 2024 - 2026</v>
      </c>
      <c r="AH263" s="57" t="s">
        <v>229</v>
      </c>
      <c r="AI263" s="484"/>
      <c r="AJ263" s="484"/>
      <c r="AK263" s="485"/>
      <c r="AL263" s="122" t="str">
        <f>"Διανεμόμενες ποσότητες σε πελάτες που συνδέθηκαν το "&amp;AL261</f>
        <v>Διανεμόμενες ποσότητες σε πελάτες που συνδέθηκαν το 2028</v>
      </c>
      <c r="AM263" s="105" t="str">
        <f>"Διανεμόμενες ποσότητες σε πελάτες που συνδέθηκαν το "&amp;$P$12&amp;" - "&amp;AF261</f>
        <v>Διανεμόμενες ποσότητες σε πελάτες που συνδέθηκαν το 2024 - 2027</v>
      </c>
      <c r="AN263" s="57" t="s">
        <v>229</v>
      </c>
      <c r="AO263" s="484"/>
      <c r="AP263" s="484"/>
      <c r="AQ263" s="485"/>
      <c r="AR263" s="487"/>
      <c r="AS263" s="489"/>
    </row>
    <row r="264" spans="2:45" hidden="1" outlineLevel="1" x14ac:dyDescent="0.35">
      <c r="B264" s="48" t="s">
        <v>143</v>
      </c>
      <c r="C264" s="62" t="s">
        <v>147</v>
      </c>
      <c r="D264" s="81"/>
      <c r="E264" s="70"/>
      <c r="F264" s="167">
        <f t="shared" ref="F264:F267" si="113">IFERROR((E264-D264)/D264,0)</f>
        <v>0</v>
      </c>
      <c r="G264" s="70"/>
      <c r="H264" s="167">
        <f>IFERROR((G264-E264)/E264,0)</f>
        <v>0</v>
      </c>
      <c r="I264" s="70"/>
      <c r="J264" s="167">
        <f>IFERROR((I264-G264)/G264,0)</f>
        <v>0</v>
      </c>
      <c r="K264" s="70"/>
      <c r="L264" s="167">
        <f>IFERROR((K264-I264)/I264,0)</f>
        <v>0</v>
      </c>
      <c r="M264" s="164">
        <f>D264+E264+G264+I264+K264</f>
        <v>0</v>
      </c>
      <c r="N264" s="165">
        <f>IFERROR((K264/D264)^(1/4)-1,0)</f>
        <v>0</v>
      </c>
      <c r="P264" s="170" t="e">
        <f>'[1]Μέση ετήσια κατανάλωση'!#REF!*'[1]Ενεργοί πελάτες'!#REF!</f>
        <v>#REF!</v>
      </c>
      <c r="Q264" s="6"/>
      <c r="R264" s="138" t="e">
        <f>P264+Q264</f>
        <v>#REF!</v>
      </c>
      <c r="S264" s="185">
        <f>IFERROR((R264-K264)/K264,0)</f>
        <v>0</v>
      </c>
      <c r="T264" s="170" t="e">
        <f>'[1]Μέση ετήσια κατανάλωση'!#REF!*'[1]Ενεργοί πελάτες'!#REF!</f>
        <v>#REF!</v>
      </c>
      <c r="U264" s="138" t="e">
        <f>'[1]Μέση ετήσια κατανάλωση'!#REF!*('[1]Ενεργοί πελάτες'!#REF!-'[1]Ενεργοί πελάτες'!#REF!)</f>
        <v>#REF!</v>
      </c>
      <c r="V264" s="138" t="e">
        <f>T264+U264</f>
        <v>#REF!</v>
      </c>
      <c r="W264" s="6"/>
      <c r="X264" s="138" t="e">
        <f>V264+W264</f>
        <v>#REF!</v>
      </c>
      <c r="Y264" s="167">
        <f t="shared" ref="Y264:Y267" si="114">IFERROR((X264-R264)/R264,0)</f>
        <v>0</v>
      </c>
      <c r="Z264" s="170" t="e">
        <f>'[1]Μέση ετήσια κατανάλωση'!#REF!*'[1]Ενεργοί πελάτες'!#REF!</f>
        <v>#REF!</v>
      </c>
      <c r="AA264" s="138" t="e">
        <f>'[1]Μέση ετήσια κατανάλωση'!#REF!*('[1]Ενεργοί πελάτες'!#REF!-'[1]Ενεργοί πελάτες'!#REF!)</f>
        <v>#REF!</v>
      </c>
      <c r="AB264" s="138" t="e">
        <f>Z264+AA264</f>
        <v>#REF!</v>
      </c>
      <c r="AC264" s="6"/>
      <c r="AD264" s="138" t="e">
        <f>AB264+AC264</f>
        <v>#REF!</v>
      </c>
      <c r="AE264" s="167">
        <f>IFERROR((AD264-X264)/X264,0)</f>
        <v>0</v>
      </c>
      <c r="AF264" s="170" t="e">
        <f>'[1]Μέση ετήσια κατανάλωση'!#REF!*'[1]Ενεργοί πελάτες'!#REF!</f>
        <v>#REF!</v>
      </c>
      <c r="AG264" s="138" t="e">
        <f>'[1]Μέση ετήσια κατανάλωση'!#REF!*('[1]Ενεργοί πελάτες'!#REF!-'[1]Ενεργοί πελάτες'!#REF!)</f>
        <v>#REF!</v>
      </c>
      <c r="AH264" s="138" t="e">
        <f>AF264+AG264</f>
        <v>#REF!</v>
      </c>
      <c r="AI264" s="6"/>
      <c r="AJ264" s="138" t="e">
        <f>AH264+AI264</f>
        <v>#REF!</v>
      </c>
      <c r="AK264" s="167">
        <f>IFERROR((AJ264-AD264)/AD264,0)</f>
        <v>0</v>
      </c>
      <c r="AL264" s="170" t="e">
        <f>'[1]Μέση ετήσια κατανάλωση'!#REF!*'[1]Ενεργοί πελάτες'!#REF!</f>
        <v>#REF!</v>
      </c>
      <c r="AM264" s="138" t="e">
        <f>'[1]Μέση ετήσια κατανάλωση'!#REF!*('[1]Ενεργοί πελάτες'!#REF!-'[1]Ενεργοί πελάτες'!#REF!)</f>
        <v>#REF!</v>
      </c>
      <c r="AN264" s="138" t="e">
        <f>AL264+AM264</f>
        <v>#REF!</v>
      </c>
      <c r="AO264" s="6"/>
      <c r="AP264" s="138" t="e">
        <f>AN264+AO264</f>
        <v>#REF!</v>
      </c>
      <c r="AQ264" s="167">
        <f>IFERROR((AP264-AJ264)/AJ264,0)</f>
        <v>0</v>
      </c>
      <c r="AR264" s="164" t="e">
        <f t="shared" ref="AR264:AR267" si="115">R264+X264+AD264+AJ264+AP264</f>
        <v>#REF!</v>
      </c>
      <c r="AS264" s="165">
        <f t="shared" ref="AS264:AS267" si="116">IFERROR((AP264/R264)^(1/4)-1,0)</f>
        <v>0</v>
      </c>
    </row>
    <row r="265" spans="2:45" hidden="1" outlineLevel="1" x14ac:dyDescent="0.35">
      <c r="B265" s="48" t="s">
        <v>148</v>
      </c>
      <c r="C265" s="62" t="s">
        <v>147</v>
      </c>
      <c r="D265" s="81"/>
      <c r="E265" s="70"/>
      <c r="F265" s="167">
        <f t="shared" si="113"/>
        <v>0</v>
      </c>
      <c r="G265" s="70"/>
      <c r="H265" s="167">
        <f t="shared" ref="H265:H268" si="117">IFERROR((G265-E265)/E265,0)</f>
        <v>0</v>
      </c>
      <c r="I265" s="70"/>
      <c r="J265" s="167">
        <f t="shared" ref="J265:J268" si="118">IFERROR((I265-G265)/G265,0)</f>
        <v>0</v>
      </c>
      <c r="K265" s="70"/>
      <c r="L265" s="167">
        <f>IFERROR((K265-I265)/I265,0)</f>
        <v>0</v>
      </c>
      <c r="M265" s="164">
        <f>D265+E265+G265+I265+K265</f>
        <v>0</v>
      </c>
      <c r="N265" s="165">
        <f>IFERROR((K265/D265)^(1/4)-1,0)</f>
        <v>0</v>
      </c>
      <c r="P265" s="170" t="e">
        <f>'[1]Μέση ετήσια κατανάλωση'!#REF!*'[1]Ενεργοί πελάτες'!#REF!</f>
        <v>#REF!</v>
      </c>
      <c r="Q265" s="6"/>
      <c r="R265" s="138" t="e">
        <f t="shared" ref="R265:R267" si="119">P265+Q265</f>
        <v>#REF!</v>
      </c>
      <c r="S265" s="185">
        <f>IFERROR((R265-K265)/K265,0)</f>
        <v>0</v>
      </c>
      <c r="T265" s="170" t="e">
        <f>'[1]Μέση ετήσια κατανάλωση'!#REF!*'[1]Ενεργοί πελάτες'!#REF!</f>
        <v>#REF!</v>
      </c>
      <c r="U265" s="138" t="e">
        <f>'[1]Μέση ετήσια κατανάλωση'!#REF!*('[1]Ενεργοί πελάτες'!#REF!-'[1]Ενεργοί πελάτες'!#REF!)</f>
        <v>#REF!</v>
      </c>
      <c r="V265" s="138" t="e">
        <f t="shared" ref="V265:V267" si="120">T265+U265</f>
        <v>#REF!</v>
      </c>
      <c r="W265" s="6"/>
      <c r="X265" s="138" t="e">
        <f t="shared" ref="X265:X267" si="121">V265+W265</f>
        <v>#REF!</v>
      </c>
      <c r="Y265" s="167">
        <f t="shared" si="114"/>
        <v>0</v>
      </c>
      <c r="Z265" s="170" t="e">
        <f>'[1]Μέση ετήσια κατανάλωση'!#REF!*'[1]Ενεργοί πελάτες'!#REF!</f>
        <v>#REF!</v>
      </c>
      <c r="AA265" s="138" t="e">
        <f>'[1]Μέση ετήσια κατανάλωση'!#REF!*('[1]Ενεργοί πελάτες'!#REF!-'[1]Ενεργοί πελάτες'!#REF!)</f>
        <v>#REF!</v>
      </c>
      <c r="AB265" s="138" t="e">
        <f t="shared" ref="AB265:AB267" si="122">Z265+AA265</f>
        <v>#REF!</v>
      </c>
      <c r="AC265" s="6"/>
      <c r="AD265" s="138" t="e">
        <f t="shared" ref="AD265:AD267" si="123">AB265+AC265</f>
        <v>#REF!</v>
      </c>
      <c r="AE265" s="167">
        <f t="shared" ref="AE265:AE268" si="124">IFERROR((AD265-X265)/X265,0)</f>
        <v>0</v>
      </c>
      <c r="AF265" s="170" t="e">
        <f>'[1]Μέση ετήσια κατανάλωση'!#REF!*'[1]Ενεργοί πελάτες'!#REF!</f>
        <v>#REF!</v>
      </c>
      <c r="AG265" s="138" t="e">
        <f>'[1]Μέση ετήσια κατανάλωση'!#REF!*('[1]Ενεργοί πελάτες'!#REF!-'[1]Ενεργοί πελάτες'!#REF!)</f>
        <v>#REF!</v>
      </c>
      <c r="AH265" s="138" t="e">
        <f t="shared" ref="AH265:AH267" si="125">AF265+AG265</f>
        <v>#REF!</v>
      </c>
      <c r="AI265" s="6"/>
      <c r="AJ265" s="138" t="e">
        <f t="shared" ref="AJ265:AJ267" si="126">AH265+AI265</f>
        <v>#REF!</v>
      </c>
      <c r="AK265" s="167">
        <f t="shared" ref="AK265:AK268" si="127">IFERROR((AJ265-AD265)/AD265,0)</f>
        <v>0</v>
      </c>
      <c r="AL265" s="170" t="e">
        <f>'[1]Μέση ετήσια κατανάλωση'!#REF!*'[1]Ενεργοί πελάτες'!#REF!</f>
        <v>#REF!</v>
      </c>
      <c r="AM265" s="138" t="e">
        <f>'[1]Μέση ετήσια κατανάλωση'!#REF!*('[1]Ενεργοί πελάτες'!#REF!-'[1]Ενεργοί πελάτες'!#REF!)</f>
        <v>#REF!</v>
      </c>
      <c r="AN265" s="138" t="e">
        <f t="shared" ref="AN265:AN267" si="128">AL265+AM265</f>
        <v>#REF!</v>
      </c>
      <c r="AO265" s="6"/>
      <c r="AP265" s="138" t="e">
        <f t="shared" ref="AP265:AP267" si="129">AN265+AO265</f>
        <v>#REF!</v>
      </c>
      <c r="AQ265" s="167">
        <f t="shared" ref="AQ265:AQ268" si="130">IFERROR((AP265-AJ265)/AJ265,0)</f>
        <v>0</v>
      </c>
      <c r="AR265" s="164" t="e">
        <f t="shared" si="115"/>
        <v>#REF!</v>
      </c>
      <c r="AS265" s="165">
        <f t="shared" si="116"/>
        <v>0</v>
      </c>
    </row>
    <row r="266" spans="2:45" hidden="1" outlineLevel="1" x14ac:dyDescent="0.35">
      <c r="B266" s="48" t="s">
        <v>149</v>
      </c>
      <c r="C266" s="62" t="s">
        <v>147</v>
      </c>
      <c r="D266" s="81"/>
      <c r="E266" s="70"/>
      <c r="F266" s="167">
        <f t="shared" si="113"/>
        <v>0</v>
      </c>
      <c r="G266" s="70"/>
      <c r="H266" s="167">
        <f t="shared" si="117"/>
        <v>0</v>
      </c>
      <c r="I266" s="70"/>
      <c r="J266" s="167">
        <f t="shared" si="118"/>
        <v>0</v>
      </c>
      <c r="K266" s="70"/>
      <c r="L266" s="167">
        <f>IFERROR((K266-I266)/I266,0)</f>
        <v>0</v>
      </c>
      <c r="M266" s="164">
        <f>D266+E266+G266+I266+K266</f>
        <v>0</v>
      </c>
      <c r="N266" s="165">
        <f>IFERROR((K266/D266)^(1/4)-1,0)</f>
        <v>0</v>
      </c>
      <c r="P266" s="170" t="e">
        <f>'[1]Μέση ετήσια κατανάλωση'!#REF!*'[1]Ενεργοί πελάτες'!#REF!</f>
        <v>#REF!</v>
      </c>
      <c r="Q266" s="6"/>
      <c r="R266" s="138" t="e">
        <f t="shared" si="119"/>
        <v>#REF!</v>
      </c>
      <c r="S266" s="185">
        <f>IFERROR((R266-K266)/K266,0)</f>
        <v>0</v>
      </c>
      <c r="T266" s="170" t="e">
        <f>'[1]Μέση ετήσια κατανάλωση'!#REF!*'[1]Ενεργοί πελάτες'!#REF!</f>
        <v>#REF!</v>
      </c>
      <c r="U266" s="138" t="e">
        <f>'[1]Μέση ετήσια κατανάλωση'!#REF!*('[1]Ενεργοί πελάτες'!#REF!-'[1]Ενεργοί πελάτες'!#REF!)</f>
        <v>#REF!</v>
      </c>
      <c r="V266" s="138" t="e">
        <f t="shared" si="120"/>
        <v>#REF!</v>
      </c>
      <c r="W266" s="6"/>
      <c r="X266" s="138" t="e">
        <f t="shared" si="121"/>
        <v>#REF!</v>
      </c>
      <c r="Y266" s="167">
        <f t="shared" si="114"/>
        <v>0</v>
      </c>
      <c r="Z266" s="170" t="e">
        <f>'[1]Μέση ετήσια κατανάλωση'!#REF!*'[1]Ενεργοί πελάτες'!#REF!</f>
        <v>#REF!</v>
      </c>
      <c r="AA266" s="138" t="e">
        <f>'[1]Μέση ετήσια κατανάλωση'!#REF!*('[1]Ενεργοί πελάτες'!#REF!-'[1]Ενεργοί πελάτες'!#REF!)</f>
        <v>#REF!</v>
      </c>
      <c r="AB266" s="138" t="e">
        <f t="shared" si="122"/>
        <v>#REF!</v>
      </c>
      <c r="AC266" s="6"/>
      <c r="AD266" s="138" t="e">
        <f t="shared" si="123"/>
        <v>#REF!</v>
      </c>
      <c r="AE266" s="167">
        <f t="shared" si="124"/>
        <v>0</v>
      </c>
      <c r="AF266" s="170" t="e">
        <f>'[1]Μέση ετήσια κατανάλωση'!#REF!*'[1]Ενεργοί πελάτες'!#REF!</f>
        <v>#REF!</v>
      </c>
      <c r="AG266" s="138" t="e">
        <f>'[1]Μέση ετήσια κατανάλωση'!#REF!*('[1]Ενεργοί πελάτες'!#REF!-'[1]Ενεργοί πελάτες'!#REF!)</f>
        <v>#REF!</v>
      </c>
      <c r="AH266" s="138" t="e">
        <f t="shared" si="125"/>
        <v>#REF!</v>
      </c>
      <c r="AI266" s="6"/>
      <c r="AJ266" s="138" t="e">
        <f t="shared" si="126"/>
        <v>#REF!</v>
      </c>
      <c r="AK266" s="167">
        <f t="shared" si="127"/>
        <v>0</v>
      </c>
      <c r="AL266" s="170" t="e">
        <f>'[1]Μέση ετήσια κατανάλωση'!#REF!*'[1]Ενεργοί πελάτες'!#REF!</f>
        <v>#REF!</v>
      </c>
      <c r="AM266" s="138" t="e">
        <f>'[1]Μέση ετήσια κατανάλωση'!#REF!*('[1]Ενεργοί πελάτες'!#REF!-'[1]Ενεργοί πελάτες'!#REF!)</f>
        <v>#REF!</v>
      </c>
      <c r="AN266" s="138" t="e">
        <f t="shared" si="128"/>
        <v>#REF!</v>
      </c>
      <c r="AO266" s="6"/>
      <c r="AP266" s="138" t="e">
        <f t="shared" si="129"/>
        <v>#REF!</v>
      </c>
      <c r="AQ266" s="167">
        <f t="shared" si="130"/>
        <v>0</v>
      </c>
      <c r="AR266" s="164" t="e">
        <f t="shared" si="115"/>
        <v>#REF!</v>
      </c>
      <c r="AS266" s="165">
        <f t="shared" si="116"/>
        <v>0</v>
      </c>
    </row>
    <row r="267" spans="2:45" ht="15" hidden="1" customHeight="1" outlineLevel="1" x14ac:dyDescent="0.35">
      <c r="B267" s="48" t="s">
        <v>150</v>
      </c>
      <c r="C267" s="62" t="s">
        <v>147</v>
      </c>
      <c r="D267" s="81"/>
      <c r="E267" s="70"/>
      <c r="F267" s="167">
        <f t="shared" si="113"/>
        <v>0</v>
      </c>
      <c r="G267" s="70"/>
      <c r="H267" s="167">
        <f t="shared" si="117"/>
        <v>0</v>
      </c>
      <c r="I267" s="70"/>
      <c r="J267" s="167">
        <f t="shared" si="118"/>
        <v>0</v>
      </c>
      <c r="K267" s="70"/>
      <c r="L267" s="167">
        <f>IFERROR((K267-I267)/I267,0)</f>
        <v>0</v>
      </c>
      <c r="M267" s="164">
        <f>D267+E267+G267+I267+K267</f>
        <v>0</v>
      </c>
      <c r="N267" s="165">
        <f>IFERROR((K267/D267)^(1/4)-1,0)</f>
        <v>0</v>
      </c>
      <c r="P267" s="170" t="e">
        <f>'[1]Μέση ετήσια κατανάλωση'!#REF!*'[1]Ενεργοί πελάτες'!#REF!</f>
        <v>#REF!</v>
      </c>
      <c r="Q267" s="6"/>
      <c r="R267" s="143" t="e">
        <f t="shared" si="119"/>
        <v>#REF!</v>
      </c>
      <c r="S267" s="185">
        <f>IFERROR((R267-K267)/K267,0)</f>
        <v>0</v>
      </c>
      <c r="T267" s="170" t="e">
        <f>'[1]Μέση ετήσια κατανάλωση'!#REF!*'[1]Ενεργοί πελάτες'!#REF!</f>
        <v>#REF!</v>
      </c>
      <c r="U267" s="138" t="e">
        <f>'[1]Μέση ετήσια κατανάλωση'!#REF!*('[1]Ενεργοί πελάτες'!#REF!-'[1]Ενεργοί πελάτες'!#REF!)</f>
        <v>#REF!</v>
      </c>
      <c r="V267" s="138" t="e">
        <f t="shared" si="120"/>
        <v>#REF!</v>
      </c>
      <c r="W267" s="6"/>
      <c r="X267" s="138" t="e">
        <f t="shared" si="121"/>
        <v>#REF!</v>
      </c>
      <c r="Y267" s="167">
        <f t="shared" si="114"/>
        <v>0</v>
      </c>
      <c r="Z267" s="170" t="e">
        <f>'[1]Μέση ετήσια κατανάλωση'!#REF!*'[1]Ενεργοί πελάτες'!#REF!</f>
        <v>#REF!</v>
      </c>
      <c r="AA267" s="138" t="e">
        <f>'[1]Μέση ετήσια κατανάλωση'!#REF!*('[1]Ενεργοί πελάτες'!#REF!-'[1]Ενεργοί πελάτες'!#REF!)</f>
        <v>#REF!</v>
      </c>
      <c r="AB267" s="138" t="e">
        <f t="shared" si="122"/>
        <v>#REF!</v>
      </c>
      <c r="AC267" s="6"/>
      <c r="AD267" s="138" t="e">
        <f t="shared" si="123"/>
        <v>#REF!</v>
      </c>
      <c r="AE267" s="167">
        <f t="shared" si="124"/>
        <v>0</v>
      </c>
      <c r="AF267" s="170" t="e">
        <f>'[1]Μέση ετήσια κατανάλωση'!#REF!*'[1]Ενεργοί πελάτες'!#REF!</f>
        <v>#REF!</v>
      </c>
      <c r="AG267" s="138" t="e">
        <f>'[1]Μέση ετήσια κατανάλωση'!#REF!*('[1]Ενεργοί πελάτες'!#REF!-'[1]Ενεργοί πελάτες'!#REF!)</f>
        <v>#REF!</v>
      </c>
      <c r="AH267" s="138" t="e">
        <f t="shared" si="125"/>
        <v>#REF!</v>
      </c>
      <c r="AI267" s="6"/>
      <c r="AJ267" s="138" t="e">
        <f t="shared" si="126"/>
        <v>#REF!</v>
      </c>
      <c r="AK267" s="167">
        <f t="shared" si="127"/>
        <v>0</v>
      </c>
      <c r="AL267" s="170" t="e">
        <f>'[1]Μέση ετήσια κατανάλωση'!#REF!*'[1]Ενεργοί πελάτες'!#REF!</f>
        <v>#REF!</v>
      </c>
      <c r="AM267" s="138" t="e">
        <f>'[1]Μέση ετήσια κατανάλωση'!#REF!*('[1]Ενεργοί πελάτες'!#REF!-'[1]Ενεργοί πελάτες'!#REF!)</f>
        <v>#REF!</v>
      </c>
      <c r="AN267" s="138" t="e">
        <f t="shared" si="128"/>
        <v>#REF!</v>
      </c>
      <c r="AO267" s="6"/>
      <c r="AP267" s="138" t="e">
        <f t="shared" si="129"/>
        <v>#REF!</v>
      </c>
      <c r="AQ267" s="167">
        <f t="shared" si="130"/>
        <v>0</v>
      </c>
      <c r="AR267" s="164" t="e">
        <f t="shared" si="115"/>
        <v>#REF!</v>
      </c>
      <c r="AS267" s="165">
        <f t="shared" si="116"/>
        <v>0</v>
      </c>
    </row>
    <row r="268" spans="2:45" ht="15" hidden="1" customHeight="1" outlineLevel="1" x14ac:dyDescent="0.35">
      <c r="B268" s="48" t="s">
        <v>138</v>
      </c>
      <c r="C268" s="59" t="s">
        <v>147</v>
      </c>
      <c r="D268" s="186">
        <f>SUM(D264+D265+D266+D267)</f>
        <v>0</v>
      </c>
      <c r="E268" s="171">
        <f>SUM(E264+E265+E266+E267)</f>
        <v>0</v>
      </c>
      <c r="F268" s="166">
        <f>IFERROR((E268-D268)/D268,0)</f>
        <v>0</v>
      </c>
      <c r="G268" s="171">
        <f>SUM(G264+G265+G266+G267)</f>
        <v>0</v>
      </c>
      <c r="H268" s="166">
        <f t="shared" si="117"/>
        <v>0</v>
      </c>
      <c r="I268" s="171">
        <f>SUM(I264+I265+I266+I267)</f>
        <v>0</v>
      </c>
      <c r="J268" s="166">
        <f t="shared" si="118"/>
        <v>0</v>
      </c>
      <c r="K268" s="171">
        <f>SUM(K264+K265+K266+K267)</f>
        <v>0</v>
      </c>
      <c r="L268" s="166">
        <f>IFERROR((K268-I268)/I268,0)</f>
        <v>0</v>
      </c>
      <c r="M268" s="179">
        <f>SUM(M264,M265,M266,M267)</f>
        <v>0</v>
      </c>
      <c r="N268" s="165">
        <f>IFERROR((K268/D268)^(1/4)-1,0)</f>
        <v>0</v>
      </c>
      <c r="P268" s="171" t="e">
        <f>SUM(P264,P265,P266,P267)</f>
        <v>#REF!</v>
      </c>
      <c r="Q268" s="157">
        <f>SUM(Q264,Q265,Q266,Q267)</f>
        <v>0</v>
      </c>
      <c r="R268" s="157" t="e">
        <f>SUM(R264,R265,R266,R267)</f>
        <v>#REF!</v>
      </c>
      <c r="S268" s="166">
        <f>IFERROR((R268-K268)/K268,0)</f>
        <v>0</v>
      </c>
      <c r="T268" s="171" t="e">
        <f>SUM(T264,T265,T266,T267)</f>
        <v>#REF!</v>
      </c>
      <c r="U268" s="143" t="e">
        <f>SUM(U264,U265,U266,U267)</f>
        <v>#REF!</v>
      </c>
      <c r="V268" s="143" t="e">
        <f>SUM(V264,V265,V266,V267)</f>
        <v>#REF!</v>
      </c>
      <c r="W268" s="143">
        <f>SUM(W264,W265,W266,W267)</f>
        <v>0</v>
      </c>
      <c r="X268" s="143" t="e">
        <f>SUM(X264,X265,X266,X267)</f>
        <v>#REF!</v>
      </c>
      <c r="Y268" s="166">
        <f>IFERROR((X268-R268)/R268,0)</f>
        <v>0</v>
      </c>
      <c r="Z268" s="171" t="e">
        <f>SUM(Z264,Z265,Z266,Z267)</f>
        <v>#REF!</v>
      </c>
      <c r="AA268" s="143" t="e">
        <f>SUM(AA264,AA265,AA266,AA267)</f>
        <v>#REF!</v>
      </c>
      <c r="AB268" s="143" t="e">
        <f>SUM(AB264,AB265,AB266,AB267)</f>
        <v>#REF!</v>
      </c>
      <c r="AC268" s="143">
        <f>SUM(AC264,AC265,AC266,AC267)</f>
        <v>0</v>
      </c>
      <c r="AD268" s="143" t="e">
        <f>SUM(AD264,AD265,AD266,AD267)</f>
        <v>#REF!</v>
      </c>
      <c r="AE268" s="166">
        <f t="shared" si="124"/>
        <v>0</v>
      </c>
      <c r="AF268" s="171" t="e">
        <f>SUM(AF264,AF265,AF266,AF267)</f>
        <v>#REF!</v>
      </c>
      <c r="AG268" s="143" t="e">
        <f>SUM(AG264,AG265,AG266,AG267)</f>
        <v>#REF!</v>
      </c>
      <c r="AH268" s="143" t="e">
        <f>SUM(AH264,AH265,AH266,AH267)</f>
        <v>#REF!</v>
      </c>
      <c r="AI268" s="143">
        <f>SUM(AI264,AI265,AI266,AI267)</f>
        <v>0</v>
      </c>
      <c r="AJ268" s="143" t="e">
        <f>SUM(AJ264,AJ265,AJ266,AJ267)</f>
        <v>#REF!</v>
      </c>
      <c r="AK268" s="166">
        <f t="shared" si="127"/>
        <v>0</v>
      </c>
      <c r="AL268" s="171" t="e">
        <f>SUM(AL264,AL265,AL266,AL267)</f>
        <v>#REF!</v>
      </c>
      <c r="AM268" s="143" t="e">
        <f>SUM(AM264,AM265,AM266,AM267)</f>
        <v>#REF!</v>
      </c>
      <c r="AN268" s="143" t="e">
        <f>SUM(AN264,AN265,AN266,AN267)</f>
        <v>#REF!</v>
      </c>
      <c r="AO268" s="143">
        <f>SUM(AO264,AO265,AO266,AO267)</f>
        <v>0</v>
      </c>
      <c r="AP268" s="143" t="e">
        <f>SUM(AP264,AP265,AP266,AP267)</f>
        <v>#REF!</v>
      </c>
      <c r="AQ268" s="166">
        <f t="shared" si="130"/>
        <v>0</v>
      </c>
      <c r="AR268" s="179" t="e">
        <f>SUM(AR264,AR265,AR266,AR267)</f>
        <v>#REF!</v>
      </c>
      <c r="AS268" s="165">
        <f>IFERROR((AP268/R268)^(1/4)-1,0)</f>
        <v>0</v>
      </c>
    </row>
    <row r="269" spans="2:45" collapsed="1" x14ac:dyDescent="0.35"/>
    <row r="270" spans="2:45" ht="15.5" x14ac:dyDescent="0.35">
      <c r="B270" s="419" t="s">
        <v>144</v>
      </c>
      <c r="C270" s="419"/>
      <c r="D270" s="419"/>
      <c r="E270" s="419"/>
      <c r="F270" s="419"/>
      <c r="G270" s="419"/>
      <c r="H270" s="419"/>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c r="AJ270" s="419"/>
      <c r="AK270" s="419"/>
      <c r="AL270" s="419"/>
      <c r="AM270" s="419"/>
      <c r="AN270" s="419"/>
      <c r="AO270" s="419"/>
      <c r="AP270" s="419"/>
      <c r="AQ270" s="419"/>
      <c r="AR270" s="419"/>
      <c r="AS270" s="419"/>
    </row>
    <row r="271" spans="2:45" ht="5.9" customHeight="1" outlineLevel="1" x14ac:dyDescent="0.35">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K271" s="103"/>
    </row>
    <row r="272" spans="2:45" outlineLevel="1" x14ac:dyDescent="0.35">
      <c r="B272" s="462"/>
      <c r="C272" s="465" t="s">
        <v>134</v>
      </c>
      <c r="D272" s="435" t="s">
        <v>169</v>
      </c>
      <c r="E272" s="436"/>
      <c r="F272" s="436"/>
      <c r="G272" s="436"/>
      <c r="H272" s="436"/>
      <c r="I272" s="436"/>
      <c r="J272" s="436"/>
      <c r="K272" s="436"/>
      <c r="L272" s="437"/>
      <c r="M272" s="431" t="str">
        <f xml:space="preserve"> D273&amp;" - "&amp;K273</f>
        <v>2019 - 2023</v>
      </c>
      <c r="N272" s="456"/>
      <c r="P272" s="435" t="s">
        <v>170</v>
      </c>
      <c r="Q272" s="436"/>
      <c r="R272" s="436"/>
      <c r="S272" s="436"/>
      <c r="T272" s="436"/>
      <c r="U272" s="436"/>
      <c r="V272" s="436"/>
      <c r="W272" s="436"/>
      <c r="X272" s="436"/>
      <c r="Y272" s="436"/>
      <c r="Z272" s="436"/>
      <c r="AA272" s="436"/>
      <c r="AB272" s="436"/>
      <c r="AC272" s="436"/>
      <c r="AD272" s="436"/>
      <c r="AE272" s="436"/>
      <c r="AF272" s="436"/>
      <c r="AG272" s="436"/>
      <c r="AH272" s="436"/>
      <c r="AI272" s="436"/>
      <c r="AJ272" s="436"/>
      <c r="AK272" s="436"/>
      <c r="AL272" s="436"/>
      <c r="AM272" s="436"/>
      <c r="AN272" s="436"/>
      <c r="AO272" s="436"/>
      <c r="AP272" s="436"/>
      <c r="AQ272" s="436"/>
      <c r="AR272" s="436"/>
      <c r="AS272" s="437"/>
    </row>
    <row r="273" spans="2:45" outlineLevel="1" x14ac:dyDescent="0.35">
      <c r="B273" s="463"/>
      <c r="C273" s="465"/>
      <c r="D273" s="79">
        <f>$C$3-5</f>
        <v>2019</v>
      </c>
      <c r="E273" s="435">
        <f>$C$3-4</f>
        <v>2020</v>
      </c>
      <c r="F273" s="437"/>
      <c r="G273" s="435">
        <f>$C$3-3</f>
        <v>2021</v>
      </c>
      <c r="H273" s="437"/>
      <c r="I273" s="435">
        <f>$C$3-2</f>
        <v>2022</v>
      </c>
      <c r="J273" s="437"/>
      <c r="K273" s="435">
        <f>$C$3-1</f>
        <v>2023</v>
      </c>
      <c r="L273" s="437"/>
      <c r="M273" s="433"/>
      <c r="N273" s="457"/>
      <c r="P273" s="490">
        <f>$C$3</f>
        <v>2024</v>
      </c>
      <c r="Q273" s="491"/>
      <c r="R273" s="491"/>
      <c r="S273" s="485"/>
      <c r="T273" s="490">
        <f>$C$3+1</f>
        <v>2025</v>
      </c>
      <c r="U273" s="491"/>
      <c r="V273" s="491"/>
      <c r="W273" s="491"/>
      <c r="X273" s="491"/>
      <c r="Y273" s="485"/>
      <c r="Z273" s="435">
        <f>$C$3+2</f>
        <v>2026</v>
      </c>
      <c r="AA273" s="436"/>
      <c r="AB273" s="436"/>
      <c r="AC273" s="436"/>
      <c r="AD273" s="436"/>
      <c r="AE273" s="437"/>
      <c r="AF273" s="435">
        <f>$C$3+3</f>
        <v>2027</v>
      </c>
      <c r="AG273" s="436"/>
      <c r="AH273" s="436"/>
      <c r="AI273" s="436"/>
      <c r="AJ273" s="436"/>
      <c r="AK273" s="437"/>
      <c r="AL273" s="435">
        <f>$C$3+4</f>
        <v>2028</v>
      </c>
      <c r="AM273" s="436"/>
      <c r="AN273" s="436"/>
      <c r="AO273" s="436"/>
      <c r="AP273" s="436"/>
      <c r="AQ273" s="437"/>
      <c r="AR273" s="439" t="str">
        <f>P273&amp;" - "&amp;AL273</f>
        <v>2024 - 2028</v>
      </c>
      <c r="AS273" s="458"/>
    </row>
    <row r="274" spans="2:45" ht="15" customHeight="1" outlineLevel="1" x14ac:dyDescent="0.35">
      <c r="B274" s="463"/>
      <c r="C274" s="465"/>
      <c r="D274" s="492" t="s">
        <v>225</v>
      </c>
      <c r="E274" s="494" t="s">
        <v>225</v>
      </c>
      <c r="F274" s="496" t="s">
        <v>173</v>
      </c>
      <c r="G274" s="494" t="s">
        <v>225</v>
      </c>
      <c r="H274" s="496" t="s">
        <v>173</v>
      </c>
      <c r="I274" s="494" t="s">
        <v>225</v>
      </c>
      <c r="J274" s="470" t="s">
        <v>173</v>
      </c>
      <c r="K274" s="494" t="s">
        <v>225</v>
      </c>
      <c r="L274" s="470" t="s">
        <v>173</v>
      </c>
      <c r="M274" s="494" t="s">
        <v>164</v>
      </c>
      <c r="N274" s="498" t="s">
        <v>174</v>
      </c>
      <c r="P274" s="494" t="str">
        <f>"Διανεμόμενες ποσότητες σε πελάτες που συνδέθηκαν το "&amp;P273</f>
        <v>Διανεμόμενες ποσότητες σε πελάτες που συνδέθηκαν το 2024</v>
      </c>
      <c r="Q274" s="484" t="s">
        <v>226</v>
      </c>
      <c r="R274" s="484" t="s">
        <v>227</v>
      </c>
      <c r="S274" s="500" t="s">
        <v>173</v>
      </c>
      <c r="T274" s="490" t="s">
        <v>228</v>
      </c>
      <c r="U274" s="491"/>
      <c r="V274" s="491"/>
      <c r="W274" s="484" t="s">
        <v>226</v>
      </c>
      <c r="X274" s="484" t="s">
        <v>227</v>
      </c>
      <c r="Y274" s="485" t="s">
        <v>173</v>
      </c>
      <c r="Z274" s="490" t="s">
        <v>228</v>
      </c>
      <c r="AA274" s="491"/>
      <c r="AB274" s="491"/>
      <c r="AC274" s="484" t="s">
        <v>226</v>
      </c>
      <c r="AD274" s="484" t="s">
        <v>227</v>
      </c>
      <c r="AE274" s="485" t="s">
        <v>173</v>
      </c>
      <c r="AF274" s="490" t="s">
        <v>228</v>
      </c>
      <c r="AG274" s="491"/>
      <c r="AH274" s="491"/>
      <c r="AI274" s="484" t="s">
        <v>226</v>
      </c>
      <c r="AJ274" s="484" t="s">
        <v>227</v>
      </c>
      <c r="AK274" s="485" t="s">
        <v>173</v>
      </c>
      <c r="AL274" s="490" t="s">
        <v>228</v>
      </c>
      <c r="AM274" s="491"/>
      <c r="AN274" s="491"/>
      <c r="AO274" s="484" t="s">
        <v>226</v>
      </c>
      <c r="AP274" s="484" t="s">
        <v>227</v>
      </c>
      <c r="AQ274" s="485" t="s">
        <v>173</v>
      </c>
      <c r="AR274" s="486" t="s">
        <v>164</v>
      </c>
      <c r="AS274" s="488" t="s">
        <v>174</v>
      </c>
    </row>
    <row r="275" spans="2:45" ht="58" outlineLevel="1" x14ac:dyDescent="0.35">
      <c r="B275" s="464"/>
      <c r="C275" s="465"/>
      <c r="D275" s="493"/>
      <c r="E275" s="495"/>
      <c r="F275" s="497"/>
      <c r="G275" s="495"/>
      <c r="H275" s="497"/>
      <c r="I275" s="495"/>
      <c r="J275" s="455"/>
      <c r="K275" s="495"/>
      <c r="L275" s="455"/>
      <c r="M275" s="495"/>
      <c r="N275" s="499"/>
      <c r="P275" s="495"/>
      <c r="Q275" s="484"/>
      <c r="R275" s="484"/>
      <c r="S275" s="500"/>
      <c r="T275" s="122" t="str">
        <f>"Διανεμόμενες ποσότητες σε πελάτες που συνδέθηκαν το "&amp;T273</f>
        <v>Διανεμόμενες ποσότητες σε πελάτες που συνδέθηκαν το 2025</v>
      </c>
      <c r="U275" s="105" t="str">
        <f>"Διανεμόμενες ποσότητες σε πελάτες που συνδέθηκαν το "&amp;P273</f>
        <v>Διανεμόμενες ποσότητες σε πελάτες που συνδέθηκαν το 2024</v>
      </c>
      <c r="V275" s="57" t="s">
        <v>229</v>
      </c>
      <c r="W275" s="484"/>
      <c r="X275" s="484"/>
      <c r="Y275" s="485"/>
      <c r="Z275" s="122" t="str">
        <f>"Διανεμόμενες ποσότητες σε πελάτες που συνδέθηκαν το "&amp;Z273</f>
        <v>Διανεμόμενες ποσότητες σε πελάτες που συνδέθηκαν το 2026</v>
      </c>
      <c r="AA275" s="105" t="str">
        <f>"Διανεμόμενες ποσότητες σε πελάτες που συνδέθηκαν το "&amp;$P$12&amp;" - "&amp;T273</f>
        <v>Διανεμόμενες ποσότητες σε πελάτες που συνδέθηκαν το 2024 - 2025</v>
      </c>
      <c r="AB275" s="57" t="s">
        <v>229</v>
      </c>
      <c r="AC275" s="484"/>
      <c r="AD275" s="484"/>
      <c r="AE275" s="485"/>
      <c r="AF275" s="122" t="str">
        <f>"Διανεμόμενες ποσότητες σε πελάτες που συνδέθηκαν το "&amp;AF273</f>
        <v>Διανεμόμενες ποσότητες σε πελάτες που συνδέθηκαν το 2027</v>
      </c>
      <c r="AG275" s="105" t="str">
        <f>"Διανεμόμενες ποσότητες σε πελάτες που συνδέθηκαν το "&amp;$P$12&amp;" - "&amp;Z273</f>
        <v>Διανεμόμενες ποσότητες σε πελάτες που συνδέθηκαν το 2024 - 2026</v>
      </c>
      <c r="AH275" s="57" t="s">
        <v>229</v>
      </c>
      <c r="AI275" s="484"/>
      <c r="AJ275" s="484"/>
      <c r="AK275" s="485"/>
      <c r="AL275" s="122" t="str">
        <f>"Διανεμόμενες ποσότητες σε πελάτες που συνδέθηκαν το "&amp;AL273</f>
        <v>Διανεμόμενες ποσότητες σε πελάτες που συνδέθηκαν το 2028</v>
      </c>
      <c r="AM275" s="105" t="str">
        <f>"Διανεμόμενες ποσότητες σε πελάτες που συνδέθηκαν το "&amp;$P$12&amp;" - "&amp;AF273</f>
        <v>Διανεμόμενες ποσότητες σε πελάτες που συνδέθηκαν το 2024 - 2027</v>
      </c>
      <c r="AN275" s="57" t="s">
        <v>229</v>
      </c>
      <c r="AO275" s="484"/>
      <c r="AP275" s="484"/>
      <c r="AQ275" s="485"/>
      <c r="AR275" s="487"/>
      <c r="AS275" s="489"/>
    </row>
    <row r="276" spans="2:45" outlineLevel="1" x14ac:dyDescent="0.35">
      <c r="B276" s="48" t="s">
        <v>74</v>
      </c>
      <c r="C276" s="62" t="s">
        <v>147</v>
      </c>
      <c r="D276" s="70">
        <v>0</v>
      </c>
      <c r="E276" s="70">
        <v>2539.4005424209799</v>
      </c>
      <c r="F276" s="167">
        <f t="shared" ref="F276:F329" si="131">IFERROR((E276-D276)/D276,0)</f>
        <v>0</v>
      </c>
      <c r="G276" s="70">
        <v>2763.6219686685399</v>
      </c>
      <c r="H276" s="167">
        <f>IFERROR((G276-E276)/E276,0)</f>
        <v>8.8296990766881828E-2</v>
      </c>
      <c r="I276" s="70">
        <v>2537.9</v>
      </c>
      <c r="J276" s="167">
        <f>IFERROR((I276-G276)/G276,0)</f>
        <v>-8.1676137774114005E-2</v>
      </c>
      <c r="K276" s="70">
        <v>2212.9</v>
      </c>
      <c r="L276" s="167">
        <f>IFERROR((K276-I276)/I276,0)</f>
        <v>-0.12805863115173963</v>
      </c>
      <c r="M276" s="164">
        <f>D276+E276+G276+I276+K276</f>
        <v>10053.82251108952</v>
      </c>
      <c r="N276" s="165">
        <f t="shared" ref="N276:N330" si="132">IFERROR((K276/D276)^(1/4)-1,0)</f>
        <v>0</v>
      </c>
      <c r="P276" s="6"/>
      <c r="Q276" s="6">
        <v>2183.77</v>
      </c>
      <c r="R276" s="138">
        <f>P276+Q276</f>
        <v>2183.77</v>
      </c>
      <c r="S276" s="185">
        <f t="shared" ref="S276:S330" si="133">IFERROR((R276-K276)/K276,0)</f>
        <v>-1.3163721813005607E-2</v>
      </c>
      <c r="T276" s="6"/>
      <c r="U276" s="6"/>
      <c r="V276" s="138">
        <f>T276+U276</f>
        <v>0</v>
      </c>
      <c r="W276" s="6">
        <v>2183.77</v>
      </c>
      <c r="X276" s="138">
        <f>V276+W276</f>
        <v>2183.77</v>
      </c>
      <c r="Y276" s="167">
        <f t="shared" ref="Y276:Y329" si="134">IFERROR((X276-R276)/R276,0)</f>
        <v>0</v>
      </c>
      <c r="Z276" s="70"/>
      <c r="AA276" s="6"/>
      <c r="AB276" s="138">
        <f>Z276+AA276</f>
        <v>0</v>
      </c>
      <c r="AC276" s="6">
        <v>2183.77</v>
      </c>
      <c r="AD276" s="138">
        <f>AB276+AC276</f>
        <v>2183.77</v>
      </c>
      <c r="AE276" s="167">
        <f>IFERROR((AD276-X276)/X276,0)</f>
        <v>0</v>
      </c>
      <c r="AF276" s="307"/>
      <c r="AG276" s="4"/>
      <c r="AH276" s="138">
        <f>AF276+AG276</f>
        <v>0</v>
      </c>
      <c r="AI276" s="6">
        <v>2183.77</v>
      </c>
      <c r="AJ276" s="138">
        <f>AH276+AI276</f>
        <v>2183.77</v>
      </c>
      <c r="AK276" s="167">
        <f>IFERROR((AJ276-AD276)/AD276,0)</f>
        <v>0</v>
      </c>
      <c r="AL276" s="6"/>
      <c r="AM276" s="6"/>
      <c r="AN276" s="138">
        <f>AL276+AM276</f>
        <v>0</v>
      </c>
      <c r="AO276" s="6">
        <v>2183.77</v>
      </c>
      <c r="AP276" s="138">
        <f>AN276+AO276</f>
        <v>2183.77</v>
      </c>
      <c r="AQ276" s="167">
        <f>IFERROR((AP276-AJ276)/AJ276,0)</f>
        <v>0</v>
      </c>
      <c r="AR276" s="164">
        <f t="shared" ref="AR276:AR329" si="135">R276+X276+AD276+AJ276+AP276</f>
        <v>10918.85</v>
      </c>
      <c r="AS276" s="165">
        <f t="shared" ref="AS276:AS329" si="136">IFERROR((AP276/R276)^(1/4)-1,0)</f>
        <v>0</v>
      </c>
    </row>
    <row r="277" spans="2:45" outlineLevel="1" x14ac:dyDescent="0.35">
      <c r="B277" s="294" t="s">
        <v>75</v>
      </c>
      <c r="C277" s="62" t="s">
        <v>147</v>
      </c>
      <c r="D277" s="70">
        <v>0</v>
      </c>
      <c r="E277" s="70">
        <v>0</v>
      </c>
      <c r="F277" s="167">
        <f t="shared" si="131"/>
        <v>0</v>
      </c>
      <c r="G277" s="70">
        <v>0</v>
      </c>
      <c r="H277" s="167">
        <f t="shared" ref="H277:H330" si="137">IFERROR((G277-E277)/E277,0)</f>
        <v>0</v>
      </c>
      <c r="I277" s="70"/>
      <c r="J277" s="167">
        <f t="shared" ref="J277:J330" si="138">IFERROR((I277-G277)/G277,0)</f>
        <v>0</v>
      </c>
      <c r="K277" s="70"/>
      <c r="L277" s="167">
        <f t="shared" ref="L277:L329" si="139">IFERROR((K277-I277)/I277,0)</f>
        <v>0</v>
      </c>
      <c r="M277" s="164">
        <f t="shared" ref="M277:M329" si="140">D277+E277+G277+I277+K277</f>
        <v>0</v>
      </c>
      <c r="N277" s="165">
        <f t="shared" si="132"/>
        <v>0</v>
      </c>
      <c r="P277" s="6"/>
      <c r="Q277" s="6"/>
      <c r="R277" s="138">
        <f t="shared" ref="R277:R329" si="141">P277+Q277</f>
        <v>0</v>
      </c>
      <c r="S277" s="185">
        <f t="shared" si="133"/>
        <v>0</v>
      </c>
      <c r="T277" s="6"/>
      <c r="U277" s="6"/>
      <c r="V277" s="138">
        <f t="shared" ref="V277:V329" si="142">T277+U277</f>
        <v>0</v>
      </c>
      <c r="W277" s="6"/>
      <c r="X277" s="138">
        <f t="shared" ref="X277:X329" si="143">V277+W277</f>
        <v>0</v>
      </c>
      <c r="Y277" s="167">
        <f t="shared" si="134"/>
        <v>0</v>
      </c>
      <c r="Z277" s="70"/>
      <c r="AA277" s="6"/>
      <c r="AB277" s="138">
        <f t="shared" ref="AB277:AB329" si="144">Z277+AA277</f>
        <v>0</v>
      </c>
      <c r="AC277" s="6"/>
      <c r="AD277" s="138">
        <f t="shared" ref="AD277:AD329" si="145">AB277+AC277</f>
        <v>0</v>
      </c>
      <c r="AE277" s="167">
        <f t="shared" ref="AE277:AE330" si="146">IFERROR((AD277-X277)/X277,0)</f>
        <v>0</v>
      </c>
      <c r="AF277" s="307"/>
      <c r="AG277" s="4"/>
      <c r="AH277" s="138">
        <f t="shared" ref="AH277:AH329" si="147">AF277+AG277</f>
        <v>0</v>
      </c>
      <c r="AI277" s="6"/>
      <c r="AJ277" s="138">
        <f t="shared" ref="AJ277:AJ329" si="148">AH277+AI277</f>
        <v>0</v>
      </c>
      <c r="AK277" s="167">
        <f t="shared" ref="AK277:AK330" si="149">IFERROR((AJ277-AD277)/AD277,0)</f>
        <v>0</v>
      </c>
      <c r="AL277" s="6"/>
      <c r="AM277" s="6"/>
      <c r="AN277" s="138">
        <f t="shared" ref="AN277:AN329" si="150">AL277+AM277</f>
        <v>0</v>
      </c>
      <c r="AO277" s="6"/>
      <c r="AP277" s="138">
        <f t="shared" ref="AP277:AP329" si="151">AN277+AO277</f>
        <v>0</v>
      </c>
      <c r="AQ277" s="167">
        <f t="shared" ref="AQ277:AQ330" si="152">IFERROR((AP277-AJ277)/AJ277,0)</f>
        <v>0</v>
      </c>
      <c r="AR277" s="164">
        <f t="shared" si="135"/>
        <v>0</v>
      </c>
      <c r="AS277" s="165">
        <f t="shared" si="136"/>
        <v>0</v>
      </c>
    </row>
    <row r="278" spans="2:45" outlineLevel="1" x14ac:dyDescent="0.35">
      <c r="B278" s="294" t="s">
        <v>76</v>
      </c>
      <c r="C278" s="62" t="s">
        <v>147</v>
      </c>
      <c r="D278" s="70">
        <v>0</v>
      </c>
      <c r="E278" s="70">
        <v>0</v>
      </c>
      <c r="F278" s="167">
        <f t="shared" si="131"/>
        <v>0</v>
      </c>
      <c r="G278" s="70">
        <v>0</v>
      </c>
      <c r="H278" s="167">
        <f t="shared" si="137"/>
        <v>0</v>
      </c>
      <c r="I278" s="70"/>
      <c r="J278" s="167">
        <f t="shared" si="138"/>
        <v>0</v>
      </c>
      <c r="K278" s="70"/>
      <c r="L278" s="167">
        <f t="shared" si="139"/>
        <v>0</v>
      </c>
      <c r="M278" s="164">
        <f t="shared" si="140"/>
        <v>0</v>
      </c>
      <c r="N278" s="165">
        <f t="shared" si="132"/>
        <v>0</v>
      </c>
      <c r="P278" s="6"/>
      <c r="Q278" s="6"/>
      <c r="R278" s="138">
        <f t="shared" si="141"/>
        <v>0</v>
      </c>
      <c r="S278" s="185">
        <f t="shared" si="133"/>
        <v>0</v>
      </c>
      <c r="T278" s="6"/>
      <c r="U278" s="6"/>
      <c r="V278" s="138">
        <f t="shared" si="142"/>
        <v>0</v>
      </c>
      <c r="W278" s="6"/>
      <c r="X278" s="138">
        <f t="shared" si="143"/>
        <v>0</v>
      </c>
      <c r="Y278" s="167">
        <f t="shared" si="134"/>
        <v>0</v>
      </c>
      <c r="Z278" s="70"/>
      <c r="AA278" s="6"/>
      <c r="AB278" s="138">
        <f t="shared" si="144"/>
        <v>0</v>
      </c>
      <c r="AC278" s="6"/>
      <c r="AD278" s="138">
        <f t="shared" si="145"/>
        <v>0</v>
      </c>
      <c r="AE278" s="167">
        <f t="shared" si="146"/>
        <v>0</v>
      </c>
      <c r="AF278" s="307"/>
      <c r="AG278" s="4"/>
      <c r="AH278" s="138">
        <f t="shared" si="147"/>
        <v>0</v>
      </c>
      <c r="AI278" s="6"/>
      <c r="AJ278" s="138">
        <f t="shared" si="148"/>
        <v>0</v>
      </c>
      <c r="AK278" s="167">
        <f t="shared" si="149"/>
        <v>0</v>
      </c>
      <c r="AL278" s="6"/>
      <c r="AM278" s="6"/>
      <c r="AN278" s="138">
        <f t="shared" si="150"/>
        <v>0</v>
      </c>
      <c r="AO278" s="6"/>
      <c r="AP278" s="138">
        <f t="shared" si="151"/>
        <v>0</v>
      </c>
      <c r="AQ278" s="167">
        <f t="shared" si="152"/>
        <v>0</v>
      </c>
      <c r="AR278" s="164">
        <f t="shared" si="135"/>
        <v>0</v>
      </c>
      <c r="AS278" s="165">
        <f t="shared" si="136"/>
        <v>0</v>
      </c>
    </row>
    <row r="279" spans="2:45" outlineLevel="1" x14ac:dyDescent="0.35">
      <c r="B279" s="294" t="s">
        <v>77</v>
      </c>
      <c r="C279" s="62" t="s">
        <v>147</v>
      </c>
      <c r="D279" s="70">
        <v>0</v>
      </c>
      <c r="E279" s="70">
        <v>0</v>
      </c>
      <c r="F279" s="167">
        <f t="shared" si="131"/>
        <v>0</v>
      </c>
      <c r="G279" s="70">
        <v>0</v>
      </c>
      <c r="H279" s="167">
        <f t="shared" si="137"/>
        <v>0</v>
      </c>
      <c r="I279" s="70"/>
      <c r="J279" s="167">
        <f t="shared" si="138"/>
        <v>0</v>
      </c>
      <c r="K279" s="70"/>
      <c r="L279" s="167">
        <f t="shared" si="139"/>
        <v>0</v>
      </c>
      <c r="M279" s="164">
        <f t="shared" si="140"/>
        <v>0</v>
      </c>
      <c r="N279" s="165">
        <f t="shared" si="132"/>
        <v>0</v>
      </c>
      <c r="P279" s="6"/>
      <c r="Q279" s="6"/>
      <c r="R279" s="138">
        <f t="shared" si="141"/>
        <v>0</v>
      </c>
      <c r="S279" s="185">
        <f t="shared" si="133"/>
        <v>0</v>
      </c>
      <c r="T279" s="6"/>
      <c r="U279" s="6"/>
      <c r="V279" s="138">
        <f t="shared" si="142"/>
        <v>0</v>
      </c>
      <c r="W279" s="6"/>
      <c r="X279" s="138">
        <f t="shared" si="143"/>
        <v>0</v>
      </c>
      <c r="Y279" s="167">
        <f t="shared" si="134"/>
        <v>0</v>
      </c>
      <c r="Z279" s="70"/>
      <c r="AA279" s="6"/>
      <c r="AB279" s="138">
        <f t="shared" si="144"/>
        <v>0</v>
      </c>
      <c r="AC279" s="6"/>
      <c r="AD279" s="138">
        <f t="shared" si="145"/>
        <v>0</v>
      </c>
      <c r="AE279" s="167">
        <f t="shared" si="146"/>
        <v>0</v>
      </c>
      <c r="AF279" s="307"/>
      <c r="AG279" s="4"/>
      <c r="AH279" s="138">
        <f t="shared" si="147"/>
        <v>0</v>
      </c>
      <c r="AI279" s="6"/>
      <c r="AJ279" s="138">
        <f t="shared" si="148"/>
        <v>0</v>
      </c>
      <c r="AK279" s="167">
        <f t="shared" si="149"/>
        <v>0</v>
      </c>
      <c r="AL279" s="6"/>
      <c r="AM279" s="6"/>
      <c r="AN279" s="138">
        <f t="shared" si="150"/>
        <v>0</v>
      </c>
      <c r="AO279" s="6"/>
      <c r="AP279" s="138">
        <f t="shared" si="151"/>
        <v>0</v>
      </c>
      <c r="AQ279" s="167">
        <f t="shared" si="152"/>
        <v>0</v>
      </c>
      <c r="AR279" s="164">
        <f t="shared" si="135"/>
        <v>0</v>
      </c>
      <c r="AS279" s="165">
        <f t="shared" si="136"/>
        <v>0</v>
      </c>
    </row>
    <row r="280" spans="2:45" outlineLevel="1" x14ac:dyDescent="0.35">
      <c r="B280" s="294" t="s">
        <v>78</v>
      </c>
      <c r="C280" s="62" t="s">
        <v>147</v>
      </c>
      <c r="D280" s="70">
        <v>18803.947978881857</v>
      </c>
      <c r="E280" s="70">
        <v>18882.968330869699</v>
      </c>
      <c r="F280" s="167">
        <f t="shared" si="131"/>
        <v>4.2023277280168391E-3</v>
      </c>
      <c r="G280" s="70">
        <v>19442.724923551101</v>
      </c>
      <c r="H280" s="167">
        <f t="shared" si="137"/>
        <v>2.9643464039830935E-2</v>
      </c>
      <c r="I280" s="70">
        <v>18779.599999999999</v>
      </c>
      <c r="J280" s="167">
        <f t="shared" si="138"/>
        <v>-3.4106583627475727E-2</v>
      </c>
      <c r="K280" s="70">
        <v>18951</v>
      </c>
      <c r="L280" s="167">
        <f t="shared" si="139"/>
        <v>9.1269249611281109E-3</v>
      </c>
      <c r="M280" s="164">
        <f t="shared" si="140"/>
        <v>94860.241233302659</v>
      </c>
      <c r="N280" s="165">
        <f t="shared" si="132"/>
        <v>1.9493610182863552E-3</v>
      </c>
      <c r="P280" s="6"/>
      <c r="Q280" s="6">
        <v>18694.18</v>
      </c>
      <c r="R280" s="138">
        <f t="shared" si="141"/>
        <v>18694.18</v>
      </c>
      <c r="S280" s="185">
        <f t="shared" si="133"/>
        <v>-1.3551791462191954E-2</v>
      </c>
      <c r="T280" s="6"/>
      <c r="U280" s="6"/>
      <c r="V280" s="138">
        <f t="shared" si="142"/>
        <v>0</v>
      </c>
      <c r="W280" s="6">
        <v>18694.18</v>
      </c>
      <c r="X280" s="138">
        <f t="shared" si="143"/>
        <v>18694.18</v>
      </c>
      <c r="Y280" s="167">
        <f t="shared" si="134"/>
        <v>0</v>
      </c>
      <c r="Z280" s="70"/>
      <c r="AA280" s="6"/>
      <c r="AB280" s="138">
        <f t="shared" si="144"/>
        <v>0</v>
      </c>
      <c r="AC280" s="6">
        <v>18694.18</v>
      </c>
      <c r="AD280" s="138">
        <f t="shared" si="145"/>
        <v>18694.18</v>
      </c>
      <c r="AE280" s="167">
        <f t="shared" si="146"/>
        <v>0</v>
      </c>
      <c r="AF280" s="307"/>
      <c r="AG280" s="4"/>
      <c r="AH280" s="138">
        <f t="shared" si="147"/>
        <v>0</v>
      </c>
      <c r="AI280" s="6">
        <v>18694.18</v>
      </c>
      <c r="AJ280" s="138">
        <f t="shared" si="148"/>
        <v>18694.18</v>
      </c>
      <c r="AK280" s="167">
        <f t="shared" si="149"/>
        <v>0</v>
      </c>
      <c r="AL280" s="6"/>
      <c r="AM280" s="6"/>
      <c r="AN280" s="138">
        <f t="shared" si="150"/>
        <v>0</v>
      </c>
      <c r="AO280" s="6">
        <v>18694.18</v>
      </c>
      <c r="AP280" s="138">
        <f t="shared" si="151"/>
        <v>18694.18</v>
      </c>
      <c r="AQ280" s="167">
        <f t="shared" si="152"/>
        <v>0</v>
      </c>
      <c r="AR280" s="164">
        <f t="shared" si="135"/>
        <v>93470.9</v>
      </c>
      <c r="AS280" s="165">
        <f t="shared" si="136"/>
        <v>0</v>
      </c>
    </row>
    <row r="281" spans="2:45" outlineLevel="1" x14ac:dyDescent="0.35">
      <c r="B281" s="294" t="s">
        <v>79</v>
      </c>
      <c r="C281" s="62" t="s">
        <v>147</v>
      </c>
      <c r="D281" s="70">
        <v>177375.08093395506</v>
      </c>
      <c r="E281" s="70">
        <v>177305.07500869801</v>
      </c>
      <c r="F281" s="167">
        <f t="shared" si="131"/>
        <v>-3.9467734074278681E-4</v>
      </c>
      <c r="G281" s="70">
        <v>178115.33105979199</v>
      </c>
      <c r="H281" s="167">
        <f t="shared" si="137"/>
        <v>4.5698412809347484E-3</v>
      </c>
      <c r="I281" s="70">
        <v>183960.2</v>
      </c>
      <c r="J281" s="167">
        <f t="shared" si="138"/>
        <v>3.2815080574091292E-2</v>
      </c>
      <c r="K281" s="70">
        <v>178408.2</v>
      </c>
      <c r="L281" s="167">
        <f t="shared" si="139"/>
        <v>-3.0180441204130021E-2</v>
      </c>
      <c r="M281" s="164">
        <f t="shared" si="140"/>
        <v>895163.88700244506</v>
      </c>
      <c r="N281" s="165">
        <f t="shared" si="132"/>
        <v>1.4529523759319041E-3</v>
      </c>
      <c r="P281" s="6"/>
      <c r="Q281" s="6">
        <v>175942.5</v>
      </c>
      <c r="R281" s="138">
        <f t="shared" si="141"/>
        <v>175942.5</v>
      </c>
      <c r="S281" s="185">
        <f t="shared" si="133"/>
        <v>-1.3820553091169641E-2</v>
      </c>
      <c r="T281" s="6"/>
      <c r="U281" s="6"/>
      <c r="V281" s="138">
        <f t="shared" si="142"/>
        <v>0</v>
      </c>
      <c r="W281" s="6">
        <v>175942.5</v>
      </c>
      <c r="X281" s="138">
        <f t="shared" si="143"/>
        <v>175942.5</v>
      </c>
      <c r="Y281" s="167">
        <f t="shared" si="134"/>
        <v>0</v>
      </c>
      <c r="Z281" s="70"/>
      <c r="AA281" s="6"/>
      <c r="AB281" s="138">
        <f t="shared" si="144"/>
        <v>0</v>
      </c>
      <c r="AC281" s="6">
        <v>175942.5</v>
      </c>
      <c r="AD281" s="138">
        <f t="shared" si="145"/>
        <v>175942.5</v>
      </c>
      <c r="AE281" s="167">
        <f t="shared" si="146"/>
        <v>0</v>
      </c>
      <c r="AF281" s="307"/>
      <c r="AG281" s="4"/>
      <c r="AH281" s="138">
        <f t="shared" si="147"/>
        <v>0</v>
      </c>
      <c r="AI281" s="6">
        <v>175942.5</v>
      </c>
      <c r="AJ281" s="138">
        <f t="shared" si="148"/>
        <v>175942.5</v>
      </c>
      <c r="AK281" s="167">
        <f t="shared" si="149"/>
        <v>0</v>
      </c>
      <c r="AL281" s="6"/>
      <c r="AM281" s="6"/>
      <c r="AN281" s="138">
        <f t="shared" si="150"/>
        <v>0</v>
      </c>
      <c r="AO281" s="6">
        <v>175942.5</v>
      </c>
      <c r="AP281" s="138">
        <f t="shared" si="151"/>
        <v>175942.5</v>
      </c>
      <c r="AQ281" s="167">
        <f t="shared" si="152"/>
        <v>0</v>
      </c>
      <c r="AR281" s="164">
        <f t="shared" si="135"/>
        <v>879712.5</v>
      </c>
      <c r="AS281" s="165">
        <f t="shared" si="136"/>
        <v>0</v>
      </c>
    </row>
    <row r="282" spans="2:45" outlineLevel="1" x14ac:dyDescent="0.35">
      <c r="B282" s="294" t="s">
        <v>80</v>
      </c>
      <c r="C282" s="62" t="s">
        <v>147</v>
      </c>
      <c r="D282" s="70">
        <v>6762.9024757403904</v>
      </c>
      <c r="E282" s="70">
        <v>6844.5565628907498</v>
      </c>
      <c r="F282" s="167">
        <f t="shared" si="131"/>
        <v>1.2073822954458623E-2</v>
      </c>
      <c r="G282" s="70">
        <v>5465.3555829140796</v>
      </c>
      <c r="H282" s="167">
        <f t="shared" si="137"/>
        <v>-0.20150333587047961</v>
      </c>
      <c r="I282" s="70">
        <v>4925.6000000000004</v>
      </c>
      <c r="J282" s="167">
        <f t="shared" si="138"/>
        <v>-9.8759463080769272E-2</v>
      </c>
      <c r="K282" s="70">
        <v>4985.6000000000004</v>
      </c>
      <c r="L282" s="167">
        <f t="shared" si="139"/>
        <v>1.218125710573331E-2</v>
      </c>
      <c r="M282" s="164">
        <f t="shared" si="140"/>
        <v>28984.014621545219</v>
      </c>
      <c r="N282" s="165">
        <f t="shared" si="132"/>
        <v>-7.3391933210019245E-2</v>
      </c>
      <c r="P282" s="6"/>
      <c r="Q282" s="6">
        <v>4918.07</v>
      </c>
      <c r="R282" s="138">
        <f t="shared" si="141"/>
        <v>4918.07</v>
      </c>
      <c r="S282" s="185">
        <f t="shared" si="133"/>
        <v>-1.3545009627727986E-2</v>
      </c>
      <c r="T282" s="6"/>
      <c r="U282" s="6"/>
      <c r="V282" s="138">
        <f t="shared" si="142"/>
        <v>0</v>
      </c>
      <c r="W282" s="6">
        <v>4918.07</v>
      </c>
      <c r="X282" s="138">
        <f t="shared" si="143"/>
        <v>4918.07</v>
      </c>
      <c r="Y282" s="167">
        <f t="shared" si="134"/>
        <v>0</v>
      </c>
      <c r="Z282" s="70"/>
      <c r="AA282" s="6"/>
      <c r="AB282" s="138">
        <f t="shared" si="144"/>
        <v>0</v>
      </c>
      <c r="AC282" s="6">
        <v>4918.07</v>
      </c>
      <c r="AD282" s="138">
        <f t="shared" si="145"/>
        <v>4918.07</v>
      </c>
      <c r="AE282" s="167">
        <f t="shared" si="146"/>
        <v>0</v>
      </c>
      <c r="AF282" s="307"/>
      <c r="AG282" s="4"/>
      <c r="AH282" s="138">
        <f t="shared" si="147"/>
        <v>0</v>
      </c>
      <c r="AI282" s="6">
        <v>4918.07</v>
      </c>
      <c r="AJ282" s="138">
        <f t="shared" si="148"/>
        <v>4918.07</v>
      </c>
      <c r="AK282" s="167">
        <f t="shared" si="149"/>
        <v>0</v>
      </c>
      <c r="AL282" s="6"/>
      <c r="AM282" s="6"/>
      <c r="AN282" s="138">
        <f t="shared" si="150"/>
        <v>0</v>
      </c>
      <c r="AO282" s="6">
        <v>4918.07</v>
      </c>
      <c r="AP282" s="138">
        <f t="shared" si="151"/>
        <v>4918.07</v>
      </c>
      <c r="AQ282" s="167">
        <f t="shared" si="152"/>
        <v>0</v>
      </c>
      <c r="AR282" s="164">
        <f t="shared" si="135"/>
        <v>24590.35</v>
      </c>
      <c r="AS282" s="165">
        <f t="shared" si="136"/>
        <v>0</v>
      </c>
    </row>
    <row r="283" spans="2:45" outlineLevel="1" x14ac:dyDescent="0.35">
      <c r="B283" s="294" t="s">
        <v>81</v>
      </c>
      <c r="C283" s="62" t="s">
        <v>147</v>
      </c>
      <c r="D283" s="70">
        <v>0</v>
      </c>
      <c r="E283" s="70">
        <v>0</v>
      </c>
      <c r="F283" s="167">
        <f t="shared" si="131"/>
        <v>0</v>
      </c>
      <c r="G283" s="70">
        <v>0</v>
      </c>
      <c r="H283" s="167">
        <f t="shared" si="137"/>
        <v>0</v>
      </c>
      <c r="I283" s="70"/>
      <c r="J283" s="167">
        <f t="shared" si="138"/>
        <v>0</v>
      </c>
      <c r="K283" s="70"/>
      <c r="L283" s="167">
        <f t="shared" si="139"/>
        <v>0</v>
      </c>
      <c r="M283" s="164">
        <f t="shared" si="140"/>
        <v>0</v>
      </c>
      <c r="N283" s="165">
        <f t="shared" si="132"/>
        <v>0</v>
      </c>
      <c r="P283" s="6"/>
      <c r="Q283" s="6"/>
      <c r="R283" s="138">
        <f t="shared" si="141"/>
        <v>0</v>
      </c>
      <c r="S283" s="185">
        <f t="shared" si="133"/>
        <v>0</v>
      </c>
      <c r="T283" s="6"/>
      <c r="U283" s="6"/>
      <c r="V283" s="138">
        <f t="shared" si="142"/>
        <v>0</v>
      </c>
      <c r="W283" s="6"/>
      <c r="X283" s="138">
        <f t="shared" si="143"/>
        <v>0</v>
      </c>
      <c r="Y283" s="167">
        <f t="shared" si="134"/>
        <v>0</v>
      </c>
      <c r="Z283" s="70"/>
      <c r="AA283" s="6"/>
      <c r="AB283" s="138">
        <f t="shared" si="144"/>
        <v>0</v>
      </c>
      <c r="AC283" s="6"/>
      <c r="AD283" s="138">
        <f t="shared" si="145"/>
        <v>0</v>
      </c>
      <c r="AE283" s="167">
        <f t="shared" si="146"/>
        <v>0</v>
      </c>
      <c r="AF283" s="307"/>
      <c r="AG283" s="4"/>
      <c r="AH283" s="138">
        <f t="shared" si="147"/>
        <v>0</v>
      </c>
      <c r="AI283" s="6"/>
      <c r="AJ283" s="138">
        <f t="shared" si="148"/>
        <v>0</v>
      </c>
      <c r="AK283" s="167">
        <f t="shared" si="149"/>
        <v>0</v>
      </c>
      <c r="AL283" s="6"/>
      <c r="AM283" s="6"/>
      <c r="AN283" s="138">
        <f t="shared" si="150"/>
        <v>0</v>
      </c>
      <c r="AO283" s="6"/>
      <c r="AP283" s="138">
        <f t="shared" si="151"/>
        <v>0</v>
      </c>
      <c r="AQ283" s="167">
        <f t="shared" si="152"/>
        <v>0</v>
      </c>
      <c r="AR283" s="164">
        <f t="shared" si="135"/>
        <v>0</v>
      </c>
      <c r="AS283" s="165">
        <f t="shared" si="136"/>
        <v>0</v>
      </c>
    </row>
    <row r="284" spans="2:45" outlineLevel="1" x14ac:dyDescent="0.35">
      <c r="B284" s="294" t="s">
        <v>82</v>
      </c>
      <c r="C284" s="62" t="s">
        <v>147</v>
      </c>
      <c r="D284" s="70">
        <v>152353.49818011696</v>
      </c>
      <c r="E284" s="70">
        <v>139568.07472219999</v>
      </c>
      <c r="F284" s="167">
        <f t="shared" si="131"/>
        <v>-8.3919461060235401E-2</v>
      </c>
      <c r="G284" s="70">
        <v>127551.07632176099</v>
      </c>
      <c r="H284" s="167">
        <f t="shared" si="137"/>
        <v>-8.6101341043486865E-2</v>
      </c>
      <c r="I284" s="70">
        <v>99896.9</v>
      </c>
      <c r="J284" s="167">
        <f t="shared" si="138"/>
        <v>-0.21680864732180255</v>
      </c>
      <c r="K284" s="70">
        <v>164415.5</v>
      </c>
      <c r="L284" s="167">
        <f t="shared" si="139"/>
        <v>0.64585187328135318</v>
      </c>
      <c r="M284" s="164">
        <f t="shared" si="140"/>
        <v>683785.04922407796</v>
      </c>
      <c r="N284" s="165">
        <f t="shared" si="132"/>
        <v>1.9230900174993071E-2</v>
      </c>
      <c r="P284" s="6"/>
      <c r="Q284" s="6">
        <v>162319.25</v>
      </c>
      <c r="R284" s="138">
        <f t="shared" si="141"/>
        <v>162319.25</v>
      </c>
      <c r="S284" s="185">
        <f t="shared" si="133"/>
        <v>-1.2749710337529004E-2</v>
      </c>
      <c r="T284" s="6"/>
      <c r="U284" s="6"/>
      <c r="V284" s="138">
        <f t="shared" si="142"/>
        <v>0</v>
      </c>
      <c r="W284" s="6">
        <v>162319.25</v>
      </c>
      <c r="X284" s="138">
        <f t="shared" si="143"/>
        <v>162319.25</v>
      </c>
      <c r="Y284" s="167">
        <f t="shared" si="134"/>
        <v>0</v>
      </c>
      <c r="Z284" s="70"/>
      <c r="AA284" s="6"/>
      <c r="AB284" s="138">
        <f t="shared" si="144"/>
        <v>0</v>
      </c>
      <c r="AC284" s="6">
        <v>162319.25</v>
      </c>
      <c r="AD284" s="138">
        <f t="shared" si="145"/>
        <v>162319.25</v>
      </c>
      <c r="AE284" s="167">
        <f t="shared" si="146"/>
        <v>0</v>
      </c>
      <c r="AF284" s="307"/>
      <c r="AG284" s="4"/>
      <c r="AH284" s="138">
        <f t="shared" si="147"/>
        <v>0</v>
      </c>
      <c r="AI284" s="6">
        <v>162319.25</v>
      </c>
      <c r="AJ284" s="138">
        <f t="shared" si="148"/>
        <v>162319.25</v>
      </c>
      <c r="AK284" s="167">
        <f t="shared" si="149"/>
        <v>0</v>
      </c>
      <c r="AL284" s="6"/>
      <c r="AM284" s="6"/>
      <c r="AN284" s="138">
        <f t="shared" si="150"/>
        <v>0</v>
      </c>
      <c r="AO284" s="6">
        <v>162319.25</v>
      </c>
      <c r="AP284" s="138">
        <f t="shared" si="151"/>
        <v>162319.25</v>
      </c>
      <c r="AQ284" s="167">
        <f t="shared" si="152"/>
        <v>0</v>
      </c>
      <c r="AR284" s="164">
        <f t="shared" si="135"/>
        <v>811596.25</v>
      </c>
      <c r="AS284" s="165">
        <f t="shared" si="136"/>
        <v>0</v>
      </c>
    </row>
    <row r="285" spans="2:45" outlineLevel="1" x14ac:dyDescent="0.35">
      <c r="B285" s="294" t="s">
        <v>83</v>
      </c>
      <c r="C285" s="62" t="s">
        <v>147</v>
      </c>
      <c r="D285" s="70">
        <v>13164.430403015709</v>
      </c>
      <c r="E285" s="70">
        <v>14107.8627031286</v>
      </c>
      <c r="F285" s="167">
        <f t="shared" si="131"/>
        <v>7.1665257913230251E-2</v>
      </c>
      <c r="G285" s="70">
        <v>22049.5973582404</v>
      </c>
      <c r="H285" s="167">
        <f t="shared" si="137"/>
        <v>0.56292968128691945</v>
      </c>
      <c r="I285" s="70">
        <v>28204.5</v>
      </c>
      <c r="J285" s="167">
        <f t="shared" si="138"/>
        <v>0.27913900384486534</v>
      </c>
      <c r="K285" s="70">
        <v>29486.400000000001</v>
      </c>
      <c r="L285" s="167">
        <f t="shared" si="139"/>
        <v>4.5450194117959954E-2</v>
      </c>
      <c r="M285" s="164">
        <f t="shared" si="140"/>
        <v>107012.79046438471</v>
      </c>
      <c r="N285" s="165">
        <f t="shared" si="132"/>
        <v>0.22336181301685154</v>
      </c>
      <c r="P285" s="6"/>
      <c r="Q285" s="6">
        <v>30894.53</v>
      </c>
      <c r="R285" s="138">
        <f t="shared" si="141"/>
        <v>30894.53</v>
      </c>
      <c r="S285" s="185">
        <f t="shared" si="133"/>
        <v>4.7755236312333728E-2</v>
      </c>
      <c r="T285" s="6"/>
      <c r="U285" s="6"/>
      <c r="V285" s="138">
        <f t="shared" si="142"/>
        <v>0</v>
      </c>
      <c r="W285" s="6">
        <v>30894.53</v>
      </c>
      <c r="X285" s="138">
        <f t="shared" si="143"/>
        <v>30894.53</v>
      </c>
      <c r="Y285" s="167">
        <f t="shared" si="134"/>
        <v>0</v>
      </c>
      <c r="Z285" s="70"/>
      <c r="AA285" s="6"/>
      <c r="AB285" s="138">
        <f t="shared" si="144"/>
        <v>0</v>
      </c>
      <c r="AC285" s="6">
        <v>30894.53</v>
      </c>
      <c r="AD285" s="138">
        <f t="shared" si="145"/>
        <v>30894.53</v>
      </c>
      <c r="AE285" s="167">
        <f t="shared" si="146"/>
        <v>0</v>
      </c>
      <c r="AF285" s="307"/>
      <c r="AG285" s="4"/>
      <c r="AH285" s="138">
        <f t="shared" si="147"/>
        <v>0</v>
      </c>
      <c r="AI285" s="6">
        <v>30894.53</v>
      </c>
      <c r="AJ285" s="138">
        <f t="shared" si="148"/>
        <v>30894.53</v>
      </c>
      <c r="AK285" s="167">
        <f t="shared" si="149"/>
        <v>0</v>
      </c>
      <c r="AL285" s="6"/>
      <c r="AM285" s="6"/>
      <c r="AN285" s="138">
        <f t="shared" si="150"/>
        <v>0</v>
      </c>
      <c r="AO285" s="6">
        <v>30894.53</v>
      </c>
      <c r="AP285" s="138">
        <f t="shared" si="151"/>
        <v>30894.53</v>
      </c>
      <c r="AQ285" s="167">
        <f t="shared" si="152"/>
        <v>0</v>
      </c>
      <c r="AR285" s="164">
        <f t="shared" si="135"/>
        <v>154472.65</v>
      </c>
      <c r="AS285" s="165">
        <f t="shared" si="136"/>
        <v>0</v>
      </c>
    </row>
    <row r="286" spans="2:45" outlineLevel="1" x14ac:dyDescent="0.35">
      <c r="B286" s="294" t="s">
        <v>84</v>
      </c>
      <c r="C286" s="62" t="s">
        <v>147</v>
      </c>
      <c r="D286" s="70">
        <v>0</v>
      </c>
      <c r="E286" s="70">
        <v>0</v>
      </c>
      <c r="F286" s="167">
        <f t="shared" si="131"/>
        <v>0</v>
      </c>
      <c r="G286" s="70">
        <v>0</v>
      </c>
      <c r="H286" s="167">
        <f t="shared" si="137"/>
        <v>0</v>
      </c>
      <c r="I286" s="70"/>
      <c r="J286" s="167">
        <f t="shared" si="138"/>
        <v>0</v>
      </c>
      <c r="K286" s="70"/>
      <c r="L286" s="167">
        <f t="shared" si="139"/>
        <v>0</v>
      </c>
      <c r="M286" s="164">
        <f t="shared" si="140"/>
        <v>0</v>
      </c>
      <c r="N286" s="165">
        <f t="shared" si="132"/>
        <v>0</v>
      </c>
      <c r="P286" s="6"/>
      <c r="Q286" s="6"/>
      <c r="R286" s="138">
        <f t="shared" si="141"/>
        <v>0</v>
      </c>
      <c r="S286" s="185">
        <f t="shared" si="133"/>
        <v>0</v>
      </c>
      <c r="T286" s="6"/>
      <c r="U286" s="6"/>
      <c r="V286" s="138">
        <f t="shared" si="142"/>
        <v>0</v>
      </c>
      <c r="W286" s="6"/>
      <c r="X286" s="138">
        <f t="shared" si="143"/>
        <v>0</v>
      </c>
      <c r="Y286" s="167">
        <f t="shared" si="134"/>
        <v>0</v>
      </c>
      <c r="Z286" s="70"/>
      <c r="AA286" s="6"/>
      <c r="AB286" s="138">
        <f t="shared" si="144"/>
        <v>0</v>
      </c>
      <c r="AC286" s="6"/>
      <c r="AD286" s="138">
        <f t="shared" si="145"/>
        <v>0</v>
      </c>
      <c r="AE286" s="167">
        <f t="shared" si="146"/>
        <v>0</v>
      </c>
      <c r="AF286" s="307"/>
      <c r="AG286" s="4"/>
      <c r="AH286" s="138">
        <f t="shared" si="147"/>
        <v>0</v>
      </c>
      <c r="AI286" s="6"/>
      <c r="AJ286" s="138">
        <f t="shared" si="148"/>
        <v>0</v>
      </c>
      <c r="AK286" s="167">
        <f t="shared" si="149"/>
        <v>0</v>
      </c>
      <c r="AL286" s="6"/>
      <c r="AM286" s="6"/>
      <c r="AN286" s="138">
        <f t="shared" si="150"/>
        <v>0</v>
      </c>
      <c r="AO286" s="6"/>
      <c r="AP286" s="138">
        <f t="shared" si="151"/>
        <v>0</v>
      </c>
      <c r="AQ286" s="167">
        <f t="shared" si="152"/>
        <v>0</v>
      </c>
      <c r="AR286" s="164">
        <f t="shared" si="135"/>
        <v>0</v>
      </c>
      <c r="AS286" s="165">
        <f t="shared" si="136"/>
        <v>0</v>
      </c>
    </row>
    <row r="287" spans="2:45" outlineLevel="1" x14ac:dyDescent="0.35">
      <c r="B287" s="294" t="s">
        <v>85</v>
      </c>
      <c r="C287" s="62" t="s">
        <v>147</v>
      </c>
      <c r="D287" s="70">
        <v>0</v>
      </c>
      <c r="E287" s="70">
        <v>0</v>
      </c>
      <c r="F287" s="167">
        <f t="shared" si="131"/>
        <v>0</v>
      </c>
      <c r="G287" s="70">
        <v>0</v>
      </c>
      <c r="H287" s="167">
        <f t="shared" si="137"/>
        <v>0</v>
      </c>
      <c r="I287" s="70"/>
      <c r="J287" s="167">
        <f t="shared" si="138"/>
        <v>0</v>
      </c>
      <c r="K287" s="70"/>
      <c r="L287" s="167">
        <f t="shared" si="139"/>
        <v>0</v>
      </c>
      <c r="M287" s="164">
        <f t="shared" si="140"/>
        <v>0</v>
      </c>
      <c r="N287" s="165">
        <f t="shared" si="132"/>
        <v>0</v>
      </c>
      <c r="P287" s="6"/>
      <c r="Q287" s="6"/>
      <c r="R287" s="138">
        <f t="shared" si="141"/>
        <v>0</v>
      </c>
      <c r="S287" s="185">
        <f t="shared" si="133"/>
        <v>0</v>
      </c>
      <c r="T287" s="6"/>
      <c r="U287" s="6"/>
      <c r="V287" s="138">
        <f t="shared" si="142"/>
        <v>0</v>
      </c>
      <c r="W287" s="6"/>
      <c r="X287" s="138">
        <f t="shared" si="143"/>
        <v>0</v>
      </c>
      <c r="Y287" s="167">
        <f t="shared" si="134"/>
        <v>0</v>
      </c>
      <c r="Z287" s="70"/>
      <c r="AA287" s="6"/>
      <c r="AB287" s="138">
        <f t="shared" si="144"/>
        <v>0</v>
      </c>
      <c r="AC287" s="6"/>
      <c r="AD287" s="138">
        <f t="shared" si="145"/>
        <v>0</v>
      </c>
      <c r="AE287" s="167">
        <f t="shared" si="146"/>
        <v>0</v>
      </c>
      <c r="AF287" s="307"/>
      <c r="AG287" s="4"/>
      <c r="AH287" s="138">
        <f t="shared" si="147"/>
        <v>0</v>
      </c>
      <c r="AI287" s="6"/>
      <c r="AJ287" s="138">
        <f t="shared" si="148"/>
        <v>0</v>
      </c>
      <c r="AK287" s="167">
        <f t="shared" si="149"/>
        <v>0</v>
      </c>
      <c r="AL287" s="6"/>
      <c r="AM287" s="6"/>
      <c r="AN287" s="138">
        <f t="shared" si="150"/>
        <v>0</v>
      </c>
      <c r="AO287" s="6"/>
      <c r="AP287" s="138">
        <f t="shared" si="151"/>
        <v>0</v>
      </c>
      <c r="AQ287" s="167">
        <f t="shared" si="152"/>
        <v>0</v>
      </c>
      <c r="AR287" s="164">
        <f t="shared" si="135"/>
        <v>0</v>
      </c>
      <c r="AS287" s="165">
        <f t="shared" si="136"/>
        <v>0</v>
      </c>
    </row>
    <row r="288" spans="2:45" outlineLevel="1" x14ac:dyDescent="0.35">
      <c r="B288" s="294" t="s">
        <v>86</v>
      </c>
      <c r="C288" s="62" t="s">
        <v>147</v>
      </c>
      <c r="D288" s="70">
        <v>0</v>
      </c>
      <c r="E288" s="70">
        <v>0</v>
      </c>
      <c r="F288" s="167">
        <f t="shared" si="131"/>
        <v>0</v>
      </c>
      <c r="G288" s="70">
        <v>0</v>
      </c>
      <c r="H288" s="167">
        <f t="shared" si="137"/>
        <v>0</v>
      </c>
      <c r="I288" s="70"/>
      <c r="J288" s="167">
        <f t="shared" si="138"/>
        <v>0</v>
      </c>
      <c r="K288" s="70"/>
      <c r="L288" s="167">
        <f t="shared" si="139"/>
        <v>0</v>
      </c>
      <c r="M288" s="164">
        <f t="shared" si="140"/>
        <v>0</v>
      </c>
      <c r="N288" s="165">
        <f t="shared" si="132"/>
        <v>0</v>
      </c>
      <c r="P288" s="6"/>
      <c r="Q288" s="6"/>
      <c r="R288" s="138">
        <f t="shared" si="141"/>
        <v>0</v>
      </c>
      <c r="S288" s="185">
        <f t="shared" si="133"/>
        <v>0</v>
      </c>
      <c r="T288" s="6"/>
      <c r="U288" s="6"/>
      <c r="V288" s="138">
        <f t="shared" si="142"/>
        <v>0</v>
      </c>
      <c r="W288" s="6"/>
      <c r="X288" s="138">
        <f t="shared" si="143"/>
        <v>0</v>
      </c>
      <c r="Y288" s="167">
        <f t="shared" si="134"/>
        <v>0</v>
      </c>
      <c r="Z288" s="70"/>
      <c r="AA288" s="6"/>
      <c r="AB288" s="138">
        <f t="shared" si="144"/>
        <v>0</v>
      </c>
      <c r="AC288" s="6"/>
      <c r="AD288" s="138">
        <f t="shared" si="145"/>
        <v>0</v>
      </c>
      <c r="AE288" s="167">
        <f t="shared" si="146"/>
        <v>0</v>
      </c>
      <c r="AF288" s="307"/>
      <c r="AG288" s="4"/>
      <c r="AH288" s="138">
        <f t="shared" si="147"/>
        <v>0</v>
      </c>
      <c r="AI288" s="6"/>
      <c r="AJ288" s="138">
        <f t="shared" si="148"/>
        <v>0</v>
      </c>
      <c r="AK288" s="167">
        <f t="shared" si="149"/>
        <v>0</v>
      </c>
      <c r="AL288" s="6"/>
      <c r="AM288" s="6"/>
      <c r="AN288" s="138">
        <f t="shared" si="150"/>
        <v>0</v>
      </c>
      <c r="AO288" s="6"/>
      <c r="AP288" s="138">
        <f t="shared" si="151"/>
        <v>0</v>
      </c>
      <c r="AQ288" s="167">
        <f t="shared" si="152"/>
        <v>0</v>
      </c>
      <c r="AR288" s="164">
        <f t="shared" si="135"/>
        <v>0</v>
      </c>
      <c r="AS288" s="165">
        <f t="shared" si="136"/>
        <v>0</v>
      </c>
    </row>
    <row r="289" spans="2:45" outlineLevel="1" x14ac:dyDescent="0.35">
      <c r="B289" s="294" t="s">
        <v>87</v>
      </c>
      <c r="C289" s="62" t="s">
        <v>147</v>
      </c>
      <c r="D289" s="70">
        <v>0</v>
      </c>
      <c r="E289" s="70">
        <v>0</v>
      </c>
      <c r="F289" s="167">
        <f t="shared" si="131"/>
        <v>0</v>
      </c>
      <c r="G289" s="70">
        <v>0</v>
      </c>
      <c r="H289" s="167">
        <f t="shared" si="137"/>
        <v>0</v>
      </c>
      <c r="I289" s="70"/>
      <c r="J289" s="167">
        <f t="shared" si="138"/>
        <v>0</v>
      </c>
      <c r="K289" s="70"/>
      <c r="L289" s="167">
        <f t="shared" si="139"/>
        <v>0</v>
      </c>
      <c r="M289" s="164">
        <f t="shared" si="140"/>
        <v>0</v>
      </c>
      <c r="N289" s="165">
        <f t="shared" si="132"/>
        <v>0</v>
      </c>
      <c r="P289" s="6"/>
      <c r="Q289" s="6"/>
      <c r="R289" s="138">
        <f t="shared" si="141"/>
        <v>0</v>
      </c>
      <c r="S289" s="185">
        <f t="shared" si="133"/>
        <v>0</v>
      </c>
      <c r="T289" s="6"/>
      <c r="U289" s="6"/>
      <c r="V289" s="138">
        <f t="shared" si="142"/>
        <v>0</v>
      </c>
      <c r="W289" s="6"/>
      <c r="X289" s="138">
        <f t="shared" si="143"/>
        <v>0</v>
      </c>
      <c r="Y289" s="167">
        <f t="shared" si="134"/>
        <v>0</v>
      </c>
      <c r="Z289" s="70"/>
      <c r="AA289" s="6"/>
      <c r="AB289" s="138">
        <f t="shared" si="144"/>
        <v>0</v>
      </c>
      <c r="AC289" s="6"/>
      <c r="AD289" s="138">
        <f t="shared" si="145"/>
        <v>0</v>
      </c>
      <c r="AE289" s="167">
        <f t="shared" si="146"/>
        <v>0</v>
      </c>
      <c r="AF289" s="307"/>
      <c r="AG289" s="4"/>
      <c r="AH289" s="138">
        <f t="shared" si="147"/>
        <v>0</v>
      </c>
      <c r="AI289" s="6"/>
      <c r="AJ289" s="138">
        <f t="shared" si="148"/>
        <v>0</v>
      </c>
      <c r="AK289" s="167">
        <f t="shared" si="149"/>
        <v>0</v>
      </c>
      <c r="AL289" s="6"/>
      <c r="AM289" s="6"/>
      <c r="AN289" s="138">
        <f t="shared" si="150"/>
        <v>0</v>
      </c>
      <c r="AO289" s="6"/>
      <c r="AP289" s="138">
        <f t="shared" si="151"/>
        <v>0</v>
      </c>
      <c r="AQ289" s="167">
        <f t="shared" si="152"/>
        <v>0</v>
      </c>
      <c r="AR289" s="164">
        <f t="shared" si="135"/>
        <v>0</v>
      </c>
      <c r="AS289" s="165">
        <f t="shared" si="136"/>
        <v>0</v>
      </c>
    </row>
    <row r="290" spans="2:45" outlineLevel="1" x14ac:dyDescent="0.35">
      <c r="B290" s="294" t="s">
        <v>88</v>
      </c>
      <c r="C290" s="62" t="s">
        <v>147</v>
      </c>
      <c r="D290" s="70">
        <v>0</v>
      </c>
      <c r="E290" s="70">
        <v>0</v>
      </c>
      <c r="F290" s="167">
        <f t="shared" si="131"/>
        <v>0</v>
      </c>
      <c r="G290" s="70">
        <v>0</v>
      </c>
      <c r="H290" s="167">
        <f t="shared" si="137"/>
        <v>0</v>
      </c>
      <c r="I290" s="70"/>
      <c r="J290" s="167">
        <f t="shared" si="138"/>
        <v>0</v>
      </c>
      <c r="K290" s="70"/>
      <c r="L290" s="167">
        <f t="shared" si="139"/>
        <v>0</v>
      </c>
      <c r="M290" s="164">
        <f t="shared" si="140"/>
        <v>0</v>
      </c>
      <c r="N290" s="165">
        <f t="shared" si="132"/>
        <v>0</v>
      </c>
      <c r="P290" s="6"/>
      <c r="Q290" s="6"/>
      <c r="R290" s="138">
        <f t="shared" si="141"/>
        <v>0</v>
      </c>
      <c r="S290" s="185">
        <f t="shared" si="133"/>
        <v>0</v>
      </c>
      <c r="T290" s="6"/>
      <c r="U290" s="6"/>
      <c r="V290" s="138">
        <f t="shared" si="142"/>
        <v>0</v>
      </c>
      <c r="W290" s="6"/>
      <c r="X290" s="138">
        <f t="shared" si="143"/>
        <v>0</v>
      </c>
      <c r="Y290" s="167">
        <f t="shared" si="134"/>
        <v>0</v>
      </c>
      <c r="Z290" s="70"/>
      <c r="AA290" s="6"/>
      <c r="AB290" s="138">
        <f t="shared" si="144"/>
        <v>0</v>
      </c>
      <c r="AC290" s="6"/>
      <c r="AD290" s="138">
        <f t="shared" si="145"/>
        <v>0</v>
      </c>
      <c r="AE290" s="167">
        <f t="shared" si="146"/>
        <v>0</v>
      </c>
      <c r="AF290" s="307"/>
      <c r="AG290" s="4"/>
      <c r="AH290" s="138">
        <f t="shared" si="147"/>
        <v>0</v>
      </c>
      <c r="AI290" s="6"/>
      <c r="AJ290" s="138">
        <f t="shared" si="148"/>
        <v>0</v>
      </c>
      <c r="AK290" s="167">
        <f t="shared" si="149"/>
        <v>0</v>
      </c>
      <c r="AL290" s="6"/>
      <c r="AM290" s="6"/>
      <c r="AN290" s="138">
        <f t="shared" si="150"/>
        <v>0</v>
      </c>
      <c r="AO290" s="6"/>
      <c r="AP290" s="138">
        <f t="shared" si="151"/>
        <v>0</v>
      </c>
      <c r="AQ290" s="167">
        <f t="shared" si="152"/>
        <v>0</v>
      </c>
      <c r="AR290" s="164">
        <f t="shared" si="135"/>
        <v>0</v>
      </c>
      <c r="AS290" s="165">
        <f t="shared" si="136"/>
        <v>0</v>
      </c>
    </row>
    <row r="291" spans="2:45" outlineLevel="1" x14ac:dyDescent="0.35">
      <c r="B291" s="294" t="s">
        <v>89</v>
      </c>
      <c r="C291" s="62" t="s">
        <v>147</v>
      </c>
      <c r="D291" s="70">
        <v>2248.1871481358789</v>
      </c>
      <c r="E291" s="70">
        <v>0</v>
      </c>
      <c r="F291" s="167">
        <f t="shared" si="131"/>
        <v>-1</v>
      </c>
      <c r="G291" s="70">
        <v>0</v>
      </c>
      <c r="H291" s="167">
        <f t="shared" si="137"/>
        <v>0</v>
      </c>
      <c r="I291" s="70"/>
      <c r="J291" s="167">
        <f t="shared" si="138"/>
        <v>0</v>
      </c>
      <c r="K291" s="70">
        <v>1096.0999999999999</v>
      </c>
      <c r="L291" s="167">
        <f t="shared" si="139"/>
        <v>0</v>
      </c>
      <c r="M291" s="164">
        <f t="shared" si="140"/>
        <v>3344.2871481358789</v>
      </c>
      <c r="N291" s="165">
        <f t="shared" si="132"/>
        <v>-0.16438845967389482</v>
      </c>
      <c r="P291" s="6"/>
      <c r="Q291" s="6">
        <v>1080.3900000000001</v>
      </c>
      <c r="R291" s="138">
        <f t="shared" si="141"/>
        <v>1080.3900000000001</v>
      </c>
      <c r="S291" s="185">
        <f t="shared" si="133"/>
        <v>-1.4332633883769557E-2</v>
      </c>
      <c r="T291" s="6"/>
      <c r="U291" s="6"/>
      <c r="V291" s="138">
        <f t="shared" si="142"/>
        <v>0</v>
      </c>
      <c r="W291" s="6">
        <v>1080.3900000000001</v>
      </c>
      <c r="X291" s="138">
        <f t="shared" si="143"/>
        <v>1080.3900000000001</v>
      </c>
      <c r="Y291" s="167">
        <f t="shared" si="134"/>
        <v>0</v>
      </c>
      <c r="Z291" s="70"/>
      <c r="AA291" s="6"/>
      <c r="AB291" s="138">
        <f t="shared" si="144"/>
        <v>0</v>
      </c>
      <c r="AC291" s="6">
        <v>1080.3900000000001</v>
      </c>
      <c r="AD291" s="138">
        <f t="shared" si="145"/>
        <v>1080.3900000000001</v>
      </c>
      <c r="AE291" s="167">
        <f t="shared" si="146"/>
        <v>0</v>
      </c>
      <c r="AF291" s="307"/>
      <c r="AG291" s="4"/>
      <c r="AH291" s="138">
        <f t="shared" si="147"/>
        <v>0</v>
      </c>
      <c r="AI291" s="6">
        <v>1080.3900000000001</v>
      </c>
      <c r="AJ291" s="138">
        <f t="shared" si="148"/>
        <v>1080.3900000000001</v>
      </c>
      <c r="AK291" s="167">
        <f t="shared" si="149"/>
        <v>0</v>
      </c>
      <c r="AL291" s="6"/>
      <c r="AM291" s="6"/>
      <c r="AN291" s="138">
        <f t="shared" si="150"/>
        <v>0</v>
      </c>
      <c r="AO291" s="6">
        <v>1080.3900000000001</v>
      </c>
      <c r="AP291" s="138">
        <f t="shared" si="151"/>
        <v>1080.3900000000001</v>
      </c>
      <c r="AQ291" s="167">
        <f t="shared" si="152"/>
        <v>0</v>
      </c>
      <c r="AR291" s="164">
        <f t="shared" si="135"/>
        <v>5401.9500000000007</v>
      </c>
      <c r="AS291" s="165">
        <f t="shared" si="136"/>
        <v>0</v>
      </c>
    </row>
    <row r="292" spans="2:45" outlineLevel="1" x14ac:dyDescent="0.35">
      <c r="B292" s="294" t="s">
        <v>90</v>
      </c>
      <c r="C292" s="62" t="s">
        <v>147</v>
      </c>
      <c r="D292" s="70">
        <v>105301.98092925778</v>
      </c>
      <c r="E292" s="70">
        <v>114141.47976265701</v>
      </c>
      <c r="F292" s="167">
        <f t="shared" si="131"/>
        <v>8.3944278686814325E-2</v>
      </c>
      <c r="G292" s="70">
        <v>113178.714736885</v>
      </c>
      <c r="H292" s="167">
        <f t="shared" si="137"/>
        <v>-8.4348391818115445E-3</v>
      </c>
      <c r="I292" s="70">
        <v>120024.2</v>
      </c>
      <c r="J292" s="167">
        <f t="shared" si="138"/>
        <v>6.0483857578955628E-2</v>
      </c>
      <c r="K292" s="70">
        <v>122253.5</v>
      </c>
      <c r="L292" s="167">
        <f t="shared" si="139"/>
        <v>1.8573754292884295E-2</v>
      </c>
      <c r="M292" s="164">
        <f t="shared" si="140"/>
        <v>574899.87542879977</v>
      </c>
      <c r="N292" s="165">
        <f t="shared" si="132"/>
        <v>3.8021120302404343E-2</v>
      </c>
      <c r="P292" s="6">
        <v>4505.45</v>
      </c>
      <c r="Q292" s="6">
        <v>120580.61</v>
      </c>
      <c r="R292" s="138">
        <f t="shared" si="141"/>
        <v>125086.06</v>
      </c>
      <c r="S292" s="185">
        <f t="shared" si="133"/>
        <v>2.3169561607643115E-2</v>
      </c>
      <c r="T292" s="6"/>
      <c r="U292" s="6">
        <v>8045.45</v>
      </c>
      <c r="V292" s="138">
        <f t="shared" si="142"/>
        <v>8045.45</v>
      </c>
      <c r="W292" s="6">
        <v>120580.61</v>
      </c>
      <c r="X292" s="138">
        <f t="shared" si="143"/>
        <v>128626.06</v>
      </c>
      <c r="Y292" s="167">
        <f t="shared" si="134"/>
        <v>2.8300515660977729E-2</v>
      </c>
      <c r="Z292" s="70"/>
      <c r="AA292" s="6">
        <v>8045.45</v>
      </c>
      <c r="AB292" s="138">
        <f t="shared" si="144"/>
        <v>8045.45</v>
      </c>
      <c r="AC292" s="6">
        <v>120580.61</v>
      </c>
      <c r="AD292" s="138">
        <f t="shared" si="145"/>
        <v>128626.06</v>
      </c>
      <c r="AE292" s="167">
        <f t="shared" si="146"/>
        <v>0</v>
      </c>
      <c r="AF292" s="307"/>
      <c r="AG292" s="4">
        <v>8045.45</v>
      </c>
      <c r="AH292" s="138">
        <f t="shared" si="147"/>
        <v>8045.45</v>
      </c>
      <c r="AI292" s="6">
        <v>120580.61</v>
      </c>
      <c r="AJ292" s="138">
        <f t="shared" si="148"/>
        <v>128626.06</v>
      </c>
      <c r="AK292" s="167">
        <f t="shared" si="149"/>
        <v>0</v>
      </c>
      <c r="AL292" s="6"/>
      <c r="AM292" s="6">
        <v>8045.45</v>
      </c>
      <c r="AN292" s="138">
        <f t="shared" si="150"/>
        <v>8045.45</v>
      </c>
      <c r="AO292" s="6">
        <v>120580.61</v>
      </c>
      <c r="AP292" s="138">
        <f t="shared" si="151"/>
        <v>128626.06</v>
      </c>
      <c r="AQ292" s="167">
        <f t="shared" si="152"/>
        <v>0</v>
      </c>
      <c r="AR292" s="164">
        <f t="shared" si="135"/>
        <v>639590.30000000005</v>
      </c>
      <c r="AS292" s="165">
        <f t="shared" si="136"/>
        <v>7.0012586945393807E-3</v>
      </c>
    </row>
    <row r="293" spans="2:45" outlineLevel="1" x14ac:dyDescent="0.35">
      <c r="B293" s="294" t="s">
        <v>91</v>
      </c>
      <c r="C293" s="62" t="s">
        <v>147</v>
      </c>
      <c r="D293" s="70">
        <v>0</v>
      </c>
      <c r="E293" s="70">
        <v>0</v>
      </c>
      <c r="F293" s="167">
        <f t="shared" si="131"/>
        <v>0</v>
      </c>
      <c r="G293" s="70">
        <v>0</v>
      </c>
      <c r="H293" s="167">
        <f t="shared" si="137"/>
        <v>0</v>
      </c>
      <c r="I293" s="70"/>
      <c r="J293" s="167">
        <f t="shared" si="138"/>
        <v>0</v>
      </c>
      <c r="K293" s="70"/>
      <c r="L293" s="167">
        <f t="shared" si="139"/>
        <v>0</v>
      </c>
      <c r="M293" s="164">
        <f t="shared" si="140"/>
        <v>0</v>
      </c>
      <c r="N293" s="165">
        <f t="shared" si="132"/>
        <v>0</v>
      </c>
      <c r="P293" s="6">
        <v>3218.18</v>
      </c>
      <c r="Q293" s="6"/>
      <c r="R293" s="138">
        <f t="shared" si="141"/>
        <v>3218.18</v>
      </c>
      <c r="S293" s="185">
        <f t="shared" si="133"/>
        <v>0</v>
      </c>
      <c r="T293" s="6"/>
      <c r="U293" s="6">
        <v>5746.75</v>
      </c>
      <c r="V293" s="138">
        <f t="shared" si="142"/>
        <v>5746.75</v>
      </c>
      <c r="W293" s="6"/>
      <c r="X293" s="138">
        <f t="shared" si="143"/>
        <v>5746.75</v>
      </c>
      <c r="Y293" s="167">
        <f t="shared" si="134"/>
        <v>0.78571428571428581</v>
      </c>
      <c r="Z293" s="70"/>
      <c r="AA293" s="6">
        <v>5746.75</v>
      </c>
      <c r="AB293" s="138">
        <f t="shared" si="144"/>
        <v>5746.75</v>
      </c>
      <c r="AC293" s="6"/>
      <c r="AD293" s="138">
        <f t="shared" si="145"/>
        <v>5746.75</v>
      </c>
      <c r="AE293" s="167">
        <f t="shared" si="146"/>
        <v>0</v>
      </c>
      <c r="AF293" s="307"/>
      <c r="AG293" s="4">
        <v>5746.75</v>
      </c>
      <c r="AH293" s="138">
        <f t="shared" si="147"/>
        <v>5746.75</v>
      </c>
      <c r="AI293" s="6"/>
      <c r="AJ293" s="138">
        <f t="shared" si="148"/>
        <v>5746.75</v>
      </c>
      <c r="AK293" s="167">
        <f t="shared" si="149"/>
        <v>0</v>
      </c>
      <c r="AL293" s="6"/>
      <c r="AM293" s="6">
        <v>5746.75</v>
      </c>
      <c r="AN293" s="138">
        <f t="shared" si="150"/>
        <v>5746.75</v>
      </c>
      <c r="AO293" s="6"/>
      <c r="AP293" s="138">
        <f t="shared" si="151"/>
        <v>5746.75</v>
      </c>
      <c r="AQ293" s="167">
        <f t="shared" si="152"/>
        <v>0</v>
      </c>
      <c r="AR293" s="164">
        <f t="shared" si="135"/>
        <v>26205.18</v>
      </c>
      <c r="AS293" s="165">
        <f t="shared" si="136"/>
        <v>0.15598711479069771</v>
      </c>
    </row>
    <row r="294" spans="2:45" outlineLevel="1" x14ac:dyDescent="0.35">
      <c r="B294" s="294" t="s">
        <v>92</v>
      </c>
      <c r="C294" s="62" t="s">
        <v>147</v>
      </c>
      <c r="D294" s="70">
        <v>0</v>
      </c>
      <c r="E294" s="70">
        <v>0</v>
      </c>
      <c r="F294" s="167">
        <f t="shared" si="131"/>
        <v>0</v>
      </c>
      <c r="G294" s="70">
        <v>0</v>
      </c>
      <c r="H294" s="167">
        <f t="shared" si="137"/>
        <v>0</v>
      </c>
      <c r="I294" s="70"/>
      <c r="J294" s="167">
        <f t="shared" si="138"/>
        <v>0</v>
      </c>
      <c r="K294" s="70"/>
      <c r="L294" s="167">
        <f t="shared" si="139"/>
        <v>0</v>
      </c>
      <c r="M294" s="164">
        <f t="shared" si="140"/>
        <v>0</v>
      </c>
      <c r="N294" s="165">
        <f t="shared" si="132"/>
        <v>0</v>
      </c>
      <c r="P294" s="6"/>
      <c r="Q294" s="6"/>
      <c r="R294" s="138">
        <f t="shared" si="141"/>
        <v>0</v>
      </c>
      <c r="S294" s="185">
        <f t="shared" si="133"/>
        <v>0</v>
      </c>
      <c r="T294" s="6"/>
      <c r="U294" s="6"/>
      <c r="V294" s="138">
        <f t="shared" si="142"/>
        <v>0</v>
      </c>
      <c r="W294" s="6"/>
      <c r="X294" s="138">
        <f t="shared" si="143"/>
        <v>0</v>
      </c>
      <c r="Y294" s="167">
        <f t="shared" si="134"/>
        <v>0</v>
      </c>
      <c r="Z294" s="70"/>
      <c r="AA294" s="6"/>
      <c r="AB294" s="138">
        <f t="shared" si="144"/>
        <v>0</v>
      </c>
      <c r="AC294" s="6"/>
      <c r="AD294" s="138">
        <f t="shared" si="145"/>
        <v>0</v>
      </c>
      <c r="AE294" s="167">
        <f t="shared" si="146"/>
        <v>0</v>
      </c>
      <c r="AF294" s="307"/>
      <c r="AG294" s="4"/>
      <c r="AH294" s="138">
        <f t="shared" si="147"/>
        <v>0</v>
      </c>
      <c r="AI294" s="6"/>
      <c r="AJ294" s="138">
        <f t="shared" si="148"/>
        <v>0</v>
      </c>
      <c r="AK294" s="167">
        <f t="shared" si="149"/>
        <v>0</v>
      </c>
      <c r="AL294" s="6"/>
      <c r="AM294" s="6"/>
      <c r="AN294" s="138">
        <f t="shared" si="150"/>
        <v>0</v>
      </c>
      <c r="AO294" s="6"/>
      <c r="AP294" s="138">
        <f t="shared" si="151"/>
        <v>0</v>
      </c>
      <c r="AQ294" s="167">
        <f t="shared" si="152"/>
        <v>0</v>
      </c>
      <c r="AR294" s="164">
        <f t="shared" si="135"/>
        <v>0</v>
      </c>
      <c r="AS294" s="165">
        <f t="shared" si="136"/>
        <v>0</v>
      </c>
    </row>
    <row r="295" spans="2:45" outlineLevel="1" x14ac:dyDescent="0.35">
      <c r="B295" s="294" t="s">
        <v>93</v>
      </c>
      <c r="C295" s="62" t="s">
        <v>147</v>
      </c>
      <c r="D295" s="70">
        <v>0</v>
      </c>
      <c r="E295" s="70">
        <v>0</v>
      </c>
      <c r="F295" s="167">
        <f t="shared" si="131"/>
        <v>0</v>
      </c>
      <c r="G295" s="70">
        <v>0</v>
      </c>
      <c r="H295" s="167">
        <f t="shared" si="137"/>
        <v>0</v>
      </c>
      <c r="I295" s="70"/>
      <c r="J295" s="167">
        <f t="shared" si="138"/>
        <v>0</v>
      </c>
      <c r="K295" s="70"/>
      <c r="L295" s="167">
        <f t="shared" si="139"/>
        <v>0</v>
      </c>
      <c r="M295" s="164">
        <f t="shared" si="140"/>
        <v>0</v>
      </c>
      <c r="N295" s="165">
        <f t="shared" si="132"/>
        <v>0</v>
      </c>
      <c r="P295" s="6"/>
      <c r="Q295" s="6"/>
      <c r="R295" s="138">
        <f t="shared" si="141"/>
        <v>0</v>
      </c>
      <c r="S295" s="185">
        <f t="shared" si="133"/>
        <v>0</v>
      </c>
      <c r="T295" s="6"/>
      <c r="U295" s="6"/>
      <c r="V295" s="138">
        <f t="shared" si="142"/>
        <v>0</v>
      </c>
      <c r="W295" s="6"/>
      <c r="X295" s="138">
        <f t="shared" si="143"/>
        <v>0</v>
      </c>
      <c r="Y295" s="167">
        <f t="shared" si="134"/>
        <v>0</v>
      </c>
      <c r="Z295" s="70"/>
      <c r="AA295" s="6"/>
      <c r="AB295" s="138">
        <f t="shared" si="144"/>
        <v>0</v>
      </c>
      <c r="AC295" s="6"/>
      <c r="AD295" s="138">
        <f t="shared" si="145"/>
        <v>0</v>
      </c>
      <c r="AE295" s="167">
        <f t="shared" si="146"/>
        <v>0</v>
      </c>
      <c r="AF295" s="307"/>
      <c r="AG295" s="4"/>
      <c r="AH295" s="138">
        <f t="shared" si="147"/>
        <v>0</v>
      </c>
      <c r="AI295" s="6"/>
      <c r="AJ295" s="138">
        <f t="shared" si="148"/>
        <v>0</v>
      </c>
      <c r="AK295" s="167">
        <f t="shared" si="149"/>
        <v>0</v>
      </c>
      <c r="AL295" s="6"/>
      <c r="AM295" s="6"/>
      <c r="AN295" s="138">
        <f t="shared" si="150"/>
        <v>0</v>
      </c>
      <c r="AO295" s="6"/>
      <c r="AP295" s="138">
        <f t="shared" si="151"/>
        <v>0</v>
      </c>
      <c r="AQ295" s="167">
        <f t="shared" si="152"/>
        <v>0</v>
      </c>
      <c r="AR295" s="164">
        <f t="shared" si="135"/>
        <v>0</v>
      </c>
      <c r="AS295" s="165">
        <f t="shared" si="136"/>
        <v>0</v>
      </c>
    </row>
    <row r="296" spans="2:45" outlineLevel="1" x14ac:dyDescent="0.35">
      <c r="B296" s="294" t="s">
        <v>94</v>
      </c>
      <c r="C296" s="62" t="s">
        <v>147</v>
      </c>
      <c r="D296" s="70">
        <v>0</v>
      </c>
      <c r="E296" s="70">
        <v>0</v>
      </c>
      <c r="F296" s="167">
        <f t="shared" si="131"/>
        <v>0</v>
      </c>
      <c r="G296" s="70">
        <v>0</v>
      </c>
      <c r="H296" s="167">
        <f t="shared" si="137"/>
        <v>0</v>
      </c>
      <c r="I296" s="70"/>
      <c r="J296" s="167">
        <f t="shared" si="138"/>
        <v>0</v>
      </c>
      <c r="K296" s="70"/>
      <c r="L296" s="167">
        <f t="shared" si="139"/>
        <v>0</v>
      </c>
      <c r="M296" s="164">
        <f t="shared" si="140"/>
        <v>0</v>
      </c>
      <c r="N296" s="165">
        <f t="shared" si="132"/>
        <v>0</v>
      </c>
      <c r="P296" s="6"/>
      <c r="Q296" s="6"/>
      <c r="R296" s="138">
        <f t="shared" si="141"/>
        <v>0</v>
      </c>
      <c r="S296" s="185">
        <f t="shared" si="133"/>
        <v>0</v>
      </c>
      <c r="T296" s="6"/>
      <c r="U296" s="6"/>
      <c r="V296" s="138">
        <f t="shared" si="142"/>
        <v>0</v>
      </c>
      <c r="W296" s="6"/>
      <c r="X296" s="138">
        <f t="shared" si="143"/>
        <v>0</v>
      </c>
      <c r="Y296" s="167">
        <f t="shared" si="134"/>
        <v>0</v>
      </c>
      <c r="Z296" s="70"/>
      <c r="AA296" s="6"/>
      <c r="AB296" s="138">
        <f t="shared" si="144"/>
        <v>0</v>
      </c>
      <c r="AC296" s="6"/>
      <c r="AD296" s="138">
        <f t="shared" si="145"/>
        <v>0</v>
      </c>
      <c r="AE296" s="167">
        <f t="shared" si="146"/>
        <v>0</v>
      </c>
      <c r="AF296" s="307"/>
      <c r="AG296" s="4"/>
      <c r="AH296" s="138">
        <f t="shared" si="147"/>
        <v>0</v>
      </c>
      <c r="AI296" s="6"/>
      <c r="AJ296" s="138">
        <f t="shared" si="148"/>
        <v>0</v>
      </c>
      <c r="AK296" s="167">
        <f t="shared" si="149"/>
        <v>0</v>
      </c>
      <c r="AL296" s="6"/>
      <c r="AM296" s="6"/>
      <c r="AN296" s="138">
        <f t="shared" si="150"/>
        <v>0</v>
      </c>
      <c r="AO296" s="6"/>
      <c r="AP296" s="138">
        <f t="shared" si="151"/>
        <v>0</v>
      </c>
      <c r="AQ296" s="167">
        <f t="shared" si="152"/>
        <v>0</v>
      </c>
      <c r="AR296" s="164">
        <f t="shared" si="135"/>
        <v>0</v>
      </c>
      <c r="AS296" s="165">
        <f t="shared" si="136"/>
        <v>0</v>
      </c>
    </row>
    <row r="297" spans="2:45" outlineLevel="1" x14ac:dyDescent="0.35">
      <c r="B297" s="294" t="s">
        <v>95</v>
      </c>
      <c r="C297" s="62" t="s">
        <v>147</v>
      </c>
      <c r="D297" s="70">
        <v>0</v>
      </c>
      <c r="E297" s="70">
        <v>0</v>
      </c>
      <c r="F297" s="167">
        <f t="shared" si="131"/>
        <v>0</v>
      </c>
      <c r="G297" s="70">
        <v>0</v>
      </c>
      <c r="H297" s="167">
        <f t="shared" si="137"/>
        <v>0</v>
      </c>
      <c r="I297" s="70"/>
      <c r="J297" s="167">
        <f t="shared" si="138"/>
        <v>0</v>
      </c>
      <c r="K297" s="70"/>
      <c r="L297" s="167">
        <f t="shared" si="139"/>
        <v>0</v>
      </c>
      <c r="M297" s="164">
        <f t="shared" si="140"/>
        <v>0</v>
      </c>
      <c r="N297" s="165">
        <f t="shared" si="132"/>
        <v>0</v>
      </c>
      <c r="P297" s="6"/>
      <c r="Q297" s="6"/>
      <c r="R297" s="138">
        <f t="shared" si="141"/>
        <v>0</v>
      </c>
      <c r="S297" s="185">
        <f t="shared" si="133"/>
        <v>0</v>
      </c>
      <c r="T297" s="6"/>
      <c r="U297" s="6"/>
      <c r="V297" s="138">
        <f t="shared" si="142"/>
        <v>0</v>
      </c>
      <c r="W297" s="6"/>
      <c r="X297" s="138">
        <f t="shared" si="143"/>
        <v>0</v>
      </c>
      <c r="Y297" s="167">
        <f t="shared" si="134"/>
        <v>0</v>
      </c>
      <c r="Z297" s="70"/>
      <c r="AA297" s="6"/>
      <c r="AB297" s="138">
        <f t="shared" si="144"/>
        <v>0</v>
      </c>
      <c r="AC297" s="6"/>
      <c r="AD297" s="138">
        <f t="shared" si="145"/>
        <v>0</v>
      </c>
      <c r="AE297" s="167">
        <f t="shared" si="146"/>
        <v>0</v>
      </c>
      <c r="AF297" s="307"/>
      <c r="AG297" s="4"/>
      <c r="AH297" s="138">
        <f t="shared" si="147"/>
        <v>0</v>
      </c>
      <c r="AI297" s="6"/>
      <c r="AJ297" s="138">
        <f t="shared" si="148"/>
        <v>0</v>
      </c>
      <c r="AK297" s="167">
        <f t="shared" si="149"/>
        <v>0</v>
      </c>
      <c r="AL297" s="6"/>
      <c r="AM297" s="6"/>
      <c r="AN297" s="138">
        <f t="shared" si="150"/>
        <v>0</v>
      </c>
      <c r="AO297" s="6"/>
      <c r="AP297" s="138">
        <f t="shared" si="151"/>
        <v>0</v>
      </c>
      <c r="AQ297" s="167">
        <f t="shared" si="152"/>
        <v>0</v>
      </c>
      <c r="AR297" s="164">
        <f t="shared" si="135"/>
        <v>0</v>
      </c>
      <c r="AS297" s="165">
        <f t="shared" si="136"/>
        <v>0</v>
      </c>
    </row>
    <row r="298" spans="2:45" outlineLevel="1" x14ac:dyDescent="0.35">
      <c r="B298" s="294" t="s">
        <v>96</v>
      </c>
      <c r="C298" s="62" t="s">
        <v>147</v>
      </c>
      <c r="D298" s="70">
        <v>0</v>
      </c>
      <c r="E298" s="70">
        <v>0</v>
      </c>
      <c r="F298" s="167">
        <f t="shared" si="131"/>
        <v>0</v>
      </c>
      <c r="G298" s="70">
        <v>0</v>
      </c>
      <c r="H298" s="167">
        <f t="shared" si="137"/>
        <v>0</v>
      </c>
      <c r="I298" s="70"/>
      <c r="J298" s="167">
        <f t="shared" si="138"/>
        <v>0</v>
      </c>
      <c r="K298" s="70"/>
      <c r="L298" s="167">
        <f t="shared" si="139"/>
        <v>0</v>
      </c>
      <c r="M298" s="164">
        <f t="shared" si="140"/>
        <v>0</v>
      </c>
      <c r="N298" s="165">
        <f t="shared" si="132"/>
        <v>0</v>
      </c>
      <c r="P298" s="6"/>
      <c r="Q298" s="6"/>
      <c r="R298" s="138">
        <f t="shared" si="141"/>
        <v>0</v>
      </c>
      <c r="S298" s="185">
        <f t="shared" si="133"/>
        <v>0</v>
      </c>
      <c r="T298" s="6"/>
      <c r="U298" s="6"/>
      <c r="V298" s="138">
        <f t="shared" si="142"/>
        <v>0</v>
      </c>
      <c r="W298" s="6"/>
      <c r="X298" s="138">
        <f t="shared" si="143"/>
        <v>0</v>
      </c>
      <c r="Y298" s="167">
        <f t="shared" si="134"/>
        <v>0</v>
      </c>
      <c r="Z298" s="70"/>
      <c r="AA298" s="6"/>
      <c r="AB298" s="138">
        <f t="shared" si="144"/>
        <v>0</v>
      </c>
      <c r="AC298" s="6"/>
      <c r="AD298" s="138">
        <f t="shared" si="145"/>
        <v>0</v>
      </c>
      <c r="AE298" s="167">
        <f t="shared" si="146"/>
        <v>0</v>
      </c>
      <c r="AF298" s="307"/>
      <c r="AG298" s="4"/>
      <c r="AH298" s="138">
        <f t="shared" si="147"/>
        <v>0</v>
      </c>
      <c r="AI298" s="6"/>
      <c r="AJ298" s="138">
        <f t="shared" si="148"/>
        <v>0</v>
      </c>
      <c r="AK298" s="167">
        <f t="shared" si="149"/>
        <v>0</v>
      </c>
      <c r="AL298" s="6"/>
      <c r="AM298" s="6"/>
      <c r="AN298" s="138">
        <f t="shared" si="150"/>
        <v>0</v>
      </c>
      <c r="AO298" s="6"/>
      <c r="AP298" s="138">
        <f t="shared" si="151"/>
        <v>0</v>
      </c>
      <c r="AQ298" s="167">
        <f t="shared" si="152"/>
        <v>0</v>
      </c>
      <c r="AR298" s="164">
        <f t="shared" si="135"/>
        <v>0</v>
      </c>
      <c r="AS298" s="165">
        <f t="shared" si="136"/>
        <v>0</v>
      </c>
    </row>
    <row r="299" spans="2:45" outlineLevel="1" x14ac:dyDescent="0.35">
      <c r="B299" s="294" t="s">
        <v>97</v>
      </c>
      <c r="C299" s="62" t="s">
        <v>147</v>
      </c>
      <c r="D299" s="70">
        <v>0</v>
      </c>
      <c r="E299" s="70">
        <v>0</v>
      </c>
      <c r="F299" s="167">
        <f t="shared" si="131"/>
        <v>0</v>
      </c>
      <c r="G299" s="70">
        <v>0</v>
      </c>
      <c r="H299" s="167">
        <f t="shared" si="137"/>
        <v>0</v>
      </c>
      <c r="I299" s="70"/>
      <c r="J299" s="167">
        <f t="shared" si="138"/>
        <v>0</v>
      </c>
      <c r="K299" s="70"/>
      <c r="L299" s="167">
        <f t="shared" si="139"/>
        <v>0</v>
      </c>
      <c r="M299" s="164">
        <f t="shared" si="140"/>
        <v>0</v>
      </c>
      <c r="N299" s="165">
        <f t="shared" si="132"/>
        <v>0</v>
      </c>
      <c r="P299" s="6"/>
      <c r="Q299" s="6"/>
      <c r="R299" s="138">
        <f t="shared" si="141"/>
        <v>0</v>
      </c>
      <c r="S299" s="185">
        <f t="shared" si="133"/>
        <v>0</v>
      </c>
      <c r="T299" s="6"/>
      <c r="U299" s="6"/>
      <c r="V299" s="138">
        <f t="shared" si="142"/>
        <v>0</v>
      </c>
      <c r="W299" s="6"/>
      <c r="X299" s="138">
        <f t="shared" si="143"/>
        <v>0</v>
      </c>
      <c r="Y299" s="167">
        <f t="shared" si="134"/>
        <v>0</v>
      </c>
      <c r="Z299" s="70"/>
      <c r="AA299" s="6"/>
      <c r="AB299" s="138">
        <f t="shared" si="144"/>
        <v>0</v>
      </c>
      <c r="AC299" s="6"/>
      <c r="AD299" s="138">
        <f t="shared" si="145"/>
        <v>0</v>
      </c>
      <c r="AE299" s="167">
        <f t="shared" si="146"/>
        <v>0</v>
      </c>
      <c r="AF299" s="307"/>
      <c r="AG299" s="4"/>
      <c r="AH299" s="138">
        <f t="shared" si="147"/>
        <v>0</v>
      </c>
      <c r="AI299" s="6"/>
      <c r="AJ299" s="138">
        <f t="shared" si="148"/>
        <v>0</v>
      </c>
      <c r="AK299" s="167">
        <f t="shared" si="149"/>
        <v>0</v>
      </c>
      <c r="AL299" s="6"/>
      <c r="AM299" s="6"/>
      <c r="AN299" s="138">
        <f t="shared" si="150"/>
        <v>0</v>
      </c>
      <c r="AO299" s="6"/>
      <c r="AP299" s="138">
        <f t="shared" si="151"/>
        <v>0</v>
      </c>
      <c r="AQ299" s="167">
        <f t="shared" si="152"/>
        <v>0</v>
      </c>
      <c r="AR299" s="164">
        <f t="shared" si="135"/>
        <v>0</v>
      </c>
      <c r="AS299" s="165">
        <f t="shared" si="136"/>
        <v>0</v>
      </c>
    </row>
    <row r="300" spans="2:45" outlineLevel="1" x14ac:dyDescent="0.35">
      <c r="B300" s="294" t="s">
        <v>98</v>
      </c>
      <c r="C300" s="62" t="s">
        <v>147</v>
      </c>
      <c r="D300" s="70">
        <v>29248.197120024917</v>
      </c>
      <c r="E300" s="70">
        <v>32198.782690006199</v>
      </c>
      <c r="F300" s="167">
        <f t="shared" si="131"/>
        <v>0.10088093833179035</v>
      </c>
      <c r="G300" s="70">
        <v>28957.3785007363</v>
      </c>
      <c r="H300" s="167">
        <f t="shared" si="137"/>
        <v>-0.1006685321142889</v>
      </c>
      <c r="I300" s="70">
        <v>19109.5</v>
      </c>
      <c r="J300" s="167">
        <f t="shared" si="138"/>
        <v>-0.3400818378806596</v>
      </c>
      <c r="K300" s="70">
        <v>12250.2</v>
      </c>
      <c r="L300" s="167">
        <f t="shared" si="139"/>
        <v>-0.35894712054213868</v>
      </c>
      <c r="M300" s="164">
        <f t="shared" si="140"/>
        <v>121764.05831076742</v>
      </c>
      <c r="N300" s="165">
        <f t="shared" si="132"/>
        <v>-0.19552783949605546</v>
      </c>
      <c r="P300" s="6"/>
      <c r="Q300" s="6">
        <v>12077.37</v>
      </c>
      <c r="R300" s="138">
        <f t="shared" si="141"/>
        <v>12077.37</v>
      </c>
      <c r="S300" s="185">
        <f t="shared" si="133"/>
        <v>-1.4108341088308756E-2</v>
      </c>
      <c r="T300" s="6"/>
      <c r="U300" s="6"/>
      <c r="V300" s="138">
        <f t="shared" si="142"/>
        <v>0</v>
      </c>
      <c r="W300" s="6">
        <v>12077.37</v>
      </c>
      <c r="X300" s="138">
        <f t="shared" si="143"/>
        <v>12077.37</v>
      </c>
      <c r="Y300" s="167">
        <f t="shared" si="134"/>
        <v>0</v>
      </c>
      <c r="Z300" s="70"/>
      <c r="AA300" s="6"/>
      <c r="AB300" s="138">
        <f t="shared" si="144"/>
        <v>0</v>
      </c>
      <c r="AC300" s="6">
        <v>12077.37</v>
      </c>
      <c r="AD300" s="138">
        <f t="shared" si="145"/>
        <v>12077.37</v>
      </c>
      <c r="AE300" s="167">
        <f t="shared" si="146"/>
        <v>0</v>
      </c>
      <c r="AF300" s="307"/>
      <c r="AG300" s="4"/>
      <c r="AH300" s="138">
        <f t="shared" si="147"/>
        <v>0</v>
      </c>
      <c r="AI300" s="6">
        <v>12077.37</v>
      </c>
      <c r="AJ300" s="138">
        <f t="shared" si="148"/>
        <v>12077.37</v>
      </c>
      <c r="AK300" s="167">
        <f t="shared" si="149"/>
        <v>0</v>
      </c>
      <c r="AL300" s="6"/>
      <c r="AM300" s="6"/>
      <c r="AN300" s="138">
        <f t="shared" si="150"/>
        <v>0</v>
      </c>
      <c r="AO300" s="6">
        <v>12077.37</v>
      </c>
      <c r="AP300" s="138">
        <f t="shared" si="151"/>
        <v>12077.37</v>
      </c>
      <c r="AQ300" s="167">
        <f t="shared" si="152"/>
        <v>0</v>
      </c>
      <c r="AR300" s="164">
        <f t="shared" si="135"/>
        <v>60386.850000000006</v>
      </c>
      <c r="AS300" s="165">
        <f t="shared" si="136"/>
        <v>0</v>
      </c>
    </row>
    <row r="301" spans="2:45" outlineLevel="1" x14ac:dyDescent="0.35">
      <c r="B301" s="294" t="s">
        <v>99</v>
      </c>
      <c r="C301" s="62" t="s">
        <v>147</v>
      </c>
      <c r="D301" s="70">
        <v>52167.613807059257</v>
      </c>
      <c r="E301" s="70">
        <v>49452.707612455502</v>
      </c>
      <c r="F301" s="167">
        <f t="shared" si="131"/>
        <v>-5.2041985371322021E-2</v>
      </c>
      <c r="G301" s="70">
        <v>53505.770480319603</v>
      </c>
      <c r="H301" s="167">
        <f t="shared" si="137"/>
        <v>8.1958361099792806E-2</v>
      </c>
      <c r="I301" s="70">
        <v>58812.4</v>
      </c>
      <c r="J301" s="167">
        <f t="shared" si="138"/>
        <v>9.9178639463425228E-2</v>
      </c>
      <c r="K301" s="70">
        <v>53042.3</v>
      </c>
      <c r="L301" s="167">
        <f t="shared" si="139"/>
        <v>-9.8110262461657716E-2</v>
      </c>
      <c r="M301" s="164">
        <f t="shared" si="140"/>
        <v>266980.79189983435</v>
      </c>
      <c r="N301" s="165">
        <f t="shared" si="132"/>
        <v>4.1656099447033856E-3</v>
      </c>
      <c r="P301" s="6"/>
      <c r="Q301" s="6">
        <v>52333.93</v>
      </c>
      <c r="R301" s="138">
        <f t="shared" si="141"/>
        <v>52333.93</v>
      </c>
      <c r="S301" s="185">
        <f t="shared" si="133"/>
        <v>-1.3354813045437369E-2</v>
      </c>
      <c r="T301" s="6"/>
      <c r="U301" s="6"/>
      <c r="V301" s="138">
        <f t="shared" si="142"/>
        <v>0</v>
      </c>
      <c r="W301" s="6">
        <v>52333.93</v>
      </c>
      <c r="X301" s="138">
        <f t="shared" si="143"/>
        <v>52333.93</v>
      </c>
      <c r="Y301" s="167">
        <f t="shared" si="134"/>
        <v>0</v>
      </c>
      <c r="Z301" s="70"/>
      <c r="AA301" s="6"/>
      <c r="AB301" s="138">
        <f t="shared" si="144"/>
        <v>0</v>
      </c>
      <c r="AC301" s="6">
        <v>52333.93</v>
      </c>
      <c r="AD301" s="138">
        <f t="shared" si="145"/>
        <v>52333.93</v>
      </c>
      <c r="AE301" s="167">
        <f t="shared" si="146"/>
        <v>0</v>
      </c>
      <c r="AF301" s="307">
        <v>4595.1000000000004</v>
      </c>
      <c r="AG301" s="4"/>
      <c r="AH301" s="138">
        <f t="shared" si="147"/>
        <v>4595.1000000000004</v>
      </c>
      <c r="AI301" s="6">
        <v>52333.93</v>
      </c>
      <c r="AJ301" s="138">
        <f t="shared" si="148"/>
        <v>56929.03</v>
      </c>
      <c r="AK301" s="167">
        <f t="shared" si="149"/>
        <v>8.7803457527458731E-2</v>
      </c>
      <c r="AL301" s="6"/>
      <c r="AM301" s="6">
        <v>4597.3999999999996</v>
      </c>
      <c r="AN301" s="138">
        <f t="shared" si="150"/>
        <v>4597.3999999999996</v>
      </c>
      <c r="AO301" s="6">
        <v>52333.93</v>
      </c>
      <c r="AP301" s="138">
        <f t="shared" si="151"/>
        <v>56931.33</v>
      </c>
      <c r="AQ301" s="167">
        <f t="shared" si="152"/>
        <v>4.0401180206353605E-5</v>
      </c>
      <c r="AR301" s="164">
        <f t="shared" si="135"/>
        <v>270862.15000000002</v>
      </c>
      <c r="AS301" s="165">
        <f t="shared" si="136"/>
        <v>2.1273340439202038E-2</v>
      </c>
    </row>
    <row r="302" spans="2:45" outlineLevel="1" x14ac:dyDescent="0.35">
      <c r="B302" s="294" t="s">
        <v>100</v>
      </c>
      <c r="C302" s="62" t="s">
        <v>147</v>
      </c>
      <c r="D302" s="70">
        <v>0</v>
      </c>
      <c r="E302" s="70">
        <v>0</v>
      </c>
      <c r="F302" s="167">
        <f t="shared" si="131"/>
        <v>0</v>
      </c>
      <c r="G302" s="70">
        <v>0</v>
      </c>
      <c r="H302" s="167">
        <f t="shared" si="137"/>
        <v>0</v>
      </c>
      <c r="I302" s="70"/>
      <c r="J302" s="167">
        <f t="shared" si="138"/>
        <v>0</v>
      </c>
      <c r="K302" s="70"/>
      <c r="L302" s="167">
        <f t="shared" si="139"/>
        <v>0</v>
      </c>
      <c r="M302" s="164">
        <f t="shared" si="140"/>
        <v>0</v>
      </c>
      <c r="N302" s="165">
        <f t="shared" si="132"/>
        <v>0</v>
      </c>
      <c r="P302" s="6"/>
      <c r="Q302" s="6"/>
      <c r="R302" s="138">
        <f t="shared" si="141"/>
        <v>0</v>
      </c>
      <c r="S302" s="185">
        <f t="shared" si="133"/>
        <v>0</v>
      </c>
      <c r="T302" s="6"/>
      <c r="U302" s="6"/>
      <c r="V302" s="138">
        <f t="shared" si="142"/>
        <v>0</v>
      </c>
      <c r="W302" s="6"/>
      <c r="X302" s="138">
        <f t="shared" si="143"/>
        <v>0</v>
      </c>
      <c r="Y302" s="167">
        <f t="shared" si="134"/>
        <v>0</v>
      </c>
      <c r="Z302" s="70"/>
      <c r="AA302" s="6"/>
      <c r="AB302" s="138">
        <f t="shared" si="144"/>
        <v>0</v>
      </c>
      <c r="AC302" s="6"/>
      <c r="AD302" s="138">
        <f t="shared" si="145"/>
        <v>0</v>
      </c>
      <c r="AE302" s="167">
        <f t="shared" si="146"/>
        <v>0</v>
      </c>
      <c r="AF302" s="307"/>
      <c r="AG302" s="4"/>
      <c r="AH302" s="138">
        <f t="shared" si="147"/>
        <v>0</v>
      </c>
      <c r="AI302" s="6"/>
      <c r="AJ302" s="138">
        <f t="shared" si="148"/>
        <v>0</v>
      </c>
      <c r="AK302" s="167">
        <f t="shared" si="149"/>
        <v>0</v>
      </c>
      <c r="AL302" s="6"/>
      <c r="AM302" s="6"/>
      <c r="AN302" s="138">
        <f t="shared" si="150"/>
        <v>0</v>
      </c>
      <c r="AO302" s="6"/>
      <c r="AP302" s="138">
        <f t="shared" si="151"/>
        <v>0</v>
      </c>
      <c r="AQ302" s="167">
        <f t="shared" si="152"/>
        <v>0</v>
      </c>
      <c r="AR302" s="164">
        <f t="shared" si="135"/>
        <v>0</v>
      </c>
      <c r="AS302" s="165">
        <f t="shared" si="136"/>
        <v>0</v>
      </c>
    </row>
    <row r="303" spans="2:45" outlineLevel="1" x14ac:dyDescent="0.35">
      <c r="B303" s="294" t="s">
        <v>101</v>
      </c>
      <c r="C303" s="62" t="s">
        <v>147</v>
      </c>
      <c r="D303" s="70">
        <v>72673.093050696174</v>
      </c>
      <c r="E303" s="70">
        <v>67585.291755683706</v>
      </c>
      <c r="F303" s="167">
        <f t="shared" si="131"/>
        <v>-7.000942276480869E-2</v>
      </c>
      <c r="G303" s="70">
        <v>71840.160109123899</v>
      </c>
      <c r="H303" s="167">
        <f t="shared" si="137"/>
        <v>6.2955537261291369E-2</v>
      </c>
      <c r="I303" s="70">
        <v>74037</v>
      </c>
      <c r="J303" s="167">
        <f t="shared" si="138"/>
        <v>3.0579551709505395E-2</v>
      </c>
      <c r="K303" s="70">
        <v>68862.3</v>
      </c>
      <c r="L303" s="167">
        <f t="shared" si="139"/>
        <v>-6.9893431662547065E-2</v>
      </c>
      <c r="M303" s="164">
        <f t="shared" si="140"/>
        <v>354997.84491550375</v>
      </c>
      <c r="N303" s="165">
        <f t="shared" si="132"/>
        <v>-1.3375331608955543E-2</v>
      </c>
      <c r="P303" s="6">
        <v>2252.73</v>
      </c>
      <c r="Q303" s="6">
        <v>67915.09</v>
      </c>
      <c r="R303" s="138">
        <f t="shared" si="141"/>
        <v>70167.819999999992</v>
      </c>
      <c r="S303" s="185">
        <f t="shared" si="133"/>
        <v>1.8958414110478293E-2</v>
      </c>
      <c r="T303" s="6"/>
      <c r="U303" s="6">
        <v>4022.73</v>
      </c>
      <c r="V303" s="138">
        <f t="shared" si="142"/>
        <v>4022.73</v>
      </c>
      <c r="W303" s="6">
        <v>67915.09</v>
      </c>
      <c r="X303" s="138">
        <f t="shared" si="143"/>
        <v>71937.819999999992</v>
      </c>
      <c r="Y303" s="167">
        <f t="shared" si="134"/>
        <v>2.5225238578026225E-2</v>
      </c>
      <c r="Z303" s="70"/>
      <c r="AA303" s="6">
        <v>4022.73</v>
      </c>
      <c r="AB303" s="138">
        <f t="shared" si="144"/>
        <v>4022.73</v>
      </c>
      <c r="AC303" s="6">
        <v>67915.09</v>
      </c>
      <c r="AD303" s="138">
        <f t="shared" si="145"/>
        <v>71937.819999999992</v>
      </c>
      <c r="AE303" s="167">
        <f t="shared" si="146"/>
        <v>0</v>
      </c>
      <c r="AF303" s="307"/>
      <c r="AG303" s="4">
        <v>4022.73</v>
      </c>
      <c r="AH303" s="138">
        <f t="shared" si="147"/>
        <v>4022.73</v>
      </c>
      <c r="AI303" s="6">
        <v>67915.09</v>
      </c>
      <c r="AJ303" s="138">
        <f t="shared" si="148"/>
        <v>71937.819999999992</v>
      </c>
      <c r="AK303" s="167">
        <f t="shared" si="149"/>
        <v>0</v>
      </c>
      <c r="AL303" s="6"/>
      <c r="AM303" s="6">
        <v>4022.73</v>
      </c>
      <c r="AN303" s="138">
        <f t="shared" si="150"/>
        <v>4022.73</v>
      </c>
      <c r="AO303" s="6">
        <v>67915.09</v>
      </c>
      <c r="AP303" s="138">
        <f t="shared" si="151"/>
        <v>71937.819999999992</v>
      </c>
      <c r="AQ303" s="167">
        <f t="shared" si="152"/>
        <v>0</v>
      </c>
      <c r="AR303" s="164">
        <f t="shared" si="135"/>
        <v>357919.1</v>
      </c>
      <c r="AS303" s="165">
        <f t="shared" si="136"/>
        <v>6.2475181884664721E-3</v>
      </c>
    </row>
    <row r="304" spans="2:45" outlineLevel="1" x14ac:dyDescent="0.35">
      <c r="B304" s="294" t="s">
        <v>102</v>
      </c>
      <c r="C304" s="62" t="s">
        <v>147</v>
      </c>
      <c r="D304" s="70">
        <v>0</v>
      </c>
      <c r="E304" s="70">
        <v>0</v>
      </c>
      <c r="F304" s="167">
        <f t="shared" si="131"/>
        <v>0</v>
      </c>
      <c r="G304" s="70">
        <v>0</v>
      </c>
      <c r="H304" s="167">
        <f t="shared" si="137"/>
        <v>0</v>
      </c>
      <c r="I304" s="70"/>
      <c r="J304" s="167">
        <f t="shared" si="138"/>
        <v>0</v>
      </c>
      <c r="K304" s="70"/>
      <c r="L304" s="167">
        <f t="shared" si="139"/>
        <v>0</v>
      </c>
      <c r="M304" s="164">
        <f t="shared" si="140"/>
        <v>0</v>
      </c>
      <c r="N304" s="165">
        <f t="shared" si="132"/>
        <v>0</v>
      </c>
      <c r="P304" s="6"/>
      <c r="Q304" s="6"/>
      <c r="R304" s="138">
        <f t="shared" si="141"/>
        <v>0</v>
      </c>
      <c r="S304" s="185">
        <f t="shared" si="133"/>
        <v>0</v>
      </c>
      <c r="T304" s="6"/>
      <c r="U304" s="6"/>
      <c r="V304" s="138">
        <f t="shared" si="142"/>
        <v>0</v>
      </c>
      <c r="W304" s="6"/>
      <c r="X304" s="138">
        <f t="shared" si="143"/>
        <v>0</v>
      </c>
      <c r="Y304" s="167">
        <f t="shared" si="134"/>
        <v>0</v>
      </c>
      <c r="Z304" s="70"/>
      <c r="AA304" s="6"/>
      <c r="AB304" s="138">
        <f t="shared" si="144"/>
        <v>0</v>
      </c>
      <c r="AC304" s="6"/>
      <c r="AD304" s="138">
        <f t="shared" si="145"/>
        <v>0</v>
      </c>
      <c r="AE304" s="167">
        <f t="shared" si="146"/>
        <v>0</v>
      </c>
      <c r="AF304" s="307"/>
      <c r="AG304" s="4"/>
      <c r="AH304" s="138">
        <f t="shared" si="147"/>
        <v>0</v>
      </c>
      <c r="AI304" s="6"/>
      <c r="AJ304" s="138">
        <f t="shared" si="148"/>
        <v>0</v>
      </c>
      <c r="AK304" s="167">
        <f t="shared" si="149"/>
        <v>0</v>
      </c>
      <c r="AL304" s="6"/>
      <c r="AM304" s="6"/>
      <c r="AN304" s="138">
        <f t="shared" si="150"/>
        <v>0</v>
      </c>
      <c r="AO304" s="6"/>
      <c r="AP304" s="138">
        <f t="shared" si="151"/>
        <v>0</v>
      </c>
      <c r="AQ304" s="167">
        <f t="shared" si="152"/>
        <v>0</v>
      </c>
      <c r="AR304" s="164">
        <f t="shared" si="135"/>
        <v>0</v>
      </c>
      <c r="AS304" s="165">
        <f t="shared" si="136"/>
        <v>0</v>
      </c>
    </row>
    <row r="305" spans="2:45" outlineLevel="1" x14ac:dyDescent="0.35">
      <c r="B305" s="294" t="s">
        <v>103</v>
      </c>
      <c r="C305" s="62" t="s">
        <v>147</v>
      </c>
      <c r="D305" s="70">
        <v>49304.904030578684</v>
      </c>
      <c r="E305" s="70">
        <v>47099.917102437103</v>
      </c>
      <c r="F305" s="167">
        <f t="shared" si="131"/>
        <v>-4.4721452591694695E-2</v>
      </c>
      <c r="G305" s="70">
        <v>52902.706531441101</v>
      </c>
      <c r="H305" s="167">
        <f t="shared" si="137"/>
        <v>0.12320169091558217</v>
      </c>
      <c r="I305" s="70">
        <v>57226.6</v>
      </c>
      <c r="J305" s="167">
        <f t="shared" si="138"/>
        <v>8.1732934892265366E-2</v>
      </c>
      <c r="K305" s="70">
        <v>55350.8</v>
      </c>
      <c r="L305" s="167">
        <f t="shared" si="139"/>
        <v>-3.277846316223567E-2</v>
      </c>
      <c r="M305" s="164">
        <f t="shared" si="140"/>
        <v>261884.92766445689</v>
      </c>
      <c r="N305" s="165">
        <f t="shared" si="132"/>
        <v>2.9339043373054707E-2</v>
      </c>
      <c r="P305" s="6"/>
      <c r="Q305" s="6">
        <v>54591.25</v>
      </c>
      <c r="R305" s="138">
        <f t="shared" si="141"/>
        <v>54591.25</v>
      </c>
      <c r="S305" s="185">
        <f t="shared" si="133"/>
        <v>-1.3722475555908909E-2</v>
      </c>
      <c r="T305" s="6"/>
      <c r="U305" s="6"/>
      <c r="V305" s="138">
        <f t="shared" si="142"/>
        <v>0</v>
      </c>
      <c r="W305" s="6">
        <v>54591.25</v>
      </c>
      <c r="X305" s="138">
        <f t="shared" si="143"/>
        <v>54591.25</v>
      </c>
      <c r="Y305" s="167">
        <f t="shared" si="134"/>
        <v>0</v>
      </c>
      <c r="Z305" s="70"/>
      <c r="AA305" s="6"/>
      <c r="AB305" s="138">
        <f t="shared" si="144"/>
        <v>0</v>
      </c>
      <c r="AC305" s="6">
        <v>54591.25</v>
      </c>
      <c r="AD305" s="138">
        <f t="shared" si="145"/>
        <v>54591.25</v>
      </c>
      <c r="AE305" s="167">
        <f t="shared" si="146"/>
        <v>0</v>
      </c>
      <c r="AF305" s="307"/>
      <c r="AG305" s="4"/>
      <c r="AH305" s="138">
        <f t="shared" si="147"/>
        <v>0</v>
      </c>
      <c r="AI305" s="6">
        <v>54591.25</v>
      </c>
      <c r="AJ305" s="138">
        <f t="shared" si="148"/>
        <v>54591.25</v>
      </c>
      <c r="AK305" s="167">
        <f t="shared" si="149"/>
        <v>0</v>
      </c>
      <c r="AL305" s="6"/>
      <c r="AM305" s="6"/>
      <c r="AN305" s="138">
        <f t="shared" si="150"/>
        <v>0</v>
      </c>
      <c r="AO305" s="6">
        <v>54591.25</v>
      </c>
      <c r="AP305" s="138">
        <f t="shared" si="151"/>
        <v>54591.25</v>
      </c>
      <c r="AQ305" s="167">
        <f t="shared" si="152"/>
        <v>0</v>
      </c>
      <c r="AR305" s="164">
        <f t="shared" si="135"/>
        <v>272956.25</v>
      </c>
      <c r="AS305" s="165">
        <f t="shared" si="136"/>
        <v>0</v>
      </c>
    </row>
    <row r="306" spans="2:45" outlineLevel="1" x14ac:dyDescent="0.35">
      <c r="B306" s="294" t="s">
        <v>104</v>
      </c>
      <c r="C306" s="62" t="s">
        <v>147</v>
      </c>
      <c r="D306" s="70">
        <v>0</v>
      </c>
      <c r="E306" s="70">
        <v>0</v>
      </c>
      <c r="F306" s="167">
        <f t="shared" si="131"/>
        <v>0</v>
      </c>
      <c r="G306" s="70">
        <v>0</v>
      </c>
      <c r="H306" s="167">
        <f t="shared" si="137"/>
        <v>0</v>
      </c>
      <c r="I306" s="70"/>
      <c r="J306" s="167">
        <f t="shared" si="138"/>
        <v>0</v>
      </c>
      <c r="K306" s="70"/>
      <c r="L306" s="167">
        <f t="shared" si="139"/>
        <v>0</v>
      </c>
      <c r="M306" s="164">
        <f t="shared" si="140"/>
        <v>0</v>
      </c>
      <c r="N306" s="165">
        <f t="shared" si="132"/>
        <v>0</v>
      </c>
      <c r="P306" s="6"/>
      <c r="Q306" s="6"/>
      <c r="R306" s="138">
        <f t="shared" si="141"/>
        <v>0</v>
      </c>
      <c r="S306" s="185">
        <f t="shared" si="133"/>
        <v>0</v>
      </c>
      <c r="T306" s="6"/>
      <c r="U306" s="6"/>
      <c r="V306" s="138">
        <f t="shared" si="142"/>
        <v>0</v>
      </c>
      <c r="W306" s="6"/>
      <c r="X306" s="138">
        <f t="shared" si="143"/>
        <v>0</v>
      </c>
      <c r="Y306" s="167">
        <f t="shared" si="134"/>
        <v>0</v>
      </c>
      <c r="Z306" s="70"/>
      <c r="AA306" s="6"/>
      <c r="AB306" s="138">
        <f t="shared" si="144"/>
        <v>0</v>
      </c>
      <c r="AC306" s="6"/>
      <c r="AD306" s="138">
        <f t="shared" si="145"/>
        <v>0</v>
      </c>
      <c r="AE306" s="167">
        <f t="shared" si="146"/>
        <v>0</v>
      </c>
      <c r="AF306" s="307"/>
      <c r="AG306" s="4"/>
      <c r="AH306" s="138">
        <f t="shared" si="147"/>
        <v>0</v>
      </c>
      <c r="AI306" s="6"/>
      <c r="AJ306" s="138">
        <f t="shared" si="148"/>
        <v>0</v>
      </c>
      <c r="AK306" s="167">
        <f t="shared" si="149"/>
        <v>0</v>
      </c>
      <c r="AL306" s="6"/>
      <c r="AM306" s="6"/>
      <c r="AN306" s="138">
        <f t="shared" si="150"/>
        <v>0</v>
      </c>
      <c r="AO306" s="6"/>
      <c r="AP306" s="138">
        <f t="shared" si="151"/>
        <v>0</v>
      </c>
      <c r="AQ306" s="167">
        <f t="shared" si="152"/>
        <v>0</v>
      </c>
      <c r="AR306" s="164">
        <f t="shared" si="135"/>
        <v>0</v>
      </c>
      <c r="AS306" s="165">
        <f t="shared" si="136"/>
        <v>0</v>
      </c>
    </row>
    <row r="307" spans="2:45" outlineLevel="1" x14ac:dyDescent="0.35">
      <c r="B307" s="294" t="s">
        <v>136</v>
      </c>
      <c r="C307" s="62" t="s">
        <v>147</v>
      </c>
      <c r="D307" s="70">
        <v>0</v>
      </c>
      <c r="E307" s="70">
        <v>0</v>
      </c>
      <c r="F307" s="167">
        <f t="shared" si="131"/>
        <v>0</v>
      </c>
      <c r="G307" s="70">
        <v>0</v>
      </c>
      <c r="H307" s="167">
        <f t="shared" si="137"/>
        <v>0</v>
      </c>
      <c r="I307" s="70"/>
      <c r="J307" s="167">
        <f t="shared" si="138"/>
        <v>0</v>
      </c>
      <c r="K307" s="70"/>
      <c r="L307" s="167">
        <f t="shared" si="139"/>
        <v>0</v>
      </c>
      <c r="M307" s="164">
        <f t="shared" si="140"/>
        <v>0</v>
      </c>
      <c r="N307" s="165">
        <f t="shared" si="132"/>
        <v>0</v>
      </c>
      <c r="P307" s="6"/>
      <c r="Q307" s="6"/>
      <c r="R307" s="138">
        <f t="shared" si="141"/>
        <v>0</v>
      </c>
      <c r="S307" s="185">
        <f t="shared" si="133"/>
        <v>0</v>
      </c>
      <c r="T307" s="6"/>
      <c r="U307" s="6"/>
      <c r="V307" s="138">
        <f t="shared" si="142"/>
        <v>0</v>
      </c>
      <c r="W307" s="6"/>
      <c r="X307" s="138">
        <f t="shared" si="143"/>
        <v>0</v>
      </c>
      <c r="Y307" s="167">
        <f t="shared" si="134"/>
        <v>0</v>
      </c>
      <c r="Z307" s="70"/>
      <c r="AA307" s="6"/>
      <c r="AB307" s="138">
        <f t="shared" si="144"/>
        <v>0</v>
      </c>
      <c r="AC307" s="6"/>
      <c r="AD307" s="138">
        <f t="shared" si="145"/>
        <v>0</v>
      </c>
      <c r="AE307" s="167">
        <f t="shared" si="146"/>
        <v>0</v>
      </c>
      <c r="AF307" s="307"/>
      <c r="AG307" s="4"/>
      <c r="AH307" s="138">
        <f t="shared" si="147"/>
        <v>0</v>
      </c>
      <c r="AI307" s="6"/>
      <c r="AJ307" s="138">
        <f t="shared" si="148"/>
        <v>0</v>
      </c>
      <c r="AK307" s="167">
        <f t="shared" si="149"/>
        <v>0</v>
      </c>
      <c r="AL307" s="6"/>
      <c r="AM307" s="6"/>
      <c r="AN307" s="138">
        <f t="shared" si="150"/>
        <v>0</v>
      </c>
      <c r="AO307" s="6"/>
      <c r="AP307" s="138">
        <f t="shared" si="151"/>
        <v>0</v>
      </c>
      <c r="AQ307" s="167">
        <f t="shared" si="152"/>
        <v>0</v>
      </c>
      <c r="AR307" s="164">
        <f t="shared" si="135"/>
        <v>0</v>
      </c>
      <c r="AS307" s="165">
        <f t="shared" si="136"/>
        <v>0</v>
      </c>
    </row>
    <row r="308" spans="2:45" outlineLevel="1" x14ac:dyDescent="0.35">
      <c r="B308" s="294" t="s">
        <v>106</v>
      </c>
      <c r="C308" s="62" t="s">
        <v>147</v>
      </c>
      <c r="D308" s="70">
        <v>51949.886359839547</v>
      </c>
      <c r="E308" s="70">
        <v>52487.953656179103</v>
      </c>
      <c r="F308" s="167">
        <f t="shared" si="131"/>
        <v>1.0357429708556871E-2</v>
      </c>
      <c r="G308" s="70">
        <v>55512.522261700899</v>
      </c>
      <c r="H308" s="167">
        <f t="shared" si="137"/>
        <v>5.7624052660428506E-2</v>
      </c>
      <c r="I308" s="70">
        <v>56320.5</v>
      </c>
      <c r="J308" s="167">
        <f t="shared" si="138"/>
        <v>1.4554873484041636E-2</v>
      </c>
      <c r="K308" s="70">
        <v>51585</v>
      </c>
      <c r="L308" s="167">
        <f t="shared" si="139"/>
        <v>-8.4081284789730204E-2</v>
      </c>
      <c r="M308" s="164">
        <f t="shared" si="140"/>
        <v>267855.86227771954</v>
      </c>
      <c r="N308" s="165">
        <f t="shared" si="132"/>
        <v>-1.7605977012128404E-3</v>
      </c>
      <c r="P308" s="6">
        <v>1103.3800000000001</v>
      </c>
      <c r="Q308" s="6">
        <v>50864.480000000003</v>
      </c>
      <c r="R308" s="138">
        <f t="shared" si="141"/>
        <v>51967.86</v>
      </c>
      <c r="S308" s="185">
        <f t="shared" si="133"/>
        <v>7.4219249781913464E-3</v>
      </c>
      <c r="T308" s="6">
        <v>3762.54</v>
      </c>
      <c r="U308" s="6">
        <v>1103.3800000000001</v>
      </c>
      <c r="V308" s="138">
        <f t="shared" si="142"/>
        <v>4865.92</v>
      </c>
      <c r="W308" s="6">
        <v>50864.480000000003</v>
      </c>
      <c r="X308" s="138">
        <f t="shared" si="143"/>
        <v>55730.400000000001</v>
      </c>
      <c r="Y308" s="167">
        <f t="shared" si="134"/>
        <v>7.2401288026868932E-2</v>
      </c>
      <c r="Z308" s="70"/>
      <c r="AA308" s="6">
        <v>5126.1000000000004</v>
      </c>
      <c r="AB308" s="138">
        <f t="shared" si="144"/>
        <v>5126.1000000000004</v>
      </c>
      <c r="AC308" s="6">
        <v>50864.480000000003</v>
      </c>
      <c r="AD308" s="138">
        <f t="shared" si="145"/>
        <v>55990.58</v>
      </c>
      <c r="AE308" s="167">
        <f t="shared" si="146"/>
        <v>4.6685471484145154E-3</v>
      </c>
      <c r="AF308" s="307"/>
      <c r="AG308" s="4">
        <v>5126.1000000000004</v>
      </c>
      <c r="AH308" s="138">
        <f t="shared" si="147"/>
        <v>5126.1000000000004</v>
      </c>
      <c r="AI308" s="6">
        <v>50864.480000000003</v>
      </c>
      <c r="AJ308" s="138">
        <f t="shared" si="148"/>
        <v>55990.58</v>
      </c>
      <c r="AK308" s="167">
        <f t="shared" si="149"/>
        <v>0</v>
      </c>
      <c r="AL308" s="6"/>
      <c r="AM308" s="6">
        <v>5126.1000000000004</v>
      </c>
      <c r="AN308" s="138">
        <f t="shared" si="150"/>
        <v>5126.1000000000004</v>
      </c>
      <c r="AO308" s="6">
        <v>50864.480000000003</v>
      </c>
      <c r="AP308" s="138">
        <f t="shared" si="151"/>
        <v>55990.58</v>
      </c>
      <c r="AQ308" s="167">
        <f t="shared" si="152"/>
        <v>0</v>
      </c>
      <c r="AR308" s="164">
        <f t="shared" si="135"/>
        <v>275670.00000000006</v>
      </c>
      <c r="AS308" s="165">
        <f t="shared" si="136"/>
        <v>1.8814302839286201E-2</v>
      </c>
    </row>
    <row r="309" spans="2:45" outlineLevel="1" x14ac:dyDescent="0.35">
      <c r="B309" s="294" t="s">
        <v>107</v>
      </c>
      <c r="C309" s="62" t="s">
        <v>147</v>
      </c>
      <c r="D309" s="70">
        <v>20970.08383300417</v>
      </c>
      <c r="E309" s="70">
        <v>5086.0406578944403</v>
      </c>
      <c r="F309" s="167">
        <f t="shared" si="131"/>
        <v>-0.75746207318972769</v>
      </c>
      <c r="G309" s="70">
        <v>2549.1541612173</v>
      </c>
      <c r="H309" s="167">
        <f t="shared" si="137"/>
        <v>-0.49879398678015696</v>
      </c>
      <c r="I309" s="70">
        <v>2722.1</v>
      </c>
      <c r="J309" s="167">
        <f t="shared" si="138"/>
        <v>6.784440165051174E-2</v>
      </c>
      <c r="K309" s="70">
        <v>3310.7</v>
      </c>
      <c r="L309" s="167">
        <f t="shared" si="139"/>
        <v>0.21623011645420812</v>
      </c>
      <c r="M309" s="164">
        <f t="shared" si="140"/>
        <v>34638.07865211591</v>
      </c>
      <c r="N309" s="165">
        <f t="shared" si="132"/>
        <v>-0.36965267300179905</v>
      </c>
      <c r="P309" s="6"/>
      <c r="Q309" s="6">
        <v>3266.45</v>
      </c>
      <c r="R309" s="138">
        <f t="shared" si="141"/>
        <v>3266.45</v>
      </c>
      <c r="S309" s="185">
        <f t="shared" si="133"/>
        <v>-1.3365753466034374E-2</v>
      </c>
      <c r="T309" s="6"/>
      <c r="U309" s="6"/>
      <c r="V309" s="138">
        <f t="shared" si="142"/>
        <v>0</v>
      </c>
      <c r="W309" s="6">
        <v>3266.45</v>
      </c>
      <c r="X309" s="138">
        <f t="shared" si="143"/>
        <v>3266.45</v>
      </c>
      <c r="Y309" s="167">
        <f t="shared" si="134"/>
        <v>0</v>
      </c>
      <c r="Z309" s="70"/>
      <c r="AA309" s="6"/>
      <c r="AB309" s="138">
        <f t="shared" si="144"/>
        <v>0</v>
      </c>
      <c r="AC309" s="6">
        <v>3266.45</v>
      </c>
      <c r="AD309" s="138">
        <f t="shared" si="145"/>
        <v>3266.45</v>
      </c>
      <c r="AE309" s="167">
        <f t="shared" si="146"/>
        <v>0</v>
      </c>
      <c r="AF309" s="307"/>
      <c r="AG309" s="4"/>
      <c r="AH309" s="138">
        <f t="shared" si="147"/>
        <v>0</v>
      </c>
      <c r="AI309" s="6">
        <v>3266.45</v>
      </c>
      <c r="AJ309" s="138">
        <f t="shared" si="148"/>
        <v>3266.45</v>
      </c>
      <c r="AK309" s="167">
        <f t="shared" si="149"/>
        <v>0</v>
      </c>
      <c r="AL309" s="6"/>
      <c r="AM309" s="6"/>
      <c r="AN309" s="138">
        <f t="shared" si="150"/>
        <v>0</v>
      </c>
      <c r="AO309" s="6">
        <v>3266.45</v>
      </c>
      <c r="AP309" s="138">
        <f t="shared" si="151"/>
        <v>3266.45</v>
      </c>
      <c r="AQ309" s="167">
        <f t="shared" si="152"/>
        <v>0</v>
      </c>
      <c r="AR309" s="164">
        <f t="shared" si="135"/>
        <v>16332.25</v>
      </c>
      <c r="AS309" s="165">
        <f t="shared" si="136"/>
        <v>0</v>
      </c>
    </row>
    <row r="310" spans="2:45" outlineLevel="1" x14ac:dyDescent="0.35">
      <c r="B310" s="294" t="s">
        <v>108</v>
      </c>
      <c r="C310" s="62" t="s">
        <v>147</v>
      </c>
      <c r="D310" s="70">
        <v>0</v>
      </c>
      <c r="E310" s="70">
        <v>0</v>
      </c>
      <c r="F310" s="167">
        <f t="shared" si="131"/>
        <v>0</v>
      </c>
      <c r="G310" s="70">
        <v>0</v>
      </c>
      <c r="H310" s="167">
        <f t="shared" si="137"/>
        <v>0</v>
      </c>
      <c r="I310" s="70"/>
      <c r="J310" s="167">
        <f t="shared" si="138"/>
        <v>0</v>
      </c>
      <c r="K310" s="70"/>
      <c r="L310" s="167">
        <f t="shared" si="139"/>
        <v>0</v>
      </c>
      <c r="M310" s="164">
        <f t="shared" si="140"/>
        <v>0</v>
      </c>
      <c r="N310" s="165">
        <f t="shared" si="132"/>
        <v>0</v>
      </c>
      <c r="P310" s="6"/>
      <c r="Q310" s="6"/>
      <c r="R310" s="138">
        <f t="shared" si="141"/>
        <v>0</v>
      </c>
      <c r="S310" s="185">
        <f t="shared" si="133"/>
        <v>0</v>
      </c>
      <c r="T310" s="6"/>
      <c r="U310" s="6"/>
      <c r="V310" s="138">
        <f t="shared" si="142"/>
        <v>0</v>
      </c>
      <c r="W310" s="6"/>
      <c r="X310" s="138">
        <f t="shared" si="143"/>
        <v>0</v>
      </c>
      <c r="Y310" s="167">
        <f t="shared" si="134"/>
        <v>0</v>
      </c>
      <c r="Z310" s="70"/>
      <c r="AA310" s="6"/>
      <c r="AB310" s="138">
        <f t="shared" si="144"/>
        <v>0</v>
      </c>
      <c r="AC310" s="6"/>
      <c r="AD310" s="138">
        <f t="shared" si="145"/>
        <v>0</v>
      </c>
      <c r="AE310" s="167">
        <f t="shared" si="146"/>
        <v>0</v>
      </c>
      <c r="AF310" s="307"/>
      <c r="AG310" s="4"/>
      <c r="AH310" s="138">
        <f t="shared" si="147"/>
        <v>0</v>
      </c>
      <c r="AI310" s="6"/>
      <c r="AJ310" s="138">
        <f t="shared" si="148"/>
        <v>0</v>
      </c>
      <c r="AK310" s="167">
        <f t="shared" si="149"/>
        <v>0</v>
      </c>
      <c r="AL310" s="6"/>
      <c r="AM310" s="6"/>
      <c r="AN310" s="138">
        <f t="shared" si="150"/>
        <v>0</v>
      </c>
      <c r="AO310" s="6"/>
      <c r="AP310" s="138">
        <f t="shared" si="151"/>
        <v>0</v>
      </c>
      <c r="AQ310" s="167">
        <f t="shared" si="152"/>
        <v>0</v>
      </c>
      <c r="AR310" s="164">
        <f t="shared" si="135"/>
        <v>0</v>
      </c>
      <c r="AS310" s="165">
        <f t="shared" si="136"/>
        <v>0</v>
      </c>
    </row>
    <row r="311" spans="2:45" outlineLevel="1" x14ac:dyDescent="0.35">
      <c r="B311" s="294" t="s">
        <v>109</v>
      </c>
      <c r="C311" s="62" t="s">
        <v>147</v>
      </c>
      <c r="D311" s="70">
        <v>0</v>
      </c>
      <c r="E311" s="70">
        <v>0</v>
      </c>
      <c r="F311" s="167">
        <f t="shared" si="131"/>
        <v>0</v>
      </c>
      <c r="G311" s="70">
        <v>0</v>
      </c>
      <c r="H311" s="167">
        <f t="shared" si="137"/>
        <v>0</v>
      </c>
      <c r="I311" s="70"/>
      <c r="J311" s="167">
        <f t="shared" si="138"/>
        <v>0</v>
      </c>
      <c r="K311" s="70"/>
      <c r="L311" s="167">
        <f t="shared" si="139"/>
        <v>0</v>
      </c>
      <c r="M311" s="164">
        <f t="shared" si="140"/>
        <v>0</v>
      </c>
      <c r="N311" s="165">
        <f t="shared" si="132"/>
        <v>0</v>
      </c>
      <c r="P311" s="6"/>
      <c r="Q311" s="6"/>
      <c r="R311" s="138">
        <f t="shared" si="141"/>
        <v>0</v>
      </c>
      <c r="S311" s="185">
        <f t="shared" si="133"/>
        <v>0</v>
      </c>
      <c r="T311" s="6"/>
      <c r="U311" s="6"/>
      <c r="V311" s="138">
        <f t="shared" si="142"/>
        <v>0</v>
      </c>
      <c r="W311" s="6"/>
      <c r="X311" s="138">
        <f t="shared" si="143"/>
        <v>0</v>
      </c>
      <c r="Y311" s="167">
        <f t="shared" si="134"/>
        <v>0</v>
      </c>
      <c r="Z311" s="70"/>
      <c r="AA311" s="6"/>
      <c r="AB311" s="138">
        <f t="shared" si="144"/>
        <v>0</v>
      </c>
      <c r="AC311" s="6"/>
      <c r="AD311" s="138">
        <f t="shared" si="145"/>
        <v>0</v>
      </c>
      <c r="AE311" s="167">
        <f t="shared" si="146"/>
        <v>0</v>
      </c>
      <c r="AF311" s="307"/>
      <c r="AG311" s="4"/>
      <c r="AH311" s="138">
        <f t="shared" si="147"/>
        <v>0</v>
      </c>
      <c r="AI311" s="6"/>
      <c r="AJ311" s="138">
        <f t="shared" si="148"/>
        <v>0</v>
      </c>
      <c r="AK311" s="167">
        <f t="shared" si="149"/>
        <v>0</v>
      </c>
      <c r="AL311" s="6"/>
      <c r="AM311" s="6"/>
      <c r="AN311" s="138">
        <f t="shared" si="150"/>
        <v>0</v>
      </c>
      <c r="AO311" s="6"/>
      <c r="AP311" s="138">
        <f t="shared" si="151"/>
        <v>0</v>
      </c>
      <c r="AQ311" s="167">
        <f t="shared" si="152"/>
        <v>0</v>
      </c>
      <c r="AR311" s="164">
        <f t="shared" si="135"/>
        <v>0</v>
      </c>
      <c r="AS311" s="165">
        <f t="shared" si="136"/>
        <v>0</v>
      </c>
    </row>
    <row r="312" spans="2:45" outlineLevel="1" x14ac:dyDescent="0.35">
      <c r="B312" s="294" t="s">
        <v>110</v>
      </c>
      <c r="C312" s="62" t="s">
        <v>147</v>
      </c>
      <c r="D312" s="70">
        <v>0</v>
      </c>
      <c r="E312" s="70">
        <v>0</v>
      </c>
      <c r="F312" s="167">
        <f t="shared" si="131"/>
        <v>0</v>
      </c>
      <c r="G312" s="70">
        <v>0</v>
      </c>
      <c r="H312" s="167">
        <f t="shared" si="137"/>
        <v>0</v>
      </c>
      <c r="I312" s="70"/>
      <c r="J312" s="167">
        <f t="shared" si="138"/>
        <v>0</v>
      </c>
      <c r="K312" s="70"/>
      <c r="L312" s="167">
        <f t="shared" si="139"/>
        <v>0</v>
      </c>
      <c r="M312" s="164">
        <f t="shared" si="140"/>
        <v>0</v>
      </c>
      <c r="N312" s="165">
        <f t="shared" si="132"/>
        <v>0</v>
      </c>
      <c r="P312" s="6"/>
      <c r="Q312" s="6"/>
      <c r="R312" s="138">
        <f t="shared" si="141"/>
        <v>0</v>
      </c>
      <c r="S312" s="185">
        <f t="shared" si="133"/>
        <v>0</v>
      </c>
      <c r="T312" s="6"/>
      <c r="U312" s="6"/>
      <c r="V312" s="138">
        <f t="shared" si="142"/>
        <v>0</v>
      </c>
      <c r="W312" s="6"/>
      <c r="X312" s="138">
        <f t="shared" si="143"/>
        <v>0</v>
      </c>
      <c r="Y312" s="167">
        <f t="shared" si="134"/>
        <v>0</v>
      </c>
      <c r="Z312" s="70"/>
      <c r="AA312" s="6"/>
      <c r="AB312" s="138">
        <f t="shared" si="144"/>
        <v>0</v>
      </c>
      <c r="AC312" s="6"/>
      <c r="AD312" s="138">
        <f t="shared" si="145"/>
        <v>0</v>
      </c>
      <c r="AE312" s="167">
        <f t="shared" si="146"/>
        <v>0</v>
      </c>
      <c r="AF312" s="307"/>
      <c r="AG312" s="4"/>
      <c r="AH312" s="138">
        <f t="shared" si="147"/>
        <v>0</v>
      </c>
      <c r="AI312" s="6"/>
      <c r="AJ312" s="138">
        <f t="shared" si="148"/>
        <v>0</v>
      </c>
      <c r="AK312" s="167">
        <f t="shared" si="149"/>
        <v>0</v>
      </c>
      <c r="AL312" s="6"/>
      <c r="AM312" s="6"/>
      <c r="AN312" s="138">
        <f t="shared" si="150"/>
        <v>0</v>
      </c>
      <c r="AO312" s="6"/>
      <c r="AP312" s="138">
        <f t="shared" si="151"/>
        <v>0</v>
      </c>
      <c r="AQ312" s="167">
        <f t="shared" si="152"/>
        <v>0</v>
      </c>
      <c r="AR312" s="164">
        <f t="shared" si="135"/>
        <v>0</v>
      </c>
      <c r="AS312" s="165">
        <f t="shared" si="136"/>
        <v>0</v>
      </c>
    </row>
    <row r="313" spans="2:45" outlineLevel="1" x14ac:dyDescent="0.35">
      <c r="B313" s="294" t="s">
        <v>111</v>
      </c>
      <c r="C313" s="62" t="s">
        <v>147</v>
      </c>
      <c r="D313" s="70">
        <v>9147.8059025722869</v>
      </c>
      <c r="E313" s="70">
        <v>4239.2257955334198</v>
      </c>
      <c r="F313" s="167">
        <f t="shared" si="131"/>
        <v>-0.53658551124905429</v>
      </c>
      <c r="G313" s="70">
        <v>5917.5407594653698</v>
      </c>
      <c r="H313" s="167">
        <f t="shared" si="137"/>
        <v>0.39590129067913171</v>
      </c>
      <c r="I313" s="70">
        <v>8623.7000000000007</v>
      </c>
      <c r="J313" s="167">
        <f t="shared" si="138"/>
        <v>0.4573114661197743</v>
      </c>
      <c r="K313" s="70">
        <v>7913.8</v>
      </c>
      <c r="L313" s="167">
        <f t="shared" si="139"/>
        <v>-8.2319653976831345E-2</v>
      </c>
      <c r="M313" s="164">
        <f t="shared" si="140"/>
        <v>35842.072457571077</v>
      </c>
      <c r="N313" s="165">
        <f t="shared" si="132"/>
        <v>-3.5578169785042801E-2</v>
      </c>
      <c r="P313" s="6"/>
      <c r="Q313" s="6">
        <v>7808.68</v>
      </c>
      <c r="R313" s="138">
        <f t="shared" si="141"/>
        <v>7808.68</v>
      </c>
      <c r="S313" s="185">
        <f t="shared" si="133"/>
        <v>-1.3283125679193293E-2</v>
      </c>
      <c r="T313" s="6"/>
      <c r="U313" s="6"/>
      <c r="V313" s="138">
        <f t="shared" si="142"/>
        <v>0</v>
      </c>
      <c r="W313" s="6">
        <v>7808.68</v>
      </c>
      <c r="X313" s="138">
        <f t="shared" si="143"/>
        <v>7808.68</v>
      </c>
      <c r="Y313" s="167">
        <f t="shared" si="134"/>
        <v>0</v>
      </c>
      <c r="Z313" s="70"/>
      <c r="AA313" s="6"/>
      <c r="AB313" s="138">
        <f t="shared" si="144"/>
        <v>0</v>
      </c>
      <c r="AC313" s="6">
        <v>7808.68</v>
      </c>
      <c r="AD313" s="138">
        <f t="shared" si="145"/>
        <v>7808.68</v>
      </c>
      <c r="AE313" s="167">
        <f t="shared" si="146"/>
        <v>0</v>
      </c>
      <c r="AF313" s="307"/>
      <c r="AG313" s="4"/>
      <c r="AH313" s="138">
        <f t="shared" si="147"/>
        <v>0</v>
      </c>
      <c r="AI313" s="6">
        <v>7808.68</v>
      </c>
      <c r="AJ313" s="138">
        <f t="shared" si="148"/>
        <v>7808.68</v>
      </c>
      <c r="AK313" s="167">
        <f t="shared" si="149"/>
        <v>0</v>
      </c>
      <c r="AL313" s="6"/>
      <c r="AM313" s="6"/>
      <c r="AN313" s="138">
        <f t="shared" si="150"/>
        <v>0</v>
      </c>
      <c r="AO313" s="6">
        <v>7808.68</v>
      </c>
      <c r="AP313" s="138">
        <f t="shared" si="151"/>
        <v>7808.68</v>
      </c>
      <c r="AQ313" s="167">
        <f t="shared" si="152"/>
        <v>0</v>
      </c>
      <c r="AR313" s="164">
        <f t="shared" si="135"/>
        <v>39043.4</v>
      </c>
      <c r="AS313" s="165">
        <f t="shared" si="136"/>
        <v>0</v>
      </c>
    </row>
    <row r="314" spans="2:45" outlineLevel="1" x14ac:dyDescent="0.35">
      <c r="B314" s="294" t="s">
        <v>112</v>
      </c>
      <c r="C314" s="62" t="s">
        <v>147</v>
      </c>
      <c r="D314" s="70">
        <v>32491.007744589337</v>
      </c>
      <c r="E314" s="70">
        <v>30508.461431240801</v>
      </c>
      <c r="F314" s="167">
        <f t="shared" si="131"/>
        <v>-6.1018307863309813E-2</v>
      </c>
      <c r="G314" s="70">
        <v>24226.8653821261</v>
      </c>
      <c r="H314" s="167">
        <f t="shared" si="137"/>
        <v>-0.20589684810137029</v>
      </c>
      <c r="I314" s="70">
        <v>21683.9</v>
      </c>
      <c r="J314" s="167">
        <f t="shared" si="138"/>
        <v>-0.10496468866344659</v>
      </c>
      <c r="K314" s="70">
        <v>20400.400000000001</v>
      </c>
      <c r="L314" s="167">
        <f t="shared" si="139"/>
        <v>-5.919138162415432E-2</v>
      </c>
      <c r="M314" s="164">
        <f t="shared" si="140"/>
        <v>129310.63455795622</v>
      </c>
      <c r="N314" s="165">
        <f t="shared" si="132"/>
        <v>-0.10983835970904299</v>
      </c>
      <c r="P314" s="6"/>
      <c r="Q314" s="6">
        <v>20135.46</v>
      </c>
      <c r="R314" s="138">
        <f t="shared" si="141"/>
        <v>20135.46</v>
      </c>
      <c r="S314" s="185">
        <f t="shared" si="133"/>
        <v>-1.2987000254897076E-2</v>
      </c>
      <c r="T314" s="6"/>
      <c r="U314" s="6"/>
      <c r="V314" s="138">
        <f t="shared" si="142"/>
        <v>0</v>
      </c>
      <c r="W314" s="6">
        <v>20135.46</v>
      </c>
      <c r="X314" s="138">
        <f t="shared" si="143"/>
        <v>20135.46</v>
      </c>
      <c r="Y314" s="167">
        <f t="shared" si="134"/>
        <v>0</v>
      </c>
      <c r="Z314" s="70"/>
      <c r="AA314" s="6"/>
      <c r="AB314" s="138">
        <f t="shared" si="144"/>
        <v>0</v>
      </c>
      <c r="AC314" s="6">
        <v>20135.46</v>
      </c>
      <c r="AD314" s="138">
        <f t="shared" si="145"/>
        <v>20135.46</v>
      </c>
      <c r="AE314" s="167">
        <f t="shared" si="146"/>
        <v>0</v>
      </c>
      <c r="AF314" s="307"/>
      <c r="AG314" s="4"/>
      <c r="AH314" s="138">
        <f t="shared" si="147"/>
        <v>0</v>
      </c>
      <c r="AI314" s="6">
        <v>20135.46</v>
      </c>
      <c r="AJ314" s="138">
        <f t="shared" si="148"/>
        <v>20135.46</v>
      </c>
      <c r="AK314" s="167">
        <f t="shared" si="149"/>
        <v>0</v>
      </c>
      <c r="AL314" s="6"/>
      <c r="AM314" s="6"/>
      <c r="AN314" s="138">
        <f t="shared" si="150"/>
        <v>0</v>
      </c>
      <c r="AO314" s="6">
        <v>20135.46</v>
      </c>
      <c r="AP314" s="138">
        <f t="shared" si="151"/>
        <v>20135.46</v>
      </c>
      <c r="AQ314" s="167">
        <f t="shared" si="152"/>
        <v>0</v>
      </c>
      <c r="AR314" s="164">
        <f t="shared" si="135"/>
        <v>100677.29999999999</v>
      </c>
      <c r="AS314" s="165">
        <f t="shared" si="136"/>
        <v>0</v>
      </c>
    </row>
    <row r="315" spans="2:45" outlineLevel="1" x14ac:dyDescent="0.35">
      <c r="B315" s="294" t="s">
        <v>113</v>
      </c>
      <c r="C315" s="62" t="s">
        <v>147</v>
      </c>
      <c r="D315" s="70">
        <v>0</v>
      </c>
      <c r="E315" s="70">
        <v>0</v>
      </c>
      <c r="F315" s="167">
        <f t="shared" si="131"/>
        <v>0</v>
      </c>
      <c r="G315" s="70">
        <v>0</v>
      </c>
      <c r="H315" s="167">
        <f t="shared" si="137"/>
        <v>0</v>
      </c>
      <c r="I315" s="70"/>
      <c r="J315" s="167">
        <f t="shared" si="138"/>
        <v>0</v>
      </c>
      <c r="K315" s="70">
        <v>295.7</v>
      </c>
      <c r="L315" s="167">
        <f t="shared" si="139"/>
        <v>0</v>
      </c>
      <c r="M315" s="164">
        <f t="shared" si="140"/>
        <v>295.7</v>
      </c>
      <c r="N315" s="165">
        <f t="shared" si="132"/>
        <v>0</v>
      </c>
      <c r="P315" s="6"/>
      <c r="Q315" s="6">
        <v>2298.6999999999998</v>
      </c>
      <c r="R315" s="138">
        <f t="shared" si="141"/>
        <v>2298.6999999999998</v>
      </c>
      <c r="S315" s="185">
        <f t="shared" si="133"/>
        <v>6.7737571863375035</v>
      </c>
      <c r="T315" s="6"/>
      <c r="U315" s="6"/>
      <c r="V315" s="138">
        <f t="shared" si="142"/>
        <v>0</v>
      </c>
      <c r="W315" s="6">
        <v>2298.6999999999998</v>
      </c>
      <c r="X315" s="138">
        <f t="shared" si="143"/>
        <v>2298.6999999999998</v>
      </c>
      <c r="Y315" s="167">
        <f t="shared" si="134"/>
        <v>0</v>
      </c>
      <c r="Z315" s="70"/>
      <c r="AA315" s="6"/>
      <c r="AB315" s="138">
        <f t="shared" si="144"/>
        <v>0</v>
      </c>
      <c r="AC315" s="6">
        <v>2298.6999999999998</v>
      </c>
      <c r="AD315" s="138">
        <f t="shared" si="145"/>
        <v>2298.6999999999998</v>
      </c>
      <c r="AE315" s="167">
        <f t="shared" si="146"/>
        <v>0</v>
      </c>
      <c r="AF315" s="307"/>
      <c r="AG315" s="4"/>
      <c r="AH315" s="138">
        <f t="shared" si="147"/>
        <v>0</v>
      </c>
      <c r="AI315" s="6">
        <v>2298.6999999999998</v>
      </c>
      <c r="AJ315" s="138">
        <f t="shared" si="148"/>
        <v>2298.6999999999998</v>
      </c>
      <c r="AK315" s="167">
        <f t="shared" si="149"/>
        <v>0</v>
      </c>
      <c r="AL315" s="6"/>
      <c r="AM315" s="6"/>
      <c r="AN315" s="138">
        <f t="shared" si="150"/>
        <v>0</v>
      </c>
      <c r="AO315" s="6">
        <v>2298.6999999999998</v>
      </c>
      <c r="AP315" s="138">
        <f t="shared" si="151"/>
        <v>2298.6999999999998</v>
      </c>
      <c r="AQ315" s="167">
        <f t="shared" si="152"/>
        <v>0</v>
      </c>
      <c r="AR315" s="164">
        <f t="shared" si="135"/>
        <v>11493.5</v>
      </c>
      <c r="AS315" s="165">
        <f t="shared" si="136"/>
        <v>0</v>
      </c>
    </row>
    <row r="316" spans="2:45" outlineLevel="1" x14ac:dyDescent="0.35">
      <c r="B316" s="294" t="s">
        <v>114</v>
      </c>
      <c r="C316" s="62" t="s">
        <v>147</v>
      </c>
      <c r="D316" s="70">
        <v>0</v>
      </c>
      <c r="E316" s="70">
        <v>0</v>
      </c>
      <c r="F316" s="167">
        <f t="shared" si="131"/>
        <v>0</v>
      </c>
      <c r="G316" s="70">
        <v>0</v>
      </c>
      <c r="H316" s="167">
        <f t="shared" si="137"/>
        <v>0</v>
      </c>
      <c r="I316" s="70"/>
      <c r="J316" s="167">
        <f t="shared" si="138"/>
        <v>0</v>
      </c>
      <c r="K316" s="70"/>
      <c r="L316" s="167">
        <f t="shared" si="139"/>
        <v>0</v>
      </c>
      <c r="M316" s="164">
        <f t="shared" si="140"/>
        <v>0</v>
      </c>
      <c r="N316" s="165">
        <f t="shared" si="132"/>
        <v>0</v>
      </c>
      <c r="P316" s="6"/>
      <c r="Q316" s="6"/>
      <c r="R316" s="138">
        <f t="shared" si="141"/>
        <v>0</v>
      </c>
      <c r="S316" s="185">
        <f t="shared" si="133"/>
        <v>0</v>
      </c>
      <c r="T316" s="6"/>
      <c r="U316" s="6"/>
      <c r="V316" s="138">
        <f t="shared" si="142"/>
        <v>0</v>
      </c>
      <c r="W316" s="6"/>
      <c r="X316" s="138">
        <f t="shared" si="143"/>
        <v>0</v>
      </c>
      <c r="Y316" s="167">
        <f t="shared" si="134"/>
        <v>0</v>
      </c>
      <c r="Z316" s="70"/>
      <c r="AA316" s="6"/>
      <c r="AB316" s="138">
        <f t="shared" si="144"/>
        <v>0</v>
      </c>
      <c r="AC316" s="6"/>
      <c r="AD316" s="138">
        <f t="shared" si="145"/>
        <v>0</v>
      </c>
      <c r="AE316" s="167">
        <f t="shared" si="146"/>
        <v>0</v>
      </c>
      <c r="AF316" s="307"/>
      <c r="AG316" s="4"/>
      <c r="AH316" s="138">
        <f t="shared" si="147"/>
        <v>0</v>
      </c>
      <c r="AI316" s="6"/>
      <c r="AJ316" s="138">
        <f t="shared" si="148"/>
        <v>0</v>
      </c>
      <c r="AK316" s="167">
        <f t="shared" si="149"/>
        <v>0</v>
      </c>
      <c r="AL316" s="6"/>
      <c r="AM316" s="6"/>
      <c r="AN316" s="138">
        <f t="shared" si="150"/>
        <v>0</v>
      </c>
      <c r="AO316" s="6"/>
      <c r="AP316" s="138">
        <f t="shared" si="151"/>
        <v>0</v>
      </c>
      <c r="AQ316" s="167">
        <f t="shared" si="152"/>
        <v>0</v>
      </c>
      <c r="AR316" s="164">
        <f t="shared" si="135"/>
        <v>0</v>
      </c>
      <c r="AS316" s="165">
        <f t="shared" si="136"/>
        <v>0</v>
      </c>
    </row>
    <row r="317" spans="2:45" outlineLevel="1" x14ac:dyDescent="0.35">
      <c r="B317" s="294" t="s">
        <v>115</v>
      </c>
      <c r="C317" s="62" t="s">
        <v>147</v>
      </c>
      <c r="D317" s="70">
        <v>0</v>
      </c>
      <c r="E317" s="70">
        <v>0</v>
      </c>
      <c r="F317" s="167">
        <f t="shared" si="131"/>
        <v>0</v>
      </c>
      <c r="G317" s="70">
        <v>0</v>
      </c>
      <c r="H317" s="167">
        <f t="shared" si="137"/>
        <v>0</v>
      </c>
      <c r="I317" s="70"/>
      <c r="J317" s="167">
        <f t="shared" si="138"/>
        <v>0</v>
      </c>
      <c r="K317" s="70"/>
      <c r="L317" s="167">
        <f t="shared" si="139"/>
        <v>0</v>
      </c>
      <c r="M317" s="164">
        <f t="shared" si="140"/>
        <v>0</v>
      </c>
      <c r="N317" s="165">
        <f t="shared" si="132"/>
        <v>0</v>
      </c>
      <c r="P317" s="6">
        <v>3218.18</v>
      </c>
      <c r="Q317" s="6"/>
      <c r="R317" s="138">
        <f t="shared" si="141"/>
        <v>3218.18</v>
      </c>
      <c r="S317" s="185">
        <f t="shared" si="133"/>
        <v>0</v>
      </c>
      <c r="T317" s="6"/>
      <c r="U317" s="6">
        <v>5746.75</v>
      </c>
      <c r="V317" s="138">
        <f t="shared" si="142"/>
        <v>5746.75</v>
      </c>
      <c r="W317" s="6"/>
      <c r="X317" s="138">
        <f t="shared" si="143"/>
        <v>5746.75</v>
      </c>
      <c r="Y317" s="167">
        <f t="shared" si="134"/>
        <v>0.78571428571428581</v>
      </c>
      <c r="Z317" s="70"/>
      <c r="AA317" s="6">
        <v>5746.75</v>
      </c>
      <c r="AB317" s="138">
        <f t="shared" si="144"/>
        <v>5746.75</v>
      </c>
      <c r="AC317" s="6"/>
      <c r="AD317" s="138">
        <f t="shared" si="145"/>
        <v>5746.75</v>
      </c>
      <c r="AE317" s="167">
        <f t="shared" si="146"/>
        <v>0</v>
      </c>
      <c r="AF317" s="307"/>
      <c r="AG317" s="4">
        <v>5746.75</v>
      </c>
      <c r="AH317" s="138">
        <f t="shared" si="147"/>
        <v>5746.75</v>
      </c>
      <c r="AI317" s="6"/>
      <c r="AJ317" s="138">
        <f t="shared" si="148"/>
        <v>5746.75</v>
      </c>
      <c r="AK317" s="167">
        <f t="shared" si="149"/>
        <v>0</v>
      </c>
      <c r="AL317" s="6"/>
      <c r="AM317" s="6">
        <v>5746.75</v>
      </c>
      <c r="AN317" s="138">
        <f t="shared" si="150"/>
        <v>5746.75</v>
      </c>
      <c r="AO317" s="6"/>
      <c r="AP317" s="138">
        <f t="shared" si="151"/>
        <v>5746.75</v>
      </c>
      <c r="AQ317" s="167">
        <f t="shared" si="152"/>
        <v>0</v>
      </c>
      <c r="AR317" s="164">
        <f t="shared" si="135"/>
        <v>26205.18</v>
      </c>
      <c r="AS317" s="165">
        <f t="shared" si="136"/>
        <v>0.15598711479069771</v>
      </c>
    </row>
    <row r="318" spans="2:45" outlineLevel="1" x14ac:dyDescent="0.35">
      <c r="B318" s="294" t="s">
        <v>116</v>
      </c>
      <c r="C318" s="62" t="s">
        <v>147</v>
      </c>
      <c r="D318" s="70">
        <v>0</v>
      </c>
      <c r="E318" s="70">
        <v>0</v>
      </c>
      <c r="F318" s="167">
        <f t="shared" si="131"/>
        <v>0</v>
      </c>
      <c r="G318" s="70">
        <v>0</v>
      </c>
      <c r="H318" s="167">
        <f t="shared" si="137"/>
        <v>0</v>
      </c>
      <c r="I318" s="70"/>
      <c r="J318" s="167">
        <f t="shared" si="138"/>
        <v>0</v>
      </c>
      <c r="K318" s="70"/>
      <c r="L318" s="167">
        <f t="shared" si="139"/>
        <v>0</v>
      </c>
      <c r="M318" s="164">
        <f t="shared" si="140"/>
        <v>0</v>
      </c>
      <c r="N318" s="165">
        <f t="shared" si="132"/>
        <v>0</v>
      </c>
      <c r="P318" s="6"/>
      <c r="Q318" s="6"/>
      <c r="R318" s="138">
        <f t="shared" si="141"/>
        <v>0</v>
      </c>
      <c r="S318" s="185">
        <f t="shared" si="133"/>
        <v>0</v>
      </c>
      <c r="T318" s="6"/>
      <c r="U318" s="6"/>
      <c r="V318" s="138">
        <f t="shared" si="142"/>
        <v>0</v>
      </c>
      <c r="W318" s="6"/>
      <c r="X318" s="138">
        <f t="shared" si="143"/>
        <v>0</v>
      </c>
      <c r="Y318" s="167">
        <f t="shared" si="134"/>
        <v>0</v>
      </c>
      <c r="Z318" s="70"/>
      <c r="AA318" s="6"/>
      <c r="AB318" s="138">
        <f t="shared" si="144"/>
        <v>0</v>
      </c>
      <c r="AC318" s="6"/>
      <c r="AD318" s="138">
        <f t="shared" si="145"/>
        <v>0</v>
      </c>
      <c r="AE318" s="167">
        <f t="shared" si="146"/>
        <v>0</v>
      </c>
      <c r="AF318" s="307"/>
      <c r="AG318" s="4"/>
      <c r="AH318" s="138">
        <f t="shared" si="147"/>
        <v>0</v>
      </c>
      <c r="AI318" s="6"/>
      <c r="AJ318" s="138">
        <f t="shared" si="148"/>
        <v>0</v>
      </c>
      <c r="AK318" s="167">
        <f t="shared" si="149"/>
        <v>0</v>
      </c>
      <c r="AL318" s="6"/>
      <c r="AM318" s="6"/>
      <c r="AN318" s="138">
        <f t="shared" si="150"/>
        <v>0</v>
      </c>
      <c r="AO318" s="6"/>
      <c r="AP318" s="138">
        <f t="shared" si="151"/>
        <v>0</v>
      </c>
      <c r="AQ318" s="167">
        <f t="shared" si="152"/>
        <v>0</v>
      </c>
      <c r="AR318" s="164">
        <f t="shared" si="135"/>
        <v>0</v>
      </c>
      <c r="AS318" s="165">
        <f t="shared" si="136"/>
        <v>0</v>
      </c>
    </row>
    <row r="319" spans="2:45" outlineLevel="1" x14ac:dyDescent="0.35">
      <c r="B319" s="294" t="s">
        <v>117</v>
      </c>
      <c r="C319" s="62" t="s">
        <v>147</v>
      </c>
      <c r="D319" s="70">
        <v>17856.99227252763</v>
      </c>
      <c r="E319" s="70">
        <v>17607.308138675799</v>
      </c>
      <c r="F319" s="167">
        <f t="shared" si="131"/>
        <v>-1.3982429405872682E-2</v>
      </c>
      <c r="G319" s="70">
        <v>20986.263321415099</v>
      </c>
      <c r="H319" s="167">
        <f t="shared" si="137"/>
        <v>0.19190640364367606</v>
      </c>
      <c r="I319" s="70">
        <v>23890.7</v>
      </c>
      <c r="J319" s="167">
        <f t="shared" si="138"/>
        <v>0.1383970378195491</v>
      </c>
      <c r="K319" s="70">
        <v>24108.799999999999</v>
      </c>
      <c r="L319" s="167">
        <f t="shared" si="139"/>
        <v>9.1290753305678998E-3</v>
      </c>
      <c r="M319" s="164">
        <f t="shared" si="140"/>
        <v>104450.06373261852</v>
      </c>
      <c r="N319" s="165">
        <f t="shared" si="132"/>
        <v>7.7933132024095908E-2</v>
      </c>
      <c r="P319" s="6"/>
      <c r="Q319" s="6">
        <v>23784.07</v>
      </c>
      <c r="R319" s="138">
        <f t="shared" si="141"/>
        <v>23784.07</v>
      </c>
      <c r="S319" s="185">
        <f t="shared" si="133"/>
        <v>-1.3469355588001044E-2</v>
      </c>
      <c r="T319" s="6"/>
      <c r="U319" s="6"/>
      <c r="V319" s="138">
        <f t="shared" si="142"/>
        <v>0</v>
      </c>
      <c r="W319" s="6">
        <v>23784.07</v>
      </c>
      <c r="X319" s="138">
        <f t="shared" si="143"/>
        <v>23784.07</v>
      </c>
      <c r="Y319" s="167">
        <f t="shared" si="134"/>
        <v>0</v>
      </c>
      <c r="Z319" s="70"/>
      <c r="AA319" s="6"/>
      <c r="AB319" s="138">
        <f t="shared" si="144"/>
        <v>0</v>
      </c>
      <c r="AC319" s="6">
        <v>23784.07</v>
      </c>
      <c r="AD319" s="138">
        <f t="shared" si="145"/>
        <v>23784.07</v>
      </c>
      <c r="AE319" s="167">
        <f t="shared" si="146"/>
        <v>0</v>
      </c>
      <c r="AF319" s="307"/>
      <c r="AG319" s="4"/>
      <c r="AH319" s="138">
        <f t="shared" si="147"/>
        <v>0</v>
      </c>
      <c r="AI319" s="6">
        <v>23784.07</v>
      </c>
      <c r="AJ319" s="138">
        <f t="shared" si="148"/>
        <v>23784.07</v>
      </c>
      <c r="AK319" s="167">
        <f t="shared" si="149"/>
        <v>0</v>
      </c>
      <c r="AL319" s="6"/>
      <c r="AM319" s="6"/>
      <c r="AN319" s="138">
        <f t="shared" si="150"/>
        <v>0</v>
      </c>
      <c r="AO319" s="6">
        <v>23784.07</v>
      </c>
      <c r="AP319" s="138">
        <f t="shared" si="151"/>
        <v>23784.07</v>
      </c>
      <c r="AQ319" s="167">
        <f t="shared" si="152"/>
        <v>0</v>
      </c>
      <c r="AR319" s="164">
        <f t="shared" si="135"/>
        <v>118920.35</v>
      </c>
      <c r="AS319" s="165">
        <f t="shared" si="136"/>
        <v>0</v>
      </c>
    </row>
    <row r="320" spans="2:45" outlineLevel="1" x14ac:dyDescent="0.35">
      <c r="B320" s="294" t="s">
        <v>118</v>
      </c>
      <c r="C320" s="62" t="s">
        <v>147</v>
      </c>
      <c r="D320" s="70">
        <v>0</v>
      </c>
      <c r="E320" s="70">
        <v>0</v>
      </c>
      <c r="F320" s="167">
        <f t="shared" si="131"/>
        <v>0</v>
      </c>
      <c r="G320" s="70">
        <v>0</v>
      </c>
      <c r="H320" s="167">
        <f t="shared" si="137"/>
        <v>0</v>
      </c>
      <c r="I320" s="70"/>
      <c r="J320" s="167">
        <f t="shared" si="138"/>
        <v>0</v>
      </c>
      <c r="K320" s="70"/>
      <c r="L320" s="167">
        <f t="shared" si="139"/>
        <v>0</v>
      </c>
      <c r="M320" s="164">
        <f t="shared" si="140"/>
        <v>0</v>
      </c>
      <c r="N320" s="165">
        <f t="shared" si="132"/>
        <v>0</v>
      </c>
      <c r="P320" s="6"/>
      <c r="Q320" s="6"/>
      <c r="R320" s="138">
        <f t="shared" si="141"/>
        <v>0</v>
      </c>
      <c r="S320" s="185">
        <f t="shared" si="133"/>
        <v>0</v>
      </c>
      <c r="T320" s="6"/>
      <c r="U320" s="6"/>
      <c r="V320" s="138">
        <f t="shared" si="142"/>
        <v>0</v>
      </c>
      <c r="W320" s="6"/>
      <c r="X320" s="138">
        <f t="shared" si="143"/>
        <v>0</v>
      </c>
      <c r="Y320" s="167">
        <f t="shared" si="134"/>
        <v>0</v>
      </c>
      <c r="Z320" s="70"/>
      <c r="AA320" s="6"/>
      <c r="AB320" s="138">
        <f t="shared" si="144"/>
        <v>0</v>
      </c>
      <c r="AC320" s="6"/>
      <c r="AD320" s="138">
        <f t="shared" si="145"/>
        <v>0</v>
      </c>
      <c r="AE320" s="167">
        <f t="shared" si="146"/>
        <v>0</v>
      </c>
      <c r="AF320" s="307"/>
      <c r="AG320" s="4"/>
      <c r="AH320" s="138">
        <f t="shared" si="147"/>
        <v>0</v>
      </c>
      <c r="AI320" s="6"/>
      <c r="AJ320" s="138">
        <f t="shared" si="148"/>
        <v>0</v>
      </c>
      <c r="AK320" s="167">
        <f t="shared" si="149"/>
        <v>0</v>
      </c>
      <c r="AL320" s="6"/>
      <c r="AM320" s="6"/>
      <c r="AN320" s="138">
        <f t="shared" si="150"/>
        <v>0</v>
      </c>
      <c r="AO320" s="6"/>
      <c r="AP320" s="138">
        <f t="shared" si="151"/>
        <v>0</v>
      </c>
      <c r="AQ320" s="167">
        <f t="shared" si="152"/>
        <v>0</v>
      </c>
      <c r="AR320" s="164">
        <f t="shared" si="135"/>
        <v>0</v>
      </c>
      <c r="AS320" s="165">
        <f t="shared" si="136"/>
        <v>0</v>
      </c>
    </row>
    <row r="321" spans="2:45" outlineLevel="1" x14ac:dyDescent="0.35">
      <c r="B321" s="294" t="s">
        <v>119</v>
      </c>
      <c r="C321" s="62" t="s">
        <v>147</v>
      </c>
      <c r="D321" s="70">
        <v>0</v>
      </c>
      <c r="E321" s="70">
        <v>0</v>
      </c>
      <c r="F321" s="167">
        <f t="shared" si="131"/>
        <v>0</v>
      </c>
      <c r="G321" s="70">
        <v>309.27259445371601</v>
      </c>
      <c r="H321" s="167">
        <f t="shared" si="137"/>
        <v>0</v>
      </c>
      <c r="I321" s="70">
        <v>887.1</v>
      </c>
      <c r="J321" s="167">
        <f t="shared" si="138"/>
        <v>1.8683433835026027</v>
      </c>
      <c r="K321" s="70"/>
      <c r="L321" s="167">
        <f t="shared" si="139"/>
        <v>-1</v>
      </c>
      <c r="M321" s="164">
        <f t="shared" si="140"/>
        <v>1196.3725944537159</v>
      </c>
      <c r="N321" s="165">
        <f t="shared" si="132"/>
        <v>0</v>
      </c>
      <c r="P321" s="6">
        <v>1341.29</v>
      </c>
      <c r="Q321" s="6"/>
      <c r="R321" s="138">
        <f t="shared" si="141"/>
        <v>1341.29</v>
      </c>
      <c r="S321" s="185">
        <f t="shared" si="133"/>
        <v>0</v>
      </c>
      <c r="T321" s="6"/>
      <c r="U321" s="6">
        <v>1341.29</v>
      </c>
      <c r="V321" s="138">
        <f t="shared" si="142"/>
        <v>1341.29</v>
      </c>
      <c r="W321" s="6"/>
      <c r="X321" s="138">
        <f t="shared" si="143"/>
        <v>1341.29</v>
      </c>
      <c r="Y321" s="167">
        <f t="shared" si="134"/>
        <v>0</v>
      </c>
      <c r="Z321" s="70"/>
      <c r="AA321" s="6">
        <v>1341.29</v>
      </c>
      <c r="AB321" s="138">
        <f t="shared" si="144"/>
        <v>1341.29</v>
      </c>
      <c r="AC321" s="6"/>
      <c r="AD321" s="138">
        <f t="shared" si="145"/>
        <v>1341.29</v>
      </c>
      <c r="AE321" s="167">
        <f t="shared" si="146"/>
        <v>0</v>
      </c>
      <c r="AF321" s="307"/>
      <c r="AG321" s="4">
        <v>1341.29</v>
      </c>
      <c r="AH321" s="138">
        <f t="shared" si="147"/>
        <v>1341.29</v>
      </c>
      <c r="AI321" s="6"/>
      <c r="AJ321" s="138">
        <f t="shared" si="148"/>
        <v>1341.29</v>
      </c>
      <c r="AK321" s="167">
        <f t="shared" si="149"/>
        <v>0</v>
      </c>
      <c r="AL321" s="6"/>
      <c r="AM321" s="6">
        <v>1341.29</v>
      </c>
      <c r="AN321" s="138">
        <f t="shared" si="150"/>
        <v>1341.29</v>
      </c>
      <c r="AO321" s="6"/>
      <c r="AP321" s="138">
        <f t="shared" si="151"/>
        <v>1341.29</v>
      </c>
      <c r="AQ321" s="167">
        <f t="shared" si="152"/>
        <v>0</v>
      </c>
      <c r="AR321" s="164">
        <f t="shared" si="135"/>
        <v>6706.45</v>
      </c>
      <c r="AS321" s="165">
        <f t="shared" si="136"/>
        <v>0</v>
      </c>
    </row>
    <row r="322" spans="2:45" outlineLevel="1" x14ac:dyDescent="0.35">
      <c r="B322" s="294" t="s">
        <v>120</v>
      </c>
      <c r="C322" s="62" t="s">
        <v>147</v>
      </c>
      <c r="D322" s="70">
        <v>13160.673270963394</v>
      </c>
      <c r="E322" s="70">
        <v>13423.9008759798</v>
      </c>
      <c r="F322" s="167">
        <f t="shared" si="131"/>
        <v>2.0001074382506617E-2</v>
      </c>
      <c r="G322" s="70">
        <v>11887.442499793</v>
      </c>
      <c r="H322" s="167">
        <f t="shared" si="137"/>
        <v>-0.11445692205132996</v>
      </c>
      <c r="I322" s="70">
        <v>10721.3</v>
      </c>
      <c r="J322" s="167">
        <f t="shared" si="138"/>
        <v>-9.8098686896976137E-2</v>
      </c>
      <c r="K322" s="70">
        <v>6987.4</v>
      </c>
      <c r="L322" s="167">
        <f t="shared" si="139"/>
        <v>-0.34826933300998947</v>
      </c>
      <c r="M322" s="164">
        <f t="shared" si="140"/>
        <v>56180.716646736204</v>
      </c>
      <c r="N322" s="165">
        <f t="shared" si="132"/>
        <v>-0.14639023516753158</v>
      </c>
      <c r="P322" s="6"/>
      <c r="Q322" s="6">
        <v>6896.1</v>
      </c>
      <c r="R322" s="138">
        <f t="shared" si="141"/>
        <v>6896.1</v>
      </c>
      <c r="S322" s="185">
        <f t="shared" si="133"/>
        <v>-1.3066376620774433E-2</v>
      </c>
      <c r="T322" s="6"/>
      <c r="U322" s="6"/>
      <c r="V322" s="138">
        <f t="shared" si="142"/>
        <v>0</v>
      </c>
      <c r="W322" s="6">
        <v>6896.1</v>
      </c>
      <c r="X322" s="138">
        <f t="shared" si="143"/>
        <v>6896.1</v>
      </c>
      <c r="Y322" s="167">
        <f t="shared" si="134"/>
        <v>0</v>
      </c>
      <c r="Z322" s="70"/>
      <c r="AA322" s="6"/>
      <c r="AB322" s="138">
        <f t="shared" si="144"/>
        <v>0</v>
      </c>
      <c r="AC322" s="6">
        <v>6896.1</v>
      </c>
      <c r="AD322" s="138">
        <f t="shared" si="145"/>
        <v>6896.1</v>
      </c>
      <c r="AE322" s="167">
        <f t="shared" si="146"/>
        <v>0</v>
      </c>
      <c r="AF322" s="307"/>
      <c r="AG322" s="4"/>
      <c r="AH322" s="138">
        <f t="shared" si="147"/>
        <v>0</v>
      </c>
      <c r="AI322" s="6">
        <v>6896.1</v>
      </c>
      <c r="AJ322" s="138">
        <f t="shared" si="148"/>
        <v>6896.1</v>
      </c>
      <c r="AK322" s="167">
        <f t="shared" si="149"/>
        <v>0</v>
      </c>
      <c r="AL322" s="6"/>
      <c r="AM322" s="6"/>
      <c r="AN322" s="138">
        <f t="shared" si="150"/>
        <v>0</v>
      </c>
      <c r="AO322" s="6">
        <v>6896.1</v>
      </c>
      <c r="AP322" s="138">
        <f t="shared" si="151"/>
        <v>6896.1</v>
      </c>
      <c r="AQ322" s="167">
        <f t="shared" si="152"/>
        <v>0</v>
      </c>
      <c r="AR322" s="164">
        <f t="shared" si="135"/>
        <v>34480.5</v>
      </c>
      <c r="AS322" s="165">
        <f t="shared" si="136"/>
        <v>0</v>
      </c>
    </row>
    <row r="323" spans="2:45" outlineLevel="1" x14ac:dyDescent="0.35">
      <c r="B323" s="294" t="s">
        <v>121</v>
      </c>
      <c r="C323" s="62" t="s">
        <v>147</v>
      </c>
      <c r="D323" s="70">
        <v>0</v>
      </c>
      <c r="E323" s="70">
        <v>0</v>
      </c>
      <c r="F323" s="167">
        <f t="shared" si="131"/>
        <v>0</v>
      </c>
      <c r="G323" s="70">
        <v>0</v>
      </c>
      <c r="H323" s="167">
        <f t="shared" si="137"/>
        <v>0</v>
      </c>
      <c r="I323" s="70"/>
      <c r="J323" s="167">
        <f t="shared" si="138"/>
        <v>0</v>
      </c>
      <c r="K323" s="70"/>
      <c r="L323" s="167">
        <f t="shared" si="139"/>
        <v>0</v>
      </c>
      <c r="M323" s="164">
        <f t="shared" si="140"/>
        <v>0</v>
      </c>
      <c r="N323" s="165">
        <f t="shared" si="132"/>
        <v>0</v>
      </c>
      <c r="P323" s="6"/>
      <c r="Q323" s="6"/>
      <c r="R323" s="138">
        <f t="shared" si="141"/>
        <v>0</v>
      </c>
      <c r="S323" s="185">
        <f t="shared" si="133"/>
        <v>0</v>
      </c>
      <c r="T323" s="6"/>
      <c r="U323" s="6"/>
      <c r="V323" s="138">
        <f t="shared" si="142"/>
        <v>0</v>
      </c>
      <c r="W323" s="6"/>
      <c r="X323" s="138">
        <f t="shared" si="143"/>
        <v>0</v>
      </c>
      <c r="Y323" s="167">
        <f t="shared" si="134"/>
        <v>0</v>
      </c>
      <c r="Z323" s="70"/>
      <c r="AA323" s="6"/>
      <c r="AB323" s="138">
        <f t="shared" si="144"/>
        <v>0</v>
      </c>
      <c r="AC323" s="6"/>
      <c r="AD323" s="138">
        <f t="shared" si="145"/>
        <v>0</v>
      </c>
      <c r="AE323" s="167">
        <f t="shared" si="146"/>
        <v>0</v>
      </c>
      <c r="AF323" s="307"/>
      <c r="AG323" s="4"/>
      <c r="AH323" s="138">
        <f t="shared" si="147"/>
        <v>0</v>
      </c>
      <c r="AI323" s="6"/>
      <c r="AJ323" s="138">
        <f t="shared" si="148"/>
        <v>0</v>
      </c>
      <c r="AK323" s="167">
        <f t="shared" si="149"/>
        <v>0</v>
      </c>
      <c r="AL323" s="6"/>
      <c r="AM323" s="6"/>
      <c r="AN323" s="138">
        <f t="shared" si="150"/>
        <v>0</v>
      </c>
      <c r="AO323" s="6"/>
      <c r="AP323" s="138">
        <f t="shared" si="151"/>
        <v>0</v>
      </c>
      <c r="AQ323" s="167">
        <f t="shared" si="152"/>
        <v>0</v>
      </c>
      <c r="AR323" s="164">
        <f t="shared" si="135"/>
        <v>0</v>
      </c>
      <c r="AS323" s="165">
        <f t="shared" si="136"/>
        <v>0</v>
      </c>
    </row>
    <row r="324" spans="2:45" outlineLevel="1" x14ac:dyDescent="0.35">
      <c r="B324" s="294" t="s">
        <v>137</v>
      </c>
      <c r="C324" s="62" t="s">
        <v>147</v>
      </c>
      <c r="D324" s="70">
        <v>0</v>
      </c>
      <c r="E324" s="70">
        <v>0</v>
      </c>
      <c r="F324" s="167">
        <f t="shared" si="131"/>
        <v>0</v>
      </c>
      <c r="G324" s="70">
        <v>0</v>
      </c>
      <c r="H324" s="167">
        <f t="shared" si="137"/>
        <v>0</v>
      </c>
      <c r="I324" s="70"/>
      <c r="J324" s="167">
        <f t="shared" si="138"/>
        <v>0</v>
      </c>
      <c r="K324" s="70"/>
      <c r="L324" s="167">
        <f t="shared" si="139"/>
        <v>0</v>
      </c>
      <c r="M324" s="164">
        <f t="shared" si="140"/>
        <v>0</v>
      </c>
      <c r="N324" s="165">
        <f t="shared" si="132"/>
        <v>0</v>
      </c>
      <c r="P324" s="6"/>
      <c r="Q324" s="6"/>
      <c r="R324" s="138">
        <f t="shared" si="141"/>
        <v>0</v>
      </c>
      <c r="S324" s="185">
        <f t="shared" si="133"/>
        <v>0</v>
      </c>
      <c r="T324" s="6"/>
      <c r="U324" s="6"/>
      <c r="V324" s="138">
        <f t="shared" si="142"/>
        <v>0</v>
      </c>
      <c r="W324" s="6"/>
      <c r="X324" s="138">
        <f t="shared" si="143"/>
        <v>0</v>
      </c>
      <c r="Y324" s="167">
        <f t="shared" si="134"/>
        <v>0</v>
      </c>
      <c r="Z324" s="70"/>
      <c r="AA324" s="6"/>
      <c r="AB324" s="138">
        <f t="shared" si="144"/>
        <v>0</v>
      </c>
      <c r="AC324" s="6"/>
      <c r="AD324" s="138">
        <f t="shared" si="145"/>
        <v>0</v>
      </c>
      <c r="AE324" s="167">
        <f t="shared" si="146"/>
        <v>0</v>
      </c>
      <c r="AF324" s="307"/>
      <c r="AG324" s="4"/>
      <c r="AH324" s="138">
        <f t="shared" si="147"/>
        <v>0</v>
      </c>
      <c r="AI324" s="6"/>
      <c r="AJ324" s="138">
        <f t="shared" si="148"/>
        <v>0</v>
      </c>
      <c r="AK324" s="167">
        <f t="shared" si="149"/>
        <v>0</v>
      </c>
      <c r="AL324" s="6"/>
      <c r="AM324" s="6"/>
      <c r="AN324" s="138">
        <f t="shared" si="150"/>
        <v>0</v>
      </c>
      <c r="AO324" s="6"/>
      <c r="AP324" s="138">
        <f t="shared" si="151"/>
        <v>0</v>
      </c>
      <c r="AQ324" s="167">
        <f t="shared" si="152"/>
        <v>0</v>
      </c>
      <c r="AR324" s="164">
        <f t="shared" si="135"/>
        <v>0</v>
      </c>
      <c r="AS324" s="165">
        <f t="shared" si="136"/>
        <v>0</v>
      </c>
    </row>
    <row r="325" spans="2:45" outlineLevel="1" x14ac:dyDescent="0.35">
      <c r="B325" s="294" t="s">
        <v>123</v>
      </c>
      <c r="C325" s="62" t="s">
        <v>147</v>
      </c>
      <c r="D325" s="70">
        <v>0</v>
      </c>
      <c r="E325" s="70">
        <v>0</v>
      </c>
      <c r="F325" s="167">
        <f t="shared" si="131"/>
        <v>0</v>
      </c>
      <c r="G325" s="70">
        <v>0</v>
      </c>
      <c r="H325" s="167">
        <f t="shared" si="137"/>
        <v>0</v>
      </c>
      <c r="I325" s="70"/>
      <c r="J325" s="167">
        <f t="shared" si="138"/>
        <v>0</v>
      </c>
      <c r="K325" s="70"/>
      <c r="L325" s="167">
        <f t="shared" si="139"/>
        <v>0</v>
      </c>
      <c r="M325" s="164">
        <f t="shared" si="140"/>
        <v>0</v>
      </c>
      <c r="N325" s="165">
        <f t="shared" si="132"/>
        <v>0</v>
      </c>
      <c r="P325" s="6"/>
      <c r="Q325" s="6"/>
      <c r="R325" s="138">
        <f t="shared" si="141"/>
        <v>0</v>
      </c>
      <c r="S325" s="185">
        <f t="shared" si="133"/>
        <v>0</v>
      </c>
      <c r="T325" s="6"/>
      <c r="U325" s="6"/>
      <c r="V325" s="138">
        <f t="shared" si="142"/>
        <v>0</v>
      </c>
      <c r="W325" s="6"/>
      <c r="X325" s="138">
        <f t="shared" si="143"/>
        <v>0</v>
      </c>
      <c r="Y325" s="167">
        <f t="shared" si="134"/>
        <v>0</v>
      </c>
      <c r="Z325" s="70"/>
      <c r="AA325" s="6"/>
      <c r="AB325" s="138">
        <f t="shared" si="144"/>
        <v>0</v>
      </c>
      <c r="AC325" s="6"/>
      <c r="AD325" s="138">
        <f t="shared" si="145"/>
        <v>0</v>
      </c>
      <c r="AE325" s="167">
        <f t="shared" si="146"/>
        <v>0</v>
      </c>
      <c r="AF325" s="307"/>
      <c r="AG325" s="4"/>
      <c r="AH325" s="138">
        <f t="shared" si="147"/>
        <v>0</v>
      </c>
      <c r="AI325" s="6"/>
      <c r="AJ325" s="138">
        <f t="shared" si="148"/>
        <v>0</v>
      </c>
      <c r="AK325" s="167">
        <f t="shared" si="149"/>
        <v>0</v>
      </c>
      <c r="AL325" s="6"/>
      <c r="AM325" s="6"/>
      <c r="AN325" s="138">
        <f t="shared" si="150"/>
        <v>0</v>
      </c>
      <c r="AO325" s="6"/>
      <c r="AP325" s="138">
        <f t="shared" si="151"/>
        <v>0</v>
      </c>
      <c r="AQ325" s="167">
        <f t="shared" si="152"/>
        <v>0</v>
      </c>
      <c r="AR325" s="164">
        <f t="shared" si="135"/>
        <v>0</v>
      </c>
      <c r="AS325" s="165">
        <f t="shared" si="136"/>
        <v>0</v>
      </c>
    </row>
    <row r="326" spans="2:45" outlineLevel="1" x14ac:dyDescent="0.35">
      <c r="B326" s="294" t="s">
        <v>124</v>
      </c>
      <c r="C326" s="62" t="s">
        <v>147</v>
      </c>
      <c r="D326" s="70">
        <v>0</v>
      </c>
      <c r="E326" s="70">
        <v>0</v>
      </c>
      <c r="F326" s="167">
        <f t="shared" si="131"/>
        <v>0</v>
      </c>
      <c r="G326" s="70">
        <v>0</v>
      </c>
      <c r="H326" s="167">
        <f t="shared" si="137"/>
        <v>0</v>
      </c>
      <c r="I326" s="70"/>
      <c r="J326" s="167">
        <f t="shared" si="138"/>
        <v>0</v>
      </c>
      <c r="K326" s="70"/>
      <c r="L326" s="167">
        <f t="shared" si="139"/>
        <v>0</v>
      </c>
      <c r="M326" s="164">
        <f t="shared" si="140"/>
        <v>0</v>
      </c>
      <c r="N326" s="165">
        <f t="shared" si="132"/>
        <v>0</v>
      </c>
      <c r="P326" s="6"/>
      <c r="Q326" s="6"/>
      <c r="R326" s="138">
        <f t="shared" si="141"/>
        <v>0</v>
      </c>
      <c r="S326" s="185">
        <f t="shared" si="133"/>
        <v>0</v>
      </c>
      <c r="T326" s="6"/>
      <c r="U326" s="6"/>
      <c r="V326" s="138">
        <f t="shared" si="142"/>
        <v>0</v>
      </c>
      <c r="W326" s="6"/>
      <c r="X326" s="138">
        <f t="shared" si="143"/>
        <v>0</v>
      </c>
      <c r="Y326" s="167">
        <f t="shared" si="134"/>
        <v>0</v>
      </c>
      <c r="Z326" s="70"/>
      <c r="AA326" s="6"/>
      <c r="AB326" s="138">
        <f t="shared" si="144"/>
        <v>0</v>
      </c>
      <c r="AC326" s="6"/>
      <c r="AD326" s="138">
        <f t="shared" si="145"/>
        <v>0</v>
      </c>
      <c r="AE326" s="167">
        <f t="shared" si="146"/>
        <v>0</v>
      </c>
      <c r="AF326" s="307"/>
      <c r="AG326" s="4"/>
      <c r="AH326" s="138">
        <f t="shared" si="147"/>
        <v>0</v>
      </c>
      <c r="AI326" s="6"/>
      <c r="AJ326" s="138">
        <f t="shared" si="148"/>
        <v>0</v>
      </c>
      <c r="AK326" s="167">
        <f t="shared" si="149"/>
        <v>0</v>
      </c>
      <c r="AL326" s="6"/>
      <c r="AM326" s="6"/>
      <c r="AN326" s="138">
        <f t="shared" si="150"/>
        <v>0</v>
      </c>
      <c r="AO326" s="6"/>
      <c r="AP326" s="138">
        <f t="shared" si="151"/>
        <v>0</v>
      </c>
      <c r="AQ326" s="167">
        <f t="shared" si="152"/>
        <v>0</v>
      </c>
      <c r="AR326" s="164">
        <f t="shared" si="135"/>
        <v>0</v>
      </c>
      <c r="AS326" s="165">
        <f t="shared" si="136"/>
        <v>0</v>
      </c>
    </row>
    <row r="327" spans="2:45" outlineLevel="1" x14ac:dyDescent="0.35">
      <c r="B327" s="294" t="s">
        <v>125</v>
      </c>
      <c r="C327" s="62" t="s">
        <v>147</v>
      </c>
      <c r="D327" s="70">
        <v>0</v>
      </c>
      <c r="E327" s="70">
        <v>0</v>
      </c>
      <c r="F327" s="167">
        <f t="shared" si="131"/>
        <v>0</v>
      </c>
      <c r="G327" s="70">
        <v>0</v>
      </c>
      <c r="H327" s="167">
        <f t="shared" si="137"/>
        <v>0</v>
      </c>
      <c r="I327" s="70"/>
      <c r="J327" s="167">
        <f t="shared" si="138"/>
        <v>0</v>
      </c>
      <c r="K327" s="70"/>
      <c r="L327" s="167">
        <f t="shared" si="139"/>
        <v>0</v>
      </c>
      <c r="M327" s="164">
        <f t="shared" si="140"/>
        <v>0</v>
      </c>
      <c r="N327" s="165">
        <f t="shared" si="132"/>
        <v>0</v>
      </c>
      <c r="P327" s="6"/>
      <c r="Q327" s="6"/>
      <c r="R327" s="138">
        <f t="shared" si="141"/>
        <v>0</v>
      </c>
      <c r="S327" s="185">
        <f t="shared" si="133"/>
        <v>0</v>
      </c>
      <c r="T327" s="6"/>
      <c r="U327" s="6"/>
      <c r="V327" s="138">
        <f t="shared" si="142"/>
        <v>0</v>
      </c>
      <c r="W327" s="6"/>
      <c r="X327" s="138">
        <f t="shared" si="143"/>
        <v>0</v>
      </c>
      <c r="Y327" s="167">
        <f t="shared" si="134"/>
        <v>0</v>
      </c>
      <c r="Z327" s="70"/>
      <c r="AA327" s="6"/>
      <c r="AB327" s="138">
        <f t="shared" si="144"/>
        <v>0</v>
      </c>
      <c r="AC327" s="6"/>
      <c r="AD327" s="138">
        <f t="shared" si="145"/>
        <v>0</v>
      </c>
      <c r="AE327" s="167">
        <f t="shared" si="146"/>
        <v>0</v>
      </c>
      <c r="AF327" s="307"/>
      <c r="AG327" s="4"/>
      <c r="AH327" s="138">
        <f t="shared" si="147"/>
        <v>0</v>
      </c>
      <c r="AI327" s="6"/>
      <c r="AJ327" s="138">
        <f t="shared" si="148"/>
        <v>0</v>
      </c>
      <c r="AK327" s="167">
        <f t="shared" si="149"/>
        <v>0</v>
      </c>
      <c r="AL327" s="6"/>
      <c r="AM327" s="6"/>
      <c r="AN327" s="138">
        <f t="shared" si="150"/>
        <v>0</v>
      </c>
      <c r="AO327" s="6"/>
      <c r="AP327" s="138">
        <f t="shared" si="151"/>
        <v>0</v>
      </c>
      <c r="AQ327" s="167">
        <f t="shared" si="152"/>
        <v>0</v>
      </c>
      <c r="AR327" s="164">
        <f t="shared" si="135"/>
        <v>0</v>
      </c>
      <c r="AS327" s="165">
        <f t="shared" si="136"/>
        <v>0</v>
      </c>
    </row>
    <row r="328" spans="2:45" outlineLevel="1" x14ac:dyDescent="0.35">
      <c r="B328" s="48" t="s">
        <v>126</v>
      </c>
      <c r="C328" s="62" t="s">
        <v>147</v>
      </c>
      <c r="D328" s="70">
        <v>0</v>
      </c>
      <c r="E328" s="70">
        <v>0</v>
      </c>
      <c r="F328" s="167">
        <f t="shared" si="131"/>
        <v>0</v>
      </c>
      <c r="G328" s="70">
        <v>0</v>
      </c>
      <c r="H328" s="167">
        <f t="shared" si="137"/>
        <v>0</v>
      </c>
      <c r="I328" s="70"/>
      <c r="J328" s="167">
        <f t="shared" si="138"/>
        <v>0</v>
      </c>
      <c r="K328" s="70"/>
      <c r="L328" s="167">
        <f t="shared" si="139"/>
        <v>0</v>
      </c>
      <c r="M328" s="164">
        <f t="shared" si="140"/>
        <v>0</v>
      </c>
      <c r="N328" s="165">
        <f t="shared" si="132"/>
        <v>0</v>
      </c>
      <c r="P328" s="6"/>
      <c r="Q328" s="6"/>
      <c r="R328" s="138">
        <f t="shared" si="141"/>
        <v>0</v>
      </c>
      <c r="S328" s="185">
        <f t="shared" si="133"/>
        <v>0</v>
      </c>
      <c r="T328" s="6"/>
      <c r="U328" s="6"/>
      <c r="V328" s="138">
        <f t="shared" si="142"/>
        <v>0</v>
      </c>
      <c r="W328" s="6"/>
      <c r="X328" s="138">
        <f t="shared" si="143"/>
        <v>0</v>
      </c>
      <c r="Y328" s="167">
        <f t="shared" si="134"/>
        <v>0</v>
      </c>
      <c r="Z328" s="70"/>
      <c r="AA328" s="6"/>
      <c r="AB328" s="138">
        <f t="shared" si="144"/>
        <v>0</v>
      </c>
      <c r="AC328" s="6"/>
      <c r="AD328" s="138">
        <f t="shared" si="145"/>
        <v>0</v>
      </c>
      <c r="AE328" s="167">
        <f t="shared" si="146"/>
        <v>0</v>
      </c>
      <c r="AF328" s="307"/>
      <c r="AG328" s="4"/>
      <c r="AH328" s="138">
        <f t="shared" si="147"/>
        <v>0</v>
      </c>
      <c r="AI328" s="6"/>
      <c r="AJ328" s="138">
        <f t="shared" si="148"/>
        <v>0</v>
      </c>
      <c r="AK328" s="167">
        <f t="shared" si="149"/>
        <v>0</v>
      </c>
      <c r="AL328" s="6"/>
      <c r="AM328" s="6"/>
      <c r="AN328" s="138">
        <f t="shared" si="150"/>
        <v>0</v>
      </c>
      <c r="AO328" s="6"/>
      <c r="AP328" s="138">
        <f t="shared" si="151"/>
        <v>0</v>
      </c>
      <c r="AQ328" s="167">
        <f t="shared" si="152"/>
        <v>0</v>
      </c>
      <c r="AR328" s="164">
        <f t="shared" si="135"/>
        <v>0</v>
      </c>
      <c r="AS328" s="165">
        <f t="shared" si="136"/>
        <v>0</v>
      </c>
    </row>
    <row r="329" spans="2:45" outlineLevel="1" x14ac:dyDescent="0.35">
      <c r="B329" s="48" t="s">
        <v>127</v>
      </c>
      <c r="C329" s="62" t="s">
        <v>147</v>
      </c>
      <c r="D329" s="70">
        <v>129.66999999999999</v>
      </c>
      <c r="E329" s="70">
        <v>139.93299999999999</v>
      </c>
      <c r="F329" s="167">
        <f t="shared" si="131"/>
        <v>7.9147065628133006E-2</v>
      </c>
      <c r="G329" s="70">
        <v>187.50700000000001</v>
      </c>
      <c r="H329" s="167">
        <f t="shared" si="137"/>
        <v>0.33997698898758705</v>
      </c>
      <c r="I329" s="70">
        <v>129.19999999999999</v>
      </c>
      <c r="J329" s="167">
        <f t="shared" si="138"/>
        <v>-0.31095905752851899</v>
      </c>
      <c r="K329" s="70">
        <v>148.30000000000001</v>
      </c>
      <c r="L329" s="167">
        <f t="shared" si="139"/>
        <v>0.14783281733746148</v>
      </c>
      <c r="M329" s="164">
        <f t="shared" si="140"/>
        <v>734.6099999999999</v>
      </c>
      <c r="N329" s="165">
        <f t="shared" si="132"/>
        <v>3.4130649820415027E-2</v>
      </c>
      <c r="P329" s="6">
        <v>5096.26</v>
      </c>
      <c r="Q329" s="6">
        <v>146.54</v>
      </c>
      <c r="R329" s="138">
        <f t="shared" si="141"/>
        <v>5242.8</v>
      </c>
      <c r="S329" s="185">
        <f t="shared" si="133"/>
        <v>34.352663519892111</v>
      </c>
      <c r="T329" s="6"/>
      <c r="U329" s="6">
        <v>9194.7999999999993</v>
      </c>
      <c r="V329" s="138">
        <f t="shared" si="142"/>
        <v>9194.7999999999993</v>
      </c>
      <c r="W329" s="6">
        <v>146.54</v>
      </c>
      <c r="X329" s="138">
        <f t="shared" si="143"/>
        <v>9341.34</v>
      </c>
      <c r="Y329" s="167">
        <f t="shared" si="134"/>
        <v>0.7817463950560769</v>
      </c>
      <c r="Z329" s="70"/>
      <c r="AA329" s="6">
        <v>9194.7999999999993</v>
      </c>
      <c r="AB329" s="138">
        <f t="shared" si="144"/>
        <v>9194.7999999999993</v>
      </c>
      <c r="AC329" s="6">
        <v>146.54</v>
      </c>
      <c r="AD329" s="138">
        <f t="shared" si="145"/>
        <v>9341.34</v>
      </c>
      <c r="AE329" s="167">
        <f t="shared" si="146"/>
        <v>0</v>
      </c>
      <c r="AF329" s="307"/>
      <c r="AG329" s="4">
        <v>9194.7999999999993</v>
      </c>
      <c r="AH329" s="138">
        <f t="shared" si="147"/>
        <v>9194.7999999999993</v>
      </c>
      <c r="AI329" s="6">
        <v>146.54</v>
      </c>
      <c r="AJ329" s="138">
        <f t="shared" si="148"/>
        <v>9341.34</v>
      </c>
      <c r="AK329" s="167">
        <f t="shared" si="149"/>
        <v>0</v>
      </c>
      <c r="AL329" s="6"/>
      <c r="AM329" s="6">
        <v>9194.7999999999993</v>
      </c>
      <c r="AN329" s="138">
        <f t="shared" si="150"/>
        <v>9194.7999999999993</v>
      </c>
      <c r="AO329" s="6">
        <v>146.54</v>
      </c>
      <c r="AP329" s="138">
        <f t="shared" si="151"/>
        <v>9341.34</v>
      </c>
      <c r="AQ329" s="167">
        <f t="shared" si="152"/>
        <v>0</v>
      </c>
      <c r="AR329" s="164">
        <f t="shared" si="135"/>
        <v>42608.160000000003</v>
      </c>
      <c r="AS329" s="165">
        <f t="shared" si="136"/>
        <v>0.15534442274851745</v>
      </c>
    </row>
    <row r="330" spans="2:45" s="245" customFormat="1" ht="15" customHeight="1" outlineLevel="1" x14ac:dyDescent="0.35">
      <c r="B330" s="246" t="s">
        <v>138</v>
      </c>
      <c r="C330" s="247" t="s">
        <v>147</v>
      </c>
      <c r="D330" s="254">
        <f>SUM(D276:D329)</f>
        <v>825109.95544095896</v>
      </c>
      <c r="E330" s="254">
        <f>SUM(E276:E329)</f>
        <v>793218.94034895091</v>
      </c>
      <c r="F330" s="250">
        <f>IFERROR((E330-D330)/D330,0)</f>
        <v>-3.8650624540052615E-2</v>
      </c>
      <c r="G330" s="254">
        <f>SUM(G276:G329)</f>
        <v>797349.00555360457</v>
      </c>
      <c r="H330" s="250">
        <f t="shared" si="137"/>
        <v>5.2067153147361406E-3</v>
      </c>
      <c r="I330" s="254">
        <f>SUM(I276:I329)</f>
        <v>792492.89999999991</v>
      </c>
      <c r="J330" s="250">
        <f t="shared" si="138"/>
        <v>-6.0903136766729104E-3</v>
      </c>
      <c r="K330" s="254">
        <f>SUM(K276:K329)</f>
        <v>826064.90000000026</v>
      </c>
      <c r="L330" s="250">
        <f>IFERROR((K330-I330)/I330,0)</f>
        <v>4.2362524635867843E-2</v>
      </c>
      <c r="M330" s="254">
        <f>SUM(M276:M329)</f>
        <v>4034235.701343515</v>
      </c>
      <c r="N330" s="252">
        <f t="shared" si="132"/>
        <v>2.8921308574791915E-4</v>
      </c>
      <c r="P330" s="248">
        <f>SUM(P276:P329)</f>
        <v>20735.47</v>
      </c>
      <c r="Q330" s="248">
        <f>SUM(Q276:Q329)</f>
        <v>818731.41999999993</v>
      </c>
      <c r="R330" s="248">
        <f>SUM(R276:R329)</f>
        <v>839466.89</v>
      </c>
      <c r="S330" s="250">
        <f t="shared" si="133"/>
        <v>1.6223894756937082E-2</v>
      </c>
      <c r="T330" s="253">
        <f>SUM(T276:T329)</f>
        <v>3762.54</v>
      </c>
      <c r="U330" s="248">
        <f>SUM(U276:U329)</f>
        <v>35201.15</v>
      </c>
      <c r="V330" s="248">
        <f>SUM(V276:V329)</f>
        <v>38963.69</v>
      </c>
      <c r="W330" s="253">
        <f>SUM(W276:W329)</f>
        <v>818731.41999999993</v>
      </c>
      <c r="X330" s="248">
        <f>SUM(X276:X329)</f>
        <v>857695.10999999987</v>
      </c>
      <c r="Y330" s="250">
        <f>IFERROR((X330-R330)/R330,0)</f>
        <v>2.1714042825441104E-2</v>
      </c>
      <c r="Z330" s="248">
        <f>SUM(Z276:Z329)</f>
        <v>0</v>
      </c>
      <c r="AA330" s="248">
        <f>SUM(AA276:AA329)</f>
        <v>39223.869999999995</v>
      </c>
      <c r="AB330" s="248">
        <f t="shared" ref="AB330:AJ330" si="153">SUM(AB276:AB329)</f>
        <v>39223.869999999995</v>
      </c>
      <c r="AC330" s="248">
        <f t="shared" si="153"/>
        <v>818731.41999999993</v>
      </c>
      <c r="AD330" s="248">
        <f t="shared" si="153"/>
        <v>857955.2899999998</v>
      </c>
      <c r="AE330" s="250">
        <f t="shared" si="146"/>
        <v>3.0334788780588342E-4</v>
      </c>
      <c r="AF330" s="248">
        <f t="shared" si="153"/>
        <v>4595.1000000000004</v>
      </c>
      <c r="AG330" s="248">
        <f t="shared" si="153"/>
        <v>39223.869999999995</v>
      </c>
      <c r="AH330" s="248">
        <f t="shared" si="153"/>
        <v>43818.97</v>
      </c>
      <c r="AI330" s="248">
        <f t="shared" si="153"/>
        <v>818731.41999999993</v>
      </c>
      <c r="AJ330" s="248">
        <f t="shared" si="153"/>
        <v>862550.38999999978</v>
      </c>
      <c r="AK330" s="250">
        <f t="shared" si="149"/>
        <v>5.3558734977902844E-3</v>
      </c>
      <c r="AL330" s="253">
        <f>SUM(AL276:AL329)</f>
        <v>0</v>
      </c>
      <c r="AM330" s="380">
        <f t="shared" ref="AM330:AR330" si="154">SUM(AM276:AM329)</f>
        <v>43821.270000000004</v>
      </c>
      <c r="AN330" s="253">
        <f t="shared" si="154"/>
        <v>43821.270000000004</v>
      </c>
      <c r="AO330" s="253">
        <f t="shared" si="154"/>
        <v>818731.41999999993</v>
      </c>
      <c r="AP330" s="253">
        <f t="shared" si="154"/>
        <v>862552.68999999971</v>
      </c>
      <c r="AQ330" s="250">
        <f t="shared" si="152"/>
        <v>2.666510880518124E-6</v>
      </c>
      <c r="AR330" s="253">
        <f t="shared" si="154"/>
        <v>4280220.37</v>
      </c>
      <c r="AS330" s="252">
        <f>IFERROR((AP330/R330)^(1/4)-1,0)</f>
        <v>6.8053522087632157E-3</v>
      </c>
    </row>
    <row r="331" spans="2:45" ht="15" customHeight="1" x14ac:dyDescent="0.35"/>
    <row r="332" spans="2:45" ht="15.5" x14ac:dyDescent="0.35">
      <c r="B332" s="419" t="s">
        <v>145</v>
      </c>
      <c r="C332" s="419"/>
      <c r="D332" s="419"/>
      <c r="E332" s="419"/>
      <c r="F332" s="419"/>
      <c r="G332" s="419"/>
      <c r="H332" s="419"/>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c r="AJ332" s="419"/>
      <c r="AK332" s="419"/>
      <c r="AL332" s="419"/>
      <c r="AM332" s="419"/>
      <c r="AN332" s="419"/>
      <c r="AO332" s="419"/>
      <c r="AP332" s="419"/>
      <c r="AQ332" s="419"/>
      <c r="AR332" s="419"/>
      <c r="AS332" s="419"/>
    </row>
    <row r="333" spans="2:45" ht="5.9" customHeight="1" outlineLevel="1" x14ac:dyDescent="0.35">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c r="AA333" s="103"/>
      <c r="AB333" s="103"/>
      <c r="AC333" s="103"/>
      <c r="AD333" s="103"/>
      <c r="AE333" s="103"/>
      <c r="AF333" s="103"/>
      <c r="AG333" s="103"/>
      <c r="AH333" s="103"/>
      <c r="AI333" s="103"/>
      <c r="AJ333" s="103"/>
      <c r="AK333" s="103"/>
    </row>
    <row r="334" spans="2:45" outlineLevel="1" x14ac:dyDescent="0.35">
      <c r="B334" s="462"/>
      <c r="C334" s="465" t="s">
        <v>134</v>
      </c>
      <c r="D334" s="435" t="s">
        <v>169</v>
      </c>
      <c r="E334" s="436"/>
      <c r="F334" s="436"/>
      <c r="G334" s="436"/>
      <c r="H334" s="436"/>
      <c r="I334" s="436"/>
      <c r="J334" s="436"/>
      <c r="K334" s="436"/>
      <c r="L334" s="437"/>
      <c r="M334" s="431" t="str">
        <f xml:space="preserve"> D335&amp;" - "&amp;K335</f>
        <v>2019 - 2023</v>
      </c>
      <c r="N334" s="456"/>
      <c r="P334" s="435" t="s">
        <v>170</v>
      </c>
      <c r="Q334" s="436"/>
      <c r="R334" s="436"/>
      <c r="S334" s="436"/>
      <c r="T334" s="436"/>
      <c r="U334" s="436"/>
      <c r="V334" s="436"/>
      <c r="W334" s="436"/>
      <c r="X334" s="436"/>
      <c r="Y334" s="436"/>
      <c r="Z334" s="436"/>
      <c r="AA334" s="436"/>
      <c r="AB334" s="436"/>
      <c r="AC334" s="436"/>
      <c r="AD334" s="436"/>
      <c r="AE334" s="436"/>
      <c r="AF334" s="436"/>
      <c r="AG334" s="436"/>
      <c r="AH334" s="436"/>
      <c r="AI334" s="436"/>
      <c r="AJ334" s="436"/>
      <c r="AK334" s="436"/>
      <c r="AL334" s="436"/>
      <c r="AM334" s="436"/>
      <c r="AN334" s="436"/>
      <c r="AO334" s="436"/>
      <c r="AP334" s="436"/>
      <c r="AQ334" s="436"/>
      <c r="AR334" s="436"/>
      <c r="AS334" s="437"/>
    </row>
    <row r="335" spans="2:45" outlineLevel="1" x14ac:dyDescent="0.35">
      <c r="B335" s="463"/>
      <c r="C335" s="465"/>
      <c r="D335" s="79">
        <f>$C$3-5</f>
        <v>2019</v>
      </c>
      <c r="E335" s="435">
        <f>$C$3-4</f>
        <v>2020</v>
      </c>
      <c r="F335" s="437"/>
      <c r="G335" s="435">
        <f>$C$3-3</f>
        <v>2021</v>
      </c>
      <c r="H335" s="437"/>
      <c r="I335" s="435">
        <f>$C$3-2</f>
        <v>2022</v>
      </c>
      <c r="J335" s="437"/>
      <c r="K335" s="435">
        <f>$C$3-1</f>
        <v>2023</v>
      </c>
      <c r="L335" s="437"/>
      <c r="M335" s="433"/>
      <c r="N335" s="457"/>
      <c r="P335" s="490">
        <f>$C$3</f>
        <v>2024</v>
      </c>
      <c r="Q335" s="491"/>
      <c r="R335" s="491"/>
      <c r="S335" s="485"/>
      <c r="T335" s="490">
        <f>$C$3+1</f>
        <v>2025</v>
      </c>
      <c r="U335" s="491"/>
      <c r="V335" s="491"/>
      <c r="W335" s="491"/>
      <c r="X335" s="491"/>
      <c r="Y335" s="485"/>
      <c r="Z335" s="435">
        <f>$C$3+2</f>
        <v>2026</v>
      </c>
      <c r="AA335" s="436"/>
      <c r="AB335" s="436"/>
      <c r="AC335" s="436"/>
      <c r="AD335" s="436"/>
      <c r="AE335" s="437"/>
      <c r="AF335" s="435">
        <f>$C$3+3</f>
        <v>2027</v>
      </c>
      <c r="AG335" s="436"/>
      <c r="AH335" s="436"/>
      <c r="AI335" s="436"/>
      <c r="AJ335" s="436"/>
      <c r="AK335" s="437"/>
      <c r="AL335" s="435">
        <f>$C$3+4</f>
        <v>2028</v>
      </c>
      <c r="AM335" s="436"/>
      <c r="AN335" s="436"/>
      <c r="AO335" s="436"/>
      <c r="AP335" s="436"/>
      <c r="AQ335" s="437"/>
      <c r="AR335" s="439" t="str">
        <f>P335&amp;" - "&amp;AL335</f>
        <v>2024 - 2028</v>
      </c>
      <c r="AS335" s="458"/>
    </row>
    <row r="336" spans="2:45" ht="15" customHeight="1" outlineLevel="1" x14ac:dyDescent="0.35">
      <c r="B336" s="463"/>
      <c r="C336" s="465"/>
      <c r="D336" s="492" t="s">
        <v>225</v>
      </c>
      <c r="E336" s="494" t="s">
        <v>225</v>
      </c>
      <c r="F336" s="496" t="s">
        <v>173</v>
      </c>
      <c r="G336" s="494" t="s">
        <v>225</v>
      </c>
      <c r="H336" s="496" t="s">
        <v>173</v>
      </c>
      <c r="I336" s="494" t="s">
        <v>225</v>
      </c>
      <c r="J336" s="470" t="s">
        <v>173</v>
      </c>
      <c r="K336" s="494" t="s">
        <v>225</v>
      </c>
      <c r="L336" s="470" t="s">
        <v>173</v>
      </c>
      <c r="M336" s="494" t="s">
        <v>164</v>
      </c>
      <c r="N336" s="498" t="s">
        <v>174</v>
      </c>
      <c r="P336" s="494" t="str">
        <f>"Διανεμόμενες ποσότητες σε πελάτες που συνδέθηκαν το "&amp;P335</f>
        <v>Διανεμόμενες ποσότητες σε πελάτες που συνδέθηκαν το 2024</v>
      </c>
      <c r="Q336" s="484" t="s">
        <v>226</v>
      </c>
      <c r="R336" s="484" t="s">
        <v>227</v>
      </c>
      <c r="S336" s="500" t="s">
        <v>173</v>
      </c>
      <c r="T336" s="490" t="s">
        <v>228</v>
      </c>
      <c r="U336" s="491"/>
      <c r="V336" s="491"/>
      <c r="W336" s="484" t="s">
        <v>226</v>
      </c>
      <c r="X336" s="484" t="s">
        <v>227</v>
      </c>
      <c r="Y336" s="485" t="s">
        <v>173</v>
      </c>
      <c r="Z336" s="490" t="s">
        <v>228</v>
      </c>
      <c r="AA336" s="491"/>
      <c r="AB336" s="491"/>
      <c r="AC336" s="484" t="s">
        <v>226</v>
      </c>
      <c r="AD336" s="484" t="s">
        <v>227</v>
      </c>
      <c r="AE336" s="485" t="s">
        <v>173</v>
      </c>
      <c r="AF336" s="490" t="s">
        <v>228</v>
      </c>
      <c r="AG336" s="491"/>
      <c r="AH336" s="491"/>
      <c r="AI336" s="484" t="s">
        <v>226</v>
      </c>
      <c r="AJ336" s="484" t="s">
        <v>227</v>
      </c>
      <c r="AK336" s="485" t="s">
        <v>173</v>
      </c>
      <c r="AL336" s="490" t="s">
        <v>228</v>
      </c>
      <c r="AM336" s="491"/>
      <c r="AN336" s="491"/>
      <c r="AO336" s="484" t="s">
        <v>226</v>
      </c>
      <c r="AP336" s="484" t="s">
        <v>227</v>
      </c>
      <c r="AQ336" s="485" t="s">
        <v>173</v>
      </c>
      <c r="AR336" s="486" t="s">
        <v>164</v>
      </c>
      <c r="AS336" s="488" t="s">
        <v>174</v>
      </c>
    </row>
    <row r="337" spans="2:45" ht="58" outlineLevel="1" x14ac:dyDescent="0.35">
      <c r="B337" s="464"/>
      <c r="C337" s="465"/>
      <c r="D337" s="493"/>
      <c r="E337" s="495"/>
      <c r="F337" s="497"/>
      <c r="G337" s="495"/>
      <c r="H337" s="497"/>
      <c r="I337" s="495"/>
      <c r="J337" s="455"/>
      <c r="K337" s="495"/>
      <c r="L337" s="455"/>
      <c r="M337" s="495"/>
      <c r="N337" s="499"/>
      <c r="P337" s="495"/>
      <c r="Q337" s="484"/>
      <c r="R337" s="484"/>
      <c r="S337" s="500"/>
      <c r="T337" s="122" t="str">
        <f>"Διανεμόμενες ποσότητες σε πελάτες που συνδέθηκαν το "&amp;T335</f>
        <v>Διανεμόμενες ποσότητες σε πελάτες που συνδέθηκαν το 2025</v>
      </c>
      <c r="U337" s="105" t="str">
        <f>"Διανεμόμενες ποσότητες σε πελάτες που συνδέθηκαν το "&amp;P335</f>
        <v>Διανεμόμενες ποσότητες σε πελάτες που συνδέθηκαν το 2024</v>
      </c>
      <c r="V337" s="57" t="s">
        <v>229</v>
      </c>
      <c r="W337" s="484"/>
      <c r="X337" s="484"/>
      <c r="Y337" s="485"/>
      <c r="Z337" s="122" t="str">
        <f>"Διανεμόμενες ποσότητες σε πελάτες που συνδέθηκαν το "&amp;Z335</f>
        <v>Διανεμόμενες ποσότητες σε πελάτες που συνδέθηκαν το 2026</v>
      </c>
      <c r="AA337" s="105" t="str">
        <f>"Διανεμόμενες ποσότητες σε πελάτες που συνδέθηκαν το "&amp;$P$12&amp;" - "&amp;T335</f>
        <v>Διανεμόμενες ποσότητες σε πελάτες που συνδέθηκαν το 2024 - 2025</v>
      </c>
      <c r="AB337" s="57" t="s">
        <v>229</v>
      </c>
      <c r="AC337" s="484"/>
      <c r="AD337" s="484"/>
      <c r="AE337" s="485"/>
      <c r="AF337" s="122" t="str">
        <f>"Διανεμόμενες ποσότητες σε πελάτες που συνδέθηκαν το "&amp;AF335</f>
        <v>Διανεμόμενες ποσότητες σε πελάτες που συνδέθηκαν το 2027</v>
      </c>
      <c r="AG337" s="105" t="str">
        <f>"Διανεμόμενες ποσότητες σε πελάτες που συνδέθηκαν το "&amp;$P$12&amp;" - "&amp;Z335</f>
        <v>Διανεμόμενες ποσότητες σε πελάτες που συνδέθηκαν το 2024 - 2026</v>
      </c>
      <c r="AH337" s="57" t="s">
        <v>229</v>
      </c>
      <c r="AI337" s="484"/>
      <c r="AJ337" s="484"/>
      <c r="AK337" s="485"/>
      <c r="AL337" s="122" t="str">
        <f>"Διανεμόμενες ποσότητες σε πελάτες που συνδέθηκαν το "&amp;AL335</f>
        <v>Διανεμόμενες ποσότητες σε πελάτες που συνδέθηκαν το 2028</v>
      </c>
      <c r="AM337" s="105" t="str">
        <f>"Διανεμόμενες ποσότητες σε πελάτες που συνδέθηκαν το "&amp;$P$12&amp;" - "&amp;AF335</f>
        <v>Διανεμόμενες ποσότητες σε πελάτες που συνδέθηκαν το 2024 - 2027</v>
      </c>
      <c r="AN337" s="57" t="s">
        <v>229</v>
      </c>
      <c r="AO337" s="484"/>
      <c r="AP337" s="484"/>
      <c r="AQ337" s="485"/>
      <c r="AR337" s="487"/>
      <c r="AS337" s="489"/>
    </row>
    <row r="338" spans="2:45" outlineLevel="1" x14ac:dyDescent="0.35">
      <c r="B338" s="48" t="s">
        <v>74</v>
      </c>
      <c r="C338" s="62" t="s">
        <v>147</v>
      </c>
      <c r="D338" s="70">
        <v>0</v>
      </c>
      <c r="E338" s="70">
        <v>0</v>
      </c>
      <c r="F338" s="167">
        <f t="shared" ref="F338:F391" si="155">IFERROR((E338-D338)/D338,0)</f>
        <v>0</v>
      </c>
      <c r="G338" s="70">
        <v>0</v>
      </c>
      <c r="H338" s="167">
        <f>IFERROR((G338-E338)/E338,0)</f>
        <v>0</v>
      </c>
      <c r="I338" s="70"/>
      <c r="J338" s="167">
        <f>IFERROR((I338-G338)/G338,0)</f>
        <v>0</v>
      </c>
      <c r="K338" s="70"/>
      <c r="L338" s="167">
        <f>IFERROR((K338-I338)/I338,0)</f>
        <v>0</v>
      </c>
      <c r="M338" s="164">
        <f>D338+E338+G338+I338+K338</f>
        <v>0</v>
      </c>
      <c r="N338" s="165">
        <f t="shared" ref="N338:N392" si="156">IFERROR((K338/D338)^(1/4)-1,0)</f>
        <v>0</v>
      </c>
      <c r="P338" s="6"/>
      <c r="Q338" s="6"/>
      <c r="R338" s="138">
        <f>P338+Q338</f>
        <v>0</v>
      </c>
      <c r="S338" s="185">
        <f t="shared" ref="S338:S392" si="157">IFERROR((R338-K338)/K338,0)</f>
        <v>0</v>
      </c>
      <c r="T338" s="6"/>
      <c r="U338" s="6"/>
      <c r="V338" s="138">
        <f>T338+U338</f>
        <v>0</v>
      </c>
      <c r="W338" s="6"/>
      <c r="X338" s="138">
        <f>V338+W338</f>
        <v>0</v>
      </c>
      <c r="Y338" s="167">
        <f t="shared" ref="Y338:Y391" si="158">IFERROR((X338-R338)/R338,0)</f>
        <v>0</v>
      </c>
      <c r="Z338" s="70"/>
      <c r="AA338" s="6"/>
      <c r="AB338" s="138">
        <f>Z338+AA338</f>
        <v>0</v>
      </c>
      <c r="AC338" s="6"/>
      <c r="AD338" s="138">
        <f>AB338+AC338</f>
        <v>0</v>
      </c>
      <c r="AE338" s="167">
        <f>IFERROR((AD338-X338)/X338,0)</f>
        <v>0</v>
      </c>
      <c r="AF338" s="307"/>
      <c r="AG338" s="4"/>
      <c r="AH338" s="138">
        <f>AF338+AG338</f>
        <v>0</v>
      </c>
      <c r="AI338" s="6"/>
      <c r="AJ338" s="138">
        <f>AH338+AI338</f>
        <v>0</v>
      </c>
      <c r="AK338" s="167">
        <f>IFERROR((AJ338-AD338)/AD338,0)</f>
        <v>0</v>
      </c>
      <c r="AL338" s="6"/>
      <c r="AM338" s="6"/>
      <c r="AN338" s="138">
        <f>AL338+AM338</f>
        <v>0</v>
      </c>
      <c r="AO338" s="6"/>
      <c r="AP338" s="138">
        <f>AN338+AO338</f>
        <v>0</v>
      </c>
      <c r="AQ338" s="167">
        <f>IFERROR((AP338-AJ338)/AJ338,0)</f>
        <v>0</v>
      </c>
      <c r="AR338" s="164">
        <f t="shared" ref="AR338:AR391" si="159">R338+X338+AD338+AJ338+AP338</f>
        <v>0</v>
      </c>
      <c r="AS338" s="165">
        <f t="shared" ref="AS338:AS391" si="160">IFERROR((AP338/R338)^(1/4)-1,0)</f>
        <v>0</v>
      </c>
    </row>
    <row r="339" spans="2:45" outlineLevel="1" x14ac:dyDescent="0.35">
      <c r="B339" s="294" t="s">
        <v>75</v>
      </c>
      <c r="C339" s="62" t="s">
        <v>147</v>
      </c>
      <c r="D339" s="70">
        <v>0</v>
      </c>
      <c r="E339" s="70">
        <v>3132.2206577422298</v>
      </c>
      <c r="F339" s="167">
        <f t="shared" si="155"/>
        <v>0</v>
      </c>
      <c r="G339" s="70">
        <v>12055.3350045318</v>
      </c>
      <c r="H339" s="167">
        <f t="shared" ref="H339:H392" si="161">IFERROR((G339-E339)/E339,0)</f>
        <v>2.8488140912848516</v>
      </c>
      <c r="I339" s="70">
        <v>1292.8</v>
      </c>
      <c r="J339" s="167">
        <f t="shared" ref="J339:J392" si="162">IFERROR((I339-G339)/G339,0)</f>
        <v>-0.89276117175391523</v>
      </c>
      <c r="K339" s="70">
        <v>15971.6</v>
      </c>
      <c r="L339" s="167">
        <f t="shared" ref="L339:L391" si="163">IFERROR((K339-I339)/I339,0)</f>
        <v>11.3542698019802</v>
      </c>
      <c r="M339" s="164">
        <f t="shared" ref="M339:M391" si="164">D339+E339+G339+I339+K339</f>
        <v>32451.955662274027</v>
      </c>
      <c r="N339" s="165">
        <f t="shared" si="156"/>
        <v>0</v>
      </c>
      <c r="P339" s="6"/>
      <c r="Q339" s="6">
        <v>16700.060000000001</v>
      </c>
      <c r="R339" s="138">
        <f t="shared" ref="R339:R391" si="165">P339+Q339</f>
        <v>16700.060000000001</v>
      </c>
      <c r="S339" s="185">
        <f t="shared" si="157"/>
        <v>4.5609707230333904E-2</v>
      </c>
      <c r="T339" s="6"/>
      <c r="U339" s="6"/>
      <c r="V339" s="138">
        <f t="shared" ref="V339:V391" si="166">T339+U339</f>
        <v>0</v>
      </c>
      <c r="W339" s="6">
        <v>16700.060000000001</v>
      </c>
      <c r="X339" s="138">
        <f t="shared" ref="X339:X391" si="167">V339+W339</f>
        <v>16700.060000000001</v>
      </c>
      <c r="Y339" s="167">
        <f t="shared" si="158"/>
        <v>0</v>
      </c>
      <c r="Z339" s="70"/>
      <c r="AA339" s="6"/>
      <c r="AB339" s="138">
        <f t="shared" ref="AB339:AB391" si="168">Z339+AA339</f>
        <v>0</v>
      </c>
      <c r="AC339" s="6">
        <v>16700.060000000001</v>
      </c>
      <c r="AD339" s="138">
        <f t="shared" ref="AD339:AD391" si="169">AB339+AC339</f>
        <v>16700.060000000001</v>
      </c>
      <c r="AE339" s="167">
        <f t="shared" ref="AE339:AE392" si="170">IFERROR((AD339-X339)/X339,0)</f>
        <v>0</v>
      </c>
      <c r="AF339" s="307"/>
      <c r="AG339" s="4"/>
      <c r="AH339" s="138">
        <f t="shared" ref="AH339:AH391" si="171">AF339+AG339</f>
        <v>0</v>
      </c>
      <c r="AI339" s="6">
        <v>16700.060000000001</v>
      </c>
      <c r="AJ339" s="138">
        <f t="shared" ref="AJ339:AJ391" si="172">AH339+AI339</f>
        <v>16700.060000000001</v>
      </c>
      <c r="AK339" s="167">
        <f t="shared" ref="AK339:AK392" si="173">IFERROR((AJ339-AD339)/AD339,0)</f>
        <v>0</v>
      </c>
      <c r="AL339" s="6"/>
      <c r="AM339" s="6"/>
      <c r="AN339" s="138">
        <f t="shared" ref="AN339:AN391" si="174">AL339+AM339</f>
        <v>0</v>
      </c>
      <c r="AO339" s="6">
        <v>16700.060000000001</v>
      </c>
      <c r="AP339" s="138">
        <f t="shared" ref="AP339:AP391" si="175">AN339+AO339</f>
        <v>16700.060000000001</v>
      </c>
      <c r="AQ339" s="167">
        <f t="shared" ref="AQ339:AQ392" si="176">IFERROR((AP339-AJ339)/AJ339,0)</f>
        <v>0</v>
      </c>
      <c r="AR339" s="164">
        <f t="shared" si="159"/>
        <v>83500.3</v>
      </c>
      <c r="AS339" s="165">
        <f t="shared" si="160"/>
        <v>0</v>
      </c>
    </row>
    <row r="340" spans="2:45" outlineLevel="1" x14ac:dyDescent="0.35">
      <c r="B340" s="294" t="s">
        <v>76</v>
      </c>
      <c r="C340" s="62" t="s">
        <v>147</v>
      </c>
      <c r="D340" s="70">
        <v>0</v>
      </c>
      <c r="E340" s="70">
        <v>0</v>
      </c>
      <c r="F340" s="167">
        <f t="shared" si="155"/>
        <v>0</v>
      </c>
      <c r="G340" s="70">
        <v>0</v>
      </c>
      <c r="H340" s="167">
        <f t="shared" si="161"/>
        <v>0</v>
      </c>
      <c r="I340" s="70"/>
      <c r="J340" s="167">
        <f t="shared" si="162"/>
        <v>0</v>
      </c>
      <c r="K340" s="70"/>
      <c r="L340" s="167">
        <f t="shared" si="163"/>
        <v>0</v>
      </c>
      <c r="M340" s="164">
        <f t="shared" si="164"/>
        <v>0</v>
      </c>
      <c r="N340" s="165">
        <f t="shared" si="156"/>
        <v>0</v>
      </c>
      <c r="P340" s="6"/>
      <c r="Q340" s="6"/>
      <c r="R340" s="138">
        <f t="shared" si="165"/>
        <v>0</v>
      </c>
      <c r="S340" s="185">
        <f t="shared" si="157"/>
        <v>0</v>
      </c>
      <c r="T340" s="6"/>
      <c r="U340" s="6"/>
      <c r="V340" s="138">
        <f t="shared" si="166"/>
        <v>0</v>
      </c>
      <c r="W340" s="6"/>
      <c r="X340" s="138">
        <f t="shared" si="167"/>
        <v>0</v>
      </c>
      <c r="Y340" s="167">
        <f t="shared" si="158"/>
        <v>0</v>
      </c>
      <c r="Z340" s="70"/>
      <c r="AA340" s="6"/>
      <c r="AB340" s="138">
        <f t="shared" si="168"/>
        <v>0</v>
      </c>
      <c r="AC340" s="6"/>
      <c r="AD340" s="138">
        <f t="shared" si="169"/>
        <v>0</v>
      </c>
      <c r="AE340" s="167">
        <f t="shared" si="170"/>
        <v>0</v>
      </c>
      <c r="AF340" s="307"/>
      <c r="AG340" s="4"/>
      <c r="AH340" s="138">
        <f t="shared" si="171"/>
        <v>0</v>
      </c>
      <c r="AI340" s="6"/>
      <c r="AJ340" s="138">
        <f t="shared" si="172"/>
        <v>0</v>
      </c>
      <c r="AK340" s="167">
        <f t="shared" si="173"/>
        <v>0</v>
      </c>
      <c r="AL340" s="6"/>
      <c r="AM340" s="6"/>
      <c r="AN340" s="138">
        <f t="shared" si="174"/>
        <v>0</v>
      </c>
      <c r="AO340" s="6"/>
      <c r="AP340" s="138">
        <f t="shared" si="175"/>
        <v>0</v>
      </c>
      <c r="AQ340" s="167">
        <f t="shared" si="176"/>
        <v>0</v>
      </c>
      <c r="AR340" s="164">
        <f t="shared" si="159"/>
        <v>0</v>
      </c>
      <c r="AS340" s="165">
        <f t="shared" si="160"/>
        <v>0</v>
      </c>
    </row>
    <row r="341" spans="2:45" outlineLevel="1" x14ac:dyDescent="0.35">
      <c r="B341" s="294" t="s">
        <v>77</v>
      </c>
      <c r="C341" s="62" t="s">
        <v>147</v>
      </c>
      <c r="D341" s="70">
        <v>0</v>
      </c>
      <c r="E341" s="70">
        <v>0</v>
      </c>
      <c r="F341" s="167">
        <f t="shared" si="155"/>
        <v>0</v>
      </c>
      <c r="G341" s="70">
        <v>0</v>
      </c>
      <c r="H341" s="167">
        <f t="shared" si="161"/>
        <v>0</v>
      </c>
      <c r="I341" s="70"/>
      <c r="J341" s="167">
        <f t="shared" si="162"/>
        <v>0</v>
      </c>
      <c r="K341" s="70"/>
      <c r="L341" s="167">
        <f t="shared" si="163"/>
        <v>0</v>
      </c>
      <c r="M341" s="164">
        <f t="shared" si="164"/>
        <v>0</v>
      </c>
      <c r="N341" s="165">
        <f t="shared" si="156"/>
        <v>0</v>
      </c>
      <c r="P341" s="6"/>
      <c r="Q341" s="6"/>
      <c r="R341" s="138">
        <f t="shared" si="165"/>
        <v>0</v>
      </c>
      <c r="S341" s="185">
        <f t="shared" si="157"/>
        <v>0</v>
      </c>
      <c r="T341" s="6"/>
      <c r="U341" s="6"/>
      <c r="V341" s="138">
        <f t="shared" si="166"/>
        <v>0</v>
      </c>
      <c r="W341" s="6"/>
      <c r="X341" s="138">
        <f t="shared" si="167"/>
        <v>0</v>
      </c>
      <c r="Y341" s="167">
        <f t="shared" si="158"/>
        <v>0</v>
      </c>
      <c r="Z341" s="70"/>
      <c r="AA341" s="6"/>
      <c r="AB341" s="138">
        <f t="shared" si="168"/>
        <v>0</v>
      </c>
      <c r="AC341" s="6"/>
      <c r="AD341" s="138">
        <f t="shared" si="169"/>
        <v>0</v>
      </c>
      <c r="AE341" s="167">
        <f t="shared" si="170"/>
        <v>0</v>
      </c>
      <c r="AF341" s="307"/>
      <c r="AG341" s="4"/>
      <c r="AH341" s="138">
        <f t="shared" si="171"/>
        <v>0</v>
      </c>
      <c r="AI341" s="6"/>
      <c r="AJ341" s="138">
        <f t="shared" si="172"/>
        <v>0</v>
      </c>
      <c r="AK341" s="167">
        <f t="shared" si="173"/>
        <v>0</v>
      </c>
      <c r="AL341" s="6"/>
      <c r="AM341" s="6"/>
      <c r="AN341" s="138">
        <f t="shared" si="174"/>
        <v>0</v>
      </c>
      <c r="AO341" s="6"/>
      <c r="AP341" s="138">
        <f t="shared" si="175"/>
        <v>0</v>
      </c>
      <c r="AQ341" s="167">
        <f t="shared" si="176"/>
        <v>0</v>
      </c>
      <c r="AR341" s="164">
        <f t="shared" si="159"/>
        <v>0</v>
      </c>
      <c r="AS341" s="165">
        <f t="shared" si="160"/>
        <v>0</v>
      </c>
    </row>
    <row r="342" spans="2:45" outlineLevel="1" x14ac:dyDescent="0.35">
      <c r="B342" s="294" t="s">
        <v>78</v>
      </c>
      <c r="C342" s="62" t="s">
        <v>147</v>
      </c>
      <c r="D342" s="70">
        <v>0</v>
      </c>
      <c r="E342" s="70">
        <v>0</v>
      </c>
      <c r="F342" s="167">
        <f t="shared" si="155"/>
        <v>0</v>
      </c>
      <c r="G342" s="70">
        <v>0</v>
      </c>
      <c r="H342" s="167">
        <f t="shared" si="161"/>
        <v>0</v>
      </c>
      <c r="I342" s="70"/>
      <c r="J342" s="167">
        <f t="shared" si="162"/>
        <v>0</v>
      </c>
      <c r="K342" s="70"/>
      <c r="L342" s="167">
        <f t="shared" si="163"/>
        <v>0</v>
      </c>
      <c r="M342" s="164">
        <f t="shared" si="164"/>
        <v>0</v>
      </c>
      <c r="N342" s="165">
        <f t="shared" si="156"/>
        <v>0</v>
      </c>
      <c r="P342" s="6">
        <v>1327.5</v>
      </c>
      <c r="Q342" s="6"/>
      <c r="R342" s="138">
        <f t="shared" si="165"/>
        <v>1327.5</v>
      </c>
      <c r="S342" s="185">
        <f t="shared" si="157"/>
        <v>0</v>
      </c>
      <c r="T342" s="6"/>
      <c r="U342" s="6">
        <v>4022.73</v>
      </c>
      <c r="V342" s="138">
        <f t="shared" si="166"/>
        <v>4022.73</v>
      </c>
      <c r="W342" s="6"/>
      <c r="X342" s="138">
        <f t="shared" si="167"/>
        <v>4022.73</v>
      </c>
      <c r="Y342" s="167">
        <f t="shared" si="158"/>
        <v>2.0303050847457627</v>
      </c>
      <c r="Z342" s="70"/>
      <c r="AA342" s="6">
        <v>4022.73</v>
      </c>
      <c r="AB342" s="138">
        <f t="shared" si="168"/>
        <v>4022.73</v>
      </c>
      <c r="AC342" s="6"/>
      <c r="AD342" s="138">
        <f t="shared" si="169"/>
        <v>4022.73</v>
      </c>
      <c r="AE342" s="167">
        <f t="shared" si="170"/>
        <v>0</v>
      </c>
      <c r="AF342" s="307"/>
      <c r="AG342" s="4">
        <v>4022.73</v>
      </c>
      <c r="AH342" s="138">
        <f t="shared" si="171"/>
        <v>4022.73</v>
      </c>
      <c r="AI342" s="6"/>
      <c r="AJ342" s="138">
        <f t="shared" si="172"/>
        <v>4022.73</v>
      </c>
      <c r="AK342" s="167">
        <f t="shared" si="173"/>
        <v>0</v>
      </c>
      <c r="AL342" s="6"/>
      <c r="AM342" s="6">
        <v>4022.73</v>
      </c>
      <c r="AN342" s="138">
        <f t="shared" si="174"/>
        <v>4022.73</v>
      </c>
      <c r="AO342" s="6"/>
      <c r="AP342" s="138">
        <f t="shared" si="175"/>
        <v>4022.73</v>
      </c>
      <c r="AQ342" s="167">
        <f t="shared" si="176"/>
        <v>0</v>
      </c>
      <c r="AR342" s="164">
        <f t="shared" si="159"/>
        <v>17418.419999999998</v>
      </c>
      <c r="AS342" s="165">
        <f t="shared" si="160"/>
        <v>0.31938514075709801</v>
      </c>
    </row>
    <row r="343" spans="2:45" outlineLevel="1" x14ac:dyDescent="0.35">
      <c r="B343" s="294" t="s">
        <v>79</v>
      </c>
      <c r="C343" s="62" t="s">
        <v>147</v>
      </c>
      <c r="D343" s="70">
        <v>0</v>
      </c>
      <c r="E343" s="70">
        <v>0</v>
      </c>
      <c r="F343" s="167">
        <f t="shared" si="155"/>
        <v>0</v>
      </c>
      <c r="G343" s="70">
        <v>0</v>
      </c>
      <c r="H343" s="167">
        <f t="shared" si="161"/>
        <v>0</v>
      </c>
      <c r="I343" s="70"/>
      <c r="J343" s="167">
        <f t="shared" si="162"/>
        <v>0</v>
      </c>
      <c r="K343" s="70"/>
      <c r="L343" s="167">
        <f t="shared" si="163"/>
        <v>0</v>
      </c>
      <c r="M343" s="164">
        <f t="shared" si="164"/>
        <v>0</v>
      </c>
      <c r="N343" s="165">
        <f t="shared" si="156"/>
        <v>0</v>
      </c>
      <c r="P343" s="6"/>
      <c r="Q343" s="6"/>
      <c r="R343" s="138">
        <f t="shared" si="165"/>
        <v>0</v>
      </c>
      <c r="S343" s="185">
        <f t="shared" si="157"/>
        <v>0</v>
      </c>
      <c r="T343" s="6"/>
      <c r="U343" s="6"/>
      <c r="V343" s="138">
        <f t="shared" si="166"/>
        <v>0</v>
      </c>
      <c r="W343" s="6"/>
      <c r="X343" s="138">
        <f t="shared" si="167"/>
        <v>0</v>
      </c>
      <c r="Y343" s="167">
        <f t="shared" si="158"/>
        <v>0</v>
      </c>
      <c r="Z343" s="70"/>
      <c r="AA343" s="6"/>
      <c r="AB343" s="138">
        <f t="shared" si="168"/>
        <v>0</v>
      </c>
      <c r="AC343" s="6"/>
      <c r="AD343" s="138">
        <f t="shared" si="169"/>
        <v>0</v>
      </c>
      <c r="AE343" s="167">
        <f t="shared" si="170"/>
        <v>0</v>
      </c>
      <c r="AF343" s="307"/>
      <c r="AG343" s="4"/>
      <c r="AH343" s="138">
        <f t="shared" si="171"/>
        <v>0</v>
      </c>
      <c r="AI343" s="6"/>
      <c r="AJ343" s="138">
        <f t="shared" si="172"/>
        <v>0</v>
      </c>
      <c r="AK343" s="167">
        <f t="shared" si="173"/>
        <v>0</v>
      </c>
      <c r="AL343" s="6"/>
      <c r="AM343" s="6"/>
      <c r="AN343" s="138">
        <f t="shared" si="174"/>
        <v>0</v>
      </c>
      <c r="AO343" s="6"/>
      <c r="AP343" s="138">
        <f t="shared" si="175"/>
        <v>0</v>
      </c>
      <c r="AQ343" s="167">
        <f t="shared" si="176"/>
        <v>0</v>
      </c>
      <c r="AR343" s="164">
        <f t="shared" si="159"/>
        <v>0</v>
      </c>
      <c r="AS343" s="165">
        <f t="shared" si="160"/>
        <v>0</v>
      </c>
    </row>
    <row r="344" spans="2:45" outlineLevel="1" x14ac:dyDescent="0.35">
      <c r="B344" s="294" t="s">
        <v>80</v>
      </c>
      <c r="C344" s="62" t="s">
        <v>147</v>
      </c>
      <c r="D344" s="70">
        <v>0</v>
      </c>
      <c r="E344" s="70">
        <v>0</v>
      </c>
      <c r="F344" s="167">
        <f t="shared" si="155"/>
        <v>0</v>
      </c>
      <c r="G344" s="70">
        <v>0</v>
      </c>
      <c r="H344" s="167">
        <f t="shared" si="161"/>
        <v>0</v>
      </c>
      <c r="I344" s="70"/>
      <c r="J344" s="167">
        <f t="shared" si="162"/>
        <v>0</v>
      </c>
      <c r="K344" s="70"/>
      <c r="L344" s="167">
        <f t="shared" si="163"/>
        <v>0</v>
      </c>
      <c r="M344" s="164">
        <f t="shared" si="164"/>
        <v>0</v>
      </c>
      <c r="N344" s="165">
        <f t="shared" si="156"/>
        <v>0</v>
      </c>
      <c r="P344" s="6"/>
      <c r="Q344" s="6"/>
      <c r="R344" s="138">
        <f t="shared" si="165"/>
        <v>0</v>
      </c>
      <c r="S344" s="185">
        <f t="shared" si="157"/>
        <v>0</v>
      </c>
      <c r="T344" s="6"/>
      <c r="U344" s="6"/>
      <c r="V344" s="138">
        <f t="shared" si="166"/>
        <v>0</v>
      </c>
      <c r="W344" s="6"/>
      <c r="X344" s="138">
        <f t="shared" si="167"/>
        <v>0</v>
      </c>
      <c r="Y344" s="167">
        <f t="shared" si="158"/>
        <v>0</v>
      </c>
      <c r="Z344" s="70"/>
      <c r="AA344" s="6"/>
      <c r="AB344" s="138">
        <f t="shared" si="168"/>
        <v>0</v>
      </c>
      <c r="AC344" s="6"/>
      <c r="AD344" s="138">
        <f t="shared" si="169"/>
        <v>0</v>
      </c>
      <c r="AE344" s="167">
        <f t="shared" si="170"/>
        <v>0</v>
      </c>
      <c r="AF344" s="307"/>
      <c r="AG344" s="4"/>
      <c r="AH344" s="138">
        <f t="shared" si="171"/>
        <v>0</v>
      </c>
      <c r="AI344" s="6"/>
      <c r="AJ344" s="138">
        <f t="shared" si="172"/>
        <v>0</v>
      </c>
      <c r="AK344" s="167">
        <f t="shared" si="173"/>
        <v>0</v>
      </c>
      <c r="AL344" s="6"/>
      <c r="AM344" s="6"/>
      <c r="AN344" s="138">
        <f t="shared" si="174"/>
        <v>0</v>
      </c>
      <c r="AO344" s="6"/>
      <c r="AP344" s="138">
        <f t="shared" si="175"/>
        <v>0</v>
      </c>
      <c r="AQ344" s="167">
        <f t="shared" si="176"/>
        <v>0</v>
      </c>
      <c r="AR344" s="164">
        <f t="shared" si="159"/>
        <v>0</v>
      </c>
      <c r="AS344" s="165">
        <f t="shared" si="160"/>
        <v>0</v>
      </c>
    </row>
    <row r="345" spans="2:45" outlineLevel="1" x14ac:dyDescent="0.35">
      <c r="B345" s="294" t="s">
        <v>81</v>
      </c>
      <c r="C345" s="62" t="s">
        <v>147</v>
      </c>
      <c r="D345" s="70">
        <v>0</v>
      </c>
      <c r="E345" s="70">
        <v>0</v>
      </c>
      <c r="F345" s="167">
        <f t="shared" si="155"/>
        <v>0</v>
      </c>
      <c r="G345" s="70">
        <v>0</v>
      </c>
      <c r="H345" s="167">
        <f t="shared" si="161"/>
        <v>0</v>
      </c>
      <c r="I345" s="70"/>
      <c r="J345" s="167">
        <f t="shared" si="162"/>
        <v>0</v>
      </c>
      <c r="K345" s="70"/>
      <c r="L345" s="167">
        <f t="shared" si="163"/>
        <v>0</v>
      </c>
      <c r="M345" s="164">
        <f t="shared" si="164"/>
        <v>0</v>
      </c>
      <c r="N345" s="165">
        <f t="shared" si="156"/>
        <v>0</v>
      </c>
      <c r="P345" s="6"/>
      <c r="Q345" s="6"/>
      <c r="R345" s="138">
        <f t="shared" si="165"/>
        <v>0</v>
      </c>
      <c r="S345" s="185">
        <f t="shared" si="157"/>
        <v>0</v>
      </c>
      <c r="T345" s="6"/>
      <c r="U345" s="6"/>
      <c r="V345" s="138">
        <f t="shared" si="166"/>
        <v>0</v>
      </c>
      <c r="W345" s="6"/>
      <c r="X345" s="138">
        <f t="shared" si="167"/>
        <v>0</v>
      </c>
      <c r="Y345" s="167">
        <f t="shared" si="158"/>
        <v>0</v>
      </c>
      <c r="Z345" s="70"/>
      <c r="AA345" s="6"/>
      <c r="AB345" s="138">
        <f t="shared" si="168"/>
        <v>0</v>
      </c>
      <c r="AC345" s="6"/>
      <c r="AD345" s="138">
        <f t="shared" si="169"/>
        <v>0</v>
      </c>
      <c r="AE345" s="167">
        <f t="shared" si="170"/>
        <v>0</v>
      </c>
      <c r="AF345" s="307"/>
      <c r="AG345" s="4"/>
      <c r="AH345" s="138">
        <f t="shared" si="171"/>
        <v>0</v>
      </c>
      <c r="AI345" s="6"/>
      <c r="AJ345" s="138">
        <f t="shared" si="172"/>
        <v>0</v>
      </c>
      <c r="AK345" s="167">
        <f t="shared" si="173"/>
        <v>0</v>
      </c>
      <c r="AL345" s="6"/>
      <c r="AM345" s="6"/>
      <c r="AN345" s="138">
        <f t="shared" si="174"/>
        <v>0</v>
      </c>
      <c r="AO345" s="6"/>
      <c r="AP345" s="138">
        <f t="shared" si="175"/>
        <v>0</v>
      </c>
      <c r="AQ345" s="167">
        <f t="shared" si="176"/>
        <v>0</v>
      </c>
      <c r="AR345" s="164">
        <f t="shared" si="159"/>
        <v>0</v>
      </c>
      <c r="AS345" s="165">
        <f t="shared" si="160"/>
        <v>0</v>
      </c>
    </row>
    <row r="346" spans="2:45" outlineLevel="1" x14ac:dyDescent="0.35">
      <c r="B346" s="294" t="s">
        <v>82</v>
      </c>
      <c r="C346" s="62" t="s">
        <v>147</v>
      </c>
      <c r="D346" s="70">
        <v>1162.1975900026641</v>
      </c>
      <c r="E346" s="70">
        <v>2876.3679495434199</v>
      </c>
      <c r="F346" s="167">
        <f t="shared" si="155"/>
        <v>1.474938835088125</v>
      </c>
      <c r="G346" s="70">
        <v>4849.6141922071802</v>
      </c>
      <c r="H346" s="167">
        <f t="shared" si="161"/>
        <v>0.68602010496500754</v>
      </c>
      <c r="I346" s="70">
        <v>5856.8</v>
      </c>
      <c r="J346" s="167">
        <f t="shared" si="162"/>
        <v>0.20768369768697512</v>
      </c>
      <c r="K346" s="70">
        <v>5986.3</v>
      </c>
      <c r="L346" s="167">
        <f t="shared" si="163"/>
        <v>2.2111050402950416E-2</v>
      </c>
      <c r="M346" s="164">
        <f t="shared" si="164"/>
        <v>20731.279731753264</v>
      </c>
      <c r="N346" s="165">
        <f t="shared" si="156"/>
        <v>0.50650170225397151</v>
      </c>
      <c r="P346" s="6"/>
      <c r="Q346" s="6">
        <v>6252.46</v>
      </c>
      <c r="R346" s="138">
        <f t="shared" si="165"/>
        <v>6252.46</v>
      </c>
      <c r="S346" s="185">
        <f t="shared" si="157"/>
        <v>4.4461520471743787E-2</v>
      </c>
      <c r="T346" s="6"/>
      <c r="U346" s="6"/>
      <c r="V346" s="138">
        <f t="shared" si="166"/>
        <v>0</v>
      </c>
      <c r="W346" s="6">
        <v>6252.46</v>
      </c>
      <c r="X346" s="138">
        <f t="shared" si="167"/>
        <v>6252.46</v>
      </c>
      <c r="Y346" s="167">
        <f t="shared" si="158"/>
        <v>0</v>
      </c>
      <c r="Z346" s="70"/>
      <c r="AA346" s="6"/>
      <c r="AB346" s="138">
        <f t="shared" si="168"/>
        <v>0</v>
      </c>
      <c r="AC346" s="6">
        <v>6252.46</v>
      </c>
      <c r="AD346" s="138">
        <f t="shared" si="169"/>
        <v>6252.46</v>
      </c>
      <c r="AE346" s="167">
        <f t="shared" si="170"/>
        <v>0</v>
      </c>
      <c r="AF346" s="307"/>
      <c r="AG346" s="4"/>
      <c r="AH346" s="138">
        <f t="shared" si="171"/>
        <v>0</v>
      </c>
      <c r="AI346" s="6">
        <v>6252.46</v>
      </c>
      <c r="AJ346" s="138">
        <f t="shared" si="172"/>
        <v>6252.46</v>
      </c>
      <c r="AK346" s="167">
        <f t="shared" si="173"/>
        <v>0</v>
      </c>
      <c r="AL346" s="6"/>
      <c r="AM346" s="6"/>
      <c r="AN346" s="138">
        <f t="shared" si="174"/>
        <v>0</v>
      </c>
      <c r="AO346" s="6">
        <v>6252.46</v>
      </c>
      <c r="AP346" s="138">
        <f t="shared" si="175"/>
        <v>6252.46</v>
      </c>
      <c r="AQ346" s="167">
        <f t="shared" si="176"/>
        <v>0</v>
      </c>
      <c r="AR346" s="164">
        <f t="shared" si="159"/>
        <v>31262.3</v>
      </c>
      <c r="AS346" s="165">
        <f t="shared" si="160"/>
        <v>0</v>
      </c>
    </row>
    <row r="347" spans="2:45" outlineLevel="1" x14ac:dyDescent="0.35">
      <c r="B347" s="294" t="s">
        <v>83</v>
      </c>
      <c r="C347" s="62" t="s">
        <v>147</v>
      </c>
      <c r="D347" s="70">
        <v>0</v>
      </c>
      <c r="E347" s="70">
        <v>0</v>
      </c>
      <c r="F347" s="167">
        <f t="shared" si="155"/>
        <v>0</v>
      </c>
      <c r="G347" s="70">
        <v>0</v>
      </c>
      <c r="H347" s="167">
        <f t="shared" si="161"/>
        <v>0</v>
      </c>
      <c r="I347" s="70"/>
      <c r="J347" s="167">
        <f t="shared" si="162"/>
        <v>0</v>
      </c>
      <c r="K347" s="70"/>
      <c r="L347" s="167">
        <f t="shared" si="163"/>
        <v>0</v>
      </c>
      <c r="M347" s="164">
        <f t="shared" si="164"/>
        <v>0</v>
      </c>
      <c r="N347" s="165">
        <f t="shared" si="156"/>
        <v>0</v>
      </c>
      <c r="P347" s="6"/>
      <c r="Q347" s="6"/>
      <c r="R347" s="138">
        <f t="shared" si="165"/>
        <v>0</v>
      </c>
      <c r="S347" s="185">
        <f t="shared" si="157"/>
        <v>0</v>
      </c>
      <c r="T347" s="6"/>
      <c r="U347" s="6"/>
      <c r="V347" s="138">
        <f t="shared" si="166"/>
        <v>0</v>
      </c>
      <c r="W347" s="6"/>
      <c r="X347" s="138">
        <f t="shared" si="167"/>
        <v>0</v>
      </c>
      <c r="Y347" s="167">
        <f t="shared" si="158"/>
        <v>0</v>
      </c>
      <c r="Z347" s="70"/>
      <c r="AA347" s="6"/>
      <c r="AB347" s="138">
        <f t="shared" si="168"/>
        <v>0</v>
      </c>
      <c r="AC347" s="6"/>
      <c r="AD347" s="138">
        <f t="shared" si="169"/>
        <v>0</v>
      </c>
      <c r="AE347" s="167">
        <f t="shared" si="170"/>
        <v>0</v>
      </c>
      <c r="AF347" s="307"/>
      <c r="AG347" s="4"/>
      <c r="AH347" s="138">
        <f t="shared" si="171"/>
        <v>0</v>
      </c>
      <c r="AI347" s="6"/>
      <c r="AJ347" s="138">
        <f t="shared" si="172"/>
        <v>0</v>
      </c>
      <c r="AK347" s="167">
        <f t="shared" si="173"/>
        <v>0</v>
      </c>
      <c r="AL347" s="6"/>
      <c r="AM347" s="6"/>
      <c r="AN347" s="138">
        <f t="shared" si="174"/>
        <v>0</v>
      </c>
      <c r="AO347" s="6"/>
      <c r="AP347" s="138">
        <f t="shared" si="175"/>
        <v>0</v>
      </c>
      <c r="AQ347" s="167">
        <f t="shared" si="176"/>
        <v>0</v>
      </c>
      <c r="AR347" s="164">
        <f t="shared" si="159"/>
        <v>0</v>
      </c>
      <c r="AS347" s="165">
        <f t="shared" si="160"/>
        <v>0</v>
      </c>
    </row>
    <row r="348" spans="2:45" outlineLevel="1" x14ac:dyDescent="0.35">
      <c r="B348" s="294" t="s">
        <v>84</v>
      </c>
      <c r="C348" s="62" t="s">
        <v>147</v>
      </c>
      <c r="D348" s="70">
        <v>0</v>
      </c>
      <c r="E348" s="70">
        <v>0</v>
      </c>
      <c r="F348" s="167">
        <f t="shared" si="155"/>
        <v>0</v>
      </c>
      <c r="G348" s="70">
        <v>0</v>
      </c>
      <c r="H348" s="167">
        <f t="shared" si="161"/>
        <v>0</v>
      </c>
      <c r="I348" s="70"/>
      <c r="J348" s="167">
        <f t="shared" si="162"/>
        <v>0</v>
      </c>
      <c r="K348" s="70"/>
      <c r="L348" s="167">
        <f t="shared" si="163"/>
        <v>0</v>
      </c>
      <c r="M348" s="164">
        <f t="shared" si="164"/>
        <v>0</v>
      </c>
      <c r="N348" s="165">
        <f t="shared" si="156"/>
        <v>0</v>
      </c>
      <c r="P348" s="6"/>
      <c r="Q348" s="6"/>
      <c r="R348" s="138">
        <f t="shared" si="165"/>
        <v>0</v>
      </c>
      <c r="S348" s="185">
        <f t="shared" si="157"/>
        <v>0</v>
      </c>
      <c r="T348" s="6"/>
      <c r="U348" s="6"/>
      <c r="V348" s="138">
        <f t="shared" si="166"/>
        <v>0</v>
      </c>
      <c r="W348" s="6"/>
      <c r="X348" s="138">
        <f t="shared" si="167"/>
        <v>0</v>
      </c>
      <c r="Y348" s="167">
        <f t="shared" si="158"/>
        <v>0</v>
      </c>
      <c r="Z348" s="70"/>
      <c r="AA348" s="6"/>
      <c r="AB348" s="138">
        <f t="shared" si="168"/>
        <v>0</v>
      </c>
      <c r="AC348" s="6"/>
      <c r="AD348" s="138">
        <f t="shared" si="169"/>
        <v>0</v>
      </c>
      <c r="AE348" s="167">
        <f t="shared" si="170"/>
        <v>0</v>
      </c>
      <c r="AF348" s="307"/>
      <c r="AG348" s="4"/>
      <c r="AH348" s="138">
        <f t="shared" si="171"/>
        <v>0</v>
      </c>
      <c r="AI348" s="6"/>
      <c r="AJ348" s="138">
        <f t="shared" si="172"/>
        <v>0</v>
      </c>
      <c r="AK348" s="167">
        <f t="shared" si="173"/>
        <v>0</v>
      </c>
      <c r="AL348" s="6"/>
      <c r="AM348" s="6"/>
      <c r="AN348" s="138">
        <f t="shared" si="174"/>
        <v>0</v>
      </c>
      <c r="AO348" s="6"/>
      <c r="AP348" s="138">
        <f t="shared" si="175"/>
        <v>0</v>
      </c>
      <c r="AQ348" s="167">
        <f t="shared" si="176"/>
        <v>0</v>
      </c>
      <c r="AR348" s="164">
        <f t="shared" si="159"/>
        <v>0</v>
      </c>
      <c r="AS348" s="165">
        <f t="shared" si="160"/>
        <v>0</v>
      </c>
    </row>
    <row r="349" spans="2:45" outlineLevel="1" x14ac:dyDescent="0.35">
      <c r="B349" s="294" t="s">
        <v>85</v>
      </c>
      <c r="C349" s="62" t="s">
        <v>147</v>
      </c>
      <c r="D349" s="70">
        <v>0</v>
      </c>
      <c r="E349" s="70">
        <v>0</v>
      </c>
      <c r="F349" s="167">
        <f t="shared" si="155"/>
        <v>0</v>
      </c>
      <c r="G349" s="70">
        <v>0</v>
      </c>
      <c r="H349" s="167">
        <f t="shared" si="161"/>
        <v>0</v>
      </c>
      <c r="I349" s="70"/>
      <c r="J349" s="167">
        <f t="shared" si="162"/>
        <v>0</v>
      </c>
      <c r="K349" s="70"/>
      <c r="L349" s="167">
        <f t="shared" si="163"/>
        <v>0</v>
      </c>
      <c r="M349" s="164">
        <f t="shared" si="164"/>
        <v>0</v>
      </c>
      <c r="N349" s="165">
        <f t="shared" si="156"/>
        <v>0</v>
      </c>
      <c r="P349" s="6"/>
      <c r="Q349" s="6"/>
      <c r="R349" s="138">
        <f t="shared" si="165"/>
        <v>0</v>
      </c>
      <c r="S349" s="185">
        <f t="shared" si="157"/>
        <v>0</v>
      </c>
      <c r="T349" s="6"/>
      <c r="U349" s="6"/>
      <c r="V349" s="138">
        <f t="shared" si="166"/>
        <v>0</v>
      </c>
      <c r="W349" s="6"/>
      <c r="X349" s="138">
        <f t="shared" si="167"/>
        <v>0</v>
      </c>
      <c r="Y349" s="167">
        <f t="shared" si="158"/>
        <v>0</v>
      </c>
      <c r="Z349" s="70"/>
      <c r="AA349" s="6"/>
      <c r="AB349" s="138">
        <f t="shared" si="168"/>
        <v>0</v>
      </c>
      <c r="AC349" s="6"/>
      <c r="AD349" s="138">
        <f t="shared" si="169"/>
        <v>0</v>
      </c>
      <c r="AE349" s="167">
        <f t="shared" si="170"/>
        <v>0</v>
      </c>
      <c r="AF349" s="307"/>
      <c r="AG349" s="4"/>
      <c r="AH349" s="138">
        <f t="shared" si="171"/>
        <v>0</v>
      </c>
      <c r="AI349" s="6"/>
      <c r="AJ349" s="138">
        <f t="shared" si="172"/>
        <v>0</v>
      </c>
      <c r="AK349" s="167">
        <f t="shared" si="173"/>
        <v>0</v>
      </c>
      <c r="AL349" s="6"/>
      <c r="AM349" s="6"/>
      <c r="AN349" s="138">
        <f t="shared" si="174"/>
        <v>0</v>
      </c>
      <c r="AO349" s="6"/>
      <c r="AP349" s="138">
        <f t="shared" si="175"/>
        <v>0</v>
      </c>
      <c r="AQ349" s="167">
        <f t="shared" si="176"/>
        <v>0</v>
      </c>
      <c r="AR349" s="164">
        <f t="shared" si="159"/>
        <v>0</v>
      </c>
      <c r="AS349" s="165">
        <f t="shared" si="160"/>
        <v>0</v>
      </c>
    </row>
    <row r="350" spans="2:45" outlineLevel="1" x14ac:dyDescent="0.35">
      <c r="B350" s="294" t="s">
        <v>86</v>
      </c>
      <c r="C350" s="62" t="s">
        <v>147</v>
      </c>
      <c r="D350" s="70">
        <v>0</v>
      </c>
      <c r="E350" s="70">
        <v>0</v>
      </c>
      <c r="F350" s="167">
        <f t="shared" si="155"/>
        <v>0</v>
      </c>
      <c r="G350" s="70">
        <v>0</v>
      </c>
      <c r="H350" s="167">
        <f t="shared" si="161"/>
        <v>0</v>
      </c>
      <c r="I350" s="70"/>
      <c r="J350" s="167">
        <f t="shared" si="162"/>
        <v>0</v>
      </c>
      <c r="K350" s="70"/>
      <c r="L350" s="167">
        <f t="shared" si="163"/>
        <v>0</v>
      </c>
      <c r="M350" s="164">
        <f t="shared" si="164"/>
        <v>0</v>
      </c>
      <c r="N350" s="165">
        <f t="shared" si="156"/>
        <v>0</v>
      </c>
      <c r="P350" s="6"/>
      <c r="Q350" s="6"/>
      <c r="R350" s="138">
        <f t="shared" si="165"/>
        <v>0</v>
      </c>
      <c r="S350" s="185">
        <f t="shared" si="157"/>
        <v>0</v>
      </c>
      <c r="T350" s="6"/>
      <c r="U350" s="6"/>
      <c r="V350" s="138">
        <f t="shared" si="166"/>
        <v>0</v>
      </c>
      <c r="W350" s="6"/>
      <c r="X350" s="138">
        <f t="shared" si="167"/>
        <v>0</v>
      </c>
      <c r="Y350" s="167">
        <f t="shared" si="158"/>
        <v>0</v>
      </c>
      <c r="Z350" s="70"/>
      <c r="AA350" s="6"/>
      <c r="AB350" s="138">
        <f t="shared" si="168"/>
        <v>0</v>
      </c>
      <c r="AC350" s="6"/>
      <c r="AD350" s="138">
        <f t="shared" si="169"/>
        <v>0</v>
      </c>
      <c r="AE350" s="167">
        <f t="shared" si="170"/>
        <v>0</v>
      </c>
      <c r="AF350" s="307"/>
      <c r="AG350" s="4"/>
      <c r="AH350" s="138">
        <f t="shared" si="171"/>
        <v>0</v>
      </c>
      <c r="AI350" s="6"/>
      <c r="AJ350" s="138">
        <f t="shared" si="172"/>
        <v>0</v>
      </c>
      <c r="AK350" s="167">
        <f t="shared" si="173"/>
        <v>0</v>
      </c>
      <c r="AL350" s="6"/>
      <c r="AM350" s="6"/>
      <c r="AN350" s="138">
        <f t="shared" si="174"/>
        <v>0</v>
      </c>
      <c r="AO350" s="6"/>
      <c r="AP350" s="138">
        <f t="shared" si="175"/>
        <v>0</v>
      </c>
      <c r="AQ350" s="167">
        <f t="shared" si="176"/>
        <v>0</v>
      </c>
      <c r="AR350" s="164">
        <f t="shared" si="159"/>
        <v>0</v>
      </c>
      <c r="AS350" s="165">
        <f t="shared" si="160"/>
        <v>0</v>
      </c>
    </row>
    <row r="351" spans="2:45" outlineLevel="1" x14ac:dyDescent="0.35">
      <c r="B351" s="294" t="s">
        <v>87</v>
      </c>
      <c r="C351" s="62" t="s">
        <v>147</v>
      </c>
      <c r="D351" s="70">
        <v>0</v>
      </c>
      <c r="E351" s="70">
        <v>0</v>
      </c>
      <c r="F351" s="167">
        <f t="shared" si="155"/>
        <v>0</v>
      </c>
      <c r="G351" s="70">
        <v>0</v>
      </c>
      <c r="H351" s="167">
        <f t="shared" si="161"/>
        <v>0</v>
      </c>
      <c r="I351" s="70"/>
      <c r="J351" s="167">
        <f t="shared" si="162"/>
        <v>0</v>
      </c>
      <c r="K351" s="70"/>
      <c r="L351" s="167">
        <f t="shared" si="163"/>
        <v>0</v>
      </c>
      <c r="M351" s="164">
        <f t="shared" si="164"/>
        <v>0</v>
      </c>
      <c r="N351" s="165">
        <f t="shared" si="156"/>
        <v>0</v>
      </c>
      <c r="P351" s="6"/>
      <c r="Q351" s="6"/>
      <c r="R351" s="138">
        <f t="shared" si="165"/>
        <v>0</v>
      </c>
      <c r="S351" s="185">
        <f t="shared" si="157"/>
        <v>0</v>
      </c>
      <c r="T351" s="6"/>
      <c r="U351" s="6"/>
      <c r="V351" s="138">
        <f t="shared" si="166"/>
        <v>0</v>
      </c>
      <c r="W351" s="6"/>
      <c r="X351" s="138">
        <f t="shared" si="167"/>
        <v>0</v>
      </c>
      <c r="Y351" s="167">
        <f t="shared" si="158"/>
        <v>0</v>
      </c>
      <c r="Z351" s="70"/>
      <c r="AA351" s="6"/>
      <c r="AB351" s="138">
        <f t="shared" si="168"/>
        <v>0</v>
      </c>
      <c r="AC351" s="6"/>
      <c r="AD351" s="138">
        <f t="shared" si="169"/>
        <v>0</v>
      </c>
      <c r="AE351" s="167">
        <f t="shared" si="170"/>
        <v>0</v>
      </c>
      <c r="AF351" s="307"/>
      <c r="AG351" s="4"/>
      <c r="AH351" s="138">
        <f t="shared" si="171"/>
        <v>0</v>
      </c>
      <c r="AI351" s="6"/>
      <c r="AJ351" s="138">
        <f t="shared" si="172"/>
        <v>0</v>
      </c>
      <c r="AK351" s="167">
        <f t="shared" si="173"/>
        <v>0</v>
      </c>
      <c r="AL351" s="6"/>
      <c r="AM351" s="6"/>
      <c r="AN351" s="138">
        <f t="shared" si="174"/>
        <v>0</v>
      </c>
      <c r="AO351" s="6"/>
      <c r="AP351" s="138">
        <f t="shared" si="175"/>
        <v>0</v>
      </c>
      <c r="AQ351" s="167">
        <f t="shared" si="176"/>
        <v>0</v>
      </c>
      <c r="AR351" s="164">
        <f t="shared" si="159"/>
        <v>0</v>
      </c>
      <c r="AS351" s="165">
        <f t="shared" si="160"/>
        <v>0</v>
      </c>
    </row>
    <row r="352" spans="2:45" outlineLevel="1" x14ac:dyDescent="0.35">
      <c r="B352" s="294" t="s">
        <v>88</v>
      </c>
      <c r="C352" s="62" t="s">
        <v>147</v>
      </c>
      <c r="D352" s="70">
        <v>0</v>
      </c>
      <c r="E352" s="70">
        <v>0</v>
      </c>
      <c r="F352" s="167">
        <f t="shared" si="155"/>
        <v>0</v>
      </c>
      <c r="G352" s="70">
        <v>0</v>
      </c>
      <c r="H352" s="167">
        <f t="shared" si="161"/>
        <v>0</v>
      </c>
      <c r="I352" s="70"/>
      <c r="J352" s="167">
        <f t="shared" si="162"/>
        <v>0</v>
      </c>
      <c r="K352" s="70"/>
      <c r="L352" s="167">
        <f t="shared" si="163"/>
        <v>0</v>
      </c>
      <c r="M352" s="164">
        <f t="shared" si="164"/>
        <v>0</v>
      </c>
      <c r="N352" s="165">
        <f t="shared" si="156"/>
        <v>0</v>
      </c>
      <c r="P352" s="6"/>
      <c r="Q352" s="6"/>
      <c r="R352" s="138">
        <f t="shared" si="165"/>
        <v>0</v>
      </c>
      <c r="S352" s="185">
        <f t="shared" si="157"/>
        <v>0</v>
      </c>
      <c r="T352" s="6"/>
      <c r="U352" s="6"/>
      <c r="V352" s="138">
        <f t="shared" si="166"/>
        <v>0</v>
      </c>
      <c r="W352" s="6"/>
      <c r="X352" s="138">
        <f t="shared" si="167"/>
        <v>0</v>
      </c>
      <c r="Y352" s="167">
        <f t="shared" si="158"/>
        <v>0</v>
      </c>
      <c r="Z352" s="70"/>
      <c r="AA352" s="6"/>
      <c r="AB352" s="138">
        <f t="shared" si="168"/>
        <v>0</v>
      </c>
      <c r="AC352" s="6"/>
      <c r="AD352" s="138">
        <f t="shared" si="169"/>
        <v>0</v>
      </c>
      <c r="AE352" s="167">
        <f t="shared" si="170"/>
        <v>0</v>
      </c>
      <c r="AF352" s="307"/>
      <c r="AG352" s="4"/>
      <c r="AH352" s="138">
        <f t="shared" si="171"/>
        <v>0</v>
      </c>
      <c r="AI352" s="6"/>
      <c r="AJ352" s="138">
        <f t="shared" si="172"/>
        <v>0</v>
      </c>
      <c r="AK352" s="167">
        <f t="shared" si="173"/>
        <v>0</v>
      </c>
      <c r="AL352" s="6"/>
      <c r="AM352" s="6"/>
      <c r="AN352" s="138">
        <f t="shared" si="174"/>
        <v>0</v>
      </c>
      <c r="AO352" s="6"/>
      <c r="AP352" s="138">
        <f t="shared" si="175"/>
        <v>0</v>
      </c>
      <c r="AQ352" s="167">
        <f t="shared" si="176"/>
        <v>0</v>
      </c>
      <c r="AR352" s="164">
        <f t="shared" si="159"/>
        <v>0</v>
      </c>
      <c r="AS352" s="165">
        <f t="shared" si="160"/>
        <v>0</v>
      </c>
    </row>
    <row r="353" spans="2:45" outlineLevel="1" x14ac:dyDescent="0.35">
      <c r="B353" s="294" t="s">
        <v>89</v>
      </c>
      <c r="C353" s="62" t="s">
        <v>147</v>
      </c>
      <c r="D353" s="70">
        <v>0</v>
      </c>
      <c r="E353" s="70">
        <v>0</v>
      </c>
      <c r="F353" s="167">
        <f t="shared" si="155"/>
        <v>0</v>
      </c>
      <c r="G353" s="70">
        <v>0</v>
      </c>
      <c r="H353" s="167">
        <f t="shared" si="161"/>
        <v>0</v>
      </c>
      <c r="I353" s="70"/>
      <c r="J353" s="167">
        <f t="shared" si="162"/>
        <v>0</v>
      </c>
      <c r="K353" s="70"/>
      <c r="L353" s="167">
        <f t="shared" si="163"/>
        <v>0</v>
      </c>
      <c r="M353" s="164">
        <f t="shared" si="164"/>
        <v>0</v>
      </c>
      <c r="N353" s="165">
        <f t="shared" si="156"/>
        <v>0</v>
      </c>
      <c r="P353" s="6"/>
      <c r="Q353" s="6"/>
      <c r="R353" s="138">
        <f t="shared" si="165"/>
        <v>0</v>
      </c>
      <c r="S353" s="185">
        <f t="shared" si="157"/>
        <v>0</v>
      </c>
      <c r="T353" s="6"/>
      <c r="U353" s="6"/>
      <c r="V353" s="138">
        <f t="shared" si="166"/>
        <v>0</v>
      </c>
      <c r="W353" s="6"/>
      <c r="X353" s="138">
        <f t="shared" si="167"/>
        <v>0</v>
      </c>
      <c r="Y353" s="167">
        <f t="shared" si="158"/>
        <v>0</v>
      </c>
      <c r="Z353" s="70"/>
      <c r="AA353" s="6"/>
      <c r="AB353" s="138">
        <f t="shared" si="168"/>
        <v>0</v>
      </c>
      <c r="AC353" s="6"/>
      <c r="AD353" s="138">
        <f t="shared" si="169"/>
        <v>0</v>
      </c>
      <c r="AE353" s="167">
        <f t="shared" si="170"/>
        <v>0</v>
      </c>
      <c r="AF353" s="307"/>
      <c r="AG353" s="4"/>
      <c r="AH353" s="138">
        <f t="shared" si="171"/>
        <v>0</v>
      </c>
      <c r="AI353" s="6"/>
      <c r="AJ353" s="138">
        <f t="shared" si="172"/>
        <v>0</v>
      </c>
      <c r="AK353" s="167">
        <f t="shared" si="173"/>
        <v>0</v>
      </c>
      <c r="AL353" s="6"/>
      <c r="AM353" s="6"/>
      <c r="AN353" s="138">
        <f t="shared" si="174"/>
        <v>0</v>
      </c>
      <c r="AO353" s="6"/>
      <c r="AP353" s="138">
        <f t="shared" si="175"/>
        <v>0</v>
      </c>
      <c r="AQ353" s="167">
        <f t="shared" si="176"/>
        <v>0</v>
      </c>
      <c r="AR353" s="164">
        <f t="shared" si="159"/>
        <v>0</v>
      </c>
      <c r="AS353" s="165">
        <f t="shared" si="160"/>
        <v>0</v>
      </c>
    </row>
    <row r="354" spans="2:45" outlineLevel="1" x14ac:dyDescent="0.35">
      <c r="B354" s="294" t="s">
        <v>90</v>
      </c>
      <c r="C354" s="62" t="s">
        <v>147</v>
      </c>
      <c r="D354" s="70">
        <v>0</v>
      </c>
      <c r="E354" s="70">
        <v>0</v>
      </c>
      <c r="F354" s="167">
        <f t="shared" si="155"/>
        <v>0</v>
      </c>
      <c r="G354" s="70">
        <v>0</v>
      </c>
      <c r="H354" s="167">
        <f t="shared" si="161"/>
        <v>0</v>
      </c>
      <c r="I354" s="70"/>
      <c r="J354" s="167">
        <f t="shared" si="162"/>
        <v>0</v>
      </c>
      <c r="K354" s="70"/>
      <c r="L354" s="167">
        <f t="shared" si="163"/>
        <v>0</v>
      </c>
      <c r="M354" s="164">
        <f t="shared" si="164"/>
        <v>0</v>
      </c>
      <c r="N354" s="165">
        <f t="shared" si="156"/>
        <v>0</v>
      </c>
      <c r="P354" s="6"/>
      <c r="Q354" s="6"/>
      <c r="R354" s="138">
        <f t="shared" si="165"/>
        <v>0</v>
      </c>
      <c r="S354" s="185">
        <f t="shared" si="157"/>
        <v>0</v>
      </c>
      <c r="T354" s="6"/>
      <c r="U354" s="6"/>
      <c r="V354" s="138">
        <f t="shared" si="166"/>
        <v>0</v>
      </c>
      <c r="W354" s="6"/>
      <c r="X354" s="138">
        <f t="shared" si="167"/>
        <v>0</v>
      </c>
      <c r="Y354" s="167">
        <f t="shared" si="158"/>
        <v>0</v>
      </c>
      <c r="Z354" s="70"/>
      <c r="AA354" s="6"/>
      <c r="AB354" s="138">
        <f t="shared" si="168"/>
        <v>0</v>
      </c>
      <c r="AC354" s="6"/>
      <c r="AD354" s="138">
        <f t="shared" si="169"/>
        <v>0</v>
      </c>
      <c r="AE354" s="167">
        <f t="shared" si="170"/>
        <v>0</v>
      </c>
      <c r="AF354" s="307"/>
      <c r="AG354" s="4"/>
      <c r="AH354" s="138">
        <f t="shared" si="171"/>
        <v>0</v>
      </c>
      <c r="AI354" s="6"/>
      <c r="AJ354" s="138">
        <f t="shared" si="172"/>
        <v>0</v>
      </c>
      <c r="AK354" s="167">
        <f t="shared" si="173"/>
        <v>0</v>
      </c>
      <c r="AL354" s="6"/>
      <c r="AM354" s="6"/>
      <c r="AN354" s="138">
        <f t="shared" si="174"/>
        <v>0</v>
      </c>
      <c r="AO354" s="6"/>
      <c r="AP354" s="138">
        <f t="shared" si="175"/>
        <v>0</v>
      </c>
      <c r="AQ354" s="167">
        <f t="shared" si="176"/>
        <v>0</v>
      </c>
      <c r="AR354" s="164">
        <f t="shared" si="159"/>
        <v>0</v>
      </c>
      <c r="AS354" s="165">
        <f t="shared" si="160"/>
        <v>0</v>
      </c>
    </row>
    <row r="355" spans="2:45" outlineLevel="1" x14ac:dyDescent="0.35">
      <c r="B355" s="294" t="s">
        <v>91</v>
      </c>
      <c r="C355" s="62" t="s">
        <v>147</v>
      </c>
      <c r="D355" s="70">
        <v>0</v>
      </c>
      <c r="E355" s="70">
        <v>0</v>
      </c>
      <c r="F355" s="167">
        <f t="shared" si="155"/>
        <v>0</v>
      </c>
      <c r="G355" s="70">
        <v>0</v>
      </c>
      <c r="H355" s="167">
        <f t="shared" si="161"/>
        <v>0</v>
      </c>
      <c r="I355" s="70"/>
      <c r="J355" s="167">
        <f t="shared" si="162"/>
        <v>0</v>
      </c>
      <c r="K355" s="70"/>
      <c r="L355" s="167">
        <f t="shared" si="163"/>
        <v>0</v>
      </c>
      <c r="M355" s="164">
        <f t="shared" si="164"/>
        <v>0</v>
      </c>
      <c r="N355" s="165">
        <f t="shared" si="156"/>
        <v>0</v>
      </c>
      <c r="P355" s="6"/>
      <c r="Q355" s="6"/>
      <c r="R355" s="138">
        <f t="shared" si="165"/>
        <v>0</v>
      </c>
      <c r="S355" s="185">
        <f t="shared" si="157"/>
        <v>0</v>
      </c>
      <c r="T355" s="6"/>
      <c r="U355" s="6"/>
      <c r="V355" s="138">
        <f t="shared" si="166"/>
        <v>0</v>
      </c>
      <c r="W355" s="6"/>
      <c r="X355" s="138">
        <f t="shared" si="167"/>
        <v>0</v>
      </c>
      <c r="Y355" s="167">
        <f t="shared" si="158"/>
        <v>0</v>
      </c>
      <c r="Z355" s="70"/>
      <c r="AA355" s="6"/>
      <c r="AB355" s="138">
        <f t="shared" si="168"/>
        <v>0</v>
      </c>
      <c r="AC355" s="6"/>
      <c r="AD355" s="138">
        <f t="shared" si="169"/>
        <v>0</v>
      </c>
      <c r="AE355" s="167">
        <f t="shared" si="170"/>
        <v>0</v>
      </c>
      <c r="AF355" s="307"/>
      <c r="AG355" s="4"/>
      <c r="AH355" s="138">
        <f t="shared" si="171"/>
        <v>0</v>
      </c>
      <c r="AI355" s="6"/>
      <c r="AJ355" s="138">
        <f t="shared" si="172"/>
        <v>0</v>
      </c>
      <c r="AK355" s="167">
        <f t="shared" si="173"/>
        <v>0</v>
      </c>
      <c r="AL355" s="6"/>
      <c r="AM355" s="6"/>
      <c r="AN355" s="138">
        <f t="shared" si="174"/>
        <v>0</v>
      </c>
      <c r="AO355" s="6"/>
      <c r="AP355" s="138">
        <f t="shared" si="175"/>
        <v>0</v>
      </c>
      <c r="AQ355" s="167">
        <f t="shared" si="176"/>
        <v>0</v>
      </c>
      <c r="AR355" s="164">
        <f t="shared" si="159"/>
        <v>0</v>
      </c>
      <c r="AS355" s="165">
        <f t="shared" si="160"/>
        <v>0</v>
      </c>
    </row>
    <row r="356" spans="2:45" outlineLevel="1" x14ac:dyDescent="0.35">
      <c r="B356" s="294" t="s">
        <v>92</v>
      </c>
      <c r="C356" s="62" t="s">
        <v>147</v>
      </c>
      <c r="D356" s="70">
        <v>0</v>
      </c>
      <c r="E356" s="70">
        <v>0</v>
      </c>
      <c r="F356" s="167">
        <f t="shared" si="155"/>
        <v>0</v>
      </c>
      <c r="G356" s="70">
        <v>0</v>
      </c>
      <c r="H356" s="167">
        <f t="shared" si="161"/>
        <v>0</v>
      </c>
      <c r="I356" s="70"/>
      <c r="J356" s="167">
        <f t="shared" si="162"/>
        <v>0</v>
      </c>
      <c r="K356" s="70"/>
      <c r="L356" s="167">
        <f t="shared" si="163"/>
        <v>0</v>
      </c>
      <c r="M356" s="164">
        <f t="shared" si="164"/>
        <v>0</v>
      </c>
      <c r="N356" s="165">
        <f t="shared" si="156"/>
        <v>0</v>
      </c>
      <c r="P356" s="6"/>
      <c r="Q356" s="6"/>
      <c r="R356" s="138">
        <f t="shared" si="165"/>
        <v>0</v>
      </c>
      <c r="S356" s="185">
        <f t="shared" si="157"/>
        <v>0</v>
      </c>
      <c r="T356" s="6"/>
      <c r="U356" s="6"/>
      <c r="V356" s="138">
        <f t="shared" si="166"/>
        <v>0</v>
      </c>
      <c r="W356" s="6"/>
      <c r="X356" s="138">
        <f t="shared" si="167"/>
        <v>0</v>
      </c>
      <c r="Y356" s="167">
        <f t="shared" si="158"/>
        <v>0</v>
      </c>
      <c r="Z356" s="70"/>
      <c r="AA356" s="6"/>
      <c r="AB356" s="138">
        <f t="shared" si="168"/>
        <v>0</v>
      </c>
      <c r="AC356" s="6"/>
      <c r="AD356" s="138">
        <f t="shared" si="169"/>
        <v>0</v>
      </c>
      <c r="AE356" s="167">
        <f t="shared" si="170"/>
        <v>0</v>
      </c>
      <c r="AF356" s="307"/>
      <c r="AG356" s="4"/>
      <c r="AH356" s="138">
        <f t="shared" si="171"/>
        <v>0</v>
      </c>
      <c r="AI356" s="6"/>
      <c r="AJ356" s="138">
        <f t="shared" si="172"/>
        <v>0</v>
      </c>
      <c r="AK356" s="167">
        <f t="shared" si="173"/>
        <v>0</v>
      </c>
      <c r="AL356" s="6"/>
      <c r="AM356" s="6"/>
      <c r="AN356" s="138">
        <f t="shared" si="174"/>
        <v>0</v>
      </c>
      <c r="AO356" s="6"/>
      <c r="AP356" s="138">
        <f t="shared" si="175"/>
        <v>0</v>
      </c>
      <c r="AQ356" s="167">
        <f t="shared" si="176"/>
        <v>0</v>
      </c>
      <c r="AR356" s="164">
        <f t="shared" si="159"/>
        <v>0</v>
      </c>
      <c r="AS356" s="165">
        <f t="shared" si="160"/>
        <v>0</v>
      </c>
    </row>
    <row r="357" spans="2:45" outlineLevel="1" x14ac:dyDescent="0.35">
      <c r="B357" s="294" t="s">
        <v>93</v>
      </c>
      <c r="C357" s="62" t="s">
        <v>147</v>
      </c>
      <c r="D357" s="70">
        <v>0</v>
      </c>
      <c r="E357" s="70">
        <v>0</v>
      </c>
      <c r="F357" s="167">
        <f t="shared" si="155"/>
        <v>0</v>
      </c>
      <c r="G357" s="70">
        <v>0</v>
      </c>
      <c r="H357" s="167">
        <f t="shared" si="161"/>
        <v>0</v>
      </c>
      <c r="I357" s="70"/>
      <c r="J357" s="167">
        <f t="shared" si="162"/>
        <v>0</v>
      </c>
      <c r="K357" s="70"/>
      <c r="L357" s="167">
        <f t="shared" si="163"/>
        <v>0</v>
      </c>
      <c r="M357" s="164">
        <f t="shared" si="164"/>
        <v>0</v>
      </c>
      <c r="N357" s="165">
        <f t="shared" si="156"/>
        <v>0</v>
      </c>
      <c r="P357" s="6"/>
      <c r="Q357" s="6"/>
      <c r="R357" s="138">
        <f t="shared" si="165"/>
        <v>0</v>
      </c>
      <c r="S357" s="185">
        <f t="shared" si="157"/>
        <v>0</v>
      </c>
      <c r="T357" s="6"/>
      <c r="U357" s="6"/>
      <c r="V357" s="138">
        <f t="shared" si="166"/>
        <v>0</v>
      </c>
      <c r="W357" s="6"/>
      <c r="X357" s="138">
        <f t="shared" si="167"/>
        <v>0</v>
      </c>
      <c r="Y357" s="167">
        <f t="shared" si="158"/>
        <v>0</v>
      </c>
      <c r="Z357" s="70"/>
      <c r="AA357" s="6"/>
      <c r="AB357" s="138">
        <f t="shared" si="168"/>
        <v>0</v>
      </c>
      <c r="AC357" s="6"/>
      <c r="AD357" s="138">
        <f t="shared" si="169"/>
        <v>0</v>
      </c>
      <c r="AE357" s="167">
        <f t="shared" si="170"/>
        <v>0</v>
      </c>
      <c r="AF357" s="307"/>
      <c r="AG357" s="4"/>
      <c r="AH357" s="138">
        <f t="shared" si="171"/>
        <v>0</v>
      </c>
      <c r="AI357" s="6"/>
      <c r="AJ357" s="138">
        <f t="shared" si="172"/>
        <v>0</v>
      </c>
      <c r="AK357" s="167">
        <f t="shared" si="173"/>
        <v>0</v>
      </c>
      <c r="AL357" s="6"/>
      <c r="AM357" s="6"/>
      <c r="AN357" s="138">
        <f t="shared" si="174"/>
        <v>0</v>
      </c>
      <c r="AO357" s="6"/>
      <c r="AP357" s="138">
        <f t="shared" si="175"/>
        <v>0</v>
      </c>
      <c r="AQ357" s="167">
        <f t="shared" si="176"/>
        <v>0</v>
      </c>
      <c r="AR357" s="164">
        <f t="shared" si="159"/>
        <v>0</v>
      </c>
      <c r="AS357" s="165">
        <f t="shared" si="160"/>
        <v>0</v>
      </c>
    </row>
    <row r="358" spans="2:45" outlineLevel="1" x14ac:dyDescent="0.35">
      <c r="B358" s="294" t="s">
        <v>94</v>
      </c>
      <c r="C358" s="62" t="s">
        <v>147</v>
      </c>
      <c r="D358" s="70">
        <v>4299.744285721411</v>
      </c>
      <c r="E358" s="70">
        <v>8052.4773840545504</v>
      </c>
      <c r="F358" s="167">
        <f t="shared" si="155"/>
        <v>0.87278053041321879</v>
      </c>
      <c r="G358" s="70">
        <v>11512.772351121799</v>
      </c>
      <c r="H358" s="167">
        <f t="shared" si="161"/>
        <v>0.4297180609186555</v>
      </c>
      <c r="I358" s="70">
        <v>13260.8</v>
      </c>
      <c r="J358" s="167">
        <f t="shared" si="162"/>
        <v>0.15183377170728762</v>
      </c>
      <c r="K358" s="70">
        <v>12914.7</v>
      </c>
      <c r="L358" s="167">
        <f t="shared" si="163"/>
        <v>-2.609948117760607E-2</v>
      </c>
      <c r="M358" s="164">
        <f t="shared" si="164"/>
        <v>50040.494020897764</v>
      </c>
      <c r="N358" s="165">
        <f t="shared" si="156"/>
        <v>0.31646835341966795</v>
      </c>
      <c r="P358" s="6"/>
      <c r="Q358" s="6">
        <v>13476.13</v>
      </c>
      <c r="R358" s="138">
        <f t="shared" si="165"/>
        <v>13476.13</v>
      </c>
      <c r="S358" s="185">
        <f t="shared" si="157"/>
        <v>4.3472167375161519E-2</v>
      </c>
      <c r="T358" s="6"/>
      <c r="U358" s="6"/>
      <c r="V358" s="138">
        <f t="shared" si="166"/>
        <v>0</v>
      </c>
      <c r="W358" s="6">
        <v>13476.13</v>
      </c>
      <c r="X358" s="138">
        <f t="shared" si="167"/>
        <v>13476.13</v>
      </c>
      <c r="Y358" s="167">
        <f t="shared" si="158"/>
        <v>0</v>
      </c>
      <c r="Z358" s="70"/>
      <c r="AA358" s="6"/>
      <c r="AB358" s="138">
        <f t="shared" si="168"/>
        <v>0</v>
      </c>
      <c r="AC358" s="6">
        <v>13476.13</v>
      </c>
      <c r="AD358" s="138">
        <f t="shared" si="169"/>
        <v>13476.13</v>
      </c>
      <c r="AE358" s="167">
        <f t="shared" si="170"/>
        <v>0</v>
      </c>
      <c r="AF358" s="307"/>
      <c r="AG358" s="4"/>
      <c r="AH358" s="138">
        <f t="shared" si="171"/>
        <v>0</v>
      </c>
      <c r="AI358" s="6">
        <v>13476.13</v>
      </c>
      <c r="AJ358" s="138">
        <f t="shared" si="172"/>
        <v>13476.13</v>
      </c>
      <c r="AK358" s="167">
        <f t="shared" si="173"/>
        <v>0</v>
      </c>
      <c r="AL358" s="6"/>
      <c r="AM358" s="6"/>
      <c r="AN358" s="138">
        <f t="shared" si="174"/>
        <v>0</v>
      </c>
      <c r="AO358" s="6">
        <v>13476.13</v>
      </c>
      <c r="AP358" s="138">
        <f t="shared" si="175"/>
        <v>13476.13</v>
      </c>
      <c r="AQ358" s="167">
        <f t="shared" si="176"/>
        <v>0</v>
      </c>
      <c r="AR358" s="164">
        <f t="shared" si="159"/>
        <v>67380.649999999994</v>
      </c>
      <c r="AS358" s="165">
        <f t="shared" si="160"/>
        <v>0</v>
      </c>
    </row>
    <row r="359" spans="2:45" outlineLevel="1" x14ac:dyDescent="0.35">
      <c r="B359" s="294" t="s">
        <v>95</v>
      </c>
      <c r="C359" s="62" t="s">
        <v>147</v>
      </c>
      <c r="D359" s="70">
        <v>0</v>
      </c>
      <c r="E359" s="70">
        <v>0</v>
      </c>
      <c r="F359" s="167">
        <f t="shared" si="155"/>
        <v>0</v>
      </c>
      <c r="G359" s="70">
        <v>0</v>
      </c>
      <c r="H359" s="167">
        <f t="shared" si="161"/>
        <v>0</v>
      </c>
      <c r="I359" s="70"/>
      <c r="J359" s="167">
        <f t="shared" si="162"/>
        <v>0</v>
      </c>
      <c r="K359" s="70"/>
      <c r="L359" s="167">
        <f t="shared" si="163"/>
        <v>0</v>
      </c>
      <c r="M359" s="164">
        <f t="shared" si="164"/>
        <v>0</v>
      </c>
      <c r="N359" s="165">
        <f t="shared" si="156"/>
        <v>0</v>
      </c>
      <c r="P359" s="6">
        <v>1327.5</v>
      </c>
      <c r="Q359" s="6"/>
      <c r="R359" s="138">
        <f t="shared" si="165"/>
        <v>1327.5</v>
      </c>
      <c r="S359" s="185">
        <f t="shared" si="157"/>
        <v>0</v>
      </c>
      <c r="T359" s="6"/>
      <c r="U359" s="6">
        <v>4022.73</v>
      </c>
      <c r="V359" s="138">
        <f t="shared" si="166"/>
        <v>4022.73</v>
      </c>
      <c r="W359" s="6"/>
      <c r="X359" s="138">
        <f t="shared" si="167"/>
        <v>4022.73</v>
      </c>
      <c r="Y359" s="167">
        <f t="shared" si="158"/>
        <v>2.0303050847457627</v>
      </c>
      <c r="Z359" s="70"/>
      <c r="AA359" s="6">
        <v>4022.73</v>
      </c>
      <c r="AB359" s="138">
        <f t="shared" si="168"/>
        <v>4022.73</v>
      </c>
      <c r="AC359" s="6"/>
      <c r="AD359" s="138">
        <f t="shared" si="169"/>
        <v>4022.73</v>
      </c>
      <c r="AE359" s="167">
        <f t="shared" si="170"/>
        <v>0</v>
      </c>
      <c r="AF359" s="307"/>
      <c r="AG359" s="4">
        <v>4022.73</v>
      </c>
      <c r="AH359" s="138">
        <f t="shared" si="171"/>
        <v>4022.73</v>
      </c>
      <c r="AI359" s="6"/>
      <c r="AJ359" s="138">
        <f t="shared" si="172"/>
        <v>4022.73</v>
      </c>
      <c r="AK359" s="167">
        <f t="shared" si="173"/>
        <v>0</v>
      </c>
      <c r="AL359" s="6"/>
      <c r="AM359" s="6">
        <v>4022.73</v>
      </c>
      <c r="AN359" s="138">
        <f t="shared" si="174"/>
        <v>4022.73</v>
      </c>
      <c r="AO359" s="6"/>
      <c r="AP359" s="138">
        <f t="shared" si="175"/>
        <v>4022.73</v>
      </c>
      <c r="AQ359" s="167">
        <f t="shared" si="176"/>
        <v>0</v>
      </c>
      <c r="AR359" s="164">
        <f t="shared" si="159"/>
        <v>17418.419999999998</v>
      </c>
      <c r="AS359" s="165">
        <f t="shared" si="160"/>
        <v>0.31938514075709801</v>
      </c>
    </row>
    <row r="360" spans="2:45" outlineLevel="1" x14ac:dyDescent="0.35">
      <c r="B360" s="294" t="s">
        <v>96</v>
      </c>
      <c r="C360" s="62" t="s">
        <v>147</v>
      </c>
      <c r="D360" s="70">
        <v>0</v>
      </c>
      <c r="E360" s="70">
        <v>0</v>
      </c>
      <c r="F360" s="167">
        <f t="shared" si="155"/>
        <v>0</v>
      </c>
      <c r="G360" s="70">
        <v>0</v>
      </c>
      <c r="H360" s="167">
        <f t="shared" si="161"/>
        <v>0</v>
      </c>
      <c r="I360" s="70"/>
      <c r="J360" s="167">
        <f t="shared" si="162"/>
        <v>0</v>
      </c>
      <c r="K360" s="70"/>
      <c r="L360" s="167">
        <f t="shared" si="163"/>
        <v>0</v>
      </c>
      <c r="M360" s="164">
        <f t="shared" si="164"/>
        <v>0</v>
      </c>
      <c r="N360" s="165">
        <f t="shared" si="156"/>
        <v>0</v>
      </c>
      <c r="P360" s="6"/>
      <c r="Q360" s="6"/>
      <c r="R360" s="138">
        <f t="shared" si="165"/>
        <v>0</v>
      </c>
      <c r="S360" s="185">
        <f t="shared" si="157"/>
        <v>0</v>
      </c>
      <c r="T360" s="6"/>
      <c r="U360" s="6"/>
      <c r="V360" s="138">
        <f t="shared" si="166"/>
        <v>0</v>
      </c>
      <c r="W360" s="6"/>
      <c r="X360" s="138">
        <f t="shared" si="167"/>
        <v>0</v>
      </c>
      <c r="Y360" s="167">
        <f t="shared" si="158"/>
        <v>0</v>
      </c>
      <c r="Z360" s="70"/>
      <c r="AA360" s="6"/>
      <c r="AB360" s="138">
        <f t="shared" si="168"/>
        <v>0</v>
      </c>
      <c r="AC360" s="6"/>
      <c r="AD360" s="138">
        <f t="shared" si="169"/>
        <v>0</v>
      </c>
      <c r="AE360" s="167">
        <f t="shared" si="170"/>
        <v>0</v>
      </c>
      <c r="AF360" s="307"/>
      <c r="AG360" s="4"/>
      <c r="AH360" s="138">
        <f t="shared" si="171"/>
        <v>0</v>
      </c>
      <c r="AI360" s="6"/>
      <c r="AJ360" s="138">
        <f t="shared" si="172"/>
        <v>0</v>
      </c>
      <c r="AK360" s="167">
        <f t="shared" si="173"/>
        <v>0</v>
      </c>
      <c r="AL360" s="6"/>
      <c r="AM360" s="6"/>
      <c r="AN360" s="138">
        <f t="shared" si="174"/>
        <v>0</v>
      </c>
      <c r="AO360" s="6"/>
      <c r="AP360" s="138">
        <f t="shared" si="175"/>
        <v>0</v>
      </c>
      <c r="AQ360" s="167">
        <f t="shared" si="176"/>
        <v>0</v>
      </c>
      <c r="AR360" s="164">
        <f t="shared" si="159"/>
        <v>0</v>
      </c>
      <c r="AS360" s="165">
        <f t="shared" si="160"/>
        <v>0</v>
      </c>
    </row>
    <row r="361" spans="2:45" outlineLevel="1" x14ac:dyDescent="0.35">
      <c r="B361" s="294" t="s">
        <v>97</v>
      </c>
      <c r="C361" s="62" t="s">
        <v>147</v>
      </c>
      <c r="D361" s="70">
        <v>0</v>
      </c>
      <c r="E361" s="70">
        <v>0</v>
      </c>
      <c r="F361" s="167">
        <f t="shared" si="155"/>
        <v>0</v>
      </c>
      <c r="G361" s="70">
        <v>0</v>
      </c>
      <c r="H361" s="167">
        <f t="shared" si="161"/>
        <v>0</v>
      </c>
      <c r="I361" s="70"/>
      <c r="J361" s="167">
        <f t="shared" si="162"/>
        <v>0</v>
      </c>
      <c r="K361" s="70"/>
      <c r="L361" s="167">
        <f t="shared" si="163"/>
        <v>0</v>
      </c>
      <c r="M361" s="164">
        <f t="shared" si="164"/>
        <v>0</v>
      </c>
      <c r="N361" s="165">
        <f t="shared" si="156"/>
        <v>0</v>
      </c>
      <c r="P361" s="6"/>
      <c r="Q361" s="6"/>
      <c r="R361" s="138">
        <f t="shared" si="165"/>
        <v>0</v>
      </c>
      <c r="S361" s="185">
        <f t="shared" si="157"/>
        <v>0</v>
      </c>
      <c r="T361" s="6"/>
      <c r="U361" s="6"/>
      <c r="V361" s="138">
        <f t="shared" si="166"/>
        <v>0</v>
      </c>
      <c r="W361" s="6"/>
      <c r="X361" s="138">
        <f t="shared" si="167"/>
        <v>0</v>
      </c>
      <c r="Y361" s="167">
        <f t="shared" si="158"/>
        <v>0</v>
      </c>
      <c r="Z361" s="70"/>
      <c r="AA361" s="6"/>
      <c r="AB361" s="138">
        <f t="shared" si="168"/>
        <v>0</v>
      </c>
      <c r="AC361" s="6"/>
      <c r="AD361" s="138">
        <f t="shared" si="169"/>
        <v>0</v>
      </c>
      <c r="AE361" s="167">
        <f t="shared" si="170"/>
        <v>0</v>
      </c>
      <c r="AF361" s="307"/>
      <c r="AG361" s="4"/>
      <c r="AH361" s="138">
        <f t="shared" si="171"/>
        <v>0</v>
      </c>
      <c r="AI361" s="6"/>
      <c r="AJ361" s="138">
        <f t="shared" si="172"/>
        <v>0</v>
      </c>
      <c r="AK361" s="167">
        <f t="shared" si="173"/>
        <v>0</v>
      </c>
      <c r="AL361" s="6"/>
      <c r="AM361" s="6"/>
      <c r="AN361" s="138">
        <f t="shared" si="174"/>
        <v>0</v>
      </c>
      <c r="AO361" s="6"/>
      <c r="AP361" s="138">
        <f t="shared" si="175"/>
        <v>0</v>
      </c>
      <c r="AQ361" s="167">
        <f t="shared" si="176"/>
        <v>0</v>
      </c>
      <c r="AR361" s="164">
        <f t="shared" si="159"/>
        <v>0</v>
      </c>
      <c r="AS361" s="165">
        <f t="shared" si="160"/>
        <v>0</v>
      </c>
    </row>
    <row r="362" spans="2:45" outlineLevel="1" x14ac:dyDescent="0.35">
      <c r="B362" s="294" t="s">
        <v>98</v>
      </c>
      <c r="C362" s="62" t="s">
        <v>147</v>
      </c>
      <c r="D362" s="70">
        <v>0</v>
      </c>
      <c r="E362" s="70">
        <v>0</v>
      </c>
      <c r="F362" s="167">
        <f t="shared" si="155"/>
        <v>0</v>
      </c>
      <c r="G362" s="70">
        <v>0</v>
      </c>
      <c r="H362" s="167">
        <f t="shared" si="161"/>
        <v>0</v>
      </c>
      <c r="I362" s="70"/>
      <c r="J362" s="167">
        <f t="shared" si="162"/>
        <v>0</v>
      </c>
      <c r="K362" s="70"/>
      <c r="L362" s="167">
        <f t="shared" si="163"/>
        <v>0</v>
      </c>
      <c r="M362" s="164">
        <f t="shared" si="164"/>
        <v>0</v>
      </c>
      <c r="N362" s="165">
        <f t="shared" si="156"/>
        <v>0</v>
      </c>
      <c r="P362" s="6"/>
      <c r="Q362" s="6"/>
      <c r="R362" s="138">
        <f t="shared" si="165"/>
        <v>0</v>
      </c>
      <c r="S362" s="185">
        <f t="shared" si="157"/>
        <v>0</v>
      </c>
      <c r="T362" s="6"/>
      <c r="U362" s="6"/>
      <c r="V362" s="138">
        <f t="shared" si="166"/>
        <v>0</v>
      </c>
      <c r="W362" s="6"/>
      <c r="X362" s="138">
        <f t="shared" si="167"/>
        <v>0</v>
      </c>
      <c r="Y362" s="167">
        <f t="shared" si="158"/>
        <v>0</v>
      </c>
      <c r="Z362" s="70"/>
      <c r="AA362" s="6"/>
      <c r="AB362" s="138">
        <f t="shared" si="168"/>
        <v>0</v>
      </c>
      <c r="AC362" s="6"/>
      <c r="AD362" s="138">
        <f t="shared" si="169"/>
        <v>0</v>
      </c>
      <c r="AE362" s="167">
        <f t="shared" si="170"/>
        <v>0</v>
      </c>
      <c r="AF362" s="307"/>
      <c r="AG362" s="4"/>
      <c r="AH362" s="138">
        <f t="shared" si="171"/>
        <v>0</v>
      </c>
      <c r="AI362" s="6"/>
      <c r="AJ362" s="138">
        <f t="shared" si="172"/>
        <v>0</v>
      </c>
      <c r="AK362" s="167">
        <f t="shared" si="173"/>
        <v>0</v>
      </c>
      <c r="AL362" s="6"/>
      <c r="AM362" s="6"/>
      <c r="AN362" s="138">
        <f t="shared" si="174"/>
        <v>0</v>
      </c>
      <c r="AO362" s="6"/>
      <c r="AP362" s="138">
        <f t="shared" si="175"/>
        <v>0</v>
      </c>
      <c r="AQ362" s="167">
        <f t="shared" si="176"/>
        <v>0</v>
      </c>
      <c r="AR362" s="164">
        <f t="shared" si="159"/>
        <v>0</v>
      </c>
      <c r="AS362" s="165">
        <f t="shared" si="160"/>
        <v>0</v>
      </c>
    </row>
    <row r="363" spans="2:45" outlineLevel="1" x14ac:dyDescent="0.35">
      <c r="B363" s="294" t="s">
        <v>99</v>
      </c>
      <c r="C363" s="62" t="s">
        <v>147</v>
      </c>
      <c r="D363" s="70">
        <v>9631.3711873423035</v>
      </c>
      <c r="E363" s="70">
        <v>10562.872811652</v>
      </c>
      <c r="F363" s="167">
        <f t="shared" si="155"/>
        <v>9.671536961776428E-2</v>
      </c>
      <c r="G363" s="70">
        <v>14370.903293221199</v>
      </c>
      <c r="H363" s="167">
        <f t="shared" si="161"/>
        <v>0.36051087137663224</v>
      </c>
      <c r="I363" s="70">
        <v>20798.599999999999</v>
      </c>
      <c r="J363" s="167">
        <f t="shared" si="162"/>
        <v>0.4472715859002937</v>
      </c>
      <c r="K363" s="70">
        <v>19337.900000000001</v>
      </c>
      <c r="L363" s="167">
        <f t="shared" si="163"/>
        <v>-7.0230688604040525E-2</v>
      </c>
      <c r="M363" s="164">
        <f t="shared" si="164"/>
        <v>74701.647292215494</v>
      </c>
      <c r="N363" s="165">
        <f t="shared" si="156"/>
        <v>0.19036540681393399</v>
      </c>
      <c r="P363" s="6"/>
      <c r="Q363" s="6">
        <v>20182.59</v>
      </c>
      <c r="R363" s="138">
        <f t="shared" si="165"/>
        <v>20182.59</v>
      </c>
      <c r="S363" s="185">
        <f t="shared" si="157"/>
        <v>4.3680544423127569E-2</v>
      </c>
      <c r="T363" s="6"/>
      <c r="U363" s="6"/>
      <c r="V363" s="138">
        <f t="shared" si="166"/>
        <v>0</v>
      </c>
      <c r="W363" s="6">
        <v>20182.59</v>
      </c>
      <c r="X363" s="138">
        <f t="shared" si="167"/>
        <v>20182.59</v>
      </c>
      <c r="Y363" s="167">
        <f t="shared" si="158"/>
        <v>0</v>
      </c>
      <c r="Z363" s="70"/>
      <c r="AA363" s="6"/>
      <c r="AB363" s="138">
        <f t="shared" si="168"/>
        <v>0</v>
      </c>
      <c r="AC363" s="6">
        <v>20182.59</v>
      </c>
      <c r="AD363" s="138">
        <f t="shared" si="169"/>
        <v>20182.59</v>
      </c>
      <c r="AE363" s="167">
        <f t="shared" si="170"/>
        <v>0</v>
      </c>
      <c r="AF363" s="307"/>
      <c r="AG363" s="4"/>
      <c r="AH363" s="138">
        <f t="shared" si="171"/>
        <v>0</v>
      </c>
      <c r="AI363" s="6">
        <v>20182.59</v>
      </c>
      <c r="AJ363" s="138">
        <f t="shared" si="172"/>
        <v>20182.59</v>
      </c>
      <c r="AK363" s="167">
        <f t="shared" si="173"/>
        <v>0</v>
      </c>
      <c r="AL363" s="6"/>
      <c r="AM363" s="6"/>
      <c r="AN363" s="138">
        <f t="shared" si="174"/>
        <v>0</v>
      </c>
      <c r="AO363" s="6">
        <v>20182.59</v>
      </c>
      <c r="AP363" s="138">
        <f t="shared" si="175"/>
        <v>20182.59</v>
      </c>
      <c r="AQ363" s="167">
        <f t="shared" si="176"/>
        <v>0</v>
      </c>
      <c r="AR363" s="164">
        <f t="shared" si="159"/>
        <v>100912.95</v>
      </c>
      <c r="AS363" s="165">
        <f t="shared" si="160"/>
        <v>0</v>
      </c>
    </row>
    <row r="364" spans="2:45" outlineLevel="1" x14ac:dyDescent="0.35">
      <c r="B364" s="294" t="s">
        <v>100</v>
      </c>
      <c r="C364" s="62" t="s">
        <v>147</v>
      </c>
      <c r="D364" s="70">
        <v>0</v>
      </c>
      <c r="E364" s="70">
        <v>0</v>
      </c>
      <c r="F364" s="167">
        <f t="shared" si="155"/>
        <v>0</v>
      </c>
      <c r="G364" s="70">
        <v>0</v>
      </c>
      <c r="H364" s="167">
        <f t="shared" si="161"/>
        <v>0</v>
      </c>
      <c r="I364" s="70"/>
      <c r="J364" s="167">
        <f t="shared" si="162"/>
        <v>0</v>
      </c>
      <c r="K364" s="70"/>
      <c r="L364" s="167">
        <f t="shared" si="163"/>
        <v>0</v>
      </c>
      <c r="M364" s="164">
        <f t="shared" si="164"/>
        <v>0</v>
      </c>
      <c r="N364" s="165">
        <f t="shared" si="156"/>
        <v>0</v>
      </c>
      <c r="P364" s="6"/>
      <c r="Q364" s="6"/>
      <c r="R364" s="138">
        <f t="shared" si="165"/>
        <v>0</v>
      </c>
      <c r="S364" s="185">
        <f t="shared" si="157"/>
        <v>0</v>
      </c>
      <c r="T364" s="6"/>
      <c r="U364" s="6"/>
      <c r="V364" s="138">
        <f t="shared" si="166"/>
        <v>0</v>
      </c>
      <c r="W364" s="6"/>
      <c r="X364" s="138">
        <f t="shared" si="167"/>
        <v>0</v>
      </c>
      <c r="Y364" s="167">
        <f t="shared" si="158"/>
        <v>0</v>
      </c>
      <c r="Z364" s="70"/>
      <c r="AA364" s="6"/>
      <c r="AB364" s="138">
        <f t="shared" si="168"/>
        <v>0</v>
      </c>
      <c r="AC364" s="6"/>
      <c r="AD364" s="138">
        <f t="shared" si="169"/>
        <v>0</v>
      </c>
      <c r="AE364" s="167">
        <f t="shared" si="170"/>
        <v>0</v>
      </c>
      <c r="AF364" s="307"/>
      <c r="AG364" s="4"/>
      <c r="AH364" s="138">
        <f t="shared" si="171"/>
        <v>0</v>
      </c>
      <c r="AI364" s="6"/>
      <c r="AJ364" s="138">
        <f t="shared" si="172"/>
        <v>0</v>
      </c>
      <c r="AK364" s="167">
        <f t="shared" si="173"/>
        <v>0</v>
      </c>
      <c r="AL364" s="6"/>
      <c r="AM364" s="6"/>
      <c r="AN364" s="138">
        <f t="shared" si="174"/>
        <v>0</v>
      </c>
      <c r="AO364" s="6"/>
      <c r="AP364" s="138">
        <f t="shared" si="175"/>
        <v>0</v>
      </c>
      <c r="AQ364" s="167">
        <f t="shared" si="176"/>
        <v>0</v>
      </c>
      <c r="AR364" s="164">
        <f t="shared" si="159"/>
        <v>0</v>
      </c>
      <c r="AS364" s="165">
        <f t="shared" si="160"/>
        <v>0</v>
      </c>
    </row>
    <row r="365" spans="2:45" outlineLevel="1" x14ac:dyDescent="0.35">
      <c r="B365" s="294" t="s">
        <v>101</v>
      </c>
      <c r="C365" s="62" t="s">
        <v>147</v>
      </c>
      <c r="D365" s="70">
        <v>6051.8927454710156</v>
      </c>
      <c r="E365" s="70">
        <v>6266.20363896456</v>
      </c>
      <c r="F365" s="167">
        <f t="shared" si="155"/>
        <v>3.5412209453633457E-2</v>
      </c>
      <c r="G365" s="70">
        <v>10452.826814239001</v>
      </c>
      <c r="H365" s="167">
        <f t="shared" si="161"/>
        <v>0.66812753247295464</v>
      </c>
      <c r="I365" s="70">
        <v>6941.4</v>
      </c>
      <c r="J365" s="167">
        <f t="shared" si="162"/>
        <v>-0.33593083255293982</v>
      </c>
      <c r="K365" s="70">
        <v>8298.2000000000007</v>
      </c>
      <c r="L365" s="167">
        <f t="shared" si="163"/>
        <v>0.19546489180856905</v>
      </c>
      <c r="M365" s="164">
        <f t="shared" si="164"/>
        <v>38010.523198674578</v>
      </c>
      <c r="N365" s="165">
        <f t="shared" si="156"/>
        <v>8.2114381157313066E-2</v>
      </c>
      <c r="P365" s="6"/>
      <c r="Q365" s="6">
        <v>10344.15</v>
      </c>
      <c r="R365" s="138">
        <f t="shared" si="165"/>
        <v>10344.15</v>
      </c>
      <c r="S365" s="185">
        <f t="shared" si="157"/>
        <v>0.24655346942710452</v>
      </c>
      <c r="T365" s="6"/>
      <c r="U365" s="6"/>
      <c r="V365" s="138">
        <f t="shared" si="166"/>
        <v>0</v>
      </c>
      <c r="W365" s="6">
        <v>10344.15</v>
      </c>
      <c r="X365" s="138">
        <f t="shared" si="167"/>
        <v>10344.15</v>
      </c>
      <c r="Y365" s="167">
        <f t="shared" si="158"/>
        <v>0</v>
      </c>
      <c r="Z365" s="70"/>
      <c r="AA365" s="6"/>
      <c r="AB365" s="138">
        <f t="shared" si="168"/>
        <v>0</v>
      </c>
      <c r="AC365" s="6">
        <v>10344.15</v>
      </c>
      <c r="AD365" s="138">
        <f t="shared" si="169"/>
        <v>10344.15</v>
      </c>
      <c r="AE365" s="167">
        <f t="shared" si="170"/>
        <v>0</v>
      </c>
      <c r="AF365" s="307"/>
      <c r="AG365" s="4"/>
      <c r="AH365" s="138">
        <f t="shared" si="171"/>
        <v>0</v>
      </c>
      <c r="AI365" s="6">
        <v>10344.15</v>
      </c>
      <c r="AJ365" s="138">
        <f t="shared" si="172"/>
        <v>10344.15</v>
      </c>
      <c r="AK365" s="167">
        <f t="shared" si="173"/>
        <v>0</v>
      </c>
      <c r="AL365" s="6"/>
      <c r="AM365" s="6"/>
      <c r="AN365" s="138">
        <f t="shared" si="174"/>
        <v>0</v>
      </c>
      <c r="AO365" s="6">
        <v>10344.15</v>
      </c>
      <c r="AP365" s="138">
        <f t="shared" si="175"/>
        <v>10344.15</v>
      </c>
      <c r="AQ365" s="167">
        <f t="shared" si="176"/>
        <v>0</v>
      </c>
      <c r="AR365" s="164">
        <f t="shared" si="159"/>
        <v>51720.75</v>
      </c>
      <c r="AS365" s="165">
        <f t="shared" si="160"/>
        <v>0</v>
      </c>
    </row>
    <row r="366" spans="2:45" outlineLevel="1" x14ac:dyDescent="0.35">
      <c r="B366" s="294" t="s">
        <v>102</v>
      </c>
      <c r="C366" s="62" t="s">
        <v>147</v>
      </c>
      <c r="D366" s="70">
        <v>0</v>
      </c>
      <c r="E366" s="70">
        <v>0</v>
      </c>
      <c r="F366" s="167">
        <f t="shared" si="155"/>
        <v>0</v>
      </c>
      <c r="G366" s="70">
        <v>0</v>
      </c>
      <c r="H366" s="167">
        <f t="shared" si="161"/>
        <v>0</v>
      </c>
      <c r="I366" s="70"/>
      <c r="J366" s="167">
        <f t="shared" si="162"/>
        <v>0</v>
      </c>
      <c r="K366" s="70"/>
      <c r="L366" s="167">
        <f t="shared" si="163"/>
        <v>0</v>
      </c>
      <c r="M366" s="164">
        <f t="shared" si="164"/>
        <v>0</v>
      </c>
      <c r="N366" s="165">
        <f t="shared" si="156"/>
        <v>0</v>
      </c>
      <c r="P366" s="6"/>
      <c r="Q366" s="6"/>
      <c r="R366" s="138">
        <f t="shared" si="165"/>
        <v>0</v>
      </c>
      <c r="S366" s="185">
        <f t="shared" si="157"/>
        <v>0</v>
      </c>
      <c r="T366" s="6"/>
      <c r="U366" s="6"/>
      <c r="V366" s="138">
        <f t="shared" si="166"/>
        <v>0</v>
      </c>
      <c r="W366" s="6"/>
      <c r="X366" s="138">
        <f t="shared" si="167"/>
        <v>0</v>
      </c>
      <c r="Y366" s="167">
        <f t="shared" si="158"/>
        <v>0</v>
      </c>
      <c r="Z366" s="70"/>
      <c r="AA366" s="6"/>
      <c r="AB366" s="138">
        <f t="shared" si="168"/>
        <v>0</v>
      </c>
      <c r="AC366" s="6"/>
      <c r="AD366" s="138">
        <f t="shared" si="169"/>
        <v>0</v>
      </c>
      <c r="AE366" s="167">
        <f t="shared" si="170"/>
        <v>0</v>
      </c>
      <c r="AF366" s="307"/>
      <c r="AG366" s="4"/>
      <c r="AH366" s="138">
        <f t="shared" si="171"/>
        <v>0</v>
      </c>
      <c r="AI366" s="6"/>
      <c r="AJ366" s="138">
        <f t="shared" si="172"/>
        <v>0</v>
      </c>
      <c r="AK366" s="167">
        <f t="shared" si="173"/>
        <v>0</v>
      </c>
      <c r="AL366" s="6"/>
      <c r="AM366" s="6"/>
      <c r="AN366" s="138">
        <f t="shared" si="174"/>
        <v>0</v>
      </c>
      <c r="AO366" s="6"/>
      <c r="AP366" s="138">
        <f t="shared" si="175"/>
        <v>0</v>
      </c>
      <c r="AQ366" s="167">
        <f t="shared" si="176"/>
        <v>0</v>
      </c>
      <c r="AR366" s="164">
        <f t="shared" si="159"/>
        <v>0</v>
      </c>
      <c r="AS366" s="165">
        <f t="shared" si="160"/>
        <v>0</v>
      </c>
    </row>
    <row r="367" spans="2:45" outlineLevel="1" x14ac:dyDescent="0.35">
      <c r="B367" s="294" t="s">
        <v>103</v>
      </c>
      <c r="C367" s="62" t="s">
        <v>147</v>
      </c>
      <c r="D367" s="70">
        <v>0</v>
      </c>
      <c r="E367" s="70">
        <v>0</v>
      </c>
      <c r="F367" s="167">
        <f t="shared" si="155"/>
        <v>0</v>
      </c>
      <c r="G367" s="70">
        <v>0</v>
      </c>
      <c r="H367" s="167">
        <f t="shared" si="161"/>
        <v>0</v>
      </c>
      <c r="I367" s="70"/>
      <c r="J367" s="167">
        <f t="shared" si="162"/>
        <v>0</v>
      </c>
      <c r="K367" s="70"/>
      <c r="L367" s="167">
        <f t="shared" si="163"/>
        <v>0</v>
      </c>
      <c r="M367" s="164">
        <f t="shared" si="164"/>
        <v>0</v>
      </c>
      <c r="N367" s="165">
        <f t="shared" si="156"/>
        <v>0</v>
      </c>
      <c r="P367" s="6"/>
      <c r="Q367" s="6"/>
      <c r="R367" s="138">
        <f t="shared" si="165"/>
        <v>0</v>
      </c>
      <c r="S367" s="185">
        <f t="shared" si="157"/>
        <v>0</v>
      </c>
      <c r="T367" s="6"/>
      <c r="U367" s="6"/>
      <c r="V367" s="138">
        <f t="shared" si="166"/>
        <v>0</v>
      </c>
      <c r="W367" s="6"/>
      <c r="X367" s="138">
        <f t="shared" si="167"/>
        <v>0</v>
      </c>
      <c r="Y367" s="167">
        <f t="shared" si="158"/>
        <v>0</v>
      </c>
      <c r="Z367" s="70"/>
      <c r="AA367" s="6"/>
      <c r="AB367" s="138">
        <f t="shared" si="168"/>
        <v>0</v>
      </c>
      <c r="AC367" s="6"/>
      <c r="AD367" s="138">
        <f t="shared" si="169"/>
        <v>0</v>
      </c>
      <c r="AE367" s="167">
        <f t="shared" si="170"/>
        <v>0</v>
      </c>
      <c r="AF367" s="307"/>
      <c r="AG367" s="4"/>
      <c r="AH367" s="138">
        <f t="shared" si="171"/>
        <v>0</v>
      </c>
      <c r="AI367" s="6"/>
      <c r="AJ367" s="138">
        <f t="shared" si="172"/>
        <v>0</v>
      </c>
      <c r="AK367" s="167">
        <f t="shared" si="173"/>
        <v>0</v>
      </c>
      <c r="AL367" s="6"/>
      <c r="AM367" s="6"/>
      <c r="AN367" s="138">
        <f t="shared" si="174"/>
        <v>0</v>
      </c>
      <c r="AO367" s="6"/>
      <c r="AP367" s="138">
        <f t="shared" si="175"/>
        <v>0</v>
      </c>
      <c r="AQ367" s="167">
        <f t="shared" si="176"/>
        <v>0</v>
      </c>
      <c r="AR367" s="164">
        <f t="shared" si="159"/>
        <v>0</v>
      </c>
      <c r="AS367" s="165">
        <f t="shared" si="160"/>
        <v>0</v>
      </c>
    </row>
    <row r="368" spans="2:45" outlineLevel="1" x14ac:dyDescent="0.35">
      <c r="B368" s="294" t="s">
        <v>104</v>
      </c>
      <c r="C368" s="62" t="s">
        <v>147</v>
      </c>
      <c r="D368" s="70">
        <v>0</v>
      </c>
      <c r="E368" s="70">
        <v>0</v>
      </c>
      <c r="F368" s="167">
        <f t="shared" si="155"/>
        <v>0</v>
      </c>
      <c r="G368" s="70">
        <v>0</v>
      </c>
      <c r="H368" s="167">
        <f t="shared" si="161"/>
        <v>0</v>
      </c>
      <c r="I368" s="70"/>
      <c r="J368" s="167">
        <f t="shared" si="162"/>
        <v>0</v>
      </c>
      <c r="K368" s="70"/>
      <c r="L368" s="167">
        <f t="shared" si="163"/>
        <v>0</v>
      </c>
      <c r="M368" s="164">
        <f t="shared" si="164"/>
        <v>0</v>
      </c>
      <c r="N368" s="165">
        <f t="shared" si="156"/>
        <v>0</v>
      </c>
      <c r="P368" s="6"/>
      <c r="Q368" s="6"/>
      <c r="R368" s="138">
        <f t="shared" si="165"/>
        <v>0</v>
      </c>
      <c r="S368" s="185">
        <f t="shared" si="157"/>
        <v>0</v>
      </c>
      <c r="T368" s="6"/>
      <c r="U368" s="6"/>
      <c r="V368" s="138">
        <f t="shared" si="166"/>
        <v>0</v>
      </c>
      <c r="W368" s="6"/>
      <c r="X368" s="138">
        <f t="shared" si="167"/>
        <v>0</v>
      </c>
      <c r="Y368" s="167">
        <f t="shared" si="158"/>
        <v>0</v>
      </c>
      <c r="Z368" s="70"/>
      <c r="AA368" s="6"/>
      <c r="AB368" s="138">
        <f t="shared" si="168"/>
        <v>0</v>
      </c>
      <c r="AC368" s="6"/>
      <c r="AD368" s="138">
        <f t="shared" si="169"/>
        <v>0</v>
      </c>
      <c r="AE368" s="167">
        <f t="shared" si="170"/>
        <v>0</v>
      </c>
      <c r="AF368" s="307"/>
      <c r="AG368" s="4"/>
      <c r="AH368" s="138">
        <f t="shared" si="171"/>
        <v>0</v>
      </c>
      <c r="AI368" s="6"/>
      <c r="AJ368" s="138">
        <f t="shared" si="172"/>
        <v>0</v>
      </c>
      <c r="AK368" s="167">
        <f t="shared" si="173"/>
        <v>0</v>
      </c>
      <c r="AL368" s="6"/>
      <c r="AM368" s="6"/>
      <c r="AN368" s="138">
        <f t="shared" si="174"/>
        <v>0</v>
      </c>
      <c r="AO368" s="6"/>
      <c r="AP368" s="138">
        <f t="shared" si="175"/>
        <v>0</v>
      </c>
      <c r="AQ368" s="167">
        <f t="shared" si="176"/>
        <v>0</v>
      </c>
      <c r="AR368" s="164">
        <f t="shared" si="159"/>
        <v>0</v>
      </c>
      <c r="AS368" s="165">
        <f t="shared" si="160"/>
        <v>0</v>
      </c>
    </row>
    <row r="369" spans="2:45" outlineLevel="1" x14ac:dyDescent="0.35">
      <c r="B369" s="294" t="s">
        <v>136</v>
      </c>
      <c r="C369" s="62" t="s">
        <v>147</v>
      </c>
      <c r="D369" s="70"/>
      <c r="E369" s="70">
        <v>0</v>
      </c>
      <c r="F369" s="167">
        <f t="shared" si="155"/>
        <v>0</v>
      </c>
      <c r="G369" s="70">
        <v>0</v>
      </c>
      <c r="H369" s="167">
        <f t="shared" si="161"/>
        <v>0</v>
      </c>
      <c r="I369" s="70"/>
      <c r="J369" s="167">
        <f t="shared" si="162"/>
        <v>0</v>
      </c>
      <c r="K369" s="70"/>
      <c r="L369" s="167">
        <f t="shared" si="163"/>
        <v>0</v>
      </c>
      <c r="M369" s="164">
        <f t="shared" si="164"/>
        <v>0</v>
      </c>
      <c r="N369" s="165">
        <f t="shared" si="156"/>
        <v>0</v>
      </c>
      <c r="P369" s="6"/>
      <c r="Q369" s="6"/>
      <c r="R369" s="138">
        <f t="shared" si="165"/>
        <v>0</v>
      </c>
      <c r="S369" s="185">
        <f t="shared" si="157"/>
        <v>0</v>
      </c>
      <c r="T369" s="6"/>
      <c r="U369" s="6"/>
      <c r="V369" s="138">
        <f t="shared" si="166"/>
        <v>0</v>
      </c>
      <c r="W369" s="6"/>
      <c r="X369" s="138">
        <f t="shared" si="167"/>
        <v>0</v>
      </c>
      <c r="Y369" s="167">
        <f t="shared" si="158"/>
        <v>0</v>
      </c>
      <c r="Z369" s="70"/>
      <c r="AA369" s="6"/>
      <c r="AB369" s="138">
        <f t="shared" si="168"/>
        <v>0</v>
      </c>
      <c r="AC369" s="6"/>
      <c r="AD369" s="138">
        <f t="shared" si="169"/>
        <v>0</v>
      </c>
      <c r="AE369" s="167">
        <f t="shared" si="170"/>
        <v>0</v>
      </c>
      <c r="AF369" s="307"/>
      <c r="AG369" s="4"/>
      <c r="AH369" s="138">
        <f t="shared" si="171"/>
        <v>0</v>
      </c>
      <c r="AI369" s="6"/>
      <c r="AJ369" s="138">
        <f t="shared" si="172"/>
        <v>0</v>
      </c>
      <c r="AK369" s="167">
        <f t="shared" si="173"/>
        <v>0</v>
      </c>
      <c r="AL369" s="6"/>
      <c r="AM369" s="6"/>
      <c r="AN369" s="138">
        <f t="shared" si="174"/>
        <v>0</v>
      </c>
      <c r="AO369" s="6"/>
      <c r="AP369" s="138">
        <f t="shared" si="175"/>
        <v>0</v>
      </c>
      <c r="AQ369" s="167">
        <f t="shared" si="176"/>
        <v>0</v>
      </c>
      <c r="AR369" s="164">
        <f t="shared" si="159"/>
        <v>0</v>
      </c>
      <c r="AS369" s="165">
        <f t="shared" si="160"/>
        <v>0</v>
      </c>
    </row>
    <row r="370" spans="2:45" outlineLevel="1" x14ac:dyDescent="0.35">
      <c r="B370" s="294" t="s">
        <v>106</v>
      </c>
      <c r="C370" s="62" t="s">
        <v>147</v>
      </c>
      <c r="D370" s="70">
        <v>0</v>
      </c>
      <c r="E370" s="70">
        <v>0</v>
      </c>
      <c r="F370" s="167">
        <f t="shared" si="155"/>
        <v>0</v>
      </c>
      <c r="G370" s="70">
        <v>0</v>
      </c>
      <c r="H370" s="167">
        <f t="shared" si="161"/>
        <v>0</v>
      </c>
      <c r="I370" s="70"/>
      <c r="J370" s="167">
        <f t="shared" si="162"/>
        <v>0</v>
      </c>
      <c r="K370" s="70"/>
      <c r="L370" s="167">
        <f t="shared" si="163"/>
        <v>0</v>
      </c>
      <c r="M370" s="164">
        <f t="shared" si="164"/>
        <v>0</v>
      </c>
      <c r="N370" s="165">
        <f t="shared" si="156"/>
        <v>0</v>
      </c>
      <c r="P370" s="6"/>
      <c r="Q370" s="6"/>
      <c r="R370" s="138">
        <f t="shared" si="165"/>
        <v>0</v>
      </c>
      <c r="S370" s="185">
        <f t="shared" si="157"/>
        <v>0</v>
      </c>
      <c r="T370" s="6"/>
      <c r="U370" s="6"/>
      <c r="V370" s="138">
        <f t="shared" si="166"/>
        <v>0</v>
      </c>
      <c r="W370" s="6"/>
      <c r="X370" s="138">
        <f t="shared" si="167"/>
        <v>0</v>
      </c>
      <c r="Y370" s="167">
        <f t="shared" si="158"/>
        <v>0</v>
      </c>
      <c r="Z370" s="70"/>
      <c r="AA370" s="6"/>
      <c r="AB370" s="138">
        <f t="shared" si="168"/>
        <v>0</v>
      </c>
      <c r="AC370" s="6"/>
      <c r="AD370" s="138">
        <f t="shared" si="169"/>
        <v>0</v>
      </c>
      <c r="AE370" s="167">
        <f t="shared" si="170"/>
        <v>0</v>
      </c>
      <c r="AF370" s="307"/>
      <c r="AG370" s="4"/>
      <c r="AH370" s="138">
        <f t="shared" si="171"/>
        <v>0</v>
      </c>
      <c r="AI370" s="6"/>
      <c r="AJ370" s="138">
        <f t="shared" si="172"/>
        <v>0</v>
      </c>
      <c r="AK370" s="167">
        <f t="shared" si="173"/>
        <v>0</v>
      </c>
      <c r="AL370" s="6"/>
      <c r="AM370" s="6"/>
      <c r="AN370" s="138">
        <f t="shared" si="174"/>
        <v>0</v>
      </c>
      <c r="AO370" s="6"/>
      <c r="AP370" s="138">
        <f t="shared" si="175"/>
        <v>0</v>
      </c>
      <c r="AQ370" s="167">
        <f t="shared" si="176"/>
        <v>0</v>
      </c>
      <c r="AR370" s="164">
        <f t="shared" si="159"/>
        <v>0</v>
      </c>
      <c r="AS370" s="165">
        <f t="shared" si="160"/>
        <v>0</v>
      </c>
    </row>
    <row r="371" spans="2:45" outlineLevel="1" x14ac:dyDescent="0.35">
      <c r="B371" s="294" t="s">
        <v>107</v>
      </c>
      <c r="C371" s="62" t="s">
        <v>147</v>
      </c>
      <c r="D371" s="70">
        <v>0</v>
      </c>
      <c r="E371" s="70">
        <v>0</v>
      </c>
      <c r="F371" s="167">
        <f t="shared" si="155"/>
        <v>0</v>
      </c>
      <c r="G371" s="70">
        <v>0</v>
      </c>
      <c r="H371" s="167">
        <f t="shared" si="161"/>
        <v>0</v>
      </c>
      <c r="I371" s="70"/>
      <c r="J371" s="167">
        <f t="shared" si="162"/>
        <v>0</v>
      </c>
      <c r="K371" s="70"/>
      <c r="L371" s="167">
        <f t="shared" si="163"/>
        <v>0</v>
      </c>
      <c r="M371" s="164">
        <f t="shared" si="164"/>
        <v>0</v>
      </c>
      <c r="N371" s="165">
        <f t="shared" si="156"/>
        <v>0</v>
      </c>
      <c r="P371" s="6"/>
      <c r="Q371" s="6"/>
      <c r="R371" s="138">
        <f t="shared" si="165"/>
        <v>0</v>
      </c>
      <c r="S371" s="185">
        <f t="shared" si="157"/>
        <v>0</v>
      </c>
      <c r="T371" s="6"/>
      <c r="U371" s="6"/>
      <c r="V371" s="138">
        <f t="shared" si="166"/>
        <v>0</v>
      </c>
      <c r="W371" s="6"/>
      <c r="X371" s="138">
        <f t="shared" si="167"/>
        <v>0</v>
      </c>
      <c r="Y371" s="167">
        <f t="shared" si="158"/>
        <v>0</v>
      </c>
      <c r="Z371" s="70"/>
      <c r="AA371" s="6"/>
      <c r="AB371" s="138">
        <f t="shared" si="168"/>
        <v>0</v>
      </c>
      <c r="AC371" s="6"/>
      <c r="AD371" s="138">
        <f t="shared" si="169"/>
        <v>0</v>
      </c>
      <c r="AE371" s="167">
        <f t="shared" si="170"/>
        <v>0</v>
      </c>
      <c r="AF371" s="307"/>
      <c r="AG371" s="4"/>
      <c r="AH371" s="138">
        <f t="shared" si="171"/>
        <v>0</v>
      </c>
      <c r="AI371" s="6"/>
      <c r="AJ371" s="138">
        <f t="shared" si="172"/>
        <v>0</v>
      </c>
      <c r="AK371" s="167">
        <f t="shared" si="173"/>
        <v>0</v>
      </c>
      <c r="AL371" s="6"/>
      <c r="AM371" s="6"/>
      <c r="AN371" s="138">
        <f t="shared" si="174"/>
        <v>0</v>
      </c>
      <c r="AO371" s="6"/>
      <c r="AP371" s="138">
        <f t="shared" si="175"/>
        <v>0</v>
      </c>
      <c r="AQ371" s="167">
        <f t="shared" si="176"/>
        <v>0</v>
      </c>
      <c r="AR371" s="164">
        <f t="shared" si="159"/>
        <v>0</v>
      </c>
      <c r="AS371" s="165">
        <f t="shared" si="160"/>
        <v>0</v>
      </c>
    </row>
    <row r="372" spans="2:45" outlineLevel="1" x14ac:dyDescent="0.35">
      <c r="B372" s="294" t="s">
        <v>108</v>
      </c>
      <c r="C372" s="62" t="s">
        <v>147</v>
      </c>
      <c r="D372" s="70">
        <v>0</v>
      </c>
      <c r="E372" s="70">
        <v>0</v>
      </c>
      <c r="F372" s="167">
        <f t="shared" si="155"/>
        <v>0</v>
      </c>
      <c r="G372" s="70">
        <v>0</v>
      </c>
      <c r="H372" s="167">
        <f t="shared" si="161"/>
        <v>0</v>
      </c>
      <c r="I372" s="70"/>
      <c r="J372" s="167">
        <f t="shared" si="162"/>
        <v>0</v>
      </c>
      <c r="K372" s="70"/>
      <c r="L372" s="167">
        <f t="shared" si="163"/>
        <v>0</v>
      </c>
      <c r="M372" s="164">
        <f t="shared" si="164"/>
        <v>0</v>
      </c>
      <c r="N372" s="165">
        <f t="shared" si="156"/>
        <v>0</v>
      </c>
      <c r="P372" s="6"/>
      <c r="Q372" s="6"/>
      <c r="R372" s="138">
        <f t="shared" si="165"/>
        <v>0</v>
      </c>
      <c r="S372" s="185">
        <f t="shared" si="157"/>
        <v>0</v>
      </c>
      <c r="T372" s="6"/>
      <c r="U372" s="6"/>
      <c r="V372" s="138">
        <f t="shared" si="166"/>
        <v>0</v>
      </c>
      <c r="W372" s="6"/>
      <c r="X372" s="138">
        <f t="shared" si="167"/>
        <v>0</v>
      </c>
      <c r="Y372" s="167">
        <f t="shared" si="158"/>
        <v>0</v>
      </c>
      <c r="Z372" s="70"/>
      <c r="AA372" s="6"/>
      <c r="AB372" s="138">
        <f t="shared" si="168"/>
        <v>0</v>
      </c>
      <c r="AC372" s="6"/>
      <c r="AD372" s="138">
        <f t="shared" si="169"/>
        <v>0</v>
      </c>
      <c r="AE372" s="167">
        <f t="shared" si="170"/>
        <v>0</v>
      </c>
      <c r="AF372" s="307"/>
      <c r="AG372" s="4"/>
      <c r="AH372" s="138">
        <f t="shared" si="171"/>
        <v>0</v>
      </c>
      <c r="AI372" s="6"/>
      <c r="AJ372" s="138">
        <f t="shared" si="172"/>
        <v>0</v>
      </c>
      <c r="AK372" s="167">
        <f t="shared" si="173"/>
        <v>0</v>
      </c>
      <c r="AL372" s="6"/>
      <c r="AM372" s="6"/>
      <c r="AN372" s="138">
        <f t="shared" si="174"/>
        <v>0</v>
      </c>
      <c r="AO372" s="6"/>
      <c r="AP372" s="138">
        <f t="shared" si="175"/>
        <v>0</v>
      </c>
      <c r="AQ372" s="167">
        <f t="shared" si="176"/>
        <v>0</v>
      </c>
      <c r="AR372" s="164">
        <f t="shared" si="159"/>
        <v>0</v>
      </c>
      <c r="AS372" s="165">
        <f t="shared" si="160"/>
        <v>0</v>
      </c>
    </row>
    <row r="373" spans="2:45" outlineLevel="1" x14ac:dyDescent="0.35">
      <c r="B373" s="294" t="s">
        <v>109</v>
      </c>
      <c r="C373" s="62" t="s">
        <v>147</v>
      </c>
      <c r="D373" s="70">
        <v>0</v>
      </c>
      <c r="E373" s="70">
        <v>0</v>
      </c>
      <c r="F373" s="167">
        <f t="shared" si="155"/>
        <v>0</v>
      </c>
      <c r="G373" s="70">
        <v>0</v>
      </c>
      <c r="H373" s="167">
        <f t="shared" si="161"/>
        <v>0</v>
      </c>
      <c r="I373" s="70"/>
      <c r="J373" s="167">
        <f t="shared" si="162"/>
        <v>0</v>
      </c>
      <c r="K373" s="70"/>
      <c r="L373" s="167">
        <f t="shared" si="163"/>
        <v>0</v>
      </c>
      <c r="M373" s="164">
        <f t="shared" si="164"/>
        <v>0</v>
      </c>
      <c r="N373" s="165">
        <f t="shared" si="156"/>
        <v>0</v>
      </c>
      <c r="P373" s="6"/>
      <c r="Q373" s="6"/>
      <c r="R373" s="138">
        <f t="shared" si="165"/>
        <v>0</v>
      </c>
      <c r="S373" s="185">
        <f t="shared" si="157"/>
        <v>0</v>
      </c>
      <c r="T373" s="6"/>
      <c r="U373" s="6"/>
      <c r="V373" s="138">
        <f t="shared" si="166"/>
        <v>0</v>
      </c>
      <c r="W373" s="6"/>
      <c r="X373" s="138">
        <f t="shared" si="167"/>
        <v>0</v>
      </c>
      <c r="Y373" s="167">
        <f t="shared" si="158"/>
        <v>0</v>
      </c>
      <c r="Z373" s="70"/>
      <c r="AA373" s="6"/>
      <c r="AB373" s="138">
        <f t="shared" si="168"/>
        <v>0</v>
      </c>
      <c r="AC373" s="6"/>
      <c r="AD373" s="138">
        <f t="shared" si="169"/>
        <v>0</v>
      </c>
      <c r="AE373" s="167">
        <f t="shared" si="170"/>
        <v>0</v>
      </c>
      <c r="AF373" s="307"/>
      <c r="AG373" s="4"/>
      <c r="AH373" s="138">
        <f t="shared" si="171"/>
        <v>0</v>
      </c>
      <c r="AI373" s="6"/>
      <c r="AJ373" s="138">
        <f t="shared" si="172"/>
        <v>0</v>
      </c>
      <c r="AK373" s="167">
        <f t="shared" si="173"/>
        <v>0</v>
      </c>
      <c r="AL373" s="6"/>
      <c r="AM373" s="6"/>
      <c r="AN373" s="138">
        <f t="shared" si="174"/>
        <v>0</v>
      </c>
      <c r="AO373" s="6"/>
      <c r="AP373" s="138">
        <f t="shared" si="175"/>
        <v>0</v>
      </c>
      <c r="AQ373" s="167">
        <f t="shared" si="176"/>
        <v>0</v>
      </c>
      <c r="AR373" s="164">
        <f t="shared" si="159"/>
        <v>0</v>
      </c>
      <c r="AS373" s="165">
        <f t="shared" si="160"/>
        <v>0</v>
      </c>
    </row>
    <row r="374" spans="2:45" outlineLevel="1" x14ac:dyDescent="0.35">
      <c r="B374" s="294" t="s">
        <v>110</v>
      </c>
      <c r="C374" s="62" t="s">
        <v>147</v>
      </c>
      <c r="D374" s="70">
        <v>11383.044827013504</v>
      </c>
      <c r="E374" s="70">
        <v>13725.9246661505</v>
      </c>
      <c r="F374" s="167">
        <f t="shared" si="155"/>
        <v>0.20582189341616453</v>
      </c>
      <c r="G374" s="70">
        <v>17607.526216189599</v>
      </c>
      <c r="H374" s="167">
        <f t="shared" si="161"/>
        <v>0.28279344703177012</v>
      </c>
      <c r="I374" s="70">
        <v>20446.900000000001</v>
      </c>
      <c r="J374" s="167">
        <f t="shared" si="162"/>
        <v>0.16125909732848687</v>
      </c>
      <c r="K374" s="70">
        <v>21695.9</v>
      </c>
      <c r="L374" s="167">
        <f t="shared" si="163"/>
        <v>6.108505445813301E-2</v>
      </c>
      <c r="M374" s="164">
        <f t="shared" si="164"/>
        <v>84859.29570935361</v>
      </c>
      <c r="N374" s="165">
        <f t="shared" si="156"/>
        <v>0.17497819214841104</v>
      </c>
      <c r="P374" s="6"/>
      <c r="Q374" s="6">
        <v>22642.2</v>
      </c>
      <c r="R374" s="138">
        <f t="shared" si="165"/>
        <v>22642.2</v>
      </c>
      <c r="S374" s="185">
        <f t="shared" si="157"/>
        <v>4.3616535843177706E-2</v>
      </c>
      <c r="T374" s="6"/>
      <c r="U374" s="6"/>
      <c r="V374" s="138">
        <f t="shared" si="166"/>
        <v>0</v>
      </c>
      <c r="W374" s="6">
        <v>22642.2</v>
      </c>
      <c r="X374" s="138">
        <f t="shared" si="167"/>
        <v>22642.2</v>
      </c>
      <c r="Y374" s="167">
        <f t="shared" si="158"/>
        <v>0</v>
      </c>
      <c r="Z374" s="70"/>
      <c r="AA374" s="6"/>
      <c r="AB374" s="138">
        <f t="shared" si="168"/>
        <v>0</v>
      </c>
      <c r="AC374" s="6">
        <v>22642.2</v>
      </c>
      <c r="AD374" s="138">
        <f t="shared" si="169"/>
        <v>22642.2</v>
      </c>
      <c r="AE374" s="167">
        <f t="shared" si="170"/>
        <v>0</v>
      </c>
      <c r="AF374" s="307"/>
      <c r="AG374" s="4"/>
      <c r="AH374" s="138">
        <f t="shared" si="171"/>
        <v>0</v>
      </c>
      <c r="AI374" s="6">
        <v>22642.2</v>
      </c>
      <c r="AJ374" s="138">
        <f t="shared" si="172"/>
        <v>22642.2</v>
      </c>
      <c r="AK374" s="167">
        <f t="shared" si="173"/>
        <v>0</v>
      </c>
      <c r="AL374" s="6"/>
      <c r="AM374" s="6"/>
      <c r="AN374" s="138">
        <f t="shared" si="174"/>
        <v>0</v>
      </c>
      <c r="AO374" s="6">
        <v>22642.2</v>
      </c>
      <c r="AP374" s="138">
        <f t="shared" si="175"/>
        <v>22642.2</v>
      </c>
      <c r="AQ374" s="167">
        <f t="shared" si="176"/>
        <v>0</v>
      </c>
      <c r="AR374" s="164">
        <f t="shared" si="159"/>
        <v>113211</v>
      </c>
      <c r="AS374" s="165">
        <f t="shared" si="160"/>
        <v>0</v>
      </c>
    </row>
    <row r="375" spans="2:45" outlineLevel="1" x14ac:dyDescent="0.35">
      <c r="B375" s="294" t="s">
        <v>111</v>
      </c>
      <c r="C375" s="62" t="s">
        <v>147</v>
      </c>
      <c r="D375" s="70">
        <v>0</v>
      </c>
      <c r="E375" s="70">
        <v>0</v>
      </c>
      <c r="F375" s="167">
        <f t="shared" si="155"/>
        <v>0</v>
      </c>
      <c r="G375" s="70">
        <v>0</v>
      </c>
      <c r="H375" s="167">
        <f t="shared" si="161"/>
        <v>0</v>
      </c>
      <c r="I375" s="70"/>
      <c r="J375" s="167">
        <f t="shared" si="162"/>
        <v>0</v>
      </c>
      <c r="K375" s="70"/>
      <c r="L375" s="167">
        <f t="shared" si="163"/>
        <v>0</v>
      </c>
      <c r="M375" s="164">
        <f t="shared" si="164"/>
        <v>0</v>
      </c>
      <c r="N375" s="165">
        <f t="shared" si="156"/>
        <v>0</v>
      </c>
      <c r="P375" s="6"/>
      <c r="Q375" s="6"/>
      <c r="R375" s="138">
        <f t="shared" si="165"/>
        <v>0</v>
      </c>
      <c r="S375" s="185">
        <f t="shared" si="157"/>
        <v>0</v>
      </c>
      <c r="T375" s="6"/>
      <c r="U375" s="6"/>
      <c r="V375" s="138">
        <f t="shared" si="166"/>
        <v>0</v>
      </c>
      <c r="W375" s="6"/>
      <c r="X375" s="138">
        <f t="shared" si="167"/>
        <v>0</v>
      </c>
      <c r="Y375" s="167">
        <f t="shared" si="158"/>
        <v>0</v>
      </c>
      <c r="Z375" s="70"/>
      <c r="AA375" s="6"/>
      <c r="AB375" s="138">
        <f t="shared" si="168"/>
        <v>0</v>
      </c>
      <c r="AC375" s="6"/>
      <c r="AD375" s="138">
        <f t="shared" si="169"/>
        <v>0</v>
      </c>
      <c r="AE375" s="167">
        <f t="shared" si="170"/>
        <v>0</v>
      </c>
      <c r="AF375" s="307"/>
      <c r="AG375" s="4"/>
      <c r="AH375" s="138">
        <f t="shared" si="171"/>
        <v>0</v>
      </c>
      <c r="AI375" s="6"/>
      <c r="AJ375" s="138">
        <f t="shared" si="172"/>
        <v>0</v>
      </c>
      <c r="AK375" s="167">
        <f t="shared" si="173"/>
        <v>0</v>
      </c>
      <c r="AL375" s="6"/>
      <c r="AM375" s="6"/>
      <c r="AN375" s="138">
        <f t="shared" si="174"/>
        <v>0</v>
      </c>
      <c r="AO375" s="6"/>
      <c r="AP375" s="138">
        <f t="shared" si="175"/>
        <v>0</v>
      </c>
      <c r="AQ375" s="167">
        <f t="shared" si="176"/>
        <v>0</v>
      </c>
      <c r="AR375" s="164">
        <f t="shared" si="159"/>
        <v>0</v>
      </c>
      <c r="AS375" s="165">
        <f t="shared" si="160"/>
        <v>0</v>
      </c>
    </row>
    <row r="376" spans="2:45" outlineLevel="1" x14ac:dyDescent="0.35">
      <c r="B376" s="294" t="s">
        <v>112</v>
      </c>
      <c r="C376" s="62" t="s">
        <v>147</v>
      </c>
      <c r="D376" s="70">
        <v>19826.204923489833</v>
      </c>
      <c r="E376" s="70">
        <v>23632.2657324518</v>
      </c>
      <c r="F376" s="167">
        <f t="shared" si="155"/>
        <v>0.19197122311858056</v>
      </c>
      <c r="G376" s="70">
        <v>36085.488318905002</v>
      </c>
      <c r="H376" s="167">
        <f t="shared" si="161"/>
        <v>0.52695846972270843</v>
      </c>
      <c r="I376" s="70">
        <v>57639.6</v>
      </c>
      <c r="J376" s="167">
        <f t="shared" si="162"/>
        <v>0.59730691436432382</v>
      </c>
      <c r="K376" s="70">
        <v>58045.5</v>
      </c>
      <c r="L376" s="167">
        <f t="shared" si="163"/>
        <v>7.0420336018987197E-3</v>
      </c>
      <c r="M376" s="164">
        <f t="shared" si="164"/>
        <v>195229.05897484664</v>
      </c>
      <c r="N376" s="165">
        <f t="shared" si="156"/>
        <v>0.30807378307897393</v>
      </c>
      <c r="P376" s="6"/>
      <c r="Q376" s="6">
        <v>59766.2</v>
      </c>
      <c r="R376" s="138">
        <f t="shared" si="165"/>
        <v>59766.2</v>
      </c>
      <c r="S376" s="185">
        <f t="shared" si="157"/>
        <v>2.9643986183252743E-2</v>
      </c>
      <c r="T376" s="6"/>
      <c r="U376" s="6"/>
      <c r="V376" s="138">
        <f t="shared" si="166"/>
        <v>0</v>
      </c>
      <c r="W376" s="6">
        <v>59766.2</v>
      </c>
      <c r="X376" s="138">
        <f t="shared" si="167"/>
        <v>59766.2</v>
      </c>
      <c r="Y376" s="167">
        <f t="shared" si="158"/>
        <v>0</v>
      </c>
      <c r="Z376" s="70"/>
      <c r="AA376" s="6"/>
      <c r="AB376" s="138">
        <f t="shared" si="168"/>
        <v>0</v>
      </c>
      <c r="AC376" s="6">
        <v>59766.2</v>
      </c>
      <c r="AD376" s="138">
        <f t="shared" si="169"/>
        <v>59766.2</v>
      </c>
      <c r="AE376" s="167">
        <f t="shared" si="170"/>
        <v>0</v>
      </c>
      <c r="AF376" s="307"/>
      <c r="AG376" s="4"/>
      <c r="AH376" s="138">
        <f t="shared" si="171"/>
        <v>0</v>
      </c>
      <c r="AI376" s="6">
        <v>59766.2</v>
      </c>
      <c r="AJ376" s="138">
        <f t="shared" si="172"/>
        <v>59766.2</v>
      </c>
      <c r="AK376" s="167">
        <f t="shared" si="173"/>
        <v>0</v>
      </c>
      <c r="AL376" s="6"/>
      <c r="AM376" s="6"/>
      <c r="AN376" s="138">
        <f t="shared" si="174"/>
        <v>0</v>
      </c>
      <c r="AO376" s="6">
        <v>59766.2</v>
      </c>
      <c r="AP376" s="138">
        <f t="shared" si="175"/>
        <v>59766.2</v>
      </c>
      <c r="AQ376" s="167">
        <f t="shared" si="176"/>
        <v>0</v>
      </c>
      <c r="AR376" s="164">
        <f t="shared" si="159"/>
        <v>298831</v>
      </c>
      <c r="AS376" s="165">
        <f t="shared" si="160"/>
        <v>0</v>
      </c>
    </row>
    <row r="377" spans="2:45" outlineLevel="1" x14ac:dyDescent="0.35">
      <c r="B377" s="294" t="s">
        <v>113</v>
      </c>
      <c r="C377" s="62" t="s">
        <v>147</v>
      </c>
      <c r="D377" s="70"/>
      <c r="E377" s="70">
        <v>0</v>
      </c>
      <c r="F377" s="167">
        <f t="shared" si="155"/>
        <v>0</v>
      </c>
      <c r="G377" s="70">
        <v>0</v>
      </c>
      <c r="H377" s="167">
        <f t="shared" si="161"/>
        <v>0</v>
      </c>
      <c r="I377" s="70"/>
      <c r="J377" s="167">
        <f t="shared" si="162"/>
        <v>0</v>
      </c>
      <c r="K377" s="70"/>
      <c r="L377" s="167">
        <f t="shared" si="163"/>
        <v>0</v>
      </c>
      <c r="M377" s="164">
        <f t="shared" si="164"/>
        <v>0</v>
      </c>
      <c r="N377" s="165">
        <f t="shared" si="156"/>
        <v>0</v>
      </c>
      <c r="P377" s="6"/>
      <c r="Q377" s="6"/>
      <c r="R377" s="138">
        <f t="shared" si="165"/>
        <v>0</v>
      </c>
      <c r="S377" s="185">
        <f t="shared" si="157"/>
        <v>0</v>
      </c>
      <c r="T377" s="6"/>
      <c r="U377" s="6"/>
      <c r="V377" s="138">
        <f t="shared" si="166"/>
        <v>0</v>
      </c>
      <c r="W377" s="6"/>
      <c r="X377" s="138">
        <f t="shared" si="167"/>
        <v>0</v>
      </c>
      <c r="Y377" s="167">
        <f t="shared" si="158"/>
        <v>0</v>
      </c>
      <c r="Z377" s="70">
        <v>3573.19</v>
      </c>
      <c r="AA377" s="6"/>
      <c r="AB377" s="138">
        <f t="shared" si="168"/>
        <v>3573.19</v>
      </c>
      <c r="AC377" s="6"/>
      <c r="AD377" s="138">
        <f t="shared" si="169"/>
        <v>3573.19</v>
      </c>
      <c r="AE377" s="167">
        <f t="shared" si="170"/>
        <v>0</v>
      </c>
      <c r="AF377" s="307"/>
      <c r="AG377" s="4">
        <v>4022.73</v>
      </c>
      <c r="AH377" s="138">
        <f t="shared" si="171"/>
        <v>4022.73</v>
      </c>
      <c r="AI377" s="6"/>
      <c r="AJ377" s="138">
        <f t="shared" si="172"/>
        <v>4022.73</v>
      </c>
      <c r="AK377" s="167">
        <f t="shared" si="173"/>
        <v>0.1258091509267629</v>
      </c>
      <c r="AL377" s="6"/>
      <c r="AM377" s="6">
        <v>4022.73</v>
      </c>
      <c r="AN377" s="138">
        <f t="shared" si="174"/>
        <v>4022.73</v>
      </c>
      <c r="AO377" s="6"/>
      <c r="AP377" s="138">
        <f t="shared" si="175"/>
        <v>4022.73</v>
      </c>
      <c r="AQ377" s="167">
        <f t="shared" si="176"/>
        <v>0</v>
      </c>
      <c r="AR377" s="164">
        <f t="shared" si="159"/>
        <v>11618.65</v>
      </c>
      <c r="AS377" s="165">
        <f t="shared" si="160"/>
        <v>0</v>
      </c>
    </row>
    <row r="378" spans="2:45" outlineLevel="1" x14ac:dyDescent="0.35">
      <c r="B378" s="294" t="s">
        <v>114</v>
      </c>
      <c r="C378" s="62" t="s">
        <v>147</v>
      </c>
      <c r="D378" s="70">
        <v>0</v>
      </c>
      <c r="E378" s="70">
        <v>0</v>
      </c>
      <c r="F378" s="167">
        <f t="shared" si="155"/>
        <v>0</v>
      </c>
      <c r="G378" s="70">
        <v>0</v>
      </c>
      <c r="H378" s="167">
        <f t="shared" si="161"/>
        <v>0</v>
      </c>
      <c r="I378" s="70"/>
      <c r="J378" s="167">
        <f t="shared" si="162"/>
        <v>0</v>
      </c>
      <c r="K378" s="70"/>
      <c r="L378" s="167">
        <f t="shared" si="163"/>
        <v>0</v>
      </c>
      <c r="M378" s="164">
        <f t="shared" si="164"/>
        <v>0</v>
      </c>
      <c r="N378" s="165">
        <f t="shared" si="156"/>
        <v>0</v>
      </c>
      <c r="P378" s="6">
        <v>3057.27</v>
      </c>
      <c r="Q378" s="6"/>
      <c r="R378" s="138">
        <f t="shared" si="165"/>
        <v>3057.27</v>
      </c>
      <c r="S378" s="185">
        <f t="shared" si="157"/>
        <v>0</v>
      </c>
      <c r="T378" s="6"/>
      <c r="U378" s="6">
        <v>4022.73</v>
      </c>
      <c r="V378" s="138">
        <f t="shared" si="166"/>
        <v>4022.73</v>
      </c>
      <c r="W378" s="6"/>
      <c r="X378" s="138">
        <f t="shared" si="167"/>
        <v>4022.73</v>
      </c>
      <c r="Y378" s="167">
        <f t="shared" si="158"/>
        <v>0.31579153951073996</v>
      </c>
      <c r="Z378" s="70"/>
      <c r="AA378" s="6">
        <v>4367.53</v>
      </c>
      <c r="AB378" s="138">
        <f t="shared" si="168"/>
        <v>4367.53</v>
      </c>
      <c r="AC378" s="6"/>
      <c r="AD378" s="138">
        <f t="shared" si="169"/>
        <v>4367.53</v>
      </c>
      <c r="AE378" s="167">
        <f t="shared" si="170"/>
        <v>8.571293623981717E-2</v>
      </c>
      <c r="AF378" s="307"/>
      <c r="AG378" s="4">
        <v>4367.53</v>
      </c>
      <c r="AH378" s="138">
        <f t="shared" si="171"/>
        <v>4367.53</v>
      </c>
      <c r="AI378" s="6"/>
      <c r="AJ378" s="138">
        <f t="shared" si="172"/>
        <v>4367.53</v>
      </c>
      <c r="AK378" s="167">
        <f t="shared" si="173"/>
        <v>0</v>
      </c>
      <c r="AL378" s="6"/>
      <c r="AM378" s="6">
        <v>4367.53</v>
      </c>
      <c r="AN378" s="138">
        <f t="shared" si="174"/>
        <v>4367.53</v>
      </c>
      <c r="AO378" s="6"/>
      <c r="AP378" s="138">
        <f t="shared" si="175"/>
        <v>4367.53</v>
      </c>
      <c r="AQ378" s="167">
        <f t="shared" si="176"/>
        <v>0</v>
      </c>
      <c r="AR378" s="164">
        <f t="shared" si="159"/>
        <v>20182.589999999997</v>
      </c>
      <c r="AS378" s="165">
        <f t="shared" si="160"/>
        <v>9.3265203327885349E-2</v>
      </c>
    </row>
    <row r="379" spans="2:45" outlineLevel="1" x14ac:dyDescent="0.35">
      <c r="B379" s="294" t="s">
        <v>115</v>
      </c>
      <c r="C379" s="62" t="s">
        <v>147</v>
      </c>
      <c r="D379" s="70">
        <v>0</v>
      </c>
      <c r="E379" s="70">
        <v>0</v>
      </c>
      <c r="F379" s="167">
        <f t="shared" si="155"/>
        <v>0</v>
      </c>
      <c r="G379" s="70">
        <v>0</v>
      </c>
      <c r="H379" s="167">
        <f t="shared" si="161"/>
        <v>0</v>
      </c>
      <c r="I379" s="70"/>
      <c r="J379" s="167">
        <f t="shared" si="162"/>
        <v>0</v>
      </c>
      <c r="K379" s="70"/>
      <c r="L379" s="167">
        <f t="shared" si="163"/>
        <v>0</v>
      </c>
      <c r="M379" s="164">
        <f t="shared" si="164"/>
        <v>0</v>
      </c>
      <c r="N379" s="165">
        <f t="shared" si="156"/>
        <v>0</v>
      </c>
      <c r="P379" s="6"/>
      <c r="Q379" s="6"/>
      <c r="R379" s="138">
        <f t="shared" si="165"/>
        <v>0</v>
      </c>
      <c r="S379" s="185">
        <f t="shared" si="157"/>
        <v>0</v>
      </c>
      <c r="T379" s="6"/>
      <c r="U379" s="6"/>
      <c r="V379" s="138">
        <f t="shared" si="166"/>
        <v>0</v>
      </c>
      <c r="W379" s="6"/>
      <c r="X379" s="138">
        <f t="shared" si="167"/>
        <v>0</v>
      </c>
      <c r="Y379" s="167">
        <f t="shared" si="158"/>
        <v>0</v>
      </c>
      <c r="Z379" s="70"/>
      <c r="AA379" s="6"/>
      <c r="AB379" s="138">
        <f t="shared" si="168"/>
        <v>0</v>
      </c>
      <c r="AC379" s="6"/>
      <c r="AD379" s="138">
        <f t="shared" si="169"/>
        <v>0</v>
      </c>
      <c r="AE379" s="167">
        <f t="shared" si="170"/>
        <v>0</v>
      </c>
      <c r="AF379" s="307"/>
      <c r="AG379" s="4"/>
      <c r="AH379" s="138">
        <f t="shared" si="171"/>
        <v>0</v>
      </c>
      <c r="AI379" s="6"/>
      <c r="AJ379" s="138">
        <f t="shared" si="172"/>
        <v>0</v>
      </c>
      <c r="AK379" s="167">
        <f t="shared" si="173"/>
        <v>0</v>
      </c>
      <c r="AL379" s="6"/>
      <c r="AM379" s="6"/>
      <c r="AN379" s="138">
        <f t="shared" si="174"/>
        <v>0</v>
      </c>
      <c r="AO379" s="6"/>
      <c r="AP379" s="138">
        <f t="shared" si="175"/>
        <v>0</v>
      </c>
      <c r="AQ379" s="167">
        <f t="shared" si="176"/>
        <v>0</v>
      </c>
      <c r="AR379" s="164">
        <f t="shared" si="159"/>
        <v>0</v>
      </c>
      <c r="AS379" s="165">
        <f t="shared" si="160"/>
        <v>0</v>
      </c>
    </row>
    <row r="380" spans="2:45" outlineLevel="1" x14ac:dyDescent="0.35">
      <c r="B380" s="294" t="s">
        <v>116</v>
      </c>
      <c r="C380" s="62" t="s">
        <v>147</v>
      </c>
      <c r="D380" s="70">
        <v>0</v>
      </c>
      <c r="E380" s="70">
        <v>0</v>
      </c>
      <c r="F380" s="167">
        <f t="shared" si="155"/>
        <v>0</v>
      </c>
      <c r="G380" s="70">
        <v>0</v>
      </c>
      <c r="H380" s="167">
        <f t="shared" si="161"/>
        <v>0</v>
      </c>
      <c r="I380" s="70"/>
      <c r="J380" s="167">
        <f t="shared" si="162"/>
        <v>0</v>
      </c>
      <c r="K380" s="70"/>
      <c r="L380" s="167">
        <f t="shared" si="163"/>
        <v>0</v>
      </c>
      <c r="M380" s="164">
        <f t="shared" si="164"/>
        <v>0</v>
      </c>
      <c r="N380" s="165">
        <f t="shared" si="156"/>
        <v>0</v>
      </c>
      <c r="P380" s="6"/>
      <c r="Q380" s="6"/>
      <c r="R380" s="138">
        <f t="shared" si="165"/>
        <v>0</v>
      </c>
      <c r="S380" s="185">
        <f t="shared" si="157"/>
        <v>0</v>
      </c>
      <c r="T380" s="6"/>
      <c r="U380" s="6"/>
      <c r="V380" s="138">
        <f t="shared" si="166"/>
        <v>0</v>
      </c>
      <c r="W380" s="6"/>
      <c r="X380" s="138">
        <f t="shared" si="167"/>
        <v>0</v>
      </c>
      <c r="Y380" s="167">
        <f t="shared" si="158"/>
        <v>0</v>
      </c>
      <c r="Z380" s="70"/>
      <c r="AA380" s="6"/>
      <c r="AB380" s="138">
        <f t="shared" si="168"/>
        <v>0</v>
      </c>
      <c r="AC380" s="6"/>
      <c r="AD380" s="138">
        <f t="shared" si="169"/>
        <v>0</v>
      </c>
      <c r="AE380" s="167">
        <f t="shared" si="170"/>
        <v>0</v>
      </c>
      <c r="AF380" s="307"/>
      <c r="AG380" s="4"/>
      <c r="AH380" s="138">
        <f t="shared" si="171"/>
        <v>0</v>
      </c>
      <c r="AI380" s="6"/>
      <c r="AJ380" s="138">
        <f t="shared" si="172"/>
        <v>0</v>
      </c>
      <c r="AK380" s="167">
        <f t="shared" si="173"/>
        <v>0</v>
      </c>
      <c r="AL380" s="6"/>
      <c r="AM380" s="6"/>
      <c r="AN380" s="138">
        <f t="shared" si="174"/>
        <v>0</v>
      </c>
      <c r="AO380" s="6"/>
      <c r="AP380" s="138">
        <f t="shared" si="175"/>
        <v>0</v>
      </c>
      <c r="AQ380" s="167">
        <f t="shared" si="176"/>
        <v>0</v>
      </c>
      <c r="AR380" s="164">
        <f t="shared" si="159"/>
        <v>0</v>
      </c>
      <c r="AS380" s="165">
        <f t="shared" si="160"/>
        <v>0</v>
      </c>
    </row>
    <row r="381" spans="2:45" outlineLevel="1" x14ac:dyDescent="0.35">
      <c r="B381" s="294" t="s">
        <v>117</v>
      </c>
      <c r="C381" s="62" t="s">
        <v>147</v>
      </c>
      <c r="D381" s="70">
        <v>0</v>
      </c>
      <c r="E381" s="70">
        <v>0</v>
      </c>
      <c r="F381" s="167">
        <f t="shared" si="155"/>
        <v>0</v>
      </c>
      <c r="G381" s="70">
        <v>0</v>
      </c>
      <c r="H381" s="167">
        <f t="shared" si="161"/>
        <v>0</v>
      </c>
      <c r="I381" s="70"/>
      <c r="J381" s="167">
        <f t="shared" si="162"/>
        <v>0</v>
      </c>
      <c r="K381" s="70"/>
      <c r="L381" s="167">
        <f t="shared" si="163"/>
        <v>0</v>
      </c>
      <c r="M381" s="164">
        <f t="shared" si="164"/>
        <v>0</v>
      </c>
      <c r="N381" s="165">
        <f t="shared" si="156"/>
        <v>0</v>
      </c>
      <c r="P381" s="6"/>
      <c r="Q381" s="6"/>
      <c r="R381" s="138">
        <f t="shared" si="165"/>
        <v>0</v>
      </c>
      <c r="S381" s="185">
        <f t="shared" si="157"/>
        <v>0</v>
      </c>
      <c r="T381" s="6"/>
      <c r="U381" s="6"/>
      <c r="V381" s="138">
        <f t="shared" si="166"/>
        <v>0</v>
      </c>
      <c r="W381" s="6"/>
      <c r="X381" s="138">
        <f t="shared" si="167"/>
        <v>0</v>
      </c>
      <c r="Y381" s="167">
        <f t="shared" si="158"/>
        <v>0</v>
      </c>
      <c r="Z381" s="70"/>
      <c r="AA381" s="6"/>
      <c r="AB381" s="138">
        <f t="shared" si="168"/>
        <v>0</v>
      </c>
      <c r="AC381" s="6"/>
      <c r="AD381" s="138">
        <f t="shared" si="169"/>
        <v>0</v>
      </c>
      <c r="AE381" s="167">
        <f t="shared" si="170"/>
        <v>0</v>
      </c>
      <c r="AF381" s="307"/>
      <c r="AG381" s="4"/>
      <c r="AH381" s="138">
        <f t="shared" si="171"/>
        <v>0</v>
      </c>
      <c r="AI381" s="6"/>
      <c r="AJ381" s="138">
        <f t="shared" si="172"/>
        <v>0</v>
      </c>
      <c r="AK381" s="167">
        <f t="shared" si="173"/>
        <v>0</v>
      </c>
      <c r="AL381" s="6"/>
      <c r="AM381" s="6"/>
      <c r="AN381" s="138">
        <f t="shared" si="174"/>
        <v>0</v>
      </c>
      <c r="AO381" s="6"/>
      <c r="AP381" s="138">
        <f t="shared" si="175"/>
        <v>0</v>
      </c>
      <c r="AQ381" s="167">
        <f t="shared" si="176"/>
        <v>0</v>
      </c>
      <c r="AR381" s="164">
        <f t="shared" si="159"/>
        <v>0</v>
      </c>
      <c r="AS381" s="165">
        <f t="shared" si="160"/>
        <v>0</v>
      </c>
    </row>
    <row r="382" spans="2:45" outlineLevel="1" x14ac:dyDescent="0.35">
      <c r="B382" s="294" t="s">
        <v>118</v>
      </c>
      <c r="C382" s="62" t="s">
        <v>147</v>
      </c>
      <c r="D382" s="70">
        <v>0</v>
      </c>
      <c r="E382" s="70">
        <v>0</v>
      </c>
      <c r="F382" s="167">
        <f t="shared" si="155"/>
        <v>0</v>
      </c>
      <c r="G382" s="70">
        <v>0</v>
      </c>
      <c r="H382" s="167">
        <f t="shared" si="161"/>
        <v>0</v>
      </c>
      <c r="I382" s="70"/>
      <c r="J382" s="167">
        <f t="shared" si="162"/>
        <v>0</v>
      </c>
      <c r="K382" s="70"/>
      <c r="L382" s="167">
        <f t="shared" si="163"/>
        <v>0</v>
      </c>
      <c r="M382" s="164">
        <f t="shared" si="164"/>
        <v>0</v>
      </c>
      <c r="N382" s="165">
        <f t="shared" si="156"/>
        <v>0</v>
      </c>
      <c r="P382" s="6"/>
      <c r="Q382" s="6"/>
      <c r="R382" s="138">
        <f t="shared" si="165"/>
        <v>0</v>
      </c>
      <c r="S382" s="185">
        <f t="shared" si="157"/>
        <v>0</v>
      </c>
      <c r="T382" s="6"/>
      <c r="U382" s="6"/>
      <c r="V382" s="138">
        <f t="shared" si="166"/>
        <v>0</v>
      </c>
      <c r="W382" s="6"/>
      <c r="X382" s="138">
        <f t="shared" si="167"/>
        <v>0</v>
      </c>
      <c r="Y382" s="167">
        <f t="shared" si="158"/>
        <v>0</v>
      </c>
      <c r="Z382" s="70"/>
      <c r="AA382" s="6"/>
      <c r="AB382" s="138">
        <f t="shared" si="168"/>
        <v>0</v>
      </c>
      <c r="AC382" s="6"/>
      <c r="AD382" s="138">
        <f t="shared" si="169"/>
        <v>0</v>
      </c>
      <c r="AE382" s="167">
        <f t="shared" si="170"/>
        <v>0</v>
      </c>
      <c r="AF382" s="307"/>
      <c r="AG382" s="4"/>
      <c r="AH382" s="138">
        <f t="shared" si="171"/>
        <v>0</v>
      </c>
      <c r="AI382" s="6"/>
      <c r="AJ382" s="138">
        <f t="shared" si="172"/>
        <v>0</v>
      </c>
      <c r="AK382" s="167">
        <f t="shared" si="173"/>
        <v>0</v>
      </c>
      <c r="AL382" s="6"/>
      <c r="AM382" s="6"/>
      <c r="AN382" s="138">
        <f t="shared" si="174"/>
        <v>0</v>
      </c>
      <c r="AO382" s="6"/>
      <c r="AP382" s="138">
        <f t="shared" si="175"/>
        <v>0</v>
      </c>
      <c r="AQ382" s="167">
        <f t="shared" si="176"/>
        <v>0</v>
      </c>
      <c r="AR382" s="164">
        <f t="shared" si="159"/>
        <v>0</v>
      </c>
      <c r="AS382" s="165">
        <f t="shared" si="160"/>
        <v>0</v>
      </c>
    </row>
    <row r="383" spans="2:45" outlineLevel="1" x14ac:dyDescent="0.35">
      <c r="B383" s="294" t="s">
        <v>119</v>
      </c>
      <c r="C383" s="62" t="s">
        <v>147</v>
      </c>
      <c r="D383" s="70">
        <v>0</v>
      </c>
      <c r="E383" s="70">
        <v>0</v>
      </c>
      <c r="F383" s="167">
        <f t="shared" si="155"/>
        <v>0</v>
      </c>
      <c r="G383" s="70">
        <v>0</v>
      </c>
      <c r="H383" s="167">
        <f t="shared" si="161"/>
        <v>0</v>
      </c>
      <c r="I383" s="70"/>
      <c r="J383" s="167">
        <f t="shared" si="162"/>
        <v>0</v>
      </c>
      <c r="K383" s="70"/>
      <c r="L383" s="167">
        <f t="shared" si="163"/>
        <v>0</v>
      </c>
      <c r="M383" s="164">
        <f t="shared" si="164"/>
        <v>0</v>
      </c>
      <c r="N383" s="165">
        <f t="shared" si="156"/>
        <v>0</v>
      </c>
      <c r="P383" s="6"/>
      <c r="Q383" s="6"/>
      <c r="R383" s="138">
        <f t="shared" si="165"/>
        <v>0</v>
      </c>
      <c r="S383" s="185">
        <f t="shared" si="157"/>
        <v>0</v>
      </c>
      <c r="T383" s="6"/>
      <c r="U383" s="6"/>
      <c r="V383" s="138">
        <f t="shared" si="166"/>
        <v>0</v>
      </c>
      <c r="W383" s="6"/>
      <c r="X383" s="138">
        <f t="shared" si="167"/>
        <v>0</v>
      </c>
      <c r="Y383" s="167">
        <f t="shared" si="158"/>
        <v>0</v>
      </c>
      <c r="Z383" s="70"/>
      <c r="AA383" s="6"/>
      <c r="AB383" s="138">
        <f t="shared" si="168"/>
        <v>0</v>
      </c>
      <c r="AC383" s="6"/>
      <c r="AD383" s="138">
        <f t="shared" si="169"/>
        <v>0</v>
      </c>
      <c r="AE383" s="167">
        <f t="shared" si="170"/>
        <v>0</v>
      </c>
      <c r="AF383" s="307"/>
      <c r="AG383" s="4"/>
      <c r="AH383" s="138">
        <f t="shared" si="171"/>
        <v>0</v>
      </c>
      <c r="AI383" s="6"/>
      <c r="AJ383" s="138">
        <f t="shared" si="172"/>
        <v>0</v>
      </c>
      <c r="AK383" s="167">
        <f t="shared" si="173"/>
        <v>0</v>
      </c>
      <c r="AL383" s="6"/>
      <c r="AM383" s="6"/>
      <c r="AN383" s="138">
        <f t="shared" si="174"/>
        <v>0</v>
      </c>
      <c r="AO383" s="6"/>
      <c r="AP383" s="138">
        <f t="shared" si="175"/>
        <v>0</v>
      </c>
      <c r="AQ383" s="167">
        <f t="shared" si="176"/>
        <v>0</v>
      </c>
      <c r="AR383" s="164">
        <f t="shared" si="159"/>
        <v>0</v>
      </c>
      <c r="AS383" s="165">
        <f t="shared" si="160"/>
        <v>0</v>
      </c>
    </row>
    <row r="384" spans="2:45" outlineLevel="1" x14ac:dyDescent="0.35">
      <c r="B384" s="294" t="s">
        <v>120</v>
      </c>
      <c r="C384" s="62" t="s">
        <v>147</v>
      </c>
      <c r="D384" s="70">
        <v>0</v>
      </c>
      <c r="E384" s="70">
        <v>0</v>
      </c>
      <c r="F384" s="167">
        <f t="shared" si="155"/>
        <v>0</v>
      </c>
      <c r="G384" s="70">
        <v>0</v>
      </c>
      <c r="H384" s="167">
        <f t="shared" si="161"/>
        <v>0</v>
      </c>
      <c r="I384" s="70"/>
      <c r="J384" s="167">
        <f t="shared" si="162"/>
        <v>0</v>
      </c>
      <c r="K384" s="70"/>
      <c r="L384" s="167">
        <f t="shared" si="163"/>
        <v>0</v>
      </c>
      <c r="M384" s="164">
        <f t="shared" si="164"/>
        <v>0</v>
      </c>
      <c r="N384" s="165">
        <f t="shared" si="156"/>
        <v>0</v>
      </c>
      <c r="P384" s="6">
        <v>2614.77</v>
      </c>
      <c r="Q384" s="6"/>
      <c r="R384" s="138">
        <f t="shared" si="165"/>
        <v>2614.77</v>
      </c>
      <c r="S384" s="185">
        <f t="shared" si="157"/>
        <v>0</v>
      </c>
      <c r="T384" s="6"/>
      <c r="U384" s="6">
        <v>4022.73</v>
      </c>
      <c r="V384" s="138">
        <f t="shared" si="166"/>
        <v>4022.73</v>
      </c>
      <c r="W384" s="6"/>
      <c r="X384" s="138">
        <f t="shared" si="167"/>
        <v>4022.73</v>
      </c>
      <c r="Y384" s="167">
        <f t="shared" si="158"/>
        <v>0.53846418614256708</v>
      </c>
      <c r="Z384" s="70"/>
      <c r="AA384" s="6">
        <v>4022.73</v>
      </c>
      <c r="AB384" s="138">
        <f t="shared" si="168"/>
        <v>4022.73</v>
      </c>
      <c r="AC384" s="6"/>
      <c r="AD384" s="138">
        <f t="shared" si="169"/>
        <v>4022.73</v>
      </c>
      <c r="AE384" s="167">
        <f t="shared" si="170"/>
        <v>0</v>
      </c>
      <c r="AF384" s="307"/>
      <c r="AG384" s="4">
        <v>4022.73</v>
      </c>
      <c r="AH384" s="138">
        <f t="shared" si="171"/>
        <v>4022.73</v>
      </c>
      <c r="AI384" s="6"/>
      <c r="AJ384" s="138">
        <f t="shared" si="172"/>
        <v>4022.73</v>
      </c>
      <c r="AK384" s="167">
        <f t="shared" si="173"/>
        <v>0</v>
      </c>
      <c r="AL384" s="6">
        <v>5100.82</v>
      </c>
      <c r="AM384" s="6">
        <v>4022.73</v>
      </c>
      <c r="AN384" s="138">
        <f t="shared" si="174"/>
        <v>9123.5499999999993</v>
      </c>
      <c r="AO384" s="6"/>
      <c r="AP384" s="138">
        <f t="shared" si="175"/>
        <v>9123.5499999999993</v>
      </c>
      <c r="AQ384" s="167">
        <f t="shared" si="176"/>
        <v>1.2679995923166605</v>
      </c>
      <c r="AR384" s="164">
        <f t="shared" si="159"/>
        <v>23806.51</v>
      </c>
      <c r="AS384" s="165">
        <f t="shared" si="160"/>
        <v>0.3667295699814459</v>
      </c>
    </row>
    <row r="385" spans="2:45" outlineLevel="1" x14ac:dyDescent="0.35">
      <c r="B385" s="294" t="s">
        <v>121</v>
      </c>
      <c r="C385" s="62" t="s">
        <v>147</v>
      </c>
      <c r="D385" s="70">
        <v>0</v>
      </c>
      <c r="E385" s="70">
        <v>0</v>
      </c>
      <c r="F385" s="167">
        <f t="shared" si="155"/>
        <v>0</v>
      </c>
      <c r="G385" s="70">
        <v>0</v>
      </c>
      <c r="H385" s="167">
        <f t="shared" si="161"/>
        <v>0</v>
      </c>
      <c r="I385" s="70"/>
      <c r="J385" s="167">
        <f t="shared" si="162"/>
        <v>0</v>
      </c>
      <c r="K385" s="70"/>
      <c r="L385" s="167">
        <f t="shared" si="163"/>
        <v>0</v>
      </c>
      <c r="M385" s="164">
        <f t="shared" si="164"/>
        <v>0</v>
      </c>
      <c r="N385" s="165">
        <f t="shared" si="156"/>
        <v>0</v>
      </c>
      <c r="P385" s="6"/>
      <c r="Q385" s="6"/>
      <c r="R385" s="138">
        <f t="shared" si="165"/>
        <v>0</v>
      </c>
      <c r="S385" s="185">
        <f t="shared" si="157"/>
        <v>0</v>
      </c>
      <c r="T385" s="6"/>
      <c r="U385" s="6"/>
      <c r="V385" s="138">
        <f t="shared" si="166"/>
        <v>0</v>
      </c>
      <c r="W385" s="6"/>
      <c r="X385" s="138">
        <f t="shared" si="167"/>
        <v>0</v>
      </c>
      <c r="Y385" s="167">
        <f t="shared" si="158"/>
        <v>0</v>
      </c>
      <c r="Z385" s="70"/>
      <c r="AA385" s="6"/>
      <c r="AB385" s="138">
        <f t="shared" si="168"/>
        <v>0</v>
      </c>
      <c r="AC385" s="6"/>
      <c r="AD385" s="138">
        <f t="shared" si="169"/>
        <v>0</v>
      </c>
      <c r="AE385" s="167">
        <f t="shared" si="170"/>
        <v>0</v>
      </c>
      <c r="AF385" s="307"/>
      <c r="AG385" s="4"/>
      <c r="AH385" s="138">
        <f t="shared" si="171"/>
        <v>0</v>
      </c>
      <c r="AI385" s="6"/>
      <c r="AJ385" s="138">
        <f t="shared" si="172"/>
        <v>0</v>
      </c>
      <c r="AK385" s="167">
        <f t="shared" si="173"/>
        <v>0</v>
      </c>
      <c r="AL385" s="6"/>
      <c r="AM385" s="6"/>
      <c r="AN385" s="138">
        <f t="shared" si="174"/>
        <v>0</v>
      </c>
      <c r="AO385" s="6"/>
      <c r="AP385" s="138">
        <f t="shared" si="175"/>
        <v>0</v>
      </c>
      <c r="AQ385" s="167">
        <f t="shared" si="176"/>
        <v>0</v>
      </c>
      <c r="AR385" s="164">
        <f t="shared" si="159"/>
        <v>0</v>
      </c>
      <c r="AS385" s="165">
        <f t="shared" si="160"/>
        <v>0</v>
      </c>
    </row>
    <row r="386" spans="2:45" outlineLevel="1" x14ac:dyDescent="0.35">
      <c r="B386" s="294" t="s">
        <v>137</v>
      </c>
      <c r="C386" s="62" t="s">
        <v>147</v>
      </c>
      <c r="D386" s="70"/>
      <c r="E386" s="70">
        <v>0</v>
      </c>
      <c r="F386" s="167">
        <f t="shared" si="155"/>
        <v>0</v>
      </c>
      <c r="G386" s="70">
        <v>0</v>
      </c>
      <c r="H386" s="167">
        <f t="shared" si="161"/>
        <v>0</v>
      </c>
      <c r="I386" s="70"/>
      <c r="J386" s="167">
        <f t="shared" si="162"/>
        <v>0</v>
      </c>
      <c r="K386" s="70"/>
      <c r="L386" s="167">
        <f t="shared" si="163"/>
        <v>0</v>
      </c>
      <c r="M386" s="164">
        <f t="shared" si="164"/>
        <v>0</v>
      </c>
      <c r="N386" s="165">
        <f t="shared" si="156"/>
        <v>0</v>
      </c>
      <c r="P386" s="6"/>
      <c r="Q386" s="6"/>
      <c r="R386" s="138">
        <f t="shared" si="165"/>
        <v>0</v>
      </c>
      <c r="S386" s="185">
        <f t="shared" si="157"/>
        <v>0</v>
      </c>
      <c r="T386" s="6"/>
      <c r="U386" s="6"/>
      <c r="V386" s="138">
        <f t="shared" si="166"/>
        <v>0</v>
      </c>
      <c r="W386" s="6"/>
      <c r="X386" s="138">
        <f t="shared" si="167"/>
        <v>0</v>
      </c>
      <c r="Y386" s="167">
        <f t="shared" si="158"/>
        <v>0</v>
      </c>
      <c r="Z386" s="70"/>
      <c r="AA386" s="6"/>
      <c r="AB386" s="138">
        <f t="shared" si="168"/>
        <v>0</v>
      </c>
      <c r="AC386" s="6"/>
      <c r="AD386" s="138">
        <f t="shared" si="169"/>
        <v>0</v>
      </c>
      <c r="AE386" s="167">
        <f t="shared" si="170"/>
        <v>0</v>
      </c>
      <c r="AF386" s="307"/>
      <c r="AG386" s="4"/>
      <c r="AH386" s="138">
        <f t="shared" si="171"/>
        <v>0</v>
      </c>
      <c r="AI386" s="6"/>
      <c r="AJ386" s="138">
        <f t="shared" si="172"/>
        <v>0</v>
      </c>
      <c r="AK386" s="167">
        <f t="shared" si="173"/>
        <v>0</v>
      </c>
      <c r="AL386" s="6"/>
      <c r="AM386" s="6"/>
      <c r="AN386" s="138">
        <f t="shared" si="174"/>
        <v>0</v>
      </c>
      <c r="AO386" s="6"/>
      <c r="AP386" s="138">
        <f t="shared" si="175"/>
        <v>0</v>
      </c>
      <c r="AQ386" s="167">
        <f t="shared" si="176"/>
        <v>0</v>
      </c>
      <c r="AR386" s="164">
        <f t="shared" si="159"/>
        <v>0</v>
      </c>
      <c r="AS386" s="165">
        <f t="shared" si="160"/>
        <v>0</v>
      </c>
    </row>
    <row r="387" spans="2:45" outlineLevel="1" x14ac:dyDescent="0.35">
      <c r="B387" s="294" t="s">
        <v>123</v>
      </c>
      <c r="C387" s="62" t="s">
        <v>147</v>
      </c>
      <c r="D387" s="70">
        <v>0</v>
      </c>
      <c r="E387" s="70">
        <v>0</v>
      </c>
      <c r="F387" s="167">
        <f t="shared" si="155"/>
        <v>0</v>
      </c>
      <c r="G387" s="70">
        <v>0</v>
      </c>
      <c r="H387" s="167">
        <f t="shared" si="161"/>
        <v>0</v>
      </c>
      <c r="I387" s="70"/>
      <c r="J387" s="167">
        <f t="shared" si="162"/>
        <v>0</v>
      </c>
      <c r="K387" s="70"/>
      <c r="L387" s="167">
        <f t="shared" si="163"/>
        <v>0</v>
      </c>
      <c r="M387" s="164">
        <f t="shared" si="164"/>
        <v>0</v>
      </c>
      <c r="N387" s="165">
        <f t="shared" si="156"/>
        <v>0</v>
      </c>
      <c r="P387" s="6"/>
      <c r="Q387" s="6"/>
      <c r="R387" s="138">
        <f t="shared" si="165"/>
        <v>0</v>
      </c>
      <c r="S387" s="185">
        <f t="shared" si="157"/>
        <v>0</v>
      </c>
      <c r="T387" s="6"/>
      <c r="U387" s="6"/>
      <c r="V387" s="138">
        <f t="shared" si="166"/>
        <v>0</v>
      </c>
      <c r="W387" s="6"/>
      <c r="X387" s="138">
        <f t="shared" si="167"/>
        <v>0</v>
      </c>
      <c r="Y387" s="167">
        <f t="shared" si="158"/>
        <v>0</v>
      </c>
      <c r="Z387" s="70"/>
      <c r="AA387" s="6"/>
      <c r="AB387" s="138">
        <f t="shared" si="168"/>
        <v>0</v>
      </c>
      <c r="AC387" s="6"/>
      <c r="AD387" s="138">
        <f t="shared" si="169"/>
        <v>0</v>
      </c>
      <c r="AE387" s="167">
        <f t="shared" si="170"/>
        <v>0</v>
      </c>
      <c r="AF387" s="307"/>
      <c r="AG387" s="4"/>
      <c r="AH387" s="138">
        <f t="shared" si="171"/>
        <v>0</v>
      </c>
      <c r="AI387" s="6"/>
      <c r="AJ387" s="138">
        <f t="shared" si="172"/>
        <v>0</v>
      </c>
      <c r="AK387" s="167">
        <f t="shared" si="173"/>
        <v>0</v>
      </c>
      <c r="AL387" s="6"/>
      <c r="AM387" s="6"/>
      <c r="AN387" s="138">
        <f t="shared" si="174"/>
        <v>0</v>
      </c>
      <c r="AO387" s="6"/>
      <c r="AP387" s="138">
        <f t="shared" si="175"/>
        <v>0</v>
      </c>
      <c r="AQ387" s="167">
        <f t="shared" si="176"/>
        <v>0</v>
      </c>
      <c r="AR387" s="164">
        <f t="shared" si="159"/>
        <v>0</v>
      </c>
      <c r="AS387" s="165">
        <f t="shared" si="160"/>
        <v>0</v>
      </c>
    </row>
    <row r="388" spans="2:45" outlineLevel="1" x14ac:dyDescent="0.35">
      <c r="B388" s="294" t="s">
        <v>124</v>
      </c>
      <c r="C388" s="62" t="s">
        <v>147</v>
      </c>
      <c r="D388" s="70">
        <v>0</v>
      </c>
      <c r="E388" s="70">
        <v>0</v>
      </c>
      <c r="F388" s="167">
        <f t="shared" si="155"/>
        <v>0</v>
      </c>
      <c r="G388" s="70">
        <v>0</v>
      </c>
      <c r="H388" s="167">
        <f t="shared" si="161"/>
        <v>0</v>
      </c>
      <c r="I388" s="70"/>
      <c r="J388" s="167">
        <f t="shared" si="162"/>
        <v>0</v>
      </c>
      <c r="K388" s="70"/>
      <c r="L388" s="167">
        <f t="shared" si="163"/>
        <v>0</v>
      </c>
      <c r="M388" s="164">
        <f t="shared" si="164"/>
        <v>0</v>
      </c>
      <c r="N388" s="165">
        <f t="shared" si="156"/>
        <v>0</v>
      </c>
      <c r="P388" s="6"/>
      <c r="Q388" s="6"/>
      <c r="R388" s="138">
        <f t="shared" si="165"/>
        <v>0</v>
      </c>
      <c r="S388" s="185">
        <f t="shared" si="157"/>
        <v>0</v>
      </c>
      <c r="T388" s="6"/>
      <c r="U388" s="6"/>
      <c r="V388" s="138">
        <f t="shared" si="166"/>
        <v>0</v>
      </c>
      <c r="W388" s="6"/>
      <c r="X388" s="138">
        <f t="shared" si="167"/>
        <v>0</v>
      </c>
      <c r="Y388" s="167">
        <f t="shared" si="158"/>
        <v>0</v>
      </c>
      <c r="Z388" s="70"/>
      <c r="AA388" s="6"/>
      <c r="AB388" s="138">
        <f t="shared" si="168"/>
        <v>0</v>
      </c>
      <c r="AC388" s="6"/>
      <c r="AD388" s="138">
        <f t="shared" si="169"/>
        <v>0</v>
      </c>
      <c r="AE388" s="167">
        <f t="shared" si="170"/>
        <v>0</v>
      </c>
      <c r="AF388" s="307"/>
      <c r="AG388" s="4"/>
      <c r="AH388" s="138">
        <f t="shared" si="171"/>
        <v>0</v>
      </c>
      <c r="AI388" s="6"/>
      <c r="AJ388" s="138">
        <f t="shared" si="172"/>
        <v>0</v>
      </c>
      <c r="AK388" s="167">
        <f t="shared" si="173"/>
        <v>0</v>
      </c>
      <c r="AL388" s="6"/>
      <c r="AM388" s="6"/>
      <c r="AN388" s="138">
        <f t="shared" si="174"/>
        <v>0</v>
      </c>
      <c r="AO388" s="6"/>
      <c r="AP388" s="138">
        <f t="shared" si="175"/>
        <v>0</v>
      </c>
      <c r="AQ388" s="167">
        <f t="shared" si="176"/>
        <v>0</v>
      </c>
      <c r="AR388" s="164">
        <f t="shared" si="159"/>
        <v>0</v>
      </c>
      <c r="AS388" s="165">
        <f t="shared" si="160"/>
        <v>0</v>
      </c>
    </row>
    <row r="389" spans="2:45" outlineLevel="1" x14ac:dyDescent="0.35">
      <c r="B389" s="294" t="s">
        <v>125</v>
      </c>
      <c r="C389" s="62" t="s">
        <v>147</v>
      </c>
      <c r="D389" s="70">
        <v>0</v>
      </c>
      <c r="E389" s="70">
        <v>0</v>
      </c>
      <c r="F389" s="167">
        <f t="shared" si="155"/>
        <v>0</v>
      </c>
      <c r="G389" s="70">
        <v>945.77633838451595</v>
      </c>
      <c r="H389" s="167">
        <f t="shared" si="161"/>
        <v>0</v>
      </c>
      <c r="I389" s="70">
        <v>1958.9</v>
      </c>
      <c r="J389" s="167">
        <f t="shared" si="162"/>
        <v>1.0712085093458823</v>
      </c>
      <c r="K389" s="70">
        <v>5903.1</v>
      </c>
      <c r="L389" s="167">
        <f t="shared" si="163"/>
        <v>2.0134769513502477</v>
      </c>
      <c r="M389" s="164">
        <f t="shared" si="164"/>
        <v>8807.7763383845158</v>
      </c>
      <c r="N389" s="165">
        <f t="shared" si="156"/>
        <v>0</v>
      </c>
      <c r="P389" s="6"/>
      <c r="Q389" s="6">
        <v>6396.13</v>
      </c>
      <c r="R389" s="138">
        <f t="shared" si="165"/>
        <v>6396.13</v>
      </c>
      <c r="S389" s="185">
        <f t="shared" si="157"/>
        <v>8.3520523114973447E-2</v>
      </c>
      <c r="T389" s="6"/>
      <c r="U389" s="6"/>
      <c r="V389" s="138">
        <f t="shared" si="166"/>
        <v>0</v>
      </c>
      <c r="W389" s="6">
        <v>6396.13</v>
      </c>
      <c r="X389" s="138">
        <f t="shared" si="167"/>
        <v>6396.13</v>
      </c>
      <c r="Y389" s="167">
        <f t="shared" si="158"/>
        <v>0</v>
      </c>
      <c r="Z389" s="70"/>
      <c r="AA389" s="6"/>
      <c r="AB389" s="138">
        <f t="shared" si="168"/>
        <v>0</v>
      </c>
      <c r="AC389" s="6">
        <v>6396.13</v>
      </c>
      <c r="AD389" s="138">
        <f t="shared" si="169"/>
        <v>6396.13</v>
      </c>
      <c r="AE389" s="167">
        <f t="shared" si="170"/>
        <v>0</v>
      </c>
      <c r="AF389" s="307"/>
      <c r="AG389" s="4"/>
      <c r="AH389" s="138">
        <f t="shared" si="171"/>
        <v>0</v>
      </c>
      <c r="AI389" s="6">
        <v>6396.13</v>
      </c>
      <c r="AJ389" s="138">
        <f t="shared" si="172"/>
        <v>6396.13</v>
      </c>
      <c r="AK389" s="167">
        <f t="shared" si="173"/>
        <v>0</v>
      </c>
      <c r="AL389" s="6"/>
      <c r="AM389" s="6"/>
      <c r="AN389" s="138">
        <f t="shared" si="174"/>
        <v>0</v>
      </c>
      <c r="AO389" s="6">
        <v>6396.13</v>
      </c>
      <c r="AP389" s="138">
        <f t="shared" si="175"/>
        <v>6396.13</v>
      </c>
      <c r="AQ389" s="167">
        <f t="shared" si="176"/>
        <v>0</v>
      </c>
      <c r="AR389" s="164">
        <f t="shared" si="159"/>
        <v>31980.65</v>
      </c>
      <c r="AS389" s="165">
        <f t="shared" si="160"/>
        <v>0</v>
      </c>
    </row>
    <row r="390" spans="2:45" outlineLevel="1" x14ac:dyDescent="0.35">
      <c r="B390" s="48" t="s">
        <v>126</v>
      </c>
      <c r="C390" s="62" t="s">
        <v>147</v>
      </c>
      <c r="D390" s="70">
        <v>0</v>
      </c>
      <c r="E390" s="70">
        <v>0</v>
      </c>
      <c r="F390" s="167">
        <f t="shared" si="155"/>
        <v>0</v>
      </c>
      <c r="G390" s="70">
        <v>0</v>
      </c>
      <c r="H390" s="167">
        <f t="shared" si="161"/>
        <v>0</v>
      </c>
      <c r="I390" s="70"/>
      <c r="J390" s="167">
        <f t="shared" si="162"/>
        <v>0</v>
      </c>
      <c r="K390" s="70"/>
      <c r="L390" s="167">
        <f t="shared" si="163"/>
        <v>0</v>
      </c>
      <c r="M390" s="164">
        <f t="shared" si="164"/>
        <v>0</v>
      </c>
      <c r="N390" s="165">
        <f t="shared" si="156"/>
        <v>0</v>
      </c>
      <c r="P390" s="6"/>
      <c r="Q390" s="6"/>
      <c r="R390" s="138">
        <f t="shared" si="165"/>
        <v>0</v>
      </c>
      <c r="S390" s="185">
        <f t="shared" si="157"/>
        <v>0</v>
      </c>
      <c r="T390" s="6"/>
      <c r="U390" s="6"/>
      <c r="V390" s="138">
        <f t="shared" si="166"/>
        <v>0</v>
      </c>
      <c r="W390" s="6"/>
      <c r="X390" s="138">
        <f t="shared" si="167"/>
        <v>0</v>
      </c>
      <c r="Y390" s="167">
        <f t="shared" si="158"/>
        <v>0</v>
      </c>
      <c r="Z390" s="70"/>
      <c r="AA390" s="6"/>
      <c r="AB390" s="138">
        <f t="shared" si="168"/>
        <v>0</v>
      </c>
      <c r="AC390" s="6"/>
      <c r="AD390" s="138">
        <f t="shared" si="169"/>
        <v>0</v>
      </c>
      <c r="AE390" s="167">
        <f t="shared" si="170"/>
        <v>0</v>
      </c>
      <c r="AF390" s="307"/>
      <c r="AG390" s="4"/>
      <c r="AH390" s="138">
        <f t="shared" si="171"/>
        <v>0</v>
      </c>
      <c r="AI390" s="6"/>
      <c r="AJ390" s="138">
        <f t="shared" si="172"/>
        <v>0</v>
      </c>
      <c r="AK390" s="167">
        <f t="shared" si="173"/>
        <v>0</v>
      </c>
      <c r="AL390" s="6"/>
      <c r="AM390" s="6"/>
      <c r="AN390" s="138">
        <f t="shared" si="174"/>
        <v>0</v>
      </c>
      <c r="AO390" s="6"/>
      <c r="AP390" s="138">
        <f t="shared" si="175"/>
        <v>0</v>
      </c>
      <c r="AQ390" s="167">
        <f t="shared" si="176"/>
        <v>0</v>
      </c>
      <c r="AR390" s="164">
        <f t="shared" si="159"/>
        <v>0</v>
      </c>
      <c r="AS390" s="165">
        <f t="shared" si="160"/>
        <v>0</v>
      </c>
    </row>
    <row r="391" spans="2:45" outlineLevel="1" x14ac:dyDescent="0.35">
      <c r="B391" s="48" t="s">
        <v>127</v>
      </c>
      <c r="C391" s="62" t="s">
        <v>147</v>
      </c>
      <c r="D391" s="70">
        <v>0</v>
      </c>
      <c r="E391" s="70">
        <v>0</v>
      </c>
      <c r="F391" s="167">
        <f t="shared" si="155"/>
        <v>0</v>
      </c>
      <c r="G391" s="70">
        <v>0</v>
      </c>
      <c r="H391" s="167">
        <f t="shared" si="161"/>
        <v>0</v>
      </c>
      <c r="I391" s="70"/>
      <c r="J391" s="167">
        <f t="shared" si="162"/>
        <v>0</v>
      </c>
      <c r="K391" s="70"/>
      <c r="L391" s="167">
        <f t="shared" si="163"/>
        <v>0</v>
      </c>
      <c r="M391" s="164">
        <f t="shared" si="164"/>
        <v>0</v>
      </c>
      <c r="N391" s="165">
        <f t="shared" si="156"/>
        <v>0</v>
      </c>
      <c r="P391" s="6"/>
      <c r="Q391" s="6"/>
      <c r="R391" s="138">
        <f t="shared" si="165"/>
        <v>0</v>
      </c>
      <c r="S391" s="185">
        <f t="shared" si="157"/>
        <v>0</v>
      </c>
      <c r="T391" s="6"/>
      <c r="U391" s="6"/>
      <c r="V391" s="138">
        <f t="shared" si="166"/>
        <v>0</v>
      </c>
      <c r="W391" s="6"/>
      <c r="X391" s="138">
        <f t="shared" si="167"/>
        <v>0</v>
      </c>
      <c r="Y391" s="167">
        <f t="shared" si="158"/>
        <v>0</v>
      </c>
      <c r="Z391" s="70"/>
      <c r="AA391" s="6"/>
      <c r="AB391" s="138">
        <f t="shared" si="168"/>
        <v>0</v>
      </c>
      <c r="AC391" s="6"/>
      <c r="AD391" s="138">
        <f t="shared" si="169"/>
        <v>0</v>
      </c>
      <c r="AE391" s="167">
        <f t="shared" si="170"/>
        <v>0</v>
      </c>
      <c r="AF391" s="307"/>
      <c r="AG391" s="4"/>
      <c r="AH391" s="138">
        <f t="shared" si="171"/>
        <v>0</v>
      </c>
      <c r="AI391" s="6"/>
      <c r="AJ391" s="138">
        <f t="shared" si="172"/>
        <v>0</v>
      </c>
      <c r="AK391" s="167">
        <f t="shared" si="173"/>
        <v>0</v>
      </c>
      <c r="AL391" s="6"/>
      <c r="AM391" s="6"/>
      <c r="AN391" s="138">
        <f t="shared" si="174"/>
        <v>0</v>
      </c>
      <c r="AO391" s="6"/>
      <c r="AP391" s="138">
        <f t="shared" si="175"/>
        <v>0</v>
      </c>
      <c r="AQ391" s="167">
        <f t="shared" si="176"/>
        <v>0</v>
      </c>
      <c r="AR391" s="164">
        <f t="shared" si="159"/>
        <v>0</v>
      </c>
      <c r="AS391" s="165">
        <f t="shared" si="160"/>
        <v>0</v>
      </c>
    </row>
    <row r="392" spans="2:45" s="245" customFormat="1" ht="15" customHeight="1" outlineLevel="1" x14ac:dyDescent="0.35">
      <c r="B392" s="246" t="s">
        <v>138</v>
      </c>
      <c r="C392" s="247" t="s">
        <v>147</v>
      </c>
      <c r="D392" s="254">
        <f>SUM(D338:D391)</f>
        <v>52354.455559040725</v>
      </c>
      <c r="E392" s="254">
        <f>SUM(E338:E391)</f>
        <v>68248.332840559073</v>
      </c>
      <c r="F392" s="250">
        <f>IFERROR((E392-D392)/D392,0)</f>
        <v>0.30358213282524998</v>
      </c>
      <c r="G392" s="254">
        <f>SUM(G338:G391)</f>
        <v>107880.2425288001</v>
      </c>
      <c r="H392" s="250">
        <f t="shared" si="161"/>
        <v>0.58070150637713902</v>
      </c>
      <c r="I392" s="254">
        <f>SUM(I338:I391)</f>
        <v>128195.79999999999</v>
      </c>
      <c r="J392" s="250">
        <f t="shared" si="162"/>
        <v>0.18831583054493392</v>
      </c>
      <c r="K392" s="254">
        <f>SUM(K338:K391)</f>
        <v>148153.20000000001</v>
      </c>
      <c r="L392" s="250">
        <f>IFERROR((K392-I392)/I392,0)</f>
        <v>0.15567904720747502</v>
      </c>
      <c r="M392" s="254">
        <f>SUM(M338:M391)</f>
        <v>504832.03092839988</v>
      </c>
      <c r="N392" s="252">
        <f t="shared" si="156"/>
        <v>0.29699812178933982</v>
      </c>
      <c r="P392" s="248">
        <f>SUM(P338:P391)</f>
        <v>8327.0400000000009</v>
      </c>
      <c r="Q392" s="386">
        <f>SUM(Q338:Q391)</f>
        <v>155759.91999999998</v>
      </c>
      <c r="R392" s="248">
        <f>SUM(R338:R391)</f>
        <v>164086.95999999996</v>
      </c>
      <c r="S392" s="250">
        <f t="shared" si="157"/>
        <v>0.10754921257185096</v>
      </c>
      <c r="T392" s="253">
        <f>SUM(T338:T391)</f>
        <v>0</v>
      </c>
      <c r="U392" s="344">
        <f>SUM(U338:U391)</f>
        <v>16090.92</v>
      </c>
      <c r="V392" s="248">
        <f>SUM(V338:V391)</f>
        <v>16090.92</v>
      </c>
      <c r="W392" s="248">
        <f>SUM(W338:W391)</f>
        <v>155759.91999999998</v>
      </c>
      <c r="X392" s="248">
        <f>SUM(X338:X391)</f>
        <v>171850.84000000003</v>
      </c>
      <c r="Y392" s="250">
        <f>IFERROR((X392-R392)/R392,0)</f>
        <v>4.7315642876192381E-2</v>
      </c>
      <c r="Z392" s="248">
        <f>SUM(Z338:Z391)</f>
        <v>3573.19</v>
      </c>
      <c r="AA392" s="248">
        <f>SUM(AA338:AA391)</f>
        <v>16435.72</v>
      </c>
      <c r="AB392" s="248">
        <f t="shared" ref="AB392:AJ392" si="177">SUM(AB338:AB391)</f>
        <v>20008.91</v>
      </c>
      <c r="AC392" s="248">
        <f t="shared" si="177"/>
        <v>155759.91999999998</v>
      </c>
      <c r="AD392" s="248">
        <f t="shared" si="177"/>
        <v>175768.83000000002</v>
      </c>
      <c r="AE392" s="250">
        <f t="shared" si="170"/>
        <v>2.279878294455814E-2</v>
      </c>
      <c r="AF392" s="248">
        <f t="shared" si="177"/>
        <v>0</v>
      </c>
      <c r="AG392" s="344">
        <f t="shared" si="177"/>
        <v>20458.45</v>
      </c>
      <c r="AH392" s="248">
        <f t="shared" si="177"/>
        <v>20458.45</v>
      </c>
      <c r="AI392" s="248">
        <f t="shared" si="177"/>
        <v>155759.91999999998</v>
      </c>
      <c r="AJ392" s="248">
        <f t="shared" si="177"/>
        <v>176218.37000000002</v>
      </c>
      <c r="AK392" s="250">
        <f t="shared" si="173"/>
        <v>2.5575638183403058E-3</v>
      </c>
      <c r="AL392" s="253">
        <f>SUM(AL338:AL391)</f>
        <v>5100.82</v>
      </c>
      <c r="AM392" s="248">
        <f>SUM(AM338:AM391)</f>
        <v>20458.45</v>
      </c>
      <c r="AN392" s="248">
        <f t="shared" ref="AN392:AR392" si="178">SUM(AN338:AN391)</f>
        <v>25559.27</v>
      </c>
      <c r="AO392" s="248">
        <f t="shared" si="178"/>
        <v>155759.91999999998</v>
      </c>
      <c r="AP392" s="248">
        <f t="shared" si="178"/>
        <v>181319.19</v>
      </c>
      <c r="AQ392" s="250">
        <f t="shared" si="176"/>
        <v>2.8946017376054366E-2</v>
      </c>
      <c r="AR392" s="248">
        <f t="shared" si="178"/>
        <v>869244.19000000006</v>
      </c>
      <c r="AS392" s="252">
        <f>IFERROR((AP392/R392)^(1/4)-1,0)</f>
        <v>2.5279857371880654E-2</v>
      </c>
    </row>
  </sheetData>
  <mergeCells count="346">
    <mergeCell ref="B9:AS9"/>
    <mergeCell ref="AF12:AK12"/>
    <mergeCell ref="AL12:AQ12"/>
    <mergeCell ref="P12:S12"/>
    <mergeCell ref="T12:Y12"/>
    <mergeCell ref="Z12:AE12"/>
    <mergeCell ref="AS13:AS14"/>
    <mergeCell ref="D11:L11"/>
    <mergeCell ref="C11:C14"/>
    <mergeCell ref="B11:B14"/>
    <mergeCell ref="AR12:AS12"/>
    <mergeCell ref="Z13:AB13"/>
    <mergeCell ref="AC13:AC14"/>
    <mergeCell ref="AD13:AD14"/>
    <mergeCell ref="AF13:AH13"/>
    <mergeCell ref="AI13:AI14"/>
    <mergeCell ref="AJ13:AJ14"/>
    <mergeCell ref="AL13:AN13"/>
    <mergeCell ref="AO13:AO14"/>
    <mergeCell ref="AP13:AP14"/>
    <mergeCell ref="AQ13:AQ14"/>
    <mergeCell ref="AR13:AR14"/>
    <mergeCell ref="K12:L12"/>
    <mergeCell ref="K13:K14"/>
    <mergeCell ref="C2:G2"/>
    <mergeCell ref="H13:H14"/>
    <mergeCell ref="AK13:AK14"/>
    <mergeCell ref="M13:M14"/>
    <mergeCell ref="AE13:AE14"/>
    <mergeCell ref="E13:E14"/>
    <mergeCell ref="F13:F14"/>
    <mergeCell ref="G13:G14"/>
    <mergeCell ref="D13:D14"/>
    <mergeCell ref="I13:I14"/>
    <mergeCell ref="J13:J14"/>
    <mergeCell ref="S13:S14"/>
    <mergeCell ref="Y13:Y14"/>
    <mergeCell ref="B5:I5"/>
    <mergeCell ref="N13:N14"/>
    <mergeCell ref="P13:P14"/>
    <mergeCell ref="R13:R14"/>
    <mergeCell ref="E12:F12"/>
    <mergeCell ref="G12:H12"/>
    <mergeCell ref="I12:J12"/>
    <mergeCell ref="Q13:Q14"/>
    <mergeCell ref="T13:V13"/>
    <mergeCell ref="W13:W14"/>
    <mergeCell ref="X13:X14"/>
    <mergeCell ref="L13:L14"/>
    <mergeCell ref="M11:N12"/>
    <mergeCell ref="P11:AS11"/>
    <mergeCell ref="B72:AS72"/>
    <mergeCell ref="B74:B77"/>
    <mergeCell ref="C74:C77"/>
    <mergeCell ref="D74:L74"/>
    <mergeCell ref="M74:N75"/>
    <mergeCell ref="P74:AS74"/>
    <mergeCell ref="E75:F75"/>
    <mergeCell ref="G75:H75"/>
    <mergeCell ref="I75:J75"/>
    <mergeCell ref="K75:L75"/>
    <mergeCell ref="P75:S75"/>
    <mergeCell ref="T75:Y75"/>
    <mergeCell ref="Z75:AE75"/>
    <mergeCell ref="AF75:AK75"/>
    <mergeCell ref="AL75:AQ75"/>
    <mergeCell ref="AR75:AS75"/>
    <mergeCell ref="D76:D77"/>
    <mergeCell ref="E76:E77"/>
    <mergeCell ref="F76:F77"/>
    <mergeCell ref="G76:G77"/>
    <mergeCell ref="H76:H77"/>
    <mergeCell ref="I76:I77"/>
    <mergeCell ref="J76:J77"/>
    <mergeCell ref="K76:K77"/>
    <mergeCell ref="L76:L77"/>
    <mergeCell ref="M76:M77"/>
    <mergeCell ref="N76:N77"/>
    <mergeCell ref="P76:P77"/>
    <mergeCell ref="Q76:Q77"/>
    <mergeCell ref="AL76:AN76"/>
    <mergeCell ref="R76:R77"/>
    <mergeCell ref="S76:S77"/>
    <mergeCell ref="T76:V76"/>
    <mergeCell ref="W76:W77"/>
    <mergeCell ref="X76:X77"/>
    <mergeCell ref="Y76:Y77"/>
    <mergeCell ref="Z76:AB76"/>
    <mergeCell ref="AC76:AC77"/>
    <mergeCell ref="AD76:AD77"/>
    <mergeCell ref="AR76:AR77"/>
    <mergeCell ref="AS76:AS77"/>
    <mergeCell ref="AO76:AO77"/>
    <mergeCell ref="AP76:AP77"/>
    <mergeCell ref="AQ76:AQ77"/>
    <mergeCell ref="AE76:AE77"/>
    <mergeCell ref="AF76:AH76"/>
    <mergeCell ref="AI76:AI77"/>
    <mergeCell ref="AJ76:AJ77"/>
    <mergeCell ref="AK76:AK77"/>
    <mergeCell ref="AQ138:AQ139"/>
    <mergeCell ref="T138:V138"/>
    <mergeCell ref="W138:W139"/>
    <mergeCell ref="X138:X139"/>
    <mergeCell ref="Y138:Y139"/>
    <mergeCell ref="Z138:AB138"/>
    <mergeCell ref="AC138:AC139"/>
    <mergeCell ref="AD138:AD139"/>
    <mergeCell ref="AE138:AE139"/>
    <mergeCell ref="AF138:AH138"/>
    <mergeCell ref="S200:S201"/>
    <mergeCell ref="T200:V200"/>
    <mergeCell ref="W200:W201"/>
    <mergeCell ref="AI138:AI139"/>
    <mergeCell ref="AJ138:AJ139"/>
    <mergeCell ref="AK138:AK139"/>
    <mergeCell ref="AL138:AN138"/>
    <mergeCell ref="AO138:AO139"/>
    <mergeCell ref="AP138:AP139"/>
    <mergeCell ref="B196:AS196"/>
    <mergeCell ref="B198:B201"/>
    <mergeCell ref="C198:C201"/>
    <mergeCell ref="D198:L198"/>
    <mergeCell ref="M198:N199"/>
    <mergeCell ref="P198:AS198"/>
    <mergeCell ref="AR138:AR139"/>
    <mergeCell ref="AS138:AS139"/>
    <mergeCell ref="L138:L139"/>
    <mergeCell ref="M138:M139"/>
    <mergeCell ref="N138:N139"/>
    <mergeCell ref="P138:P139"/>
    <mergeCell ref="Q138:Q139"/>
    <mergeCell ref="R138:R139"/>
    <mergeCell ref="S138:S139"/>
    <mergeCell ref="K138:K139"/>
    <mergeCell ref="T336:V336"/>
    <mergeCell ref="W336:W337"/>
    <mergeCell ref="X336:X337"/>
    <mergeCell ref="AO262:AO263"/>
    <mergeCell ref="AP262:AP263"/>
    <mergeCell ref="AQ262:AQ263"/>
    <mergeCell ref="AR262:AR263"/>
    <mergeCell ref="K261:L261"/>
    <mergeCell ref="X200:X201"/>
    <mergeCell ref="Y200:Y201"/>
    <mergeCell ref="Z200:AB200"/>
    <mergeCell ref="AC200:AC201"/>
    <mergeCell ref="AD200:AD201"/>
    <mergeCell ref="AE200:AE201"/>
    <mergeCell ref="AF200:AH200"/>
    <mergeCell ref="AI200:AI201"/>
    <mergeCell ref="AJ200:AJ201"/>
    <mergeCell ref="L200:L201"/>
    <mergeCell ref="M200:M201"/>
    <mergeCell ref="N200:N201"/>
    <mergeCell ref="P200:P201"/>
    <mergeCell ref="Q200:Q201"/>
    <mergeCell ref="R200:R201"/>
    <mergeCell ref="AL199:AQ199"/>
    <mergeCell ref="B134:AS134"/>
    <mergeCell ref="B136:B139"/>
    <mergeCell ref="C136:C139"/>
    <mergeCell ref="D136:L136"/>
    <mergeCell ref="M136:N137"/>
    <mergeCell ref="P136:AS136"/>
    <mergeCell ref="E137:F137"/>
    <mergeCell ref="G137:H137"/>
    <mergeCell ref="I137:J137"/>
    <mergeCell ref="K137:L137"/>
    <mergeCell ref="P137:S137"/>
    <mergeCell ref="T137:Y137"/>
    <mergeCell ref="Z137:AE137"/>
    <mergeCell ref="AF137:AK137"/>
    <mergeCell ref="AL137:AQ137"/>
    <mergeCell ref="AR137:AS137"/>
    <mergeCell ref="D138:D139"/>
    <mergeCell ref="E138:E139"/>
    <mergeCell ref="F138:F139"/>
    <mergeCell ref="G138:G139"/>
    <mergeCell ref="H138:H139"/>
    <mergeCell ref="I138:I139"/>
    <mergeCell ref="J138:J139"/>
    <mergeCell ref="AR199:AS199"/>
    <mergeCell ref="D200:D201"/>
    <mergeCell ref="E200:E201"/>
    <mergeCell ref="F200:F201"/>
    <mergeCell ref="G200:G201"/>
    <mergeCell ref="H200:H201"/>
    <mergeCell ref="I200:I201"/>
    <mergeCell ref="J200:J201"/>
    <mergeCell ref="K200:K201"/>
    <mergeCell ref="AK200:AK201"/>
    <mergeCell ref="AL200:AN200"/>
    <mergeCell ref="AO200:AO201"/>
    <mergeCell ref="AP200:AP201"/>
    <mergeCell ref="AQ200:AQ201"/>
    <mergeCell ref="AR200:AR201"/>
    <mergeCell ref="AS200:AS201"/>
    <mergeCell ref="E199:F199"/>
    <mergeCell ref="G199:H199"/>
    <mergeCell ref="I199:J199"/>
    <mergeCell ref="K199:L199"/>
    <mergeCell ref="P199:S199"/>
    <mergeCell ref="T199:Y199"/>
    <mergeCell ref="Z199:AE199"/>
    <mergeCell ref="AF199:AK199"/>
    <mergeCell ref="B258:AS258"/>
    <mergeCell ref="B260:B263"/>
    <mergeCell ref="C260:C263"/>
    <mergeCell ref="D260:J260"/>
    <mergeCell ref="K260:L260"/>
    <mergeCell ref="M260:N261"/>
    <mergeCell ref="P260:AS260"/>
    <mergeCell ref="E261:F261"/>
    <mergeCell ref="G261:H261"/>
    <mergeCell ref="I261:J261"/>
    <mergeCell ref="P261:S261"/>
    <mergeCell ref="T261:Y261"/>
    <mergeCell ref="Z261:AE261"/>
    <mergeCell ref="AF261:AK261"/>
    <mergeCell ref="AL261:AQ261"/>
    <mergeCell ref="AR261:AS261"/>
    <mergeCell ref="D262:D263"/>
    <mergeCell ref="E262:E263"/>
    <mergeCell ref="F262:F263"/>
    <mergeCell ref="G262:G263"/>
    <mergeCell ref="H262:H263"/>
    <mergeCell ref="I262:I263"/>
    <mergeCell ref="J262:J263"/>
    <mergeCell ref="K262:K263"/>
    <mergeCell ref="L262:L263"/>
    <mergeCell ref="M262:M263"/>
    <mergeCell ref="N262:N263"/>
    <mergeCell ref="P262:P263"/>
    <mergeCell ref="Q262:Q263"/>
    <mergeCell ref="R262:R263"/>
    <mergeCell ref="S262:S263"/>
    <mergeCell ref="T262:V262"/>
    <mergeCell ref="W262:W263"/>
    <mergeCell ref="X262:X263"/>
    <mergeCell ref="Y262:Y263"/>
    <mergeCell ref="Z262:AB262"/>
    <mergeCell ref="AC262:AC263"/>
    <mergeCell ref="AD262:AD263"/>
    <mergeCell ref="AE262:AE263"/>
    <mergeCell ref="AF262:AH262"/>
    <mergeCell ref="AI262:AI263"/>
    <mergeCell ref="AJ262:AJ263"/>
    <mergeCell ref="AK262:AK263"/>
    <mergeCell ref="AL262:AN262"/>
    <mergeCell ref="AS262:AS263"/>
    <mergeCell ref="B270:AS270"/>
    <mergeCell ref="B272:B275"/>
    <mergeCell ref="C272:C275"/>
    <mergeCell ref="D272:L272"/>
    <mergeCell ref="M272:N273"/>
    <mergeCell ref="P272:AS272"/>
    <mergeCell ref="E273:F273"/>
    <mergeCell ref="G273:H273"/>
    <mergeCell ref="I273:J273"/>
    <mergeCell ref="K273:L273"/>
    <mergeCell ref="P273:S273"/>
    <mergeCell ref="T273:Y273"/>
    <mergeCell ref="Z273:AE273"/>
    <mergeCell ref="AF273:AK273"/>
    <mergeCell ref="AL273:AQ273"/>
    <mergeCell ref="AR273:AS273"/>
    <mergeCell ref="D274:D275"/>
    <mergeCell ref="E274:E275"/>
    <mergeCell ref="F274:F275"/>
    <mergeCell ref="G274:G275"/>
    <mergeCell ref="H274:H275"/>
    <mergeCell ref="AO274:AO275"/>
    <mergeCell ref="AP274:AP275"/>
    <mergeCell ref="AQ274:AQ275"/>
    <mergeCell ref="AR274:AR275"/>
    <mergeCell ref="AS274:AS275"/>
    <mergeCell ref="B332:AS332"/>
    <mergeCell ref="W274:W275"/>
    <mergeCell ref="X274:X275"/>
    <mergeCell ref="Y274:Y275"/>
    <mergeCell ref="Z274:AB274"/>
    <mergeCell ref="AC274:AC275"/>
    <mergeCell ref="AD274:AD275"/>
    <mergeCell ref="AE274:AE275"/>
    <mergeCell ref="AF274:AH274"/>
    <mergeCell ref="AI274:AI275"/>
    <mergeCell ref="K274:K275"/>
    <mergeCell ref="L274:L275"/>
    <mergeCell ref="M274:M275"/>
    <mergeCell ref="N274:N275"/>
    <mergeCell ref="P274:P275"/>
    <mergeCell ref="Q274:Q275"/>
    <mergeCell ref="R274:R275"/>
    <mergeCell ref="S274:S275"/>
    <mergeCell ref="T274:V274"/>
    <mergeCell ref="H336:H337"/>
    <mergeCell ref="I336:I337"/>
    <mergeCell ref="J336:J337"/>
    <mergeCell ref="K336:K337"/>
    <mergeCell ref="L336:L337"/>
    <mergeCell ref="AJ274:AJ275"/>
    <mergeCell ref="M336:M337"/>
    <mergeCell ref="N336:N337"/>
    <mergeCell ref="P336:P337"/>
    <mergeCell ref="Q336:Q337"/>
    <mergeCell ref="R336:R337"/>
    <mergeCell ref="S336:S337"/>
    <mergeCell ref="I274:I275"/>
    <mergeCell ref="J274:J275"/>
    <mergeCell ref="AK274:AK275"/>
    <mergeCell ref="AL274:AN274"/>
    <mergeCell ref="Y336:Y337"/>
    <mergeCell ref="Z336:AB336"/>
    <mergeCell ref="AC336:AC337"/>
    <mergeCell ref="AD336:AD337"/>
    <mergeCell ref="AE336:AE337"/>
    <mergeCell ref="AF336:AH336"/>
    <mergeCell ref="AI336:AI337"/>
    <mergeCell ref="AJ336:AJ337"/>
    <mergeCell ref="AK336:AK337"/>
    <mergeCell ref="AL336:AN336"/>
    <mergeCell ref="AO336:AO337"/>
    <mergeCell ref="AP336:AP337"/>
    <mergeCell ref="AQ336:AQ337"/>
    <mergeCell ref="AR336:AR337"/>
    <mergeCell ref="AS336:AS337"/>
    <mergeCell ref="B334:B337"/>
    <mergeCell ref="C334:C337"/>
    <mergeCell ref="D334:L334"/>
    <mergeCell ref="M334:N335"/>
    <mergeCell ref="P334:AS334"/>
    <mergeCell ref="E335:F335"/>
    <mergeCell ref="G335:H335"/>
    <mergeCell ref="I335:J335"/>
    <mergeCell ref="K335:L335"/>
    <mergeCell ref="P335:S335"/>
    <mergeCell ref="T335:Y335"/>
    <mergeCell ref="Z335:AE335"/>
    <mergeCell ref="AF335:AK335"/>
    <mergeCell ref="AL335:AQ335"/>
    <mergeCell ref="AR335:AS335"/>
    <mergeCell ref="D336:D337"/>
    <mergeCell ref="E336:E337"/>
    <mergeCell ref="F336:F337"/>
    <mergeCell ref="G336:G337"/>
  </mergeCells>
  <hyperlinks>
    <hyperlink ref="J2" location="'Αρχική σελίδα'!A1" display="Πίσω στην αρχική σελίδα" xr:uid="{E845AC0B-993D-4F80-B8CE-D245316634B5}"/>
  </hyperlinks>
  <pageMargins left="0.7" right="0.7" top="0.75" bottom="0.75" header="0.3" footer="0.3"/>
  <pageSetup orientation="portrait" r:id="rId1"/>
  <customProperties>
    <customPr name="_pios_id" r:id="rId2"/>
  </customPropertie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8D2A5-BBDD-4001-8CC9-FE0A5DE42D77}">
  <sheetPr codeName="Sheet12">
    <tabColor theme="4" tint="0.79998168889431442"/>
  </sheetPr>
  <dimension ref="B2:AK324"/>
  <sheetViews>
    <sheetView showGridLines="0" topLeftCell="A39" zoomScaleNormal="70" workbookViewId="0">
      <selection activeCell="L66" sqref="L66"/>
    </sheetView>
  </sheetViews>
  <sheetFormatPr defaultColWidth="8.54296875" defaultRowHeight="14.5" outlineLevelRow="1" x14ac:dyDescent="0.35"/>
  <cols>
    <col min="1" max="1" width="2.54296875" customWidth="1"/>
    <col min="2" max="2" width="28.453125" customWidth="1"/>
    <col min="3" max="3" width="13.453125" customWidth="1"/>
    <col min="4" max="4" width="14.1796875" customWidth="1"/>
    <col min="5" max="9" width="13.453125" customWidth="1"/>
    <col min="11" max="11" width="11.1796875" bestFit="1" customWidth="1"/>
  </cols>
  <sheetData>
    <row r="2" spans="2:37" ht="18.5" x14ac:dyDescent="0.45">
      <c r="B2" s="1" t="s">
        <v>0</v>
      </c>
      <c r="C2" s="420">
        <f>'Αρχική σελίδα'!C3</f>
        <v>0</v>
      </c>
      <c r="D2" s="420"/>
      <c r="E2" s="420"/>
      <c r="F2" s="420"/>
      <c r="G2" s="98"/>
      <c r="H2" s="98"/>
      <c r="J2" s="421" t="s">
        <v>58</v>
      </c>
      <c r="K2" s="421"/>
      <c r="L2" s="421"/>
    </row>
    <row r="3" spans="2:37" ht="18.5" x14ac:dyDescent="0.45">
      <c r="B3" s="2" t="s">
        <v>1</v>
      </c>
      <c r="C3" s="99">
        <f>'Αρχική σελίδα'!C4</f>
        <v>2024</v>
      </c>
      <c r="D3" s="46" t="s">
        <v>2</v>
      </c>
      <c r="E3" s="46">
        <f>C3+4</f>
        <v>2028</v>
      </c>
    </row>
    <row r="4" spans="2:37" ht="14.9" customHeight="1" x14ac:dyDescent="0.45">
      <c r="C4" s="2"/>
      <c r="D4" s="46"/>
    </row>
    <row r="5" spans="2:37" ht="44.9" customHeight="1" x14ac:dyDescent="0.35">
      <c r="B5" s="422" t="s">
        <v>230</v>
      </c>
      <c r="C5" s="422"/>
      <c r="D5" s="422"/>
      <c r="E5" s="422"/>
      <c r="F5" s="422"/>
      <c r="G5" s="422"/>
      <c r="H5" s="422"/>
      <c r="I5" s="422"/>
    </row>
    <row r="6" spans="2:37" x14ac:dyDescent="0.35">
      <c r="B6" s="226"/>
      <c r="C6" s="226"/>
      <c r="D6" s="226"/>
      <c r="E6" s="226"/>
      <c r="F6" s="226"/>
      <c r="G6" s="226"/>
      <c r="H6" s="226"/>
    </row>
    <row r="7" spans="2:37" ht="18.5" x14ac:dyDescent="0.45">
      <c r="B7" s="100" t="s">
        <v>231</v>
      </c>
      <c r="C7" s="101"/>
      <c r="D7" s="101"/>
      <c r="E7" s="101"/>
      <c r="F7" s="101"/>
      <c r="G7" s="98"/>
      <c r="H7" s="98"/>
      <c r="I7" s="98"/>
    </row>
    <row r="8" spans="2:37" ht="18.5" x14ac:dyDescent="0.45">
      <c r="C8" s="2"/>
      <c r="D8" s="46"/>
      <c r="E8" s="46"/>
    </row>
    <row r="9" spans="2:37" ht="15.5" x14ac:dyDescent="0.35">
      <c r="B9" s="419" t="s">
        <v>232</v>
      </c>
      <c r="C9" s="419"/>
      <c r="D9" s="419"/>
      <c r="E9" s="419"/>
      <c r="F9" s="419"/>
      <c r="G9" s="419"/>
      <c r="H9" s="419"/>
      <c r="I9" s="419"/>
    </row>
    <row r="10" spans="2:37" ht="5.9" customHeight="1" outlineLevel="1" x14ac:dyDescent="0.3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row>
    <row r="11" spans="2:37" outlineLevel="1" x14ac:dyDescent="0.35">
      <c r="B11" s="75"/>
      <c r="C11" s="61" t="s">
        <v>134</v>
      </c>
      <c r="D11" s="79">
        <f>$C$3</f>
        <v>2024</v>
      </c>
      <c r="E11" s="79">
        <f>$C$3+1</f>
        <v>2025</v>
      </c>
      <c r="F11" s="79">
        <f>$C$3+2</f>
        <v>2026</v>
      </c>
      <c r="G11" s="79">
        <f>$C$3+3</f>
        <v>2027</v>
      </c>
      <c r="H11" s="79">
        <f>$C$3+4</f>
        <v>2028</v>
      </c>
      <c r="I11" s="78" t="str">
        <f xml:space="preserve"> D11&amp;" - "&amp;H11</f>
        <v>2024 - 2028</v>
      </c>
    </row>
    <row r="12" spans="2:37" ht="12.65" customHeight="1" outlineLevel="1" x14ac:dyDescent="0.35">
      <c r="B12" s="48" t="s">
        <v>74</v>
      </c>
      <c r="C12" s="89" t="s">
        <v>233</v>
      </c>
      <c r="D12" s="187">
        <f t="shared" ref="D12:H21" si="0">D73+D133+D194+D254</f>
        <v>27567.185665274548</v>
      </c>
      <c r="E12" s="187">
        <f t="shared" si="0"/>
        <v>309131.40439111856</v>
      </c>
      <c r="F12" s="187">
        <f t="shared" si="0"/>
        <v>412457.00119693048</v>
      </c>
      <c r="G12" s="187">
        <f t="shared" si="0"/>
        <v>96558.923666918025</v>
      </c>
      <c r="H12" s="187">
        <f t="shared" si="0"/>
        <v>190736.27884660603</v>
      </c>
      <c r="I12" s="170">
        <f>D12+E12+F12+G12+H12</f>
        <v>1036450.7937668477</v>
      </c>
    </row>
    <row r="13" spans="2:37" ht="12.65" customHeight="1" outlineLevel="1" x14ac:dyDescent="0.35">
      <c r="B13" s="48" t="s">
        <v>75</v>
      </c>
      <c r="C13" s="89" t="s">
        <v>233</v>
      </c>
      <c r="D13" s="187">
        <f t="shared" si="0"/>
        <v>348082.88644587272</v>
      </c>
      <c r="E13" s="187">
        <f t="shared" si="0"/>
        <v>636448.78868377814</v>
      </c>
      <c r="F13" s="187">
        <f t="shared" si="0"/>
        <v>492241.91370127501</v>
      </c>
      <c r="G13" s="187">
        <f t="shared" si="0"/>
        <v>487367.92154080397</v>
      </c>
      <c r="H13" s="187">
        <f t="shared" si="0"/>
        <v>319454.99322500371</v>
      </c>
      <c r="I13" s="170">
        <f t="shared" ref="I13:I66" si="1">D13+E13+F13+G13+H13</f>
        <v>2283596.5035967338</v>
      </c>
    </row>
    <row r="14" spans="2:37" ht="12.65" customHeight="1" outlineLevel="1" x14ac:dyDescent="0.35">
      <c r="B14" s="48" t="s">
        <v>76</v>
      </c>
      <c r="C14" s="89" t="s">
        <v>233</v>
      </c>
      <c r="D14" s="187">
        <f t="shared" si="0"/>
        <v>197674.06384000095</v>
      </c>
      <c r="E14" s="187">
        <f t="shared" si="0"/>
        <v>464009.53472879733</v>
      </c>
      <c r="F14" s="187">
        <f t="shared" si="0"/>
        <v>881724.66407680116</v>
      </c>
      <c r="G14" s="187">
        <f t="shared" si="0"/>
        <v>532278.2366135522</v>
      </c>
      <c r="H14" s="187">
        <f t="shared" si="0"/>
        <v>653904.96135111828</v>
      </c>
      <c r="I14" s="170">
        <f t="shared" si="1"/>
        <v>2729591.4606102696</v>
      </c>
    </row>
    <row r="15" spans="2:37" ht="12.65" customHeight="1" outlineLevel="1" x14ac:dyDescent="0.35">
      <c r="B15" s="48" t="s">
        <v>77</v>
      </c>
      <c r="C15" s="89" t="s">
        <v>233</v>
      </c>
      <c r="D15" s="187">
        <f t="shared" si="0"/>
        <v>32720.710732268893</v>
      </c>
      <c r="E15" s="187">
        <f t="shared" si="0"/>
        <v>29492.023138183868</v>
      </c>
      <c r="F15" s="187">
        <f t="shared" si="0"/>
        <v>171875.17237820145</v>
      </c>
      <c r="G15" s="187">
        <f t="shared" si="0"/>
        <v>111239.81676539952</v>
      </c>
      <c r="H15" s="187">
        <f t="shared" si="0"/>
        <v>32620.303306650549</v>
      </c>
      <c r="I15" s="170">
        <f t="shared" si="1"/>
        <v>377948.02632070426</v>
      </c>
    </row>
    <row r="16" spans="2:37" ht="12.65" customHeight="1" outlineLevel="1" x14ac:dyDescent="0.35">
      <c r="B16" s="48" t="s">
        <v>78</v>
      </c>
      <c r="C16" s="89" t="s">
        <v>233</v>
      </c>
      <c r="D16" s="187">
        <f t="shared" si="0"/>
        <v>2511543.3179422235</v>
      </c>
      <c r="E16" s="187">
        <f t="shared" si="0"/>
        <v>2869362.4597841343</v>
      </c>
      <c r="F16" s="187">
        <f t="shared" si="0"/>
        <v>3083429.9523304482</v>
      </c>
      <c r="G16" s="187">
        <f t="shared" si="0"/>
        <v>3885088.2781384126</v>
      </c>
      <c r="H16" s="187">
        <f t="shared" si="0"/>
        <v>2783678.2406964116</v>
      </c>
      <c r="I16" s="170">
        <f t="shared" si="1"/>
        <v>15133102.248891629</v>
      </c>
    </row>
    <row r="17" spans="2:9" ht="12.65" customHeight="1" outlineLevel="1" x14ac:dyDescent="0.35">
      <c r="B17" s="48" t="s">
        <v>79</v>
      </c>
      <c r="C17" s="89" t="s">
        <v>233</v>
      </c>
      <c r="D17" s="187">
        <f t="shared" si="0"/>
        <v>201649.85900704566</v>
      </c>
      <c r="E17" s="187">
        <f t="shared" si="0"/>
        <v>171207.5309897578</v>
      </c>
      <c r="F17" s="187">
        <f t="shared" si="0"/>
        <v>169473.79611882303</v>
      </c>
      <c r="G17" s="187">
        <f t="shared" si="0"/>
        <v>306803.22660741612</v>
      </c>
      <c r="H17" s="187">
        <f t="shared" si="0"/>
        <v>424179.49029989366</v>
      </c>
      <c r="I17" s="170">
        <f t="shared" si="1"/>
        <v>1273313.9030229361</v>
      </c>
    </row>
    <row r="18" spans="2:9" ht="12.65" customHeight="1" outlineLevel="1" x14ac:dyDescent="0.35">
      <c r="B18" s="48" t="s">
        <v>80</v>
      </c>
      <c r="C18" s="89" t="s">
        <v>233</v>
      </c>
      <c r="D18" s="187">
        <f t="shared" si="0"/>
        <v>264781.49782771</v>
      </c>
      <c r="E18" s="187">
        <f t="shared" si="0"/>
        <v>304182.99639687664</v>
      </c>
      <c r="F18" s="187">
        <f t="shared" si="0"/>
        <v>228460.99137598983</v>
      </c>
      <c r="G18" s="187">
        <f t="shared" si="0"/>
        <v>166571.8127249339</v>
      </c>
      <c r="H18" s="187">
        <f t="shared" si="0"/>
        <v>292422.82849155099</v>
      </c>
      <c r="I18" s="170">
        <f t="shared" si="1"/>
        <v>1256420.1268170616</v>
      </c>
    </row>
    <row r="19" spans="2:9" ht="12.65" customHeight="1" outlineLevel="1" x14ac:dyDescent="0.35">
      <c r="B19" s="48" t="s">
        <v>81</v>
      </c>
      <c r="C19" s="89" t="s">
        <v>233</v>
      </c>
      <c r="D19" s="187">
        <f t="shared" si="0"/>
        <v>469434.15947827516</v>
      </c>
      <c r="E19" s="187">
        <f t="shared" si="0"/>
        <v>351144.3988573979</v>
      </c>
      <c r="F19" s="187">
        <f t="shared" si="0"/>
        <v>327867.83172767365</v>
      </c>
      <c r="G19" s="187">
        <f t="shared" si="0"/>
        <v>249441.50138828607</v>
      </c>
      <c r="H19" s="187">
        <f t="shared" si="0"/>
        <v>246107.72994449304</v>
      </c>
      <c r="I19" s="170">
        <f t="shared" si="1"/>
        <v>1643995.6213961258</v>
      </c>
    </row>
    <row r="20" spans="2:9" ht="12.65" customHeight="1" outlineLevel="1" x14ac:dyDescent="0.35">
      <c r="B20" s="48" t="s">
        <v>82</v>
      </c>
      <c r="C20" s="89" t="s">
        <v>233</v>
      </c>
      <c r="D20" s="187">
        <f t="shared" si="0"/>
        <v>0</v>
      </c>
      <c r="E20" s="187">
        <f t="shared" si="0"/>
        <v>0</v>
      </c>
      <c r="F20" s="187">
        <f t="shared" si="0"/>
        <v>0</v>
      </c>
      <c r="G20" s="187">
        <f t="shared" si="0"/>
        <v>0</v>
      </c>
      <c r="H20" s="187">
        <f t="shared" si="0"/>
        <v>0</v>
      </c>
      <c r="I20" s="170">
        <f t="shared" si="1"/>
        <v>0</v>
      </c>
    </row>
    <row r="21" spans="2:9" ht="12.65" customHeight="1" outlineLevel="1" x14ac:dyDescent="0.35">
      <c r="B21" s="48" t="s">
        <v>83</v>
      </c>
      <c r="C21" s="89" t="s">
        <v>233</v>
      </c>
      <c r="D21" s="187">
        <f t="shared" si="0"/>
        <v>44453.847697669036</v>
      </c>
      <c r="E21" s="187">
        <f t="shared" si="0"/>
        <v>712050.70615746395</v>
      </c>
      <c r="F21" s="187">
        <f t="shared" si="0"/>
        <v>246868.80259405871</v>
      </c>
      <c r="G21" s="187">
        <f t="shared" si="0"/>
        <v>796731.416011655</v>
      </c>
      <c r="H21" s="187">
        <f t="shared" si="0"/>
        <v>355681.30849395663</v>
      </c>
      <c r="I21" s="170">
        <f t="shared" si="1"/>
        <v>2155786.0809548032</v>
      </c>
    </row>
    <row r="22" spans="2:9" ht="12.65" customHeight="1" outlineLevel="1" x14ac:dyDescent="0.35">
      <c r="B22" s="48" t="s">
        <v>84</v>
      </c>
      <c r="C22" s="89" t="s">
        <v>233</v>
      </c>
      <c r="D22" s="187">
        <f t="shared" ref="D22:H31" si="2">D83+D143+D204+D264</f>
        <v>389425.11066976865</v>
      </c>
      <c r="E22" s="187">
        <f t="shared" si="2"/>
        <v>466970.21876081871</v>
      </c>
      <c r="F22" s="187">
        <f t="shared" si="2"/>
        <v>803860.74868334294</v>
      </c>
      <c r="G22" s="187">
        <f t="shared" si="2"/>
        <v>819160.31797474483</v>
      </c>
      <c r="H22" s="187">
        <f t="shared" si="2"/>
        <v>301573.46945068217</v>
      </c>
      <c r="I22" s="170">
        <f t="shared" si="1"/>
        <v>2780989.8655393571</v>
      </c>
    </row>
    <row r="23" spans="2:9" ht="12.65" customHeight="1" outlineLevel="1" x14ac:dyDescent="0.35">
      <c r="B23" s="48" t="s">
        <v>85</v>
      </c>
      <c r="C23" s="89" t="s">
        <v>233</v>
      </c>
      <c r="D23" s="187">
        <f t="shared" si="2"/>
        <v>173073.23311945685</v>
      </c>
      <c r="E23" s="187">
        <f t="shared" si="2"/>
        <v>293907.14165906509</v>
      </c>
      <c r="F23" s="187">
        <f t="shared" si="2"/>
        <v>164597.03604737137</v>
      </c>
      <c r="G23" s="187">
        <f t="shared" si="2"/>
        <v>163358.2696355416</v>
      </c>
      <c r="H23" s="187">
        <f t="shared" si="2"/>
        <v>157139.92995502651</v>
      </c>
      <c r="I23" s="170">
        <f t="shared" si="1"/>
        <v>952075.61041646136</v>
      </c>
    </row>
    <row r="24" spans="2:9" ht="12.65" customHeight="1" outlineLevel="1" x14ac:dyDescent="0.35">
      <c r="B24" s="48" t="s">
        <v>86</v>
      </c>
      <c r="C24" s="89" t="s">
        <v>233</v>
      </c>
      <c r="D24" s="187">
        <f t="shared" si="2"/>
        <v>388587.17889783613</v>
      </c>
      <c r="E24" s="187">
        <f t="shared" si="2"/>
        <v>694716.75784801494</v>
      </c>
      <c r="F24" s="187">
        <f t="shared" si="2"/>
        <v>783190.29191315651</v>
      </c>
      <c r="G24" s="187">
        <f t="shared" si="2"/>
        <v>635225.43920116336</v>
      </c>
      <c r="H24" s="187">
        <f t="shared" si="2"/>
        <v>486105.59914984106</v>
      </c>
      <c r="I24" s="170">
        <f t="shared" si="1"/>
        <v>2987825.2670100117</v>
      </c>
    </row>
    <row r="25" spans="2:9" ht="12.65" customHeight="1" outlineLevel="1" x14ac:dyDescent="0.35">
      <c r="B25" s="48" t="s">
        <v>87</v>
      </c>
      <c r="C25" s="89" t="s">
        <v>233</v>
      </c>
      <c r="D25" s="187">
        <f t="shared" si="2"/>
        <v>177470.41698067187</v>
      </c>
      <c r="E25" s="187">
        <f t="shared" si="2"/>
        <v>493490.72636814043</v>
      </c>
      <c r="F25" s="187">
        <f t="shared" si="2"/>
        <v>239058.20067708608</v>
      </c>
      <c r="G25" s="187">
        <f t="shared" si="2"/>
        <v>182123.88860446986</v>
      </c>
      <c r="H25" s="187">
        <f t="shared" si="2"/>
        <v>473558.65212277317</v>
      </c>
      <c r="I25" s="170">
        <f t="shared" si="1"/>
        <v>1565701.8847531416</v>
      </c>
    </row>
    <row r="26" spans="2:9" ht="12.65" customHeight="1" outlineLevel="1" x14ac:dyDescent="0.35">
      <c r="B26" s="48" t="s">
        <v>88</v>
      </c>
      <c r="C26" s="89" t="s">
        <v>233</v>
      </c>
      <c r="D26" s="187">
        <f t="shared" si="2"/>
        <v>407800.94855496549</v>
      </c>
      <c r="E26" s="187">
        <f t="shared" si="2"/>
        <v>1075321.0682488931</v>
      </c>
      <c r="F26" s="187">
        <f t="shared" si="2"/>
        <v>1100811.5516881808</v>
      </c>
      <c r="G26" s="187">
        <f t="shared" si="2"/>
        <v>364178.38700587803</v>
      </c>
      <c r="H26" s="187">
        <f t="shared" si="2"/>
        <v>1237216.9180801737</v>
      </c>
      <c r="I26" s="170">
        <f t="shared" si="1"/>
        <v>4185328.8735780912</v>
      </c>
    </row>
    <row r="27" spans="2:9" ht="12.65" customHeight="1" outlineLevel="1" x14ac:dyDescent="0.35">
      <c r="B27" s="48" t="s">
        <v>89</v>
      </c>
      <c r="C27" s="89" t="s">
        <v>233</v>
      </c>
      <c r="D27" s="187">
        <f t="shared" si="2"/>
        <v>179689.74012317363</v>
      </c>
      <c r="E27" s="187">
        <f t="shared" si="2"/>
        <v>186073.18563682129</v>
      </c>
      <c r="F27" s="187">
        <f t="shared" si="2"/>
        <v>308512.83043017017</v>
      </c>
      <c r="G27" s="187">
        <f t="shared" si="2"/>
        <v>468169.09837279184</v>
      </c>
      <c r="H27" s="187">
        <f t="shared" si="2"/>
        <v>248898.21881663776</v>
      </c>
      <c r="I27" s="170">
        <f t="shared" si="1"/>
        <v>1391343.0733795946</v>
      </c>
    </row>
    <row r="28" spans="2:9" ht="12.65" customHeight="1" outlineLevel="1" x14ac:dyDescent="0.35">
      <c r="B28" s="48" t="s">
        <v>90</v>
      </c>
      <c r="C28" s="89" t="s">
        <v>233</v>
      </c>
      <c r="D28" s="187">
        <f t="shared" si="2"/>
        <v>22605.999332654792</v>
      </c>
      <c r="E28" s="187">
        <f t="shared" si="2"/>
        <v>379508.6740275317</v>
      </c>
      <c r="F28" s="187">
        <f t="shared" si="2"/>
        <v>5910.4178070049948</v>
      </c>
      <c r="G28" s="187">
        <f t="shared" si="2"/>
        <v>366481.95272200397</v>
      </c>
      <c r="H28" s="187">
        <f t="shared" si="2"/>
        <v>11321.023364371315</v>
      </c>
      <c r="I28" s="170">
        <f t="shared" si="1"/>
        <v>785828.0672535667</v>
      </c>
    </row>
    <row r="29" spans="2:9" ht="12.65" customHeight="1" outlineLevel="1" x14ac:dyDescent="0.35">
      <c r="B29" s="48" t="s">
        <v>91</v>
      </c>
      <c r="C29" s="89" t="s">
        <v>233</v>
      </c>
      <c r="D29" s="187">
        <f t="shared" si="2"/>
        <v>178110.43939983015</v>
      </c>
      <c r="E29" s="187">
        <f t="shared" si="2"/>
        <v>70219.583357592812</v>
      </c>
      <c r="F29" s="187">
        <f t="shared" si="2"/>
        <v>72916.691452508472</v>
      </c>
      <c r="G29" s="187">
        <f t="shared" si="2"/>
        <v>11317.417792196538</v>
      </c>
      <c r="H29" s="187">
        <f t="shared" si="2"/>
        <v>85781.570876442565</v>
      </c>
      <c r="I29" s="170">
        <f t="shared" si="1"/>
        <v>418345.70287857053</v>
      </c>
    </row>
    <row r="30" spans="2:9" ht="12.65" customHeight="1" outlineLevel="1" x14ac:dyDescent="0.35">
      <c r="B30" s="48" t="s">
        <v>92</v>
      </c>
      <c r="C30" s="89" t="s">
        <v>233</v>
      </c>
      <c r="D30" s="187">
        <f t="shared" si="2"/>
        <v>223814.01116301733</v>
      </c>
      <c r="E30" s="187">
        <f t="shared" si="2"/>
        <v>419202.77612664335</v>
      </c>
      <c r="F30" s="187">
        <f t="shared" si="2"/>
        <v>470981.07692063903</v>
      </c>
      <c r="G30" s="187">
        <f t="shared" si="2"/>
        <v>217325.42094058666</v>
      </c>
      <c r="H30" s="187">
        <f t="shared" si="2"/>
        <v>268638.10588440631</v>
      </c>
      <c r="I30" s="170">
        <f t="shared" si="1"/>
        <v>1599961.3910352925</v>
      </c>
    </row>
    <row r="31" spans="2:9" ht="12.65" customHeight="1" outlineLevel="1" x14ac:dyDescent="0.35">
      <c r="B31" s="48" t="s">
        <v>93</v>
      </c>
      <c r="C31" s="89" t="s">
        <v>233</v>
      </c>
      <c r="D31" s="187">
        <f t="shared" si="2"/>
        <v>360703.18330546195</v>
      </c>
      <c r="E31" s="187">
        <f t="shared" si="2"/>
        <v>508807.24682554882</v>
      </c>
      <c r="F31" s="187">
        <f t="shared" si="2"/>
        <v>1155536.5413373869</v>
      </c>
      <c r="G31" s="187">
        <f t="shared" si="2"/>
        <v>804083.63318832975</v>
      </c>
      <c r="H31" s="187">
        <f t="shared" si="2"/>
        <v>724893.54858940549</v>
      </c>
      <c r="I31" s="170">
        <f t="shared" si="1"/>
        <v>3554024.1532461331</v>
      </c>
    </row>
    <row r="32" spans="2:9" ht="12.65" customHeight="1" outlineLevel="1" x14ac:dyDescent="0.35">
      <c r="B32" s="48" t="s">
        <v>94</v>
      </c>
      <c r="C32" s="89" t="s">
        <v>233</v>
      </c>
      <c r="D32" s="187">
        <f t="shared" ref="D32:H41" si="3">D93+D153+D214+D274</f>
        <v>214600.6609496625</v>
      </c>
      <c r="E32" s="187">
        <f t="shared" si="3"/>
        <v>561787.49578709388</v>
      </c>
      <c r="F32" s="187">
        <f t="shared" si="3"/>
        <v>510978.27190916485</v>
      </c>
      <c r="G32" s="187">
        <f t="shared" si="3"/>
        <v>630018.57822499017</v>
      </c>
      <c r="H32" s="187">
        <f t="shared" si="3"/>
        <v>498035.28285395692</v>
      </c>
      <c r="I32" s="170">
        <f t="shared" si="1"/>
        <v>2415420.2897248683</v>
      </c>
    </row>
    <row r="33" spans="2:9" ht="12.65" customHeight="1" outlineLevel="1" x14ac:dyDescent="0.35">
      <c r="B33" s="48" t="s">
        <v>95</v>
      </c>
      <c r="C33" s="89" t="s">
        <v>233</v>
      </c>
      <c r="D33" s="187">
        <f t="shared" si="3"/>
        <v>137478.58076322667</v>
      </c>
      <c r="E33" s="187">
        <f t="shared" si="3"/>
        <v>230727.68168854661</v>
      </c>
      <c r="F33" s="187">
        <f t="shared" si="3"/>
        <v>347615.30568410771</v>
      </c>
      <c r="G33" s="187">
        <f t="shared" si="3"/>
        <v>387576.05682723498</v>
      </c>
      <c r="H33" s="187">
        <f t="shared" si="3"/>
        <v>130118.70097481289</v>
      </c>
      <c r="I33" s="170">
        <f t="shared" si="1"/>
        <v>1233516.3259379289</v>
      </c>
    </row>
    <row r="34" spans="2:9" ht="12.65" customHeight="1" outlineLevel="1" x14ac:dyDescent="0.35">
      <c r="B34" s="48" t="s">
        <v>96</v>
      </c>
      <c r="C34" s="89" t="s">
        <v>233</v>
      </c>
      <c r="D34" s="187">
        <f t="shared" si="3"/>
        <v>113972.25442180305</v>
      </c>
      <c r="E34" s="187">
        <f t="shared" si="3"/>
        <v>212029.4084356504</v>
      </c>
      <c r="F34" s="187">
        <f t="shared" si="3"/>
        <v>305031.15764128231</v>
      </c>
      <c r="G34" s="187">
        <f t="shared" si="3"/>
        <v>158384.57431589247</v>
      </c>
      <c r="H34" s="187">
        <f t="shared" si="3"/>
        <v>232738.38236192273</v>
      </c>
      <c r="I34" s="170">
        <f t="shared" si="1"/>
        <v>1022155.7771765509</v>
      </c>
    </row>
    <row r="35" spans="2:9" ht="12.65" customHeight="1" outlineLevel="1" x14ac:dyDescent="0.35">
      <c r="B35" s="48" t="s">
        <v>97</v>
      </c>
      <c r="C35" s="89" t="s">
        <v>233</v>
      </c>
      <c r="D35" s="187">
        <f t="shared" si="3"/>
        <v>377435.49659846927</v>
      </c>
      <c r="E35" s="187">
        <f t="shared" si="3"/>
        <v>794648.71266594273</v>
      </c>
      <c r="F35" s="187">
        <f t="shared" si="3"/>
        <v>485093.19373167766</v>
      </c>
      <c r="G35" s="187">
        <f t="shared" si="3"/>
        <v>336620.1725368849</v>
      </c>
      <c r="H35" s="187">
        <f t="shared" si="3"/>
        <v>818713.17095416551</v>
      </c>
      <c r="I35" s="170">
        <f t="shared" si="1"/>
        <v>2812510.7464871402</v>
      </c>
    </row>
    <row r="36" spans="2:9" ht="12.65" customHeight="1" outlineLevel="1" x14ac:dyDescent="0.35">
      <c r="B36" s="48" t="s">
        <v>98</v>
      </c>
      <c r="C36" s="89" t="s">
        <v>233</v>
      </c>
      <c r="D36" s="187">
        <f t="shared" si="3"/>
        <v>88721.484652745581</v>
      </c>
      <c r="E36" s="187">
        <f t="shared" si="3"/>
        <v>427997.14312840853</v>
      </c>
      <c r="F36" s="187">
        <f t="shared" si="3"/>
        <v>411079.61959653883</v>
      </c>
      <c r="G36" s="187">
        <f t="shared" si="3"/>
        <v>402613.93255459634</v>
      </c>
      <c r="H36" s="187">
        <f t="shared" si="3"/>
        <v>501563.22467841767</v>
      </c>
      <c r="I36" s="170">
        <f t="shared" si="1"/>
        <v>1831975.404610707</v>
      </c>
    </row>
    <row r="37" spans="2:9" ht="12.65" customHeight="1" outlineLevel="1" x14ac:dyDescent="0.35">
      <c r="B37" s="48" t="s">
        <v>99</v>
      </c>
      <c r="C37" s="89" t="s">
        <v>233</v>
      </c>
      <c r="D37" s="187">
        <f t="shared" si="3"/>
        <v>581264.64833886619</v>
      </c>
      <c r="E37" s="187">
        <f t="shared" si="3"/>
        <v>1142114.6378194448</v>
      </c>
      <c r="F37" s="187">
        <f t="shared" si="3"/>
        <v>626186.50320676551</v>
      </c>
      <c r="G37" s="187">
        <f t="shared" si="3"/>
        <v>1131457.3944626781</v>
      </c>
      <c r="H37" s="187">
        <f t="shared" si="3"/>
        <v>444165.28760696144</v>
      </c>
      <c r="I37" s="170">
        <f t="shared" si="1"/>
        <v>3925188.4714347161</v>
      </c>
    </row>
    <row r="38" spans="2:9" ht="12.65" customHeight="1" outlineLevel="1" x14ac:dyDescent="0.35">
      <c r="B38" s="48" t="s">
        <v>100</v>
      </c>
      <c r="C38" s="89" t="s">
        <v>233</v>
      </c>
      <c r="D38" s="187">
        <f t="shared" si="3"/>
        <v>116858.62276609236</v>
      </c>
      <c r="E38" s="187">
        <f t="shared" si="3"/>
        <v>482528.02722951747</v>
      </c>
      <c r="F38" s="187">
        <f t="shared" si="3"/>
        <v>593373.05016819399</v>
      </c>
      <c r="G38" s="187">
        <f t="shared" si="3"/>
        <v>368296.16557827813</v>
      </c>
      <c r="H38" s="187">
        <f t="shared" si="3"/>
        <v>936716.13547258673</v>
      </c>
      <c r="I38" s="170">
        <f t="shared" si="1"/>
        <v>2497772.0012146691</v>
      </c>
    </row>
    <row r="39" spans="2:9" ht="12.65" customHeight="1" outlineLevel="1" x14ac:dyDescent="0.35">
      <c r="B39" s="48" t="s">
        <v>101</v>
      </c>
      <c r="C39" s="89" t="s">
        <v>233</v>
      </c>
      <c r="D39" s="187">
        <f t="shared" si="3"/>
        <v>6335.1208730618291</v>
      </c>
      <c r="E39" s="187">
        <f t="shared" si="3"/>
        <v>2287.8564509470498</v>
      </c>
      <c r="F39" s="187">
        <f t="shared" si="3"/>
        <v>2412.4171604303579</v>
      </c>
      <c r="G39" s="187">
        <f t="shared" si="3"/>
        <v>1960.4060548924447</v>
      </c>
      <c r="H39" s="187">
        <f t="shared" si="3"/>
        <v>1517.4926337736806</v>
      </c>
      <c r="I39" s="170">
        <f t="shared" si="1"/>
        <v>14513.293173105361</v>
      </c>
    </row>
    <row r="40" spans="2:9" ht="12.65" customHeight="1" outlineLevel="1" x14ac:dyDescent="0.35">
      <c r="B40" s="48" t="s">
        <v>102</v>
      </c>
      <c r="C40" s="89" t="s">
        <v>233</v>
      </c>
      <c r="D40" s="187">
        <f t="shared" si="3"/>
        <v>123589.63932036665</v>
      </c>
      <c r="E40" s="187">
        <f t="shared" si="3"/>
        <v>95590.681704934919</v>
      </c>
      <c r="F40" s="187">
        <f t="shared" si="3"/>
        <v>155361.79056176858</v>
      </c>
      <c r="G40" s="187">
        <f t="shared" si="3"/>
        <v>87049.001484824228</v>
      </c>
      <c r="H40" s="187">
        <f t="shared" si="3"/>
        <v>66953.259803088644</v>
      </c>
      <c r="I40" s="170">
        <f t="shared" si="1"/>
        <v>528544.372874983</v>
      </c>
    </row>
    <row r="41" spans="2:9" ht="12.65" customHeight="1" outlineLevel="1" x14ac:dyDescent="0.35">
      <c r="B41" s="48" t="s">
        <v>103</v>
      </c>
      <c r="C41" s="89" t="s">
        <v>233</v>
      </c>
      <c r="D41" s="187">
        <f t="shared" si="3"/>
        <v>0</v>
      </c>
      <c r="E41" s="187">
        <f t="shared" si="3"/>
        <v>0</v>
      </c>
      <c r="F41" s="187">
        <f t="shared" si="3"/>
        <v>0</v>
      </c>
      <c r="G41" s="187">
        <f t="shared" si="3"/>
        <v>0</v>
      </c>
      <c r="H41" s="187">
        <f t="shared" si="3"/>
        <v>0</v>
      </c>
      <c r="I41" s="170">
        <f t="shared" si="1"/>
        <v>0</v>
      </c>
    </row>
    <row r="42" spans="2:9" ht="12.65" customHeight="1" outlineLevel="1" x14ac:dyDescent="0.35">
      <c r="B42" s="48" t="s">
        <v>104</v>
      </c>
      <c r="C42" s="89" t="s">
        <v>233</v>
      </c>
      <c r="D42" s="187">
        <f t="shared" ref="D42:H51" si="4">D103+D163+D224+D284</f>
        <v>0</v>
      </c>
      <c r="E42" s="187">
        <f t="shared" si="4"/>
        <v>0</v>
      </c>
      <c r="F42" s="187">
        <f t="shared" si="4"/>
        <v>0</v>
      </c>
      <c r="G42" s="187">
        <f t="shared" si="4"/>
        <v>486472.12048208585</v>
      </c>
      <c r="H42" s="187">
        <f t="shared" si="4"/>
        <v>531113.57415889855</v>
      </c>
      <c r="I42" s="170">
        <f t="shared" si="1"/>
        <v>1017585.6946409844</v>
      </c>
    </row>
    <row r="43" spans="2:9" ht="12.65" customHeight="1" outlineLevel="1" x14ac:dyDescent="0.35">
      <c r="B43" s="48" t="s">
        <v>136</v>
      </c>
      <c r="C43" s="89" t="s">
        <v>233</v>
      </c>
      <c r="D43" s="187">
        <f t="shared" si="4"/>
        <v>0</v>
      </c>
      <c r="E43" s="187">
        <f t="shared" si="4"/>
        <v>0</v>
      </c>
      <c r="F43" s="187">
        <f t="shared" si="4"/>
        <v>0</v>
      </c>
      <c r="G43" s="187">
        <f t="shared" si="4"/>
        <v>486472.12048208585</v>
      </c>
      <c r="H43" s="187">
        <f t="shared" si="4"/>
        <v>523546.54569873371</v>
      </c>
      <c r="I43" s="170">
        <f t="shared" si="1"/>
        <v>1010018.6661808195</v>
      </c>
    </row>
    <row r="44" spans="2:9" ht="12.65" customHeight="1" outlineLevel="1" x14ac:dyDescent="0.35">
      <c r="B44" s="48" t="s">
        <v>106</v>
      </c>
      <c r="C44" s="89" t="s">
        <v>233</v>
      </c>
      <c r="D44" s="187">
        <f t="shared" si="4"/>
        <v>64005.575371511266</v>
      </c>
      <c r="E44" s="187">
        <f t="shared" si="4"/>
        <v>157918.00586253786</v>
      </c>
      <c r="F44" s="187">
        <f t="shared" si="4"/>
        <v>58099.532183762887</v>
      </c>
      <c r="G44" s="187">
        <f t="shared" si="4"/>
        <v>144553.97689187233</v>
      </c>
      <c r="H44" s="187">
        <f t="shared" si="4"/>
        <v>474864.66225957329</v>
      </c>
      <c r="I44" s="170">
        <f t="shared" si="1"/>
        <v>899441.75256925751</v>
      </c>
    </row>
    <row r="45" spans="2:9" ht="12.65" customHeight="1" outlineLevel="1" x14ac:dyDescent="0.35">
      <c r="B45" s="48" t="s">
        <v>107</v>
      </c>
      <c r="C45" s="89" t="s">
        <v>233</v>
      </c>
      <c r="D45" s="187">
        <f t="shared" si="4"/>
        <v>132303.12981112851</v>
      </c>
      <c r="E45" s="187">
        <f t="shared" si="4"/>
        <v>324209.31183376879</v>
      </c>
      <c r="F45" s="187">
        <f t="shared" si="4"/>
        <v>151433.10803237581</v>
      </c>
      <c r="G45" s="187">
        <f t="shared" si="4"/>
        <v>103829.37195309158</v>
      </c>
      <c r="H45" s="187">
        <f t="shared" si="4"/>
        <v>128256.93623643939</v>
      </c>
      <c r="I45" s="170">
        <f t="shared" si="1"/>
        <v>840031.85786680412</v>
      </c>
    </row>
    <row r="46" spans="2:9" ht="12.65" customHeight="1" outlineLevel="1" x14ac:dyDescent="0.35">
      <c r="B46" s="48" t="s">
        <v>108</v>
      </c>
      <c r="C46" s="89" t="s">
        <v>233</v>
      </c>
      <c r="D46" s="187">
        <f t="shared" si="4"/>
        <v>368478.71268694301</v>
      </c>
      <c r="E46" s="187">
        <f t="shared" si="4"/>
        <v>176083.7541464424</v>
      </c>
      <c r="F46" s="187">
        <f t="shared" si="4"/>
        <v>1136009.2604992818</v>
      </c>
      <c r="G46" s="187">
        <f t="shared" si="4"/>
        <v>1066673.392088776</v>
      </c>
      <c r="H46" s="187">
        <f t="shared" si="4"/>
        <v>502751.53566414083</v>
      </c>
      <c r="I46" s="170">
        <f t="shared" si="1"/>
        <v>3249996.6550855837</v>
      </c>
    </row>
    <row r="47" spans="2:9" ht="12.65" customHeight="1" outlineLevel="1" x14ac:dyDescent="0.35">
      <c r="B47" s="48" t="s">
        <v>109</v>
      </c>
      <c r="C47" s="89" t="s">
        <v>233</v>
      </c>
      <c r="D47" s="187">
        <f t="shared" si="4"/>
        <v>391077.19153506367</v>
      </c>
      <c r="E47" s="187">
        <f t="shared" si="4"/>
        <v>366582.56923476153</v>
      </c>
      <c r="F47" s="187">
        <f t="shared" si="4"/>
        <v>438454.55172297137</v>
      </c>
      <c r="G47" s="187">
        <f t="shared" si="4"/>
        <v>316244.95660334581</v>
      </c>
      <c r="H47" s="187">
        <f t="shared" si="4"/>
        <v>248904.55267911492</v>
      </c>
      <c r="I47" s="170">
        <f t="shared" si="1"/>
        <v>1761263.8217752576</v>
      </c>
    </row>
    <row r="48" spans="2:9" ht="12.65" customHeight="1" outlineLevel="1" x14ac:dyDescent="0.35">
      <c r="B48" s="48" t="s">
        <v>110</v>
      </c>
      <c r="C48" s="89" t="s">
        <v>233</v>
      </c>
      <c r="D48" s="187">
        <f t="shared" si="4"/>
        <v>162234.49332044923</v>
      </c>
      <c r="E48" s="187">
        <f t="shared" si="4"/>
        <v>43881.302338375433</v>
      </c>
      <c r="F48" s="187">
        <f t="shared" si="4"/>
        <v>104592.62641083986</v>
      </c>
      <c r="G48" s="187">
        <f t="shared" si="4"/>
        <v>45913.915642772408</v>
      </c>
      <c r="H48" s="187">
        <f t="shared" si="4"/>
        <v>193243.4016845953</v>
      </c>
      <c r="I48" s="170">
        <f t="shared" si="1"/>
        <v>549865.73939703219</v>
      </c>
    </row>
    <row r="49" spans="2:9" ht="12.65" customHeight="1" outlineLevel="1" x14ac:dyDescent="0.35">
      <c r="B49" s="48" t="s">
        <v>111</v>
      </c>
      <c r="C49" s="89" t="s">
        <v>233</v>
      </c>
      <c r="D49" s="187">
        <f t="shared" si="4"/>
        <v>77265.163567135227</v>
      </c>
      <c r="E49" s="187">
        <f t="shared" si="4"/>
        <v>290842.97239992063</v>
      </c>
      <c r="F49" s="187">
        <f t="shared" si="4"/>
        <v>467801.80838270241</v>
      </c>
      <c r="G49" s="187">
        <f t="shared" si="4"/>
        <v>107122.32603777567</v>
      </c>
      <c r="H49" s="187">
        <f t="shared" si="4"/>
        <v>183402.128712265</v>
      </c>
      <c r="I49" s="170">
        <f t="shared" si="1"/>
        <v>1126434.3990997991</v>
      </c>
    </row>
    <row r="50" spans="2:9" ht="12.65" customHeight="1" outlineLevel="1" x14ac:dyDescent="0.35">
      <c r="B50" s="48" t="s">
        <v>112</v>
      </c>
      <c r="C50" s="89" t="s">
        <v>233</v>
      </c>
      <c r="D50" s="187">
        <f t="shared" si="4"/>
        <v>173346.28263522167</v>
      </c>
      <c r="E50" s="187">
        <f t="shared" si="4"/>
        <v>414345.41706538445</v>
      </c>
      <c r="F50" s="187">
        <f t="shared" si="4"/>
        <v>425306.02068743017</v>
      </c>
      <c r="G50" s="187">
        <f t="shared" si="4"/>
        <v>449408.91898113763</v>
      </c>
      <c r="H50" s="187">
        <f t="shared" si="4"/>
        <v>751365.5597815233</v>
      </c>
      <c r="I50" s="170">
        <f t="shared" si="1"/>
        <v>2213772.1991506973</v>
      </c>
    </row>
    <row r="51" spans="2:9" ht="12.65" customHeight="1" outlineLevel="1" x14ac:dyDescent="0.35">
      <c r="B51" s="48" t="s">
        <v>113</v>
      </c>
      <c r="C51" s="89" t="s">
        <v>233</v>
      </c>
      <c r="D51" s="187">
        <f t="shared" si="4"/>
        <v>0</v>
      </c>
      <c r="E51" s="187">
        <f t="shared" si="4"/>
        <v>0</v>
      </c>
      <c r="F51" s="187">
        <f t="shared" si="4"/>
        <v>1554.3253551146006</v>
      </c>
      <c r="G51" s="187">
        <f t="shared" si="4"/>
        <v>0</v>
      </c>
      <c r="H51" s="187">
        <f t="shared" si="4"/>
        <v>0</v>
      </c>
      <c r="I51" s="170">
        <f t="shared" si="1"/>
        <v>1554.3253551146006</v>
      </c>
    </row>
    <row r="52" spans="2:9" ht="12.65" customHeight="1" outlineLevel="1" x14ac:dyDescent="0.35">
      <c r="B52" s="48" t="s">
        <v>114</v>
      </c>
      <c r="C52" s="89" t="s">
        <v>233</v>
      </c>
      <c r="D52" s="187">
        <f t="shared" ref="D52:H61" si="5">D113+D173+D234+D294</f>
        <v>385947.00382543402</v>
      </c>
      <c r="E52" s="187">
        <f t="shared" si="5"/>
        <v>350280.00644228229</v>
      </c>
      <c r="F52" s="187">
        <f t="shared" si="5"/>
        <v>347036.82063211361</v>
      </c>
      <c r="G52" s="187">
        <f t="shared" si="5"/>
        <v>289676.85196927411</v>
      </c>
      <c r="H52" s="187">
        <f t="shared" si="5"/>
        <v>229937.02749412338</v>
      </c>
      <c r="I52" s="170">
        <f t="shared" si="1"/>
        <v>1602877.7103632276</v>
      </c>
    </row>
    <row r="53" spans="2:9" ht="12.65" customHeight="1" outlineLevel="1" x14ac:dyDescent="0.35">
      <c r="B53" s="48" t="s">
        <v>115</v>
      </c>
      <c r="C53" s="89" t="s">
        <v>233</v>
      </c>
      <c r="D53" s="187">
        <f t="shared" si="5"/>
        <v>307323.21562824346</v>
      </c>
      <c r="E53" s="187">
        <f t="shared" si="5"/>
        <v>510569.27294801275</v>
      </c>
      <c r="F53" s="187">
        <f t="shared" si="5"/>
        <v>342192.0084574197</v>
      </c>
      <c r="G53" s="187">
        <f t="shared" si="5"/>
        <v>611729.5375453512</v>
      </c>
      <c r="H53" s="187">
        <f t="shared" si="5"/>
        <v>462368.30656139815</v>
      </c>
      <c r="I53" s="170">
        <f t="shared" si="1"/>
        <v>2234182.3411404253</v>
      </c>
    </row>
    <row r="54" spans="2:9" ht="12.65" customHeight="1" outlineLevel="1" x14ac:dyDescent="0.35">
      <c r="B54" s="48" t="s">
        <v>116</v>
      </c>
      <c r="C54" s="89" t="s">
        <v>233</v>
      </c>
      <c r="D54" s="187">
        <f t="shared" si="5"/>
        <v>289531.27695155365</v>
      </c>
      <c r="E54" s="187">
        <f t="shared" si="5"/>
        <v>260786.69928818912</v>
      </c>
      <c r="F54" s="187">
        <f t="shared" si="5"/>
        <v>257925.50238859156</v>
      </c>
      <c r="G54" s="187">
        <f t="shared" si="5"/>
        <v>215436.91267043876</v>
      </c>
      <c r="H54" s="187">
        <f t="shared" si="5"/>
        <v>171467.80954668947</v>
      </c>
      <c r="I54" s="170">
        <f t="shared" si="1"/>
        <v>1195148.2008454625</v>
      </c>
    </row>
    <row r="55" spans="2:9" ht="12.65" customHeight="1" outlineLevel="1" x14ac:dyDescent="0.35">
      <c r="B55" s="48" t="s">
        <v>117</v>
      </c>
      <c r="C55" s="89" t="s">
        <v>233</v>
      </c>
      <c r="D55" s="187">
        <f t="shared" si="5"/>
        <v>553926.69206264522</v>
      </c>
      <c r="E55" s="187">
        <f t="shared" si="5"/>
        <v>1140848.8703835995</v>
      </c>
      <c r="F55" s="187">
        <f t="shared" si="5"/>
        <v>994467.47801075166</v>
      </c>
      <c r="G55" s="187">
        <f t="shared" si="5"/>
        <v>1859083.7570688485</v>
      </c>
      <c r="H55" s="187">
        <f t="shared" si="5"/>
        <v>932996.19170697674</v>
      </c>
      <c r="I55" s="170">
        <f t="shared" si="1"/>
        <v>5481322.9892328214</v>
      </c>
    </row>
    <row r="56" spans="2:9" ht="12.65" customHeight="1" outlineLevel="1" x14ac:dyDescent="0.35">
      <c r="B56" s="48" t="s">
        <v>118</v>
      </c>
      <c r="C56" s="89" t="s">
        <v>233</v>
      </c>
      <c r="D56" s="187">
        <f t="shared" si="5"/>
        <v>130726.47505662666</v>
      </c>
      <c r="E56" s="187">
        <f t="shared" si="5"/>
        <v>118503.7756146664</v>
      </c>
      <c r="F56" s="187">
        <f t="shared" si="5"/>
        <v>195566.4559794449</v>
      </c>
      <c r="G56" s="187">
        <f t="shared" si="5"/>
        <v>375222.45552432915</v>
      </c>
      <c r="H56" s="187">
        <f t="shared" si="5"/>
        <v>204136.36351416173</v>
      </c>
      <c r="I56" s="170">
        <f t="shared" si="1"/>
        <v>1024155.5256892289</v>
      </c>
    </row>
    <row r="57" spans="2:9" ht="12.65" customHeight="1" outlineLevel="1" x14ac:dyDescent="0.35">
      <c r="B57" s="48" t="s">
        <v>119</v>
      </c>
      <c r="C57" s="89" t="s">
        <v>233</v>
      </c>
      <c r="D57" s="187">
        <f t="shared" si="5"/>
        <v>0</v>
      </c>
      <c r="E57" s="187">
        <f t="shared" si="5"/>
        <v>0</v>
      </c>
      <c r="F57" s="187">
        <f t="shared" si="5"/>
        <v>0</v>
      </c>
      <c r="G57" s="187">
        <f t="shared" si="5"/>
        <v>0</v>
      </c>
      <c r="H57" s="187">
        <f t="shared" si="5"/>
        <v>0</v>
      </c>
      <c r="I57" s="170">
        <f t="shared" si="1"/>
        <v>0</v>
      </c>
    </row>
    <row r="58" spans="2:9" ht="12.65" customHeight="1" outlineLevel="1" x14ac:dyDescent="0.35">
      <c r="B58" s="48" t="s">
        <v>120</v>
      </c>
      <c r="C58" s="89" t="s">
        <v>233</v>
      </c>
      <c r="D58" s="187">
        <f t="shared" si="5"/>
        <v>463990.58608905075</v>
      </c>
      <c r="E58" s="187">
        <f t="shared" si="5"/>
        <v>761259.27362035238</v>
      </c>
      <c r="F58" s="187">
        <f t="shared" si="5"/>
        <v>701127.46331973141</v>
      </c>
      <c r="G58" s="187">
        <f t="shared" si="5"/>
        <v>535592.86811785435</v>
      </c>
      <c r="H58" s="187">
        <f t="shared" si="5"/>
        <v>730490.24219002493</v>
      </c>
      <c r="I58" s="170">
        <f t="shared" si="1"/>
        <v>3192460.4333370137</v>
      </c>
    </row>
    <row r="59" spans="2:9" ht="12.65" customHeight="1" outlineLevel="1" x14ac:dyDescent="0.35">
      <c r="B59" s="48" t="s">
        <v>121</v>
      </c>
      <c r="C59" s="89" t="s">
        <v>233</v>
      </c>
      <c r="D59" s="187">
        <f t="shared" si="5"/>
        <v>136695.13839259752</v>
      </c>
      <c r="E59" s="187">
        <f t="shared" si="5"/>
        <v>273659.10015108529</v>
      </c>
      <c r="F59" s="187">
        <f t="shared" si="5"/>
        <v>367300.73259567528</v>
      </c>
      <c r="G59" s="187">
        <f t="shared" si="5"/>
        <v>335035.22357340314</v>
      </c>
      <c r="H59" s="187">
        <f t="shared" si="5"/>
        <v>586359.5069229654</v>
      </c>
      <c r="I59" s="170">
        <f t="shared" si="1"/>
        <v>1699049.7016357267</v>
      </c>
    </row>
    <row r="60" spans="2:9" ht="12.65" customHeight="1" outlineLevel="1" x14ac:dyDescent="0.35">
      <c r="B60" s="323" t="s">
        <v>137</v>
      </c>
      <c r="C60" s="89" t="s">
        <v>233</v>
      </c>
      <c r="D60" s="187">
        <f t="shared" si="5"/>
        <v>0</v>
      </c>
      <c r="E60" s="187">
        <f t="shared" si="5"/>
        <v>0</v>
      </c>
      <c r="F60" s="187">
        <f t="shared" si="5"/>
        <v>0</v>
      </c>
      <c r="G60" s="187">
        <f t="shared" si="5"/>
        <v>0</v>
      </c>
      <c r="H60" s="187">
        <f t="shared" si="5"/>
        <v>0</v>
      </c>
      <c r="I60" s="170">
        <f t="shared" si="1"/>
        <v>0</v>
      </c>
    </row>
    <row r="61" spans="2:9" ht="12.65" customHeight="1" outlineLevel="1" x14ac:dyDescent="0.35">
      <c r="B61" s="324" t="s">
        <v>123</v>
      </c>
      <c r="C61" s="89" t="s">
        <v>233</v>
      </c>
      <c r="D61" s="187">
        <f t="shared" si="5"/>
        <v>218064.093321083</v>
      </c>
      <c r="E61" s="187">
        <f t="shared" si="5"/>
        <v>262511.70288081793</v>
      </c>
      <c r="F61" s="187">
        <f t="shared" si="5"/>
        <v>463659.70014963479</v>
      </c>
      <c r="G61" s="187">
        <f t="shared" si="5"/>
        <v>155086.77113783464</v>
      </c>
      <c r="H61" s="187">
        <f t="shared" si="5"/>
        <v>421506.24664570857</v>
      </c>
      <c r="I61" s="170">
        <f t="shared" si="1"/>
        <v>1520828.514135079</v>
      </c>
    </row>
    <row r="62" spans="2:9" ht="12.65" customHeight="1" outlineLevel="1" x14ac:dyDescent="0.35">
      <c r="B62" s="324" t="s">
        <v>124</v>
      </c>
      <c r="C62" s="89" t="s">
        <v>233</v>
      </c>
      <c r="D62" s="187">
        <f t="shared" ref="D62:H65" si="6">D123+D183+D244+D304</f>
        <v>213942.38767538863</v>
      </c>
      <c r="E62" s="187">
        <f t="shared" si="6"/>
        <v>552684.96594660764</v>
      </c>
      <c r="F62" s="187">
        <f t="shared" si="6"/>
        <v>393244.85346829338</v>
      </c>
      <c r="G62" s="187">
        <f t="shared" si="6"/>
        <v>454632.51213908073</v>
      </c>
      <c r="H62" s="187">
        <f t="shared" si="6"/>
        <v>557896.55231729546</v>
      </c>
      <c r="I62" s="170">
        <f t="shared" si="1"/>
        <v>2172401.2715466656</v>
      </c>
    </row>
    <row r="63" spans="2:9" ht="12.65" customHeight="1" outlineLevel="1" x14ac:dyDescent="0.35">
      <c r="B63" s="323" t="s">
        <v>125</v>
      </c>
      <c r="C63" s="89" t="s">
        <v>233</v>
      </c>
      <c r="D63" s="187">
        <f t="shared" si="6"/>
        <v>69656.325502474865</v>
      </c>
      <c r="E63" s="187">
        <f t="shared" si="6"/>
        <v>25156.13660971657</v>
      </c>
      <c r="F63" s="187">
        <f t="shared" si="6"/>
        <v>26409.992804202775</v>
      </c>
      <c r="G63" s="187">
        <f t="shared" si="6"/>
        <v>23719.164400691981</v>
      </c>
      <c r="H63" s="187">
        <f t="shared" si="6"/>
        <v>19248.955524537691</v>
      </c>
      <c r="I63" s="170">
        <f t="shared" si="1"/>
        <v>164190.57484162386</v>
      </c>
    </row>
    <row r="64" spans="2:9" ht="12.65" customHeight="1" outlineLevel="1" x14ac:dyDescent="0.35">
      <c r="B64" s="324" t="s">
        <v>126</v>
      </c>
      <c r="C64" s="89" t="s">
        <v>233</v>
      </c>
      <c r="D64" s="187">
        <f t="shared" si="6"/>
        <v>276024.39534476236</v>
      </c>
      <c r="E64" s="187">
        <f t="shared" si="6"/>
        <v>268495.04767141945</v>
      </c>
      <c r="F64" s="187">
        <f t="shared" si="6"/>
        <v>251731.44417553057</v>
      </c>
      <c r="G64" s="187">
        <f t="shared" si="6"/>
        <v>268680.69090940233</v>
      </c>
      <c r="H64" s="187">
        <f t="shared" si="6"/>
        <v>128251.41650030034</v>
      </c>
      <c r="I64" s="170">
        <f t="shared" si="1"/>
        <v>1193182.9946014152</v>
      </c>
    </row>
    <row r="65" spans="2:37" ht="12.65" customHeight="1" outlineLevel="1" x14ac:dyDescent="0.35">
      <c r="B65" s="323" t="s">
        <v>127</v>
      </c>
      <c r="C65" s="89" t="s">
        <v>233</v>
      </c>
      <c r="D65" s="187">
        <f t="shared" si="6"/>
        <v>392320.92057941295</v>
      </c>
      <c r="E65" s="187">
        <f t="shared" si="6"/>
        <v>0</v>
      </c>
      <c r="F65" s="187">
        <f t="shared" si="6"/>
        <v>0</v>
      </c>
      <c r="G65" s="187">
        <f t="shared" si="6"/>
        <v>0</v>
      </c>
      <c r="H65" s="187">
        <f t="shared" si="6"/>
        <v>0</v>
      </c>
      <c r="I65" s="170">
        <f t="shared" si="1"/>
        <v>392320.92057941295</v>
      </c>
    </row>
    <row r="66" spans="2:37" ht="12.65" customHeight="1" outlineLevel="1" x14ac:dyDescent="0.35">
      <c r="B66" s="324" t="s">
        <v>195</v>
      </c>
      <c r="C66" s="89" t="s">
        <v>233</v>
      </c>
      <c r="D66" s="187">
        <f>D314</f>
        <v>804010.85806633881</v>
      </c>
      <c r="E66" s="187">
        <f t="shared" ref="E66:H66" si="7">E314</f>
        <v>442077.63626894611</v>
      </c>
      <c r="F66" s="187">
        <f t="shared" si="7"/>
        <v>375833.47124067089</v>
      </c>
      <c r="G66" s="187">
        <f t="shared" si="7"/>
        <v>234584.28640101041</v>
      </c>
      <c r="H66" s="187">
        <f t="shared" si="7"/>
        <v>161737.89712811587</v>
      </c>
      <c r="I66" s="170">
        <f t="shared" si="1"/>
        <v>2018244.149105082</v>
      </c>
    </row>
    <row r="67" spans="2:37" outlineLevel="1" x14ac:dyDescent="0.35">
      <c r="B67" s="477" t="s">
        <v>151</v>
      </c>
      <c r="C67" s="478"/>
      <c r="D67" s="478"/>
      <c r="E67" s="478"/>
      <c r="F67" s="478"/>
      <c r="G67" s="478"/>
      <c r="H67" s="478"/>
      <c r="I67" s="480"/>
    </row>
    <row r="68" spans="2:37" outlineLevel="1" x14ac:dyDescent="0.35">
      <c r="B68" s="48" t="s">
        <v>140</v>
      </c>
      <c r="C68" s="89" t="s">
        <v>233</v>
      </c>
      <c r="D68" s="188">
        <f>SUM(D12:D66)</f>
        <v>13970314.216290534</v>
      </c>
      <c r="E68" s="188">
        <f t="shared" ref="E68:H68" si="8">SUM(E12:E66)</f>
        <v>21125654.687603954</v>
      </c>
      <c r="F68" s="188">
        <f t="shared" si="8"/>
        <v>22056653.978613518</v>
      </c>
      <c r="G68" s="188">
        <f t="shared" si="8"/>
        <v>22732653.371555816</v>
      </c>
      <c r="H68" s="188">
        <f t="shared" si="8"/>
        <v>21068279.521212712</v>
      </c>
      <c r="I68" s="188">
        <f>SUM(I12:I66)</f>
        <v>100953555.77527656</v>
      </c>
      <c r="K68" s="39"/>
    </row>
    <row r="70" spans="2:37" ht="15.5" x14ac:dyDescent="0.35">
      <c r="B70" s="419" t="s">
        <v>168</v>
      </c>
      <c r="C70" s="419"/>
      <c r="D70" s="419"/>
      <c r="E70" s="419"/>
      <c r="F70" s="419"/>
      <c r="G70" s="419"/>
      <c r="H70" s="419"/>
      <c r="I70" s="419"/>
    </row>
    <row r="71" spans="2:37" ht="5.9" customHeight="1" outlineLevel="1" x14ac:dyDescent="0.35">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row>
    <row r="72" spans="2:37" outlineLevel="1" x14ac:dyDescent="0.35">
      <c r="B72" s="75"/>
      <c r="C72" s="61" t="s">
        <v>134</v>
      </c>
      <c r="D72" s="79">
        <f>$C$3</f>
        <v>2024</v>
      </c>
      <c r="E72" s="79">
        <f>$C$3+1</f>
        <v>2025</v>
      </c>
      <c r="F72" s="79">
        <f>$C$3+2</f>
        <v>2026</v>
      </c>
      <c r="G72" s="79">
        <f>$C$3+3</f>
        <v>2027</v>
      </c>
      <c r="H72" s="79">
        <f>$C$3+4</f>
        <v>2028</v>
      </c>
      <c r="I72" s="78" t="str">
        <f xml:space="preserve"> D72&amp;" - "&amp;H72</f>
        <v>2024 - 2028</v>
      </c>
    </row>
    <row r="73" spans="2:37" outlineLevel="1" x14ac:dyDescent="0.35">
      <c r="B73" s="48" t="s">
        <v>74</v>
      </c>
      <c r="C73" s="89" t="s">
        <v>233</v>
      </c>
      <c r="D73" s="187">
        <f>'Παραδοχές μοναδιαίου κόστους'!E$12*'Ανάπτυξη δικτύου'!U15</f>
        <v>0</v>
      </c>
      <c r="E73" s="187">
        <f>'Παραδοχές μοναδιαίου κόστους'!F$12*'Ανάπτυξη δικτύου'!X15</f>
        <v>0</v>
      </c>
      <c r="F73" s="187">
        <f>'Παραδοχές μοναδιαίου κόστους'!G$12*'Ανάπτυξη δικτύου'!AA15</f>
        <v>0</v>
      </c>
      <c r="G73" s="187">
        <f>'Παραδοχές μοναδιαίου κόστους'!H$12*'Ανάπτυξη δικτύου'!AD15</f>
        <v>0</v>
      </c>
      <c r="H73" s="187">
        <f>'Παραδοχές μοναδιαίου κόστους'!I$12*'Ανάπτυξη δικτύου'!AG15</f>
        <v>0</v>
      </c>
      <c r="I73" s="170">
        <f t="shared" ref="I73" si="9">D73+E73+F73+G73+H73</f>
        <v>0</v>
      </c>
    </row>
    <row r="74" spans="2:37" outlineLevel="1" x14ac:dyDescent="0.35">
      <c r="B74" s="48" t="s">
        <v>75</v>
      </c>
      <c r="C74" s="89" t="s">
        <v>233</v>
      </c>
      <c r="D74" s="187">
        <f>'Παραδοχές μοναδιαίου κόστους'!E$12*'Ανάπτυξη δικτύου'!U16</f>
        <v>0</v>
      </c>
      <c r="E74" s="187">
        <f>'Παραδοχές μοναδιαίου κόστους'!F$12*'Ανάπτυξη δικτύου'!X16</f>
        <v>0</v>
      </c>
      <c r="F74" s="187">
        <f>'Παραδοχές μοναδιαίου κόστους'!G$12*'Ανάπτυξη δικτύου'!AA16</f>
        <v>30225.180333538829</v>
      </c>
      <c r="G74" s="187">
        <f>'Παραδοχές μοναδιαίου κόστους'!H$12*'Ανάπτυξη δικτύου'!AD16</f>
        <v>0</v>
      </c>
      <c r="H74" s="187">
        <f>'Παραδοχές μοναδιαίου κόστους'!I$12*'Ανάπτυξη δικτύου'!AG16</f>
        <v>0</v>
      </c>
      <c r="I74" s="170">
        <f t="shared" ref="I74:I122" si="10">D74+E74+F74+G74+H74</f>
        <v>30225.180333538829</v>
      </c>
    </row>
    <row r="75" spans="2:37" outlineLevel="1" x14ac:dyDescent="0.35">
      <c r="B75" s="48" t="s">
        <v>76</v>
      </c>
      <c r="C75" s="89" t="s">
        <v>233</v>
      </c>
      <c r="D75" s="187">
        <f>'Παραδοχές μοναδιαίου κόστους'!E$12*'Ανάπτυξη δικτύου'!U17</f>
        <v>0</v>
      </c>
      <c r="E75" s="187">
        <f>'Παραδοχές μοναδιαίου κόστους'!F$12*'Ανάπτυξη δικτύου'!X17</f>
        <v>0</v>
      </c>
      <c r="F75" s="187">
        <f>'Παραδοχές μοναδιαίου κόστους'!G$12*'Ανάπτυξη δικτύου'!AA17</f>
        <v>0</v>
      </c>
      <c r="G75" s="187">
        <f>'Παραδοχές μοναδιαίου κόστους'!H$12*'Ανάπτυξη δικτύου'!AD17</f>
        <v>0</v>
      </c>
      <c r="H75" s="187">
        <f>'Παραδοχές μοναδιαίου κόστους'!I$12*'Ανάπτυξη δικτύου'!AG17</f>
        <v>0</v>
      </c>
      <c r="I75" s="170">
        <f t="shared" si="10"/>
        <v>0</v>
      </c>
    </row>
    <row r="76" spans="2:37" outlineLevel="1" x14ac:dyDescent="0.35">
      <c r="B76" s="48" t="s">
        <v>77</v>
      </c>
      <c r="C76" s="89" t="s">
        <v>233</v>
      </c>
      <c r="D76" s="187">
        <f>'Παραδοχές μοναδιαίου κόστους'!E$12*'Ανάπτυξη δικτύου'!U18</f>
        <v>0</v>
      </c>
      <c r="E76" s="187">
        <f>'Παραδοχές μοναδιαίου κόστους'!F$12*'Ανάπτυξη δικτύου'!X18</f>
        <v>0</v>
      </c>
      <c r="F76" s="187">
        <f>'Παραδοχές μοναδιαίου κόστους'!G$12*'Ανάπτυξη δικτύου'!AA18</f>
        <v>0</v>
      </c>
      <c r="G76" s="187">
        <f>'Παραδοχές μοναδιαίου κόστους'!H$12*'Ανάπτυξη δικτύου'!AD18</f>
        <v>0</v>
      </c>
      <c r="H76" s="187">
        <f>'Παραδοχές μοναδιαίου κόστους'!I$12*'Ανάπτυξη δικτύου'!AG18</f>
        <v>0</v>
      </c>
      <c r="I76" s="170">
        <f t="shared" si="10"/>
        <v>0</v>
      </c>
    </row>
    <row r="77" spans="2:37" outlineLevel="1" x14ac:dyDescent="0.35">
      <c r="B77" s="48" t="s">
        <v>78</v>
      </c>
      <c r="C77" s="89" t="s">
        <v>233</v>
      </c>
      <c r="D77" s="187">
        <f>'Παραδοχές μοναδιαίου κόστους'!E$12*'Ανάπτυξη δικτύου'!U19</f>
        <v>0</v>
      </c>
      <c r="E77" s="187">
        <f>'Παραδοχές μοναδιαίου κόστους'!F$12*'Ανάπτυξη δικτύου'!X19</f>
        <v>0</v>
      </c>
      <c r="F77" s="187">
        <f>'Παραδοχές μοναδιαίου κόστους'!G$12*'Ανάπτυξη δικτύου'!AA19</f>
        <v>0</v>
      </c>
      <c r="G77" s="187">
        <f>'Παραδοχές μοναδιαίου κόστους'!H$12*'Ανάπτυξη δικτύου'!AD19</f>
        <v>261700.78247790883</v>
      </c>
      <c r="H77" s="187">
        <f>'Παραδοχές μοναδιαίου κόστους'!I$12*'Ανάπτυξη δικτύου'!AG19</f>
        <v>0</v>
      </c>
      <c r="I77" s="170">
        <f t="shared" si="10"/>
        <v>261700.78247790883</v>
      </c>
    </row>
    <row r="78" spans="2:37" outlineLevel="1" x14ac:dyDescent="0.35">
      <c r="B78" s="48" t="s">
        <v>79</v>
      </c>
      <c r="C78" s="89" t="s">
        <v>233</v>
      </c>
      <c r="D78" s="187">
        <f>'Παραδοχές μοναδιαίου κόστους'!E$12*'Ανάπτυξη δικτύου'!U20</f>
        <v>0</v>
      </c>
      <c r="E78" s="187">
        <f>'Παραδοχές μοναδιαίου κόστους'!F$12*'Ανάπτυξη δικτύου'!X20</f>
        <v>0</v>
      </c>
      <c r="F78" s="187">
        <f>'Παραδοχές μοναδιαίου κόστους'!G$12*'Ανάπτυξη δικτύου'!AA20</f>
        <v>0</v>
      </c>
      <c r="G78" s="187">
        <f>'Παραδοχές μοναδιαίου κόστους'!H$12*'Ανάπτυξη δικτύου'!AD20</f>
        <v>165195.59559372618</v>
      </c>
      <c r="H78" s="187">
        <f>'Παραδοχές μοναδιαίου κόστους'!I$12*'Ανάπτυξη δικτύου'!AG20</f>
        <v>0</v>
      </c>
      <c r="I78" s="170">
        <f t="shared" si="10"/>
        <v>165195.59559372618</v>
      </c>
    </row>
    <row r="79" spans="2:37" outlineLevel="1" x14ac:dyDescent="0.35">
      <c r="B79" s="48" t="s">
        <v>80</v>
      </c>
      <c r="C79" s="89" t="s">
        <v>233</v>
      </c>
      <c r="D79" s="187">
        <f>'Παραδοχές μοναδιαίου κόστους'!E$12*'Ανάπτυξη δικτύου'!U21</f>
        <v>0</v>
      </c>
      <c r="E79" s="187">
        <f>'Παραδοχές μοναδιαίου κόστους'!F$12*'Ανάπτυξη δικτύου'!X21</f>
        <v>0</v>
      </c>
      <c r="F79" s="187">
        <f>'Παραδοχές μοναδιαίου κόστους'!G$12*'Ανάπτυξη δικτύου'!AA21</f>
        <v>0</v>
      </c>
      <c r="G79" s="187">
        <f>'Παραδοχές μοναδιαίου κόστους'!H$12*'Ανάπτυξη δικτύου'!AD21</f>
        <v>0</v>
      </c>
      <c r="H79" s="187">
        <f>'Παραδοχές μοναδιαίου κόστους'!I$12*'Ανάπτυξη δικτύου'!AG21</f>
        <v>0</v>
      </c>
      <c r="I79" s="170">
        <f t="shared" si="10"/>
        <v>0</v>
      </c>
    </row>
    <row r="80" spans="2:37" outlineLevel="1" x14ac:dyDescent="0.35">
      <c r="B80" s="48" t="s">
        <v>81</v>
      </c>
      <c r="C80" s="89" t="s">
        <v>233</v>
      </c>
      <c r="D80" s="187">
        <f>'Παραδοχές μοναδιαίου κόστους'!E$12*'Ανάπτυξη δικτύου'!U22</f>
        <v>0</v>
      </c>
      <c r="E80" s="187">
        <f>'Παραδοχές μοναδιαίου κόστους'!F$12*'Ανάπτυξη δικτύου'!X22</f>
        <v>0</v>
      </c>
      <c r="F80" s="187">
        <f>'Παραδοχές μοναδιαίου κόστους'!G$12*'Ανάπτυξη δικτύου'!AA22</f>
        <v>0</v>
      </c>
      <c r="G80" s="187">
        <f>'Παραδοχές μοναδιαίου κόστους'!H$12*'Ανάπτυξη δικτύου'!AD22</f>
        <v>0</v>
      </c>
      <c r="H80" s="187">
        <f>'Παραδοχές μοναδιαίου κόστους'!I$12*'Ανάπτυξη δικτύου'!AG22</f>
        <v>0</v>
      </c>
      <c r="I80" s="170">
        <f t="shared" si="10"/>
        <v>0</v>
      </c>
    </row>
    <row r="81" spans="2:9" outlineLevel="1" x14ac:dyDescent="0.35">
      <c r="B81" s="48" t="s">
        <v>82</v>
      </c>
      <c r="C81" s="89" t="s">
        <v>233</v>
      </c>
      <c r="D81" s="187">
        <f>'Παραδοχές μοναδιαίου κόστους'!E$12*'Ανάπτυξη δικτύου'!U23</f>
        <v>0</v>
      </c>
      <c r="E81" s="187">
        <f>'Παραδοχές μοναδιαίου κόστους'!F$12*'Ανάπτυξη δικτύου'!X23</f>
        <v>0</v>
      </c>
      <c r="F81" s="187">
        <f>'Παραδοχές μοναδιαίου κόστους'!G$12*'Ανάπτυξη δικτύου'!AA23</f>
        <v>0</v>
      </c>
      <c r="G81" s="187">
        <f>'Παραδοχές μοναδιαίου κόστους'!H$12*'Ανάπτυξη δικτύου'!AD23</f>
        <v>0</v>
      </c>
      <c r="H81" s="187">
        <f>'Παραδοχές μοναδιαίου κόστους'!I$12*'Ανάπτυξη δικτύου'!AG23</f>
        <v>0</v>
      </c>
      <c r="I81" s="170">
        <f t="shared" si="10"/>
        <v>0</v>
      </c>
    </row>
    <row r="82" spans="2:9" outlineLevel="1" x14ac:dyDescent="0.35">
      <c r="B82" s="48" t="s">
        <v>83</v>
      </c>
      <c r="C82" s="89" t="s">
        <v>233</v>
      </c>
      <c r="D82" s="187">
        <f>'Παραδοχές μοναδιαίου κόστους'!E$12*'Ανάπτυξη δικτύου'!U24</f>
        <v>0</v>
      </c>
      <c r="E82" s="187">
        <f>'Παραδοχές μοναδιαίου κόστους'!F$12*'Ανάπτυξη δικτύου'!X24</f>
        <v>0</v>
      </c>
      <c r="F82" s="187">
        <f>'Παραδοχές μοναδιαίου κόστους'!G$12*'Ανάπτυξη δικτύου'!AA24</f>
        <v>0</v>
      </c>
      <c r="G82" s="187">
        <f>'Παραδοχές μοναδιαίου κόστους'!H$12*'Ανάπτυξη δικτύου'!AD24</f>
        <v>0</v>
      </c>
      <c r="H82" s="187">
        <f>'Παραδοχές μοναδιαίου κόστους'!I$12*'Ανάπτυξη δικτύου'!AG24</f>
        <v>0</v>
      </c>
      <c r="I82" s="170">
        <f t="shared" si="10"/>
        <v>0</v>
      </c>
    </row>
    <row r="83" spans="2:9" outlineLevel="1" x14ac:dyDescent="0.35">
      <c r="B83" s="48" t="s">
        <v>84</v>
      </c>
      <c r="C83" s="89" t="s">
        <v>233</v>
      </c>
      <c r="D83" s="187">
        <f>'Παραδοχές μοναδιαίου κόστους'!E$12*'Ανάπτυξη δικτύου'!U25</f>
        <v>0</v>
      </c>
      <c r="E83" s="187">
        <f>'Παραδοχές μοναδιαίου κόστους'!F$12*'Ανάπτυξη δικτύου'!X25</f>
        <v>0</v>
      </c>
      <c r="F83" s="187">
        <f>'Παραδοχές μοναδιαίου κόστους'!G$12*'Ανάπτυξη δικτύου'!AA25</f>
        <v>82770.493836460169</v>
      </c>
      <c r="G83" s="187">
        <f>'Παραδοχές μοναδιαίου κόστους'!H$12*'Ανάπτυξη δικτύου'!AD25</f>
        <v>0</v>
      </c>
      <c r="H83" s="187">
        <f>'Παραδοχές μοναδιαίου κόστους'!I$12*'Ανάπτυξη δικτύου'!AG25</f>
        <v>0</v>
      </c>
      <c r="I83" s="170">
        <f t="shared" si="10"/>
        <v>82770.493836460169</v>
      </c>
    </row>
    <row r="84" spans="2:9" outlineLevel="1" x14ac:dyDescent="0.35">
      <c r="B84" s="48" t="s">
        <v>85</v>
      </c>
      <c r="C84" s="89" t="s">
        <v>233</v>
      </c>
      <c r="D84" s="187">
        <f>'Παραδοχές μοναδιαίου κόστους'!E$12*'Ανάπτυξη δικτύου'!U26</f>
        <v>0</v>
      </c>
      <c r="E84" s="187">
        <f>'Παραδοχές μοναδιαίου κόστους'!F$12*'Ανάπτυξη δικτύου'!X26</f>
        <v>0</v>
      </c>
      <c r="F84" s="187">
        <f>'Παραδοχές μοναδιαίου κόστους'!G$12*'Ανάπτυξη δικτύου'!AA26</f>
        <v>0</v>
      </c>
      <c r="G84" s="187">
        <f>'Παραδοχές μοναδιαίου κόστους'!H$12*'Ανάπτυξη δικτύου'!AD26</f>
        <v>0</v>
      </c>
      <c r="H84" s="187">
        <f>'Παραδοχές μοναδιαίου κόστους'!I$12*'Ανάπτυξη δικτύου'!AG26</f>
        <v>0</v>
      </c>
      <c r="I84" s="170">
        <f t="shared" si="10"/>
        <v>0</v>
      </c>
    </row>
    <row r="85" spans="2:9" outlineLevel="1" x14ac:dyDescent="0.35">
      <c r="B85" s="48" t="s">
        <v>86</v>
      </c>
      <c r="C85" s="89" t="s">
        <v>233</v>
      </c>
      <c r="D85" s="187">
        <f>'Παραδοχές μοναδιαίου κόστους'!E$12*'Ανάπτυξη δικτύου'!U27</f>
        <v>179888.24177296183</v>
      </c>
      <c r="E85" s="187">
        <f>'Παραδοχές μοναδιαίου κόστους'!F$12*'Ανάπτυξη δικτύου'!X27</f>
        <v>0</v>
      </c>
      <c r="F85" s="187">
        <f>'Παραδοχές μοναδιαίου κόστους'!G$12*'Ανάπτυξη δικτύου'!AA27</f>
        <v>0</v>
      </c>
      <c r="G85" s="187">
        <f>'Παραδοχές μοναδιαίου κόστους'!H$12*'Ανάπτυξη δικτύου'!AD27</f>
        <v>0</v>
      </c>
      <c r="H85" s="187">
        <f>'Παραδοχές μοναδιαίου κόστους'!I$12*'Ανάπτυξη δικτύου'!AG27</f>
        <v>0</v>
      </c>
      <c r="I85" s="170">
        <f t="shared" si="10"/>
        <v>179888.24177296183</v>
      </c>
    </row>
    <row r="86" spans="2:9" outlineLevel="1" x14ac:dyDescent="0.35">
      <c r="B86" s="48" t="s">
        <v>87</v>
      </c>
      <c r="C86" s="89" t="s">
        <v>233</v>
      </c>
      <c r="D86" s="187">
        <f>'Παραδοχές μοναδιαίου κόστους'!E$12*'Ανάπτυξη δικτύου'!U28</f>
        <v>0</v>
      </c>
      <c r="E86" s="187">
        <f>'Παραδοχές μοναδιαίου κόστους'!F$12*'Ανάπτυξη δικτύου'!X28</f>
        <v>0</v>
      </c>
      <c r="F86" s="187">
        <f>'Παραδοχές μοναδιαίου κόστους'!G$12*'Ανάπτυξη δικτύου'!AA28</f>
        <v>0</v>
      </c>
      <c r="G86" s="187">
        <f>'Παραδοχές μοναδιαίου κόστους'!H$12*'Ανάπτυξη δικτύου'!AD28</f>
        <v>0</v>
      </c>
      <c r="H86" s="187">
        <f>'Παραδοχές μοναδιαίου κόστους'!I$12*'Ανάπτυξη δικτύου'!AG28</f>
        <v>0</v>
      </c>
      <c r="I86" s="170">
        <f t="shared" si="10"/>
        <v>0</v>
      </c>
    </row>
    <row r="87" spans="2:9" outlineLevel="1" x14ac:dyDescent="0.35">
      <c r="B87" s="48" t="s">
        <v>88</v>
      </c>
      <c r="C87" s="89" t="s">
        <v>233</v>
      </c>
      <c r="D87" s="187">
        <f>'Παραδοχές μοναδιαίου κόστους'!E$12*'Ανάπτυξη δικτύου'!U29</f>
        <v>0</v>
      </c>
      <c r="E87" s="187">
        <f>'Παραδοχές μοναδιαίου κόστους'!F$12*'Ανάπτυξη δικτύου'!X29</f>
        <v>69965.794167275802</v>
      </c>
      <c r="F87" s="187">
        <f>'Παραδοχές μοναδιαίου κόστους'!G$12*'Ανάπτυξη δικτύου'!AA29</f>
        <v>0</v>
      </c>
      <c r="G87" s="187">
        <f>'Παραδοχές μοναδιαίου κόστους'!H$12*'Ανάπτυξη δικτύου'!AD29</f>
        <v>0</v>
      </c>
      <c r="H87" s="187">
        <f>'Παραδοχές μοναδιαίου κόστους'!I$12*'Ανάπτυξη δικτύου'!AG29</f>
        <v>0</v>
      </c>
      <c r="I87" s="170">
        <f t="shared" si="10"/>
        <v>69965.794167275802</v>
      </c>
    </row>
    <row r="88" spans="2:9" outlineLevel="1" x14ac:dyDescent="0.35">
      <c r="B88" s="48" t="s">
        <v>89</v>
      </c>
      <c r="C88" s="89" t="s">
        <v>233</v>
      </c>
      <c r="D88" s="187">
        <f>'Παραδοχές μοναδιαίου κόστους'!E$12*'Ανάπτυξη δικτύου'!U30</f>
        <v>0</v>
      </c>
      <c r="E88" s="187">
        <f>'Παραδοχές μοναδιαίου κόστους'!F$12*'Ανάπτυξη δικτύου'!X30</f>
        <v>0</v>
      </c>
      <c r="F88" s="187">
        <f>'Παραδοχές μοναδιαίου κόστους'!G$12*'Ανάπτυξη δικτύου'!AA30</f>
        <v>0</v>
      </c>
      <c r="G88" s="187">
        <f>'Παραδοχές μοναδιαίου κόστους'!H$12*'Ανάπτυξη δικτύου'!AD30</f>
        <v>0</v>
      </c>
      <c r="H88" s="187">
        <f>'Παραδοχές μοναδιαίου κόστους'!I$12*'Ανάπτυξη δικτύου'!AG30</f>
        <v>0</v>
      </c>
      <c r="I88" s="170">
        <f t="shared" si="10"/>
        <v>0</v>
      </c>
    </row>
    <row r="89" spans="2:9" outlineLevel="1" x14ac:dyDescent="0.35">
      <c r="B89" s="48" t="s">
        <v>90</v>
      </c>
      <c r="C89" s="89" t="s">
        <v>233</v>
      </c>
      <c r="D89" s="187">
        <f>'Παραδοχές μοναδιαίου κόστους'!E$12*'Ανάπτυξη δικτύου'!U31</f>
        <v>0</v>
      </c>
      <c r="E89" s="187">
        <f>'Παραδοχές μοναδιαίου κόστους'!F$12*'Ανάπτυξη δικτύου'!X31</f>
        <v>231320.13381037439</v>
      </c>
      <c r="F89" s="187">
        <f>'Παραδοχές μοναδιαίου κόστους'!G$12*'Ανάπτυξη δικτύου'!AA31</f>
        <v>0</v>
      </c>
      <c r="G89" s="187">
        <f>'Παραδοχές μοναδιαίου κόστους'!H$12*'Ανάπτυξη δικτύου'!AD31</f>
        <v>0</v>
      </c>
      <c r="H89" s="187">
        <f>'Παραδοχές μοναδιαίου κόστους'!I$12*'Ανάπτυξη δικτύου'!AG31</f>
        <v>0</v>
      </c>
      <c r="I89" s="170">
        <f t="shared" si="10"/>
        <v>231320.13381037439</v>
      </c>
    </row>
    <row r="90" spans="2:9" outlineLevel="1" x14ac:dyDescent="0.35">
      <c r="B90" s="48" t="s">
        <v>91</v>
      </c>
      <c r="C90" s="89" t="s">
        <v>233</v>
      </c>
      <c r="D90" s="187">
        <f>'Παραδοχές μοναδιαίου κόστους'!E$12*'Ανάπτυξη δικτύου'!U32</f>
        <v>0</v>
      </c>
      <c r="E90" s="187">
        <f>'Παραδοχές μοναδιαίου κόστους'!F$12*'Ανάπτυξη δικτύου'!X32</f>
        <v>0</v>
      </c>
      <c r="F90" s="187">
        <f>'Παραδοχές μοναδιαίου κόστους'!G$12*'Ανάπτυξη δικτύου'!AA32</f>
        <v>0</v>
      </c>
      <c r="G90" s="187">
        <f>'Παραδοχές μοναδιαίου κόστους'!H$12*'Ανάπτυξη δικτύου'!AD32</f>
        <v>0</v>
      </c>
      <c r="H90" s="187">
        <f>'Παραδοχές μοναδιαίου κόστους'!I$12*'Ανάπτυξη δικτύου'!AG32</f>
        <v>0</v>
      </c>
      <c r="I90" s="170">
        <f t="shared" si="10"/>
        <v>0</v>
      </c>
    </row>
    <row r="91" spans="2:9" outlineLevel="1" x14ac:dyDescent="0.35">
      <c r="B91" s="48" t="s">
        <v>92</v>
      </c>
      <c r="C91" s="89" t="s">
        <v>233</v>
      </c>
      <c r="D91" s="187">
        <f>'Παραδοχές μοναδιαίου κόστους'!E$12*'Ανάπτυξη δικτύου'!U33</f>
        <v>0</v>
      </c>
      <c r="E91" s="187">
        <f>'Παραδοχές μοναδιαίου κόστους'!F$12*'Ανάπτυξη δικτύου'!X33</f>
        <v>0</v>
      </c>
      <c r="F91" s="187">
        <f>'Παραδοχές μοναδιαίου κόστους'!G$12*'Ανάπτυξη δικτύου'!AA33</f>
        <v>0</v>
      </c>
      <c r="G91" s="187">
        <f>'Παραδοχές μοναδιαίου κόστους'!H$12*'Ανάπτυξη δικτύου'!AD33</f>
        <v>0</v>
      </c>
      <c r="H91" s="187">
        <f>'Παραδοχές μοναδιαίου κόστους'!I$12*'Ανάπτυξη δικτύου'!AG33</f>
        <v>0</v>
      </c>
      <c r="I91" s="170">
        <f t="shared" si="10"/>
        <v>0</v>
      </c>
    </row>
    <row r="92" spans="2:9" outlineLevel="1" x14ac:dyDescent="0.35">
      <c r="B92" s="48" t="s">
        <v>93</v>
      </c>
      <c r="C92" s="89" t="s">
        <v>233</v>
      </c>
      <c r="D92" s="187">
        <f>'Παραδοχές μοναδιαίου κόστους'!E$12*'Ανάπτυξη δικτύου'!U34</f>
        <v>0</v>
      </c>
      <c r="E92" s="187">
        <f>'Παραδοχές μοναδιαίου κόστους'!F$12*'Ανάπτυξη δικτύου'!X34</f>
        <v>0</v>
      </c>
      <c r="F92" s="187">
        <f>'Παραδοχές μοναδιαίου κόστους'!G$12*'Ανάπτυξη δικτύου'!AA34</f>
        <v>0</v>
      </c>
      <c r="G92" s="187">
        <f>'Παραδοχές μοναδιαίου κόστους'!H$12*'Ανάπτυξη δικτύου'!AD34</f>
        <v>0</v>
      </c>
      <c r="H92" s="187">
        <f>'Παραδοχές μοναδιαίου κόστους'!I$12*'Ανάπτυξη δικτύου'!AG34</f>
        <v>0</v>
      </c>
      <c r="I92" s="170">
        <f t="shared" si="10"/>
        <v>0</v>
      </c>
    </row>
    <row r="93" spans="2:9" outlineLevel="1" x14ac:dyDescent="0.35">
      <c r="B93" s="48" t="s">
        <v>94</v>
      </c>
      <c r="C93" s="89" t="s">
        <v>233</v>
      </c>
      <c r="D93" s="187">
        <f>'Παραδοχές μοναδιαίου κόστους'!E$12*'Ανάπτυξη δικτύου'!U35</f>
        <v>0</v>
      </c>
      <c r="E93" s="187">
        <f>'Παραδοχές μοναδιαίου κόστους'!F$12*'Ανάπτυξη δικτύου'!X35</f>
        <v>0</v>
      </c>
      <c r="F93" s="187">
        <f>'Παραδοχές μοναδιαίου κόστους'!G$12*'Ανάπτυξη δικτύου'!AA35</f>
        <v>0</v>
      </c>
      <c r="G93" s="187">
        <f>'Παραδοχές μοναδιαίου κόστους'!H$12*'Ανάπτυξη δικτύου'!AD35</f>
        <v>20316.881449301611</v>
      </c>
      <c r="H93" s="187">
        <f>'Παραδοχές μοναδιαίου κόστους'!I$12*'Ανάπτυξη δικτύου'!AG35</f>
        <v>0</v>
      </c>
      <c r="I93" s="170">
        <f t="shared" si="10"/>
        <v>20316.881449301611</v>
      </c>
    </row>
    <row r="94" spans="2:9" outlineLevel="1" x14ac:dyDescent="0.35">
      <c r="B94" s="48" t="s">
        <v>95</v>
      </c>
      <c r="C94" s="89" t="s">
        <v>233</v>
      </c>
      <c r="D94" s="187">
        <f>'Παραδοχές μοναδιαίου κόστους'!E$12*'Ανάπτυξη δικτύου'!U36</f>
        <v>16212.150184476806</v>
      </c>
      <c r="E94" s="187">
        <f>'Παραδοχές μοναδιαίου κόστους'!F$12*'Ανάπτυξη δικτύου'!X36</f>
        <v>0</v>
      </c>
      <c r="F94" s="187">
        <f>'Παραδοχές μοναδιαίου κόστους'!G$12*'Ανάπτυξη δικτύου'!AA36</f>
        <v>0</v>
      </c>
      <c r="G94" s="187">
        <f>'Παραδοχές μοναδιαίου κόστους'!H$12*'Ανάπτυξη δικτύου'!AD36</f>
        <v>0</v>
      </c>
      <c r="H94" s="187">
        <f>'Παραδοχές μοναδιαίου κόστους'!I$12*'Ανάπτυξη δικτύου'!AG36</f>
        <v>0</v>
      </c>
      <c r="I94" s="170">
        <f t="shared" si="10"/>
        <v>16212.150184476806</v>
      </c>
    </row>
    <row r="95" spans="2:9" outlineLevel="1" x14ac:dyDescent="0.35">
      <c r="B95" s="48" t="s">
        <v>96</v>
      </c>
      <c r="C95" s="89" t="s">
        <v>233</v>
      </c>
      <c r="D95" s="187">
        <f>'Παραδοχές μοναδιαίου κόστους'!E$12*'Ανάπτυξη δικτύου'!U37</f>
        <v>0</v>
      </c>
      <c r="E95" s="187">
        <f>'Παραδοχές μοναδιαίου κόστους'!F$12*'Ανάπτυξη δικτύου'!X37</f>
        <v>0</v>
      </c>
      <c r="F95" s="187">
        <f>'Παραδοχές μοναδιαίου κόστους'!G$12*'Ανάπτυξη δικτύου'!AA37</f>
        <v>0</v>
      </c>
      <c r="G95" s="187">
        <f>'Παραδοχές μοναδιαίου κόστους'!H$12*'Ανάπτυξη δικτύου'!AD37</f>
        <v>0</v>
      </c>
      <c r="H95" s="187">
        <f>'Παραδοχές μοναδιαίου κόστους'!I$12*'Ανάπτυξη δικτύου'!AG37</f>
        <v>0</v>
      </c>
      <c r="I95" s="170">
        <f t="shared" si="10"/>
        <v>0</v>
      </c>
    </row>
    <row r="96" spans="2:9" outlineLevel="1" x14ac:dyDescent="0.35">
      <c r="B96" s="48" t="s">
        <v>97</v>
      </c>
      <c r="C96" s="89" t="s">
        <v>233</v>
      </c>
      <c r="D96" s="187">
        <f>'Παραδοχές μοναδιαίου κόστους'!E$12*'Ανάπτυξη δικτύου'!U38</f>
        <v>0</v>
      </c>
      <c r="E96" s="187">
        <f>'Παραδοχές μοναδιαίου κόστους'!F$12*'Ανάπτυξη δικτύου'!X38</f>
        <v>0</v>
      </c>
      <c r="F96" s="187">
        <f>'Παραδοχές μοναδιαίου κόστους'!G$12*'Ανάπτυξη δικτύου'!AA38</f>
        <v>0</v>
      </c>
      <c r="G96" s="187">
        <f>'Παραδοχές μοναδιαίου κόστους'!H$12*'Ανάπτυξη δικτύου'!AD38</f>
        <v>0</v>
      </c>
      <c r="H96" s="187">
        <f>'Παραδοχές μοναδιαίου κόστους'!I$12*'Ανάπτυξη δικτύου'!AG38</f>
        <v>0</v>
      </c>
      <c r="I96" s="170">
        <f t="shared" si="10"/>
        <v>0</v>
      </c>
    </row>
    <row r="97" spans="2:9" outlineLevel="1" x14ac:dyDescent="0.35">
      <c r="B97" s="48" t="s">
        <v>98</v>
      </c>
      <c r="C97" s="89" t="s">
        <v>233</v>
      </c>
      <c r="D97" s="187">
        <f>'Παραδοχές μοναδιαίου κόστους'!E$12*'Ανάπτυξη δικτύου'!U39</f>
        <v>0</v>
      </c>
      <c r="E97" s="187">
        <f>'Παραδοχές μοναδιαίου κόστους'!F$12*'Ανάπτυξη δικτύου'!X39</f>
        <v>0</v>
      </c>
      <c r="F97" s="187">
        <f>'Παραδοχές μοναδιαίου κόστους'!G$12*'Ανάπτυξη δικτύου'!AA39</f>
        <v>0</v>
      </c>
      <c r="G97" s="187">
        <f>'Παραδοχές μοναδιαίου κόστους'!H$12*'Ανάπτυξη δικτύου'!AD39</f>
        <v>0</v>
      </c>
      <c r="H97" s="187">
        <f>'Παραδοχές μοναδιαίου κόστους'!I$12*'Ανάπτυξη δικτύου'!AG39</f>
        <v>0</v>
      </c>
      <c r="I97" s="170">
        <f t="shared" si="10"/>
        <v>0</v>
      </c>
    </row>
    <row r="98" spans="2:9" outlineLevel="1" x14ac:dyDescent="0.35">
      <c r="B98" s="48" t="s">
        <v>99</v>
      </c>
      <c r="C98" s="89" t="s">
        <v>233</v>
      </c>
      <c r="D98" s="187">
        <f>'Παραδοχές μοναδιαίου κόστους'!E$12*'Ανάπτυξη δικτύου'!U40</f>
        <v>0</v>
      </c>
      <c r="E98" s="187">
        <f>'Παραδοχές μοναδιαίου κόστους'!F$12*'Ανάπτυξη δικτύου'!X40</f>
        <v>458538.03864677169</v>
      </c>
      <c r="F98" s="187">
        <f>'Παραδοχές μοναδιαίου κόστους'!G$12*'Ανάπτυξη δικτύου'!AA40</f>
        <v>0</v>
      </c>
      <c r="G98" s="187">
        <f>'Παραδοχές μοναδιαίου κόστους'!H$12*'Ανάπτυξη δικτύου'!AD40</f>
        <v>0</v>
      </c>
      <c r="H98" s="187">
        <f>'Παραδοχές μοναδιαίου κόστους'!I$12*'Ανάπτυξη δικτύου'!AG40</f>
        <v>57782.173501170633</v>
      </c>
      <c r="I98" s="170">
        <f t="shared" si="10"/>
        <v>516320.21214794234</v>
      </c>
    </row>
    <row r="99" spans="2:9" outlineLevel="1" x14ac:dyDescent="0.35">
      <c r="B99" s="48" t="s">
        <v>100</v>
      </c>
      <c r="C99" s="89" t="s">
        <v>233</v>
      </c>
      <c r="D99" s="187">
        <f>'Παραδοχές μοναδιαίου κόστους'!E$12*'Ανάπτυξη δικτύου'!U41</f>
        <v>0</v>
      </c>
      <c r="E99" s="187">
        <f>'Παραδοχές μοναδιαίου κόστους'!F$12*'Ανάπτυξη δικτύου'!X41</f>
        <v>0</v>
      </c>
      <c r="F99" s="187">
        <f>'Παραδοχές μοναδιαίου κόστους'!G$12*'Ανάπτυξη δικτύου'!AA41</f>
        <v>192278.64719874316</v>
      </c>
      <c r="G99" s="187">
        <f>'Παραδοχές μοναδιαίου κόστους'!H$12*'Ανάπτυξη δικτύου'!AD41</f>
        <v>0</v>
      </c>
      <c r="H99" s="187">
        <f>'Παραδοχές μοναδιαίου κόστους'!I$12*'Ανάπτυξη δικτύου'!AG41</f>
        <v>0</v>
      </c>
      <c r="I99" s="170">
        <f t="shared" si="10"/>
        <v>192278.64719874316</v>
      </c>
    </row>
    <row r="100" spans="2:9" outlineLevel="1" x14ac:dyDescent="0.35">
      <c r="B100" s="48" t="s">
        <v>101</v>
      </c>
      <c r="C100" s="89" t="s">
        <v>233</v>
      </c>
      <c r="D100" s="187">
        <f>'Παραδοχές μοναδιαίου κόστους'!E$12*'Ανάπτυξη δικτύου'!U42</f>
        <v>0</v>
      </c>
      <c r="E100" s="187">
        <f>'Παραδοχές μοναδιαίου κόστους'!F$12*'Ανάπτυξη δικτύου'!X42</f>
        <v>0</v>
      </c>
      <c r="F100" s="187">
        <f>'Παραδοχές μοναδιαίου κόστους'!G$12*'Ανάπτυξη δικτύου'!AA42</f>
        <v>0</v>
      </c>
      <c r="G100" s="187">
        <f>'Παραδοχές μοναδιαίου κόστους'!H$12*'Ανάπτυξη δικτύου'!AD42</f>
        <v>0</v>
      </c>
      <c r="H100" s="187">
        <f>'Παραδοχές μοναδιαίου κόστους'!I$12*'Ανάπτυξη δικτύου'!AG42</f>
        <v>0</v>
      </c>
      <c r="I100" s="170">
        <f t="shared" si="10"/>
        <v>0</v>
      </c>
    </row>
    <row r="101" spans="2:9" outlineLevel="1" x14ac:dyDescent="0.35">
      <c r="B101" s="48" t="s">
        <v>102</v>
      </c>
      <c r="C101" s="89" t="s">
        <v>233</v>
      </c>
      <c r="D101" s="187">
        <f>'Παραδοχές μοναδιαίου κόστους'!E$12*'Ανάπτυξη δικτύου'!U43</f>
        <v>0</v>
      </c>
      <c r="E101" s="187">
        <f>'Παραδοχές μοναδιαίου κόστους'!F$12*'Ανάπτυξη δικτύου'!X43</f>
        <v>0</v>
      </c>
      <c r="F101" s="187">
        <f>'Παραδοχές μοναδιαίου κόστους'!G$12*'Ανάπτυξη δικτύου'!AA43</f>
        <v>0</v>
      </c>
      <c r="G101" s="187">
        <f>'Παραδοχές μοναδιαίου κόστους'!H$12*'Ανάπτυξη δικτύου'!AD43</f>
        <v>0</v>
      </c>
      <c r="H101" s="187">
        <f>'Παραδοχές μοναδιαίου κόστους'!I$12*'Ανάπτυξη δικτύου'!AG43</f>
        <v>0</v>
      </c>
      <c r="I101" s="170">
        <f t="shared" si="10"/>
        <v>0</v>
      </c>
    </row>
    <row r="102" spans="2:9" outlineLevel="1" x14ac:dyDescent="0.35">
      <c r="B102" s="48" t="s">
        <v>103</v>
      </c>
      <c r="C102" s="89" t="s">
        <v>233</v>
      </c>
      <c r="D102" s="187">
        <f>'Παραδοχές μοναδιαίου κόστους'!E$12*'Ανάπτυξη δικτύου'!U44</f>
        <v>0</v>
      </c>
      <c r="E102" s="187">
        <f>'Παραδοχές μοναδιαίου κόστους'!F$12*'Ανάπτυξη δικτύου'!X44</f>
        <v>0</v>
      </c>
      <c r="F102" s="187">
        <f>'Παραδοχές μοναδιαίου κόστους'!G$12*'Ανάπτυξη δικτύου'!AA44</f>
        <v>0</v>
      </c>
      <c r="G102" s="187">
        <f>'Παραδοχές μοναδιαίου κόστους'!H$12*'Ανάπτυξη δικτύου'!AD44</f>
        <v>0</v>
      </c>
      <c r="H102" s="187">
        <f>'Παραδοχές μοναδιαίου κόστους'!I$12*'Ανάπτυξη δικτύου'!AG44</f>
        <v>0</v>
      </c>
      <c r="I102" s="170">
        <f t="shared" si="10"/>
        <v>0</v>
      </c>
    </row>
    <row r="103" spans="2:9" outlineLevel="1" x14ac:dyDescent="0.35">
      <c r="B103" s="48" t="s">
        <v>104</v>
      </c>
      <c r="C103" s="89" t="s">
        <v>233</v>
      </c>
      <c r="D103" s="187">
        <f>'Παραδοχές μοναδιαίου κόστους'!E$12*'Ανάπτυξη δικτύου'!U45</f>
        <v>0</v>
      </c>
      <c r="E103" s="187">
        <f>'Παραδοχές μοναδιαίου κόστους'!F$12*'Ανάπτυξη δικτύου'!X45</f>
        <v>0</v>
      </c>
      <c r="F103" s="187">
        <f>'Παραδοχές μοναδιαίου κόστους'!G$12*'Ανάπτυξη δικτύου'!AA45</f>
        <v>0</v>
      </c>
      <c r="G103" s="187">
        <f>'Παραδοχές μοναδιαίου κόστους'!H$12*'Ανάπτυξη δικτύου'!AD45</f>
        <v>0</v>
      </c>
      <c r="H103" s="187">
        <f>'Παραδοχές μοναδιαίου κόστους'!I$12*'Ανάπτυξη δικτύου'!AG45</f>
        <v>0</v>
      </c>
      <c r="I103" s="170">
        <f t="shared" si="10"/>
        <v>0</v>
      </c>
    </row>
    <row r="104" spans="2:9" outlineLevel="1" x14ac:dyDescent="0.35">
      <c r="B104" s="48" t="s">
        <v>136</v>
      </c>
      <c r="C104" s="89" t="s">
        <v>233</v>
      </c>
      <c r="D104" s="187">
        <f>'Παραδοχές μοναδιαίου κόστους'!E$12*'Ανάπτυξη δικτύου'!U46</f>
        <v>0</v>
      </c>
      <c r="E104" s="187">
        <f>'Παραδοχές μοναδιαίου κόστους'!F$12*'Ανάπτυξη δικτύου'!X46</f>
        <v>0</v>
      </c>
      <c r="F104" s="187">
        <f>'Παραδοχές μοναδιαίου κόστους'!G$12*'Ανάπτυξη δικτύου'!AA46</f>
        <v>0</v>
      </c>
      <c r="G104" s="187">
        <f>'Παραδοχές μοναδιαίου κόστους'!H$12*'Ανάπτυξη δικτύου'!AD46</f>
        <v>0</v>
      </c>
      <c r="H104" s="187">
        <f>'Παραδοχές μοναδιαίου κόστους'!I$12*'Ανάπτυξη δικτύου'!AG46</f>
        <v>0</v>
      </c>
      <c r="I104" s="170">
        <f t="shared" si="10"/>
        <v>0</v>
      </c>
    </row>
    <row r="105" spans="2:9" outlineLevel="1" x14ac:dyDescent="0.35">
      <c r="B105" s="48" t="s">
        <v>106</v>
      </c>
      <c r="C105" s="89" t="s">
        <v>233</v>
      </c>
      <c r="D105" s="187">
        <f>'Παραδοχές μοναδιαίου κόστους'!E$12*'Ανάπτυξη δικτύου'!U47</f>
        <v>0</v>
      </c>
      <c r="E105" s="187">
        <f>'Παραδοχές μοναδιαίου κόστους'!F$12*'Ανάπτυξη δικτύου'!X47</f>
        <v>0</v>
      </c>
      <c r="F105" s="187">
        <f>'Παραδοχές μοναδιαίου κόστους'!G$12*'Ανάπτυξη δικτύου'!AA47</f>
        <v>0</v>
      </c>
      <c r="G105" s="187">
        <f>'Παραδοχές μοναδιαίου κόστους'!H$12*'Ανάπτυξη δικτύου'!AD47</f>
        <v>0</v>
      </c>
      <c r="H105" s="187">
        <f>'Παραδοχές μοναδιαίου κόστους'!I$12*'Ανάπτυξη δικτύου'!AG47</f>
        <v>0</v>
      </c>
      <c r="I105" s="170">
        <f t="shared" si="10"/>
        <v>0</v>
      </c>
    </row>
    <row r="106" spans="2:9" outlineLevel="1" x14ac:dyDescent="0.35">
      <c r="B106" s="48" t="s">
        <v>107</v>
      </c>
      <c r="C106" s="89" t="s">
        <v>233</v>
      </c>
      <c r="D106" s="187">
        <f>'Παραδοχές μοναδιαίου κόστους'!E$12*'Ανάπτυξη δικτύου'!U48</f>
        <v>0</v>
      </c>
      <c r="E106" s="187">
        <f>'Παραδοχές μοναδιαίου κόστους'!F$12*'Ανάπτυξη δικτύου'!X48</f>
        <v>0</v>
      </c>
      <c r="F106" s="187">
        <f>'Παραδοχές μοναδιαίου κόστους'!G$12*'Ανάπτυξη δικτύου'!AA48</f>
        <v>0</v>
      </c>
      <c r="G106" s="187">
        <f>'Παραδοχές μοναδιαίου κόστους'!H$12*'Ανάπτυξη δικτύου'!AD48</f>
        <v>0</v>
      </c>
      <c r="H106" s="187">
        <f>'Παραδοχές μοναδιαίου κόστους'!I$12*'Ανάπτυξη δικτύου'!AG48</f>
        <v>0</v>
      </c>
      <c r="I106" s="170">
        <f t="shared" si="10"/>
        <v>0</v>
      </c>
    </row>
    <row r="107" spans="2:9" outlineLevel="1" x14ac:dyDescent="0.35">
      <c r="B107" s="48" t="s">
        <v>108</v>
      </c>
      <c r="C107" s="89" t="s">
        <v>233</v>
      </c>
      <c r="D107" s="187">
        <f>'Παραδοχές μοναδιαίου κόστους'!E$12*'Ανάπτυξη δικτύου'!U49</f>
        <v>0</v>
      </c>
      <c r="E107" s="187">
        <f>'Παραδοχές μοναδιαίου κόστους'!F$12*'Ανάπτυξη δικτύου'!X49</f>
        <v>0</v>
      </c>
      <c r="F107" s="187">
        <f>'Παραδοχές μοναδιαίου κόστους'!G$12*'Ανάπτυξη δικτύου'!AA49</f>
        <v>208321.24291423685</v>
      </c>
      <c r="G107" s="187">
        <f>'Παραδοχές μοναδιαίου κόστους'!H$12*'Ανάπτυξη δικτύου'!AD49</f>
        <v>0</v>
      </c>
      <c r="H107" s="187">
        <f>'Παραδοχές μοναδιαίου κόστους'!I$12*'Ανάπτυξη δικτύου'!AG49</f>
        <v>0</v>
      </c>
      <c r="I107" s="170">
        <f t="shared" si="10"/>
        <v>208321.24291423685</v>
      </c>
    </row>
    <row r="108" spans="2:9" outlineLevel="1" x14ac:dyDescent="0.35">
      <c r="B108" s="48" t="s">
        <v>109</v>
      </c>
      <c r="C108" s="89" t="s">
        <v>233</v>
      </c>
      <c r="D108" s="187">
        <f>'Παραδοχές μοναδιαίου κόστους'!E$12*'Ανάπτυξη δικτύου'!U50</f>
        <v>0</v>
      </c>
      <c r="E108" s="187">
        <f>'Παραδοχές μοναδιαίου κόστους'!F$12*'Ανάπτυξη δικτύου'!X50</f>
        <v>11395.080483269674</v>
      </c>
      <c r="F108" s="187">
        <f>'Παραδοχές μοναδιαίου κόστους'!G$12*'Ανάπτυξη δικτύου'!AA50</f>
        <v>0</v>
      </c>
      <c r="G108" s="187">
        <f>'Παραδοχές μοναδιαίου κόστους'!H$12*'Ανάπτυξη δικτύου'!AD50</f>
        <v>0</v>
      </c>
      <c r="H108" s="187">
        <f>'Παραδοχές μοναδιαίου κόστους'!I$12*'Ανάπτυξη δικτύου'!AG50</f>
        <v>0</v>
      </c>
      <c r="I108" s="170">
        <f t="shared" si="10"/>
        <v>11395.080483269674</v>
      </c>
    </row>
    <row r="109" spans="2:9" outlineLevel="1" x14ac:dyDescent="0.35">
      <c r="B109" s="48" t="s">
        <v>110</v>
      </c>
      <c r="C109" s="89" t="s">
        <v>233</v>
      </c>
      <c r="D109" s="187">
        <f>'Παραδοχές μοναδιαίου κόστους'!E$12*'Ανάπτυξη δικτύου'!U51</f>
        <v>95496.227114041467</v>
      </c>
      <c r="E109" s="187">
        <f>'Παραδοχές μοναδιαίου κόστους'!F$12*'Ανάπτυξη δικτύου'!X51</f>
        <v>0</v>
      </c>
      <c r="F109" s="187">
        <f>'Παραδοχές μοναδιαίου κόστους'!G$12*'Ανάπτυξη δικτύου'!AA51</f>
        <v>0</v>
      </c>
      <c r="G109" s="187">
        <f>'Παραδοχές μοναδιαίου κόστους'!H$12*'Ανάπτυξη δικτύου'!AD51</f>
        <v>0</v>
      </c>
      <c r="H109" s="187">
        <f>'Παραδοχές μοναδιαίου κόστους'!I$12*'Ανάπτυξη δικτύου'!AG51</f>
        <v>0</v>
      </c>
      <c r="I109" s="170">
        <f t="shared" si="10"/>
        <v>95496.227114041467</v>
      </c>
    </row>
    <row r="110" spans="2:9" outlineLevel="1" x14ac:dyDescent="0.35">
      <c r="B110" s="48" t="s">
        <v>111</v>
      </c>
      <c r="C110" s="89" t="s">
        <v>233</v>
      </c>
      <c r="D110" s="187">
        <f>'Παραδοχές μοναδιαίου κόστους'!E$12*'Ανάπτυξη δικτύου'!U52</f>
        <v>0</v>
      </c>
      <c r="E110" s="187">
        <f>'Παραδοχές μοναδιαίου κόστους'!F$12*'Ανάπτυξη δικτύου'!X52</f>
        <v>0</v>
      </c>
      <c r="F110" s="187">
        <f>'Παραδοχές μοναδιαίου κόστους'!G$12*'Ανάπτυξη δικτύου'!AA52</f>
        <v>0</v>
      </c>
      <c r="G110" s="187">
        <f>'Παραδοχές μοναδιαίου κόστους'!H$12*'Ανάπτυξη δικτύου'!AD52</f>
        <v>0</v>
      </c>
      <c r="H110" s="187">
        <f>'Παραδοχές μοναδιαίου κόστους'!I$12*'Ανάπτυξη δικτύου'!AG52</f>
        <v>0</v>
      </c>
      <c r="I110" s="170">
        <f t="shared" si="10"/>
        <v>0</v>
      </c>
    </row>
    <row r="111" spans="2:9" outlineLevel="1" x14ac:dyDescent="0.35">
      <c r="B111" s="48" t="s">
        <v>112</v>
      </c>
      <c r="C111" s="89" t="s">
        <v>233</v>
      </c>
      <c r="D111" s="187">
        <f>'Παραδοχές μοναδιαίου κόστους'!E$12*'Ανάπτυξη δικτύου'!U53</f>
        <v>0</v>
      </c>
      <c r="E111" s="187">
        <f>'Παραδοχές μοναδιαίου κόστους'!F$12*'Ανάπτυξη δικτύου'!X53</f>
        <v>0</v>
      </c>
      <c r="F111" s="187">
        <f>'Παραδοχές μοναδιαίου κόστους'!G$12*'Ανάπτυξη δικτύου'!AA53</f>
        <v>0</v>
      </c>
      <c r="G111" s="187">
        <f>'Παραδοχές μοναδιαίου κόστους'!H$12*'Ανάπτυξη δικτύου'!AD53</f>
        <v>0</v>
      </c>
      <c r="H111" s="187">
        <f>'Παραδοχές μοναδιαίου κόστους'!I$12*'Ανάπτυξη δικτύου'!AG53</f>
        <v>192357.10572467628</v>
      </c>
      <c r="I111" s="170">
        <f t="shared" si="10"/>
        <v>192357.10572467628</v>
      </c>
    </row>
    <row r="112" spans="2:9" outlineLevel="1" x14ac:dyDescent="0.35">
      <c r="B112" s="48" t="s">
        <v>113</v>
      </c>
      <c r="C112" s="89" t="s">
        <v>233</v>
      </c>
      <c r="D112" s="187">
        <f>'Παραδοχές μοναδιαίου κόστους'!E$12*'Ανάπτυξη δικτύου'!U54</f>
        <v>0</v>
      </c>
      <c r="E112" s="187">
        <f>'Παραδοχές μοναδιαίου κόστους'!F$12*'Ανάπτυξη δικτύου'!X54</f>
        <v>0</v>
      </c>
      <c r="F112" s="187">
        <f>'Παραδοχές μοναδιαίου κόστους'!G$12*'Ανάπτυξη δικτύου'!AA54</f>
        <v>0</v>
      </c>
      <c r="G112" s="187">
        <f>'Παραδοχές μοναδιαίου κόστους'!H$12*'Ανάπτυξη δικτύου'!AD54</f>
        <v>0</v>
      </c>
      <c r="H112" s="187">
        <f>'Παραδοχές μοναδιαίου κόστους'!I$12*'Ανάπτυξη δικτύου'!AG54</f>
        <v>0</v>
      </c>
      <c r="I112" s="170">
        <f t="shared" si="10"/>
        <v>0</v>
      </c>
    </row>
    <row r="113" spans="2:9" outlineLevel="1" x14ac:dyDescent="0.35">
      <c r="B113" s="48" t="s">
        <v>114</v>
      </c>
      <c r="C113" s="89" t="s">
        <v>233</v>
      </c>
      <c r="D113" s="187">
        <f>'Παραδοχές μοναδιαίου κόστους'!E$12*'Ανάπτυξη δικτύου'!U55</f>
        <v>0</v>
      </c>
      <c r="E113" s="187">
        <f>'Παραδοχές μοναδιαίου κόστους'!F$12*'Ανάπτυξη δικτύου'!X55</f>
        <v>0</v>
      </c>
      <c r="F113" s="187">
        <f>'Παραδοχές μοναδιαίου κόστους'!G$12*'Ανάπτυξη δικτύου'!AA55</f>
        <v>0</v>
      </c>
      <c r="G113" s="187">
        <f>'Παραδοχές μοναδιαίου κόστους'!H$12*'Ανάπτυξη δικτύου'!AD55</f>
        <v>0</v>
      </c>
      <c r="H113" s="187">
        <f>'Παραδοχές μοναδιαίου κόστους'!I$12*'Ανάπτυξη δικτύου'!AG55</f>
        <v>0</v>
      </c>
      <c r="I113" s="170">
        <f t="shared" si="10"/>
        <v>0</v>
      </c>
    </row>
    <row r="114" spans="2:9" outlineLevel="1" x14ac:dyDescent="0.35">
      <c r="B114" s="48" t="s">
        <v>115</v>
      </c>
      <c r="C114" s="89" t="s">
        <v>233</v>
      </c>
      <c r="D114" s="187">
        <f>'Παραδοχές μοναδιαίου κόστους'!E$12*'Ανάπτυξη δικτύου'!U56</f>
        <v>0</v>
      </c>
      <c r="E114" s="187">
        <f>'Παραδοχές μοναδιαίου κόστους'!F$12*'Ανάπτυξη δικτύου'!X56</f>
        <v>0</v>
      </c>
      <c r="F114" s="187">
        <f>'Παραδοχές μοναδιαίου κόστους'!G$12*'Ανάπτυξη δικτύου'!AA56</f>
        <v>0</v>
      </c>
      <c r="G114" s="187">
        <f>'Παραδοχές μοναδιαίου κόστους'!H$12*'Ανάπτυξη δικτύου'!AD56</f>
        <v>0</v>
      </c>
      <c r="H114" s="187">
        <f>'Παραδοχές μοναδιαίου κόστους'!I$12*'Ανάπτυξη δικτύου'!AG56</f>
        <v>0</v>
      </c>
      <c r="I114" s="170">
        <f t="shared" si="10"/>
        <v>0</v>
      </c>
    </row>
    <row r="115" spans="2:9" outlineLevel="1" x14ac:dyDescent="0.35">
      <c r="B115" s="48" t="s">
        <v>116</v>
      </c>
      <c r="C115" s="89" t="s">
        <v>233</v>
      </c>
      <c r="D115" s="187">
        <f>'Παραδοχές μοναδιαίου κόστους'!E$12*'Ανάπτυξη δικτύου'!U57</f>
        <v>0</v>
      </c>
      <c r="E115" s="187">
        <f>'Παραδοχές μοναδιαίου κόστους'!F$12*'Ανάπτυξη δικτύου'!X57</f>
        <v>0</v>
      </c>
      <c r="F115" s="187">
        <f>'Παραδοχές μοναδιαίου κόστους'!G$12*'Ανάπτυξη δικτύου'!AA57</f>
        <v>0</v>
      </c>
      <c r="G115" s="187">
        <f>'Παραδοχές μοναδιαίου κόστους'!H$12*'Ανάπτυξη δικτύου'!AD57</f>
        <v>0</v>
      </c>
      <c r="H115" s="187">
        <f>'Παραδοχές μοναδιαίου κόστους'!I$12*'Ανάπτυξη δικτύου'!AG57</f>
        <v>0</v>
      </c>
      <c r="I115" s="170">
        <f t="shared" si="10"/>
        <v>0</v>
      </c>
    </row>
    <row r="116" spans="2:9" outlineLevel="1" x14ac:dyDescent="0.35">
      <c r="B116" s="48" t="s">
        <v>117</v>
      </c>
      <c r="C116" s="89" t="s">
        <v>233</v>
      </c>
      <c r="D116" s="187">
        <f>'Παραδοχές μοναδιαίου κόστους'!E$12*'Ανάπτυξη δικτύου'!U58</f>
        <v>0</v>
      </c>
      <c r="E116" s="187">
        <f>'Παραδοχές μοναδιαίου κόστους'!F$12*'Ανάπτυξη δικτύου'!X58</f>
        <v>0</v>
      </c>
      <c r="F116" s="187">
        <f>'Παραδοχές μοναδιαίου κόστους'!G$12*'Ανάπτυξη δικτύου'!AA58</f>
        <v>0</v>
      </c>
      <c r="G116" s="187">
        <f>'Παραδοχές μοναδιαίου κόστους'!H$12*'Ανάπτυξη δικτύου'!AD58</f>
        <v>0</v>
      </c>
      <c r="H116" s="187">
        <f>'Παραδοχές μοναδιαίου κόστους'!I$12*'Ανάπτυξη δικτύου'!AG58</f>
        <v>0</v>
      </c>
      <c r="I116" s="170">
        <f t="shared" si="10"/>
        <v>0</v>
      </c>
    </row>
    <row r="117" spans="2:9" outlineLevel="1" x14ac:dyDescent="0.35">
      <c r="B117" s="48" t="s">
        <v>118</v>
      </c>
      <c r="C117" s="89" t="s">
        <v>233</v>
      </c>
      <c r="D117" s="187">
        <f>'Παραδοχές μοναδιαίου κόστους'!E$12*'Ανάπτυξη δικτύου'!U59</f>
        <v>0</v>
      </c>
      <c r="E117" s="187">
        <f>'Παραδοχές μοναδιαίου κόστους'!F$12*'Ανάπτυξη δικτύου'!X59</f>
        <v>0</v>
      </c>
      <c r="F117" s="187">
        <f>'Παραδοχές μοναδιαίου κόστους'!G$12*'Ανάπτυξη δικτύου'!AA59</f>
        <v>79515.47441592523</v>
      </c>
      <c r="G117" s="187">
        <f>'Παραδοχές μοναδιαίου κόστους'!H$12*'Ανάπτυξη δικτύου'!AD59</f>
        <v>278389.6493826923</v>
      </c>
      <c r="H117" s="187">
        <f>'Παραδοχές μοναδιαίου κόστους'!I$12*'Ανάπτυξη δικτύου'!AG59</f>
        <v>0</v>
      </c>
      <c r="I117" s="170">
        <f t="shared" si="10"/>
        <v>357905.12379861751</v>
      </c>
    </row>
    <row r="118" spans="2:9" outlineLevel="1" x14ac:dyDescent="0.35">
      <c r="B118" s="48" t="s">
        <v>119</v>
      </c>
      <c r="C118" s="89" t="s">
        <v>233</v>
      </c>
      <c r="D118" s="187">
        <f>'Παραδοχές μοναδιαίου κόστους'!E$12*'Ανάπτυξη δικτύου'!U60</f>
        <v>0</v>
      </c>
      <c r="E118" s="187">
        <f>'Παραδοχές μοναδιαίου κόστους'!F$12*'Ανάπτυξη δικτύου'!X60</f>
        <v>0</v>
      </c>
      <c r="F118" s="187">
        <f>'Παραδοχές μοναδιαίου κόστους'!G$12*'Ανάπτυξη δικτύου'!AA60</f>
        <v>0</v>
      </c>
      <c r="G118" s="187">
        <f>'Παραδοχές μοναδιαίου κόστους'!H$12*'Ανάπτυξη δικτύου'!AD60</f>
        <v>0</v>
      </c>
      <c r="H118" s="187">
        <f>'Παραδοχές μοναδιαίου κόστους'!I$12*'Ανάπτυξη δικτύου'!AG60</f>
        <v>0</v>
      </c>
      <c r="I118" s="170">
        <f t="shared" si="10"/>
        <v>0</v>
      </c>
    </row>
    <row r="119" spans="2:9" outlineLevel="1" x14ac:dyDescent="0.35">
      <c r="B119" s="48" t="s">
        <v>120</v>
      </c>
      <c r="C119" s="89" t="s">
        <v>233</v>
      </c>
      <c r="D119" s="187">
        <f>'Παραδοχές μοναδιαίου κόστους'!E$12*'Ανάπτυξη δικτύου'!U61</f>
        <v>0</v>
      </c>
      <c r="E119" s="187">
        <f>'Παραδοχές μοναδιαίου κόστους'!F$12*'Ανάπτυξη δικτύου'!X61</f>
        <v>140387.39155388239</v>
      </c>
      <c r="F119" s="187">
        <f>'Παραδοχές μοναδιαίου κόστους'!G$12*'Ανάπτυξη δικτύου'!AA61</f>
        <v>0</v>
      </c>
      <c r="G119" s="187">
        <f>'Παραδοχές μοναδιαίου κόστους'!H$12*'Ανάπτυξη δικτύου'!AD61</f>
        <v>0</v>
      </c>
      <c r="H119" s="187">
        <f>'Παραδοχές μοναδιαίου κόστους'!I$12*'Ανάπτυξη δικτύου'!AG61</f>
        <v>0</v>
      </c>
      <c r="I119" s="170">
        <f t="shared" si="10"/>
        <v>140387.39155388239</v>
      </c>
    </row>
    <row r="120" spans="2:9" outlineLevel="1" x14ac:dyDescent="0.35">
      <c r="B120" s="48" t="s">
        <v>121</v>
      </c>
      <c r="C120" s="89" t="s">
        <v>233</v>
      </c>
      <c r="D120" s="187">
        <f>'Παραδοχές μοναδιαίου κόστους'!E$12*'Ανάπτυξη δικτύου'!U62</f>
        <v>0</v>
      </c>
      <c r="E120" s="187">
        <f>'Παραδοχές μοναδιαίου κόστους'!F$12*'Ανάπτυξη δικτύου'!X62</f>
        <v>0</v>
      </c>
      <c r="F120" s="187">
        <f>'Παραδοχές μοναδιαίου κόστους'!G$12*'Ανάπτυξη δικτύου'!AA62</f>
        <v>0</v>
      </c>
      <c r="G120" s="187">
        <f>'Παραδοχές μοναδιαίου κόστους'!H$12*'Ανάπτυξη δικτύου'!AD62</f>
        <v>0</v>
      </c>
      <c r="H120" s="187">
        <f>'Παραδοχές μοναδιαίου κόστους'!I$12*'Ανάπτυξη δικτύου'!AG62</f>
        <v>0</v>
      </c>
      <c r="I120" s="170">
        <f t="shared" si="10"/>
        <v>0</v>
      </c>
    </row>
    <row r="121" spans="2:9" outlineLevel="1" x14ac:dyDescent="0.35">
      <c r="B121" s="323" t="s">
        <v>137</v>
      </c>
      <c r="C121" s="89" t="s">
        <v>233</v>
      </c>
      <c r="D121" s="187">
        <f>'Παραδοχές μοναδιαίου κόστους'!E$12*'Ανάπτυξη δικτύου'!U63</f>
        <v>0</v>
      </c>
      <c r="E121" s="187">
        <f>'Παραδοχές μοναδιαίου κόστους'!F$12*'Ανάπτυξη δικτύου'!X63</f>
        <v>0</v>
      </c>
      <c r="F121" s="187">
        <f>'Παραδοχές μοναδιαίου κόστους'!G$12*'Ανάπτυξη δικτύου'!AA63</f>
        <v>0</v>
      </c>
      <c r="G121" s="187">
        <f>'Παραδοχές μοναδιαίου κόστους'!H$12*'Ανάπτυξη δικτύου'!AD63</f>
        <v>0</v>
      </c>
      <c r="H121" s="187">
        <f>'Παραδοχές μοναδιαίου κόστους'!I$12*'Ανάπτυξη δικτύου'!AG63</f>
        <v>0</v>
      </c>
      <c r="I121" s="170">
        <f t="shared" si="10"/>
        <v>0</v>
      </c>
    </row>
    <row r="122" spans="2:9" outlineLevel="1" x14ac:dyDescent="0.35">
      <c r="B122" s="324" t="s">
        <v>123</v>
      </c>
      <c r="C122" s="89" t="s">
        <v>233</v>
      </c>
      <c r="D122" s="187">
        <f>'Παραδοχές μοναδιαίου κόστους'!E$12*'Ανάπτυξη δικτύου'!U64</f>
        <v>0</v>
      </c>
      <c r="E122" s="187">
        <f>'Παραδοχές μοναδιαίου κόστους'!F$12*'Ανάπτυξη δικτύου'!X64</f>
        <v>0</v>
      </c>
      <c r="F122" s="187">
        <f>'Παραδοχές μοναδιαίου κόστους'!G$12*'Ανάπτυξη δικτύου'!AA64</f>
        <v>0</v>
      </c>
      <c r="G122" s="187">
        <f>'Παραδοχές μοναδιαίου κόστους'!H$12*'Ανάπτυξη δικτύου'!AD64</f>
        <v>0</v>
      </c>
      <c r="H122" s="187">
        <f>'Παραδοχές μοναδιαίου κόστους'!I$12*'Ανάπτυξη δικτύου'!AG64</f>
        <v>0</v>
      </c>
      <c r="I122" s="170">
        <f t="shared" si="10"/>
        <v>0</v>
      </c>
    </row>
    <row r="123" spans="2:9" outlineLevel="1" x14ac:dyDescent="0.35">
      <c r="B123" s="324" t="s">
        <v>124</v>
      </c>
      <c r="C123" s="89" t="s">
        <v>233</v>
      </c>
      <c r="D123" s="187">
        <f>'Παραδοχές μοναδιαίου κόστους'!E$12*'Ανάπτυξη δικτύου'!U65</f>
        <v>0</v>
      </c>
      <c r="E123" s="187">
        <f>'Παραδοχές μοναδιαίου κόστους'!F$12*'Ανάπτυξη δικτύου'!X65</f>
        <v>0</v>
      </c>
      <c r="F123" s="187">
        <f>'Παραδοχές μοναδιαίου κόστους'!G$12*'Ανάπτυξη δικτύου'!AA65</f>
        <v>0</v>
      </c>
      <c r="G123" s="187">
        <f>'Παραδοχές μοναδιαίου κόστους'!H$12*'Ανάπτυξη δικτύου'!AD65</f>
        <v>0</v>
      </c>
      <c r="H123" s="187">
        <f>'Παραδοχές μοναδιαίου κόστους'!I$12*'Ανάπτυξη δικτύου'!AG65</f>
        <v>0</v>
      </c>
      <c r="I123" s="170">
        <f t="shared" ref="I123:I126" si="11">D123+E123+F123+G123+H123</f>
        <v>0</v>
      </c>
    </row>
    <row r="124" spans="2:9" outlineLevel="1" x14ac:dyDescent="0.35">
      <c r="B124" s="323" t="s">
        <v>125</v>
      </c>
      <c r="C124" s="89" t="s">
        <v>233</v>
      </c>
      <c r="D124" s="187">
        <f>'Παραδοχές μοναδιαίου κόστους'!E$12*'Ανάπτυξη δικτύου'!U66</f>
        <v>0</v>
      </c>
      <c r="E124" s="187">
        <f>'Παραδοχές μοναδιαίου κόστους'!F$12*'Ανάπτυξη δικτύου'!X66</f>
        <v>0</v>
      </c>
      <c r="F124" s="187">
        <f>'Παραδοχές μοναδιαίου κόστους'!G$12*'Ανάπτυξη δικτύου'!AA66</f>
        <v>0</v>
      </c>
      <c r="G124" s="187">
        <f>'Παραδοχές μοναδιαίου κόστους'!H$12*'Ανάπτυξη δικτύου'!AD66</f>
        <v>0</v>
      </c>
      <c r="H124" s="187">
        <f>'Παραδοχές μοναδιαίου κόστους'!I$12*'Ανάπτυξη δικτύου'!AG66</f>
        <v>0</v>
      </c>
      <c r="I124" s="170">
        <f t="shared" si="11"/>
        <v>0</v>
      </c>
    </row>
    <row r="125" spans="2:9" outlineLevel="1" x14ac:dyDescent="0.35">
      <c r="B125" s="324" t="s">
        <v>126</v>
      </c>
      <c r="C125" s="89" t="s">
        <v>233</v>
      </c>
      <c r="D125" s="187">
        <f>'Παραδοχές μοναδιαίου κόστους'!E$12*'Ανάπτυξη δικτύου'!U67</f>
        <v>0</v>
      </c>
      <c r="E125" s="187">
        <f>'Παραδοχές μοναδιαίου κόστους'!F$12*'Ανάπτυξη δικτύου'!X67</f>
        <v>0</v>
      </c>
      <c r="F125" s="187">
        <f>'Παραδοχές μοναδιαίου κόστους'!G$12*'Ανάπτυξη δικτύου'!AA67</f>
        <v>0</v>
      </c>
      <c r="G125" s="187">
        <f>'Παραδοχές μοναδιαίου κόστους'!H$12*'Ανάπτυξη δικτύου'!AD67</f>
        <v>0</v>
      </c>
      <c r="H125" s="187">
        <f>'Παραδοχές μοναδιαίου κόστους'!I$12*'Ανάπτυξη δικτύου'!AG67</f>
        <v>0</v>
      </c>
      <c r="I125" s="170">
        <f t="shared" si="11"/>
        <v>0</v>
      </c>
    </row>
    <row r="126" spans="2:9" outlineLevel="1" x14ac:dyDescent="0.35">
      <c r="B126" s="323" t="s">
        <v>127</v>
      </c>
      <c r="C126" s="89" t="s">
        <v>233</v>
      </c>
      <c r="D126" s="187">
        <f>'Παραδοχές μοναδιαίου κόστους'!E$12*'Ανάπτυξη δικτύου'!U68</f>
        <v>0</v>
      </c>
      <c r="E126" s="187">
        <f>'Παραδοχές μοναδιαίου κόστους'!F$12*'Ανάπτυξη δικτύου'!X68</f>
        <v>0</v>
      </c>
      <c r="F126" s="187">
        <f>'Παραδοχές μοναδιαίου κόστους'!G$12*'Ανάπτυξη δικτύου'!AA68</f>
        <v>0</v>
      </c>
      <c r="G126" s="187">
        <f>'Παραδοχές μοναδιαίου κόστους'!H$12*'Ανάπτυξη δικτύου'!AD68</f>
        <v>0</v>
      </c>
      <c r="H126" s="187">
        <f>'Παραδοχές μοναδιαίου κόστους'!I$12*'Ανάπτυξη δικτύου'!AG68</f>
        <v>0</v>
      </c>
      <c r="I126" s="170">
        <f t="shared" si="11"/>
        <v>0</v>
      </c>
    </row>
    <row r="127" spans="2:9" outlineLevel="1" x14ac:dyDescent="0.35">
      <c r="B127" s="477" t="s">
        <v>151</v>
      </c>
      <c r="C127" s="478"/>
      <c r="D127" s="478"/>
      <c r="E127" s="478"/>
      <c r="F127" s="478"/>
      <c r="G127" s="478"/>
      <c r="H127" s="478"/>
      <c r="I127" s="480"/>
    </row>
    <row r="128" spans="2:9" outlineLevel="1" x14ac:dyDescent="0.35">
      <c r="B128" s="48" t="s">
        <v>140</v>
      </c>
      <c r="C128" s="89" t="s">
        <v>233</v>
      </c>
      <c r="D128" s="188">
        <f>SUM(D73:D126)</f>
        <v>291596.61907148012</v>
      </c>
      <c r="E128" s="188">
        <f t="shared" ref="E128:I128" si="12">SUM(E73:E126)</f>
        <v>911606.43866157392</v>
      </c>
      <c r="F128" s="188">
        <f t="shared" si="12"/>
        <v>593111.03869890422</v>
      </c>
      <c r="G128" s="188">
        <f t="shared" si="12"/>
        <v>725602.90890362894</v>
      </c>
      <c r="H128" s="188">
        <f t="shared" si="12"/>
        <v>250139.27922584693</v>
      </c>
      <c r="I128" s="188">
        <f t="shared" si="12"/>
        <v>2772056.2845614343</v>
      </c>
    </row>
    <row r="130" spans="2:37" ht="15.5" x14ac:dyDescent="0.35">
      <c r="B130" s="419" t="s">
        <v>183</v>
      </c>
      <c r="C130" s="419"/>
      <c r="D130" s="419"/>
      <c r="E130" s="419"/>
      <c r="F130" s="419"/>
      <c r="G130" s="419"/>
      <c r="H130" s="419"/>
      <c r="I130" s="419"/>
    </row>
    <row r="131" spans="2:37" ht="5.9" customHeight="1" outlineLevel="1" x14ac:dyDescent="0.35">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row>
    <row r="132" spans="2:37" outlineLevel="1" x14ac:dyDescent="0.35">
      <c r="B132" s="75"/>
      <c r="C132" s="61" t="s">
        <v>134</v>
      </c>
      <c r="D132" s="79">
        <f>$C$3</f>
        <v>2024</v>
      </c>
      <c r="E132" s="79">
        <f>$C$3+1</f>
        <v>2025</v>
      </c>
      <c r="F132" s="79">
        <f>$C$3+2</f>
        <v>2026</v>
      </c>
      <c r="G132" s="79">
        <f>$C$3+3</f>
        <v>2027</v>
      </c>
      <c r="H132" s="79">
        <f>$C$3+4</f>
        <v>2028</v>
      </c>
      <c r="I132" s="78" t="str">
        <f xml:space="preserve"> D132&amp;" - "&amp;H132</f>
        <v>2024 - 2028</v>
      </c>
    </row>
    <row r="133" spans="2:37" outlineLevel="1" x14ac:dyDescent="0.35">
      <c r="B133" s="48" t="s">
        <v>74</v>
      </c>
      <c r="C133" s="89" t="s">
        <v>233</v>
      </c>
      <c r="D133" s="187">
        <f>'Παραδοχές μοναδιαίου κόστους'!E$17*'Ανάπτυξη δικτύου'!U77</f>
        <v>0</v>
      </c>
      <c r="E133" s="187">
        <f>'Παραδοχές μοναδιαίου κόστους'!F$17*'Ανάπτυξη δικτύου'!X77</f>
        <v>251691.88149470813</v>
      </c>
      <c r="F133" s="187">
        <f>'Παραδοχές μοναδιαίου κόστους'!G$17*'Ανάπτυξη δικτύου'!AA77</f>
        <v>308593.35905923176</v>
      </c>
      <c r="G133" s="187">
        <f>'Παραδοχές μοναδιαίου κόστους'!H$17*'Ανάπτυξη δικτύου'!AD77</f>
        <v>0</v>
      </c>
      <c r="H133" s="187">
        <f>'Παραδοχές μοναδιαίου κόστους'!I$17*'Ανάπτυξη δικτύου'!AG77</f>
        <v>111979.46911077978</v>
      </c>
      <c r="I133" s="170">
        <f t="shared" ref="I133" si="13">D133+E133+F133+G133+H133</f>
        <v>672264.70966471976</v>
      </c>
    </row>
    <row r="134" spans="2:37" outlineLevel="1" x14ac:dyDescent="0.35">
      <c r="B134" s="48" t="s">
        <v>75</v>
      </c>
      <c r="C134" s="89" t="s">
        <v>233</v>
      </c>
      <c r="D134" s="187">
        <f>'Παραδοχές μοναδιαίου κόστους'!E$17*'Ανάπτυξη δικτύου'!U78</f>
        <v>5590.196211907386</v>
      </c>
      <c r="E134" s="187">
        <f>'Παραδοχές μοναδιαίου κόστους'!F$17*'Ανάπτυξη δικτύου'!X78</f>
        <v>272213.92843598826</v>
      </c>
      <c r="F134" s="187">
        <f>'Παραδοχές μοναδιαίου κόστους'!G$17*'Ανάπτυξη δικτύου'!AA78</f>
        <v>75007.132689754406</v>
      </c>
      <c r="G134" s="187">
        <f>'Παραδοχές μοναδιαίου κόστους'!H$17*'Ανάπτυξη δικτύου'!AD78</f>
        <v>150070.81673363366</v>
      </c>
      <c r="H134" s="187">
        <f>'Παραδοχές μοναδιαίου κόστους'!I$17*'Ανάπτυξη δικτύου'!AG78</f>
        <v>45887.033716559003</v>
      </c>
      <c r="I134" s="170">
        <f t="shared" ref="I134:I182" si="14">D134+E134+F134+G134+H134</f>
        <v>548769.10778784263</v>
      </c>
    </row>
    <row r="135" spans="2:37" outlineLevel="1" x14ac:dyDescent="0.35">
      <c r="B135" s="48" t="s">
        <v>76</v>
      </c>
      <c r="C135" s="89" t="s">
        <v>233</v>
      </c>
      <c r="D135" s="187">
        <f>'Παραδοχές μοναδιαίου κόστους'!E$17*'Ανάπτυξη δικτύου'!U79</f>
        <v>37325.310091812389</v>
      </c>
      <c r="E135" s="187">
        <f>'Παραδοχές μοναδιαίου κόστους'!F$17*'Ανάπτυξη δικτύου'!X79</f>
        <v>280100.50019441405</v>
      </c>
      <c r="F135" s="187">
        <f>'Παραδοχές μοναδιαίου κόστους'!G$17*'Ανάπτυξη δικτύου'!AA79</f>
        <v>608535.37640107551</v>
      </c>
      <c r="G135" s="187">
        <f>'Παραδοχές μοναδιαίου κόστους'!H$17*'Ανάπτυξη δικτύου'!AD79</f>
        <v>255530.91651726922</v>
      </c>
      <c r="H135" s="187">
        <f>'Παραδοχές μοναδιαίου κόστους'!I$17*'Ανάπτυξη δικτύου'!AG79</f>
        <v>392777.90177136922</v>
      </c>
      <c r="I135" s="170">
        <f t="shared" si="14"/>
        <v>1574270.0049759403</v>
      </c>
    </row>
    <row r="136" spans="2:37" outlineLevel="1" x14ac:dyDescent="0.35">
      <c r="B136" s="48" t="s">
        <v>77</v>
      </c>
      <c r="C136" s="89" t="s">
        <v>233</v>
      </c>
      <c r="D136" s="187">
        <f>'Παραδοχές μοναδιαίου κόστους'!E$17*'Ανάπτυξη δικτύου'!U80</f>
        <v>0</v>
      </c>
      <c r="E136" s="187">
        <f>'Παραδοχές μοναδιαίου κόστους'!F$17*'Ανάπτυξη δικτύου'!X80</f>
        <v>0</v>
      </c>
      <c r="F136" s="187">
        <f>'Παραδοχές μοναδιαίου κόστους'!G$17*'Ανάπτυξη δικτύου'!AA80</f>
        <v>132711.58194473269</v>
      </c>
      <c r="G136" s="187">
        <f>'Παραδοχές μοναδιαίου κόστους'!H$17*'Ανάπτυξη δικτύου'!AD80</f>
        <v>69059.944235477611</v>
      </c>
      <c r="H136" s="187">
        <f>'Παραδοχές μοναδιαίου κόστους'!I$17*'Ανάπτυξη δικτύου'!AG80</f>
        <v>0</v>
      </c>
      <c r="I136" s="170">
        <f t="shared" si="14"/>
        <v>201771.52618021029</v>
      </c>
    </row>
    <row r="137" spans="2:37" outlineLevel="1" x14ac:dyDescent="0.35">
      <c r="B137" s="48" t="s">
        <v>78</v>
      </c>
      <c r="C137" s="89" t="s">
        <v>233</v>
      </c>
      <c r="D137" s="187">
        <f>'Παραδοχές μοναδιαίου κόστους'!E$17*'Ανάπτυξη δικτύου'!U81</f>
        <v>376607.21864526835</v>
      </c>
      <c r="E137" s="187">
        <f>'Παραδοχές μοναδιαίου κόστους'!F$17*'Ανάπτυξη δικτύου'!X81</f>
        <v>756008.46479963709</v>
      </c>
      <c r="F137" s="187">
        <f>'Παραδοχές μοναδιαίου κόστους'!G$17*'Ανάπτυξη δικτύου'!AA81</f>
        <v>773429.94953449175</v>
      </c>
      <c r="G137" s="187">
        <f>'Παραδοχές μοναδιαίου κόστους'!H$17*'Ανάπτυξη δικτύου'!AD81</f>
        <v>1404827.0558548479</v>
      </c>
      <c r="H137" s="187">
        <f>'Παραδοχές μοναδιαίου κόστους'!I$17*'Ανάπτυξη δικτύου'!AG81</f>
        <v>786594.39895607624</v>
      </c>
      <c r="I137" s="170">
        <f t="shared" si="14"/>
        <v>4097467.0877903216</v>
      </c>
    </row>
    <row r="138" spans="2:37" outlineLevel="1" x14ac:dyDescent="0.35">
      <c r="B138" s="48" t="s">
        <v>79</v>
      </c>
      <c r="C138" s="89" t="s">
        <v>233</v>
      </c>
      <c r="D138" s="187">
        <f>'Παραδοχές μοναδιαίου κόστους'!E$17*'Ανάπτυξη δικτύου'!U82</f>
        <v>13416.470908577725</v>
      </c>
      <c r="E138" s="187">
        <f>'Παραδοχές μοναδιαίου κόστους'!F$17*'Ανάπτυξη δικτύου'!X82</f>
        <v>0</v>
      </c>
      <c r="F138" s="187">
        <f>'Παραδοχές μοναδιαίου κόστους'!G$17*'Ανάπτυξη δικτύου'!AA82</f>
        <v>0</v>
      </c>
      <c r="G138" s="187">
        <f>'Παραδοχές μοναδιαίου κόστους'!H$17*'Ανάπτυξη δικτύου'!AD82</f>
        <v>0</v>
      </c>
      <c r="H138" s="187">
        <f>'Παραδοχές μοναδιαίου κόστους'!I$17*'Ανάπτυξη δικτύου'!AG82</f>
        <v>280231.9260714961</v>
      </c>
      <c r="I138" s="170">
        <f t="shared" si="14"/>
        <v>293648.39698007383</v>
      </c>
    </row>
    <row r="139" spans="2:37" outlineLevel="1" x14ac:dyDescent="0.35">
      <c r="B139" s="48" t="s">
        <v>80</v>
      </c>
      <c r="C139" s="89" t="s">
        <v>233</v>
      </c>
      <c r="D139" s="187">
        <f>'Παραδοχές μοναδιαίου κόστους'!E$17*'Ανάπτυξη δικτύου'!U83</f>
        <v>54783.922876692377</v>
      </c>
      <c r="E139" s="187">
        <f>'Παραδοχές μοναδιαίου κόστους'!F$17*'Ανάπτυξη δικτύου'!X83</f>
        <v>102186.22547207658</v>
      </c>
      <c r="F139" s="187">
        <f>'Παραδοχές μοναδιαίου κόστους'!G$17*'Ανάπτυξη δικτύου'!AA83</f>
        <v>27251.72640977236</v>
      </c>
      <c r="G139" s="187">
        <f>'Παραδοχές μοναδιαίου κόστους'!H$17*'Ανάπτυξη δικτύου'!AD83</f>
        <v>0</v>
      </c>
      <c r="H139" s="187">
        <f>'Παραδοχές μοναδιαίου κόστους'!I$17*'Ανάπτυξη δικτύου'!AG83</f>
        <v>148896.81516669455</v>
      </c>
      <c r="I139" s="170">
        <f t="shared" si="14"/>
        <v>333118.68992523581</v>
      </c>
    </row>
    <row r="140" spans="2:37" outlineLevel="1" x14ac:dyDescent="0.35">
      <c r="B140" s="48" t="s">
        <v>81</v>
      </c>
      <c r="C140" s="89" t="s">
        <v>233</v>
      </c>
      <c r="D140" s="187">
        <f>'Παραδοχές μοναδιαίου κόστους'!E$17*'Ανάπτυξη δικτύου'!U84</f>
        <v>144313.06528585529</v>
      </c>
      <c r="E140" s="187">
        <f>'Παραδοχές μοναδιαίου κόστους'!F$17*'Ανάπτυξη δικτύου'!X84</f>
        <v>51050.711812605892</v>
      </c>
      <c r="F140" s="187">
        <f>'Παραδοχές μοναδιαίου κόστους'!G$17*'Ανάπτυξη δικτύου'!AA84</f>
        <v>27251.72640977236</v>
      </c>
      <c r="G140" s="187">
        <f>'Παραδοχές μοναδιαίου κόστους'!H$17*'Ανάπτυξη δικτύου'!AD84</f>
        <v>0</v>
      </c>
      <c r="H140" s="187">
        <f>'Παραδοχές μοναδιαίου κόστους'!I$17*'Ανάπτυξη δικτύου'!AG84</f>
        <v>45887.033716559003</v>
      </c>
      <c r="I140" s="170">
        <f t="shared" si="14"/>
        <v>268502.53722479253</v>
      </c>
    </row>
    <row r="141" spans="2:37" outlineLevel="1" x14ac:dyDescent="0.35">
      <c r="B141" s="48" t="s">
        <v>82</v>
      </c>
      <c r="C141" s="89" t="s">
        <v>233</v>
      </c>
      <c r="D141" s="187">
        <f>'Παραδοχές μοναδιαίου κόστους'!E$17*'Ανάπτυξη δικτύου'!U85</f>
        <v>0</v>
      </c>
      <c r="E141" s="187">
        <f>'Παραδοχές μοναδιαίου κόστους'!F$17*'Ανάπτυξη δικτύου'!X85</f>
        <v>0</v>
      </c>
      <c r="F141" s="187">
        <f>'Παραδοχές μοναδιαίου κόστους'!G$17*'Ανάπτυξη δικτύου'!AA85</f>
        <v>0</v>
      </c>
      <c r="G141" s="187">
        <f>'Παραδοχές μοναδιαίου κόστους'!H$17*'Ανάπτυξη δικτύου'!AD85</f>
        <v>0</v>
      </c>
      <c r="H141" s="187">
        <f>'Παραδοχές μοναδιαίου κόστους'!I$17*'Ανάπτυξη δικτύου'!AG85</f>
        <v>0</v>
      </c>
      <c r="I141" s="170">
        <f t="shared" si="14"/>
        <v>0</v>
      </c>
    </row>
    <row r="142" spans="2:37" outlineLevel="1" x14ac:dyDescent="0.35">
      <c r="B142" s="48" t="s">
        <v>83</v>
      </c>
      <c r="C142" s="89" t="s">
        <v>233</v>
      </c>
      <c r="D142" s="187">
        <f>'Παραδοχές μοναδιαίου κόστους'!E$17*'Ανάπτυξη δικτύου'!U86</f>
        <v>0</v>
      </c>
      <c r="E142" s="187">
        <f>'Παραδοχές μοναδιαίου κόστους'!F$17*'Ανάπτυξη δικτύου'!X86</f>
        <v>643985.22509124444</v>
      </c>
      <c r="F142" s="187">
        <f>'Παραδοχές μοναδιαίου κόστους'!G$17*'Ανάπτυξη δικτύου'!AA86</f>
        <v>165500.16705363343</v>
      </c>
      <c r="G142" s="187">
        <f>'Παραδοχές μοναδιαίου κόστους'!H$17*'Ανάπτυξη δικτύου'!AD86</f>
        <v>710122.33279915166</v>
      </c>
      <c r="H142" s="187">
        <f>'Παραδοχές μοναδιαίου κόστους'!I$17*'Ανάπτυξη δικτύου'!AG86</f>
        <v>273056.17594298074</v>
      </c>
      <c r="I142" s="170">
        <f t="shared" si="14"/>
        <v>1792663.9008870102</v>
      </c>
    </row>
    <row r="143" spans="2:37" outlineLevel="1" x14ac:dyDescent="0.35">
      <c r="B143" s="48" t="s">
        <v>84</v>
      </c>
      <c r="C143" s="89" t="s">
        <v>233</v>
      </c>
      <c r="D143" s="187">
        <f>'Παραδοχές μοναδιαίου κόστους'!E$17*'Ανάπτυξη δικτύου'!U87</f>
        <v>300752.55620061734</v>
      </c>
      <c r="E143" s="187">
        <f>'Παραδοχές μοναδιαίου κόστους'!F$17*'Ανάπτυξη δικτύου'!X87</f>
        <v>359475.02885986114</v>
      </c>
      <c r="F143" s="187">
        <f>'Παραδοχές μοναδιαίου κόστους'!G$17*'Ανάπτυξη δικτύου'!AA87</f>
        <v>558876.67494326807</v>
      </c>
      <c r="G143" s="187">
        <f>'Παραδοχές μοναδιαίου κόστους'!H$17*'Ανάπτυξη δικτύου'!AD87</f>
        <v>633399.19792195654</v>
      </c>
      <c r="H143" s="187">
        <f>'Παραδοχές μοναδιαίου κόστους'!I$17*'Ανάπτυξη δικτύου'!AG87</f>
        <v>137944.35444422366</v>
      </c>
      <c r="I143" s="170">
        <f t="shared" si="14"/>
        <v>1990447.8123699266</v>
      </c>
    </row>
    <row r="144" spans="2:37" outlineLevel="1" x14ac:dyDescent="0.35">
      <c r="B144" s="48" t="s">
        <v>85</v>
      </c>
      <c r="C144" s="89" t="s">
        <v>233</v>
      </c>
      <c r="D144" s="187">
        <f>'Παραδοχές μοναδιαίου κόστους'!E$17*'Ανάπτυξη δικτύου'!U88</f>
        <v>16512.579579787969</v>
      </c>
      <c r="E144" s="187">
        <f>'Παραδοχές μοναδιαίου κόστους'!F$17*'Ανάπτυξη δικτύου'!X88</f>
        <v>131527.66448729526</v>
      </c>
      <c r="F144" s="187">
        <f>'Παραδοχές μοναδιαίου κόστους'!G$17*'Ανάπτυξη δικτύου'!AA88</f>
        <v>0</v>
      </c>
      <c r="G144" s="187">
        <f>'Παραδοχές μοναδιαίου κόστους'!H$17*'Ανάπτυξη δικτύου'!AD88</f>
        <v>27642.223386195135</v>
      </c>
      <c r="H144" s="187">
        <f>'Παραδοχές μοναδιαίου κόστους'!I$17*'Ανάπτυξη δικτύου'!AG88</f>
        <v>45887.033716559003</v>
      </c>
      <c r="I144" s="170">
        <f t="shared" si="14"/>
        <v>221569.50116983737</v>
      </c>
    </row>
    <row r="145" spans="2:9" outlineLevel="1" x14ac:dyDescent="0.35">
      <c r="B145" s="48" t="s">
        <v>86</v>
      </c>
      <c r="C145" s="89" t="s">
        <v>233</v>
      </c>
      <c r="D145" s="187">
        <f>'Παραδοχές μοναδιαίου κόστους'!E$17*'Ανάπτυξη δικτύου'!U89</f>
        <v>32509.141047707566</v>
      </c>
      <c r="E145" s="187">
        <f>'Παραδοχές μοναδιαίου κόστους'!F$17*'Ανάπτυξη δικτύου'!X89</f>
        <v>398144.67103020713</v>
      </c>
      <c r="F145" s="187">
        <f>'Παραδοχές μοναδιαίου κόστους'!G$17*'Ανάπτυξη δικτύου'!AA89</f>
        <v>348216.50412486907</v>
      </c>
      <c r="G145" s="187">
        <f>'Παραδοχές μοναδιαίου κόστους'!H$17*'Ανάπτυξη δικτύου'!AD89</f>
        <v>208821.94498680087</v>
      </c>
      <c r="H145" s="187">
        <f>'Παραδοχές μοναδιαίου κόστους'!I$17*'Ανάπτυξη δικτύου'!AG89</f>
        <v>129163.50231327719</v>
      </c>
      <c r="I145" s="170">
        <f t="shared" si="14"/>
        <v>1116855.7635028618</v>
      </c>
    </row>
    <row r="146" spans="2:9" outlineLevel="1" x14ac:dyDescent="0.35">
      <c r="B146" s="48" t="s">
        <v>87</v>
      </c>
      <c r="C146" s="89" t="s">
        <v>233</v>
      </c>
      <c r="D146" s="187">
        <f>'Παραδοχές μοναδιαίου κόστους'!E$17*'Ανάπτυξη δικτύου'!U90</f>
        <v>16254.570523853783</v>
      </c>
      <c r="E146" s="187">
        <f>'Παραδοχές μοναδιαίου κόστους'!F$17*'Ανάπτυξη δικτύου'!X90</f>
        <v>268652.25086766691</v>
      </c>
      <c r="F146" s="187">
        <f>'Παραδοχές μοναδιαίου κόστους'!G$17*'Ανάπτυξη δικτύου'!AA90</f>
        <v>0</v>
      </c>
      <c r="G146" s="187">
        <f>'Παραδοχές μοναδιαίου κόστους'!H$17*'Ανάπτυξη δικτύου'!AD90</f>
        <v>0</v>
      </c>
      <c r="H146" s="187">
        <f>'Παραδοχές μοναδιαίου κόστους'!I$17*'Ανάπτυξη δικτύου'!AG90</f>
        <v>273622.68253207405</v>
      </c>
      <c r="I146" s="170">
        <f t="shared" si="14"/>
        <v>558529.50392359472</v>
      </c>
    </row>
    <row r="147" spans="2:9" outlineLevel="1" x14ac:dyDescent="0.35">
      <c r="B147" s="48" t="s">
        <v>88</v>
      </c>
      <c r="C147" s="89" t="s">
        <v>233</v>
      </c>
      <c r="D147" s="187">
        <f>'Παραδοχές μοναδιαίου κόστους'!E$17*'Ανάπτυξη δικτύου'!U91</f>
        <v>111115.90008898989</v>
      </c>
      <c r="E147" s="187">
        <f>'Παραδοχές μοναδιαίου κόστους'!F$17*'Ανάπτυξη δικτύου'!X91</f>
        <v>662048.01847344555</v>
      </c>
      <c r="F147" s="187">
        <f>'Παραδοχές μοναδιαίου κόστους'!G$17*'Ανάπτυξη δικτύου'!AA91</f>
        <v>678092.16380887548</v>
      </c>
      <c r="G147" s="187">
        <f>'Παραδοχές μοναδιαίου κόστους'!H$17*'Ανάπτυξη δικτύου'!AD91</f>
        <v>0</v>
      </c>
      <c r="H147" s="187">
        <f>'Παραδοχές μοναδιαίου κόστους'!I$17*'Ανάπτυξη δικτύου'!AG91</f>
        <v>886677.22969589627</v>
      </c>
      <c r="I147" s="170">
        <f t="shared" si="14"/>
        <v>2337933.3120672069</v>
      </c>
    </row>
    <row r="148" spans="2:9" outlineLevel="1" x14ac:dyDescent="0.35">
      <c r="B148" s="48" t="s">
        <v>89</v>
      </c>
      <c r="C148" s="89" t="s">
        <v>233</v>
      </c>
      <c r="D148" s="187">
        <f>'Παραδοχές μοναδιαίου κόστους'!E$17*'Ανάπτυξη δικτύου'!U92</f>
        <v>63986.24587167838</v>
      </c>
      <c r="E148" s="187">
        <f>'Παραδοχές μοναδιαίου κόστους'!F$17*'Ανάπτυξη δικτύου'!X92</f>
        <v>68180.684879294247</v>
      </c>
      <c r="F148" s="187">
        <f>'Παραδοχές μοναδιαίου κόστους'!G$17*'Ανάπτυξη δικτύου'!AA92</f>
        <v>163596.87187580805</v>
      </c>
      <c r="G148" s="187">
        <f>'Παραδοχές μοναδιαίου κόστους'!H$17*'Ανάπτυξη δικτύου'!AD92</f>
        <v>302513.57342779892</v>
      </c>
      <c r="H148" s="187">
        <f>'Παραδοχές μοναδιαίου κόστους'!I$17*'Ανάπτυξη δικτύου'!AG92</f>
        <v>91868.485197966889</v>
      </c>
      <c r="I148" s="170">
        <f t="shared" si="14"/>
        <v>690145.86125254654</v>
      </c>
    </row>
    <row r="149" spans="2:9" outlineLevel="1" x14ac:dyDescent="0.35">
      <c r="B149" s="48" t="s">
        <v>90</v>
      </c>
      <c r="C149" s="89" t="s">
        <v>233</v>
      </c>
      <c r="D149" s="187">
        <f>'Παραδοχές μοναδιαίου κόστους'!E$17*'Ανάπτυξη δικτύου'!U93</f>
        <v>20210.709381511318</v>
      </c>
      <c r="E149" s="187">
        <f>'Παραδοχές μοναδιαίου κόστους'!F$17*'Ανάπτυξη δικτύου'!X93</f>
        <v>143315.12120150161</v>
      </c>
      <c r="F149" s="187">
        <f>'Παραδοχές μοναδιαίου κόστους'!G$17*'Ανάπτυξη δικτύου'!AA93</f>
        <v>0</v>
      </c>
      <c r="G149" s="187">
        <f>'Παραδοχές μοναδιαίου κόστους'!H$17*'Ανάπτυξη δικτύου'!AD93</f>
        <v>355243.62331961672</v>
      </c>
      <c r="H149" s="187">
        <f>'Παραδοχές μοναδιαίου κόστους'!I$17*'Ανάπτυξη δικτύου'!AG93</f>
        <v>0</v>
      </c>
      <c r="I149" s="170">
        <f t="shared" si="14"/>
        <v>518769.45390262967</v>
      </c>
    </row>
    <row r="150" spans="2:9" outlineLevel="1" x14ac:dyDescent="0.35">
      <c r="B150" s="48" t="s">
        <v>91</v>
      </c>
      <c r="C150" s="89" t="s">
        <v>233</v>
      </c>
      <c r="D150" s="187">
        <f>'Παραδοχές μοναδιαίου κόστους'!E$17*'Ανάπτυξη δικτύου'!U94</f>
        <v>170371.97993520816</v>
      </c>
      <c r="E150" s="187">
        <f>'Παραδοχές μοναδιαίου κόστους'!F$17*'Ανάπτυξη δικτύου'!X94</f>
        <v>61311.735283245951</v>
      </c>
      <c r="F150" s="187">
        <f>'Παραδοχές μοναδιαίου κόστους'!G$17*'Ανάπτυξη δικτύου'!AA94</f>
        <v>60213.338353020838</v>
      </c>
      <c r="G150" s="187">
        <f>'Παραδοχές μοναδιαίου κόστους'!H$17*'Ανάπτυξη δικτύου'!AD94</f>
        <v>0</v>
      </c>
      <c r="H150" s="187">
        <f>'Παραδοχές μοναδιαίου κόστους'!I$17*'Ανάπτυξη δικτύου'!AG94</f>
        <v>74212.36317122505</v>
      </c>
      <c r="I150" s="170">
        <f t="shared" si="14"/>
        <v>366109.41674270004</v>
      </c>
    </row>
    <row r="151" spans="2:9" outlineLevel="1" x14ac:dyDescent="0.35">
      <c r="B151" s="48" t="s">
        <v>92</v>
      </c>
      <c r="C151" s="89" t="s">
        <v>233</v>
      </c>
      <c r="D151" s="187">
        <f>'Παραδοχές μοναδιαίου κόστους'!E$17*'Ανάπτυξη δικτύου'!U95</f>
        <v>21672.760698471709</v>
      </c>
      <c r="E151" s="187">
        <f>'Παραδοχές μοναδιαίου κόστους'!F$17*'Ανάπτυξη δικτύου'!X95</f>
        <v>204372.45094415316</v>
      </c>
      <c r="F151" s="187">
        <f>'Παραδοχές μοναδιαίου κόστους'!G$17*'Ανάπτυξη δικτύου'!AA95</f>
        <v>218100.32469535279</v>
      </c>
      <c r="G151" s="187">
        <f>'Παραδοχές μοναδιαίου κόστους'!H$17*'Ανάπτυξη δικτύου'!AD95</f>
        <v>0</v>
      </c>
      <c r="H151" s="187">
        <f>'Παραδοχές μοναδιαίου κόστους'!I$17*'Ανάπτυξη δικτύου'!AG95</f>
        <v>91868.485197966889</v>
      </c>
      <c r="I151" s="170">
        <f t="shared" si="14"/>
        <v>536014.02153594454</v>
      </c>
    </row>
    <row r="152" spans="2:9" outlineLevel="1" x14ac:dyDescent="0.35">
      <c r="B152" s="48" t="s">
        <v>93</v>
      </c>
      <c r="C152" s="89" t="s">
        <v>233</v>
      </c>
      <c r="D152" s="187">
        <f>'Παραδοχές μοναδιαίου κόστους'!E$17*'Ανάπτυξη δικτύου'!U96</f>
        <v>73618.583959888027</v>
      </c>
      <c r="E152" s="187">
        <f>'Παραδοχές μοναδιαίου κόστους'!F$17*'Ανάπτυξη δικτύου'!X96</f>
        <v>173589.38053223299</v>
      </c>
      <c r="F152" s="187">
        <f>'Παραδοχές μοναδιαίου κόστους'!G$17*'Ανάπτυξη δικτύου'!AA96</f>
        <v>584052.07934086735</v>
      </c>
      <c r="G152" s="187">
        <f>'Παραδοχές μοναδιαίου κόστους'!H$17*'Ανάπτυξη δικτύου'!AD96</f>
        <v>195867.50366389754</v>
      </c>
      <c r="H152" s="187">
        <f>'Παραδοχές μοναδιαίου κόστους'!I$17*'Ανάπτυξη δικτύου'!AG96</f>
        <v>195916.86206144019</v>
      </c>
      <c r="I152" s="170">
        <f t="shared" si="14"/>
        <v>1223044.409558326</v>
      </c>
    </row>
    <row r="153" spans="2:9" outlineLevel="1" x14ac:dyDescent="0.35">
      <c r="B153" s="48" t="s">
        <v>94</v>
      </c>
      <c r="C153" s="89" t="s">
        <v>233</v>
      </c>
      <c r="D153" s="187">
        <f>'Παραδοχές μοναδιαίου κόστους'!E$17*'Ανάπτυξη δικτύου'!U97</f>
        <v>10062.353181433295</v>
      </c>
      <c r="E153" s="187">
        <f>'Παραδοχές μοναδιαίου κόστους'!F$17*'Ανάπτυξη δικτύου'!X97</f>
        <v>325384.68642021395</v>
      </c>
      <c r="F153" s="187">
        <f>'Παραδοχές μοναδιαίου κόστους'!G$17*'Ανάπτυξη δικτύου'!AA97</f>
        <v>229866.14943100052</v>
      </c>
      <c r="G153" s="187">
        <f>'Παραδοχές μοναδιαίου κόστους'!H$17*'Ανάπτυξη δικτύου'!AD97</f>
        <v>339096.18589599774</v>
      </c>
      <c r="H153" s="187">
        <f>'Παραδοχές μοναδιαίου κόστους'!I$17*'Ανάπτυξη δικτύου'!AG97</f>
        <v>246808.03731499019</v>
      </c>
      <c r="I153" s="170">
        <f t="shared" si="14"/>
        <v>1151217.4122436359</v>
      </c>
    </row>
    <row r="154" spans="2:9" outlineLevel="1" x14ac:dyDescent="0.35">
      <c r="B154" s="48" t="s">
        <v>95</v>
      </c>
      <c r="C154" s="89" t="s">
        <v>233</v>
      </c>
      <c r="D154" s="187">
        <f>'Παραδοχές μοναδιαίου κόστους'!E$17*'Ανάπτυξη δικτύου'!U98</f>
        <v>17114.600710301074</v>
      </c>
      <c r="E154" s="187">
        <f>'Παραδοχές μοναδιαίου κόστους'!F$17*'Ανάπτυξη δικτύου'!X98</f>
        <v>117450.55790773948</v>
      </c>
      <c r="F154" s="187">
        <f>'Παραδοχές μοναδιαίου κόστους'!G$17*'Ανάπτυξη δικτύου'!AA98</f>
        <v>197856.18507666473</v>
      </c>
      <c r="G154" s="187">
        <f>'Παραδοχές μοναδιαίου κόστους'!H$17*'Ανάπτυξη δικτύου'!AD98</f>
        <v>226611.49469078786</v>
      </c>
      <c r="H154" s="187">
        <f>'Παραδοχές μοναδιαίου κόστους'!I$17*'Ανάπτυξη δικτύου'!AG98</f>
        <v>0</v>
      </c>
      <c r="I154" s="170">
        <f t="shared" si="14"/>
        <v>559032.83838549315</v>
      </c>
    </row>
    <row r="155" spans="2:9" outlineLevel="1" x14ac:dyDescent="0.35">
      <c r="B155" s="48" t="s">
        <v>96</v>
      </c>
      <c r="C155" s="89" t="s">
        <v>233</v>
      </c>
      <c r="D155" s="187">
        <f>'Παραδοχές μοναδιαίου κόστους'!E$17*'Ανάπτυξη δικτύου'!U99</f>
        <v>0</v>
      </c>
      <c r="E155" s="187">
        <f>'Παραδοχές μοναδιαίου κόστους'!F$17*'Ανάπτυξη δικτύου'!X99</f>
        <v>81748.980377661268</v>
      </c>
      <c r="F155" s="187">
        <f>'Παραδοχές μοναδιαίου κόστους'!G$17*'Ανάπτυξη δικτύου'!AA99</f>
        <v>129424.07209212525</v>
      </c>
      <c r="G155" s="187">
        <f>'Παραδοχές μοναδιαίου κόστους'!H$17*'Ανάπτυξη δικτύου'!AD99</f>
        <v>0</v>
      </c>
      <c r="H155" s="187">
        <f>'Παραδοχές μοναδιαίου κόστους'!I$17*'Ανάπτυξη δικτύου'!AG99</f>
        <v>91868.485197966889</v>
      </c>
      <c r="I155" s="170">
        <f t="shared" si="14"/>
        <v>303041.53766775341</v>
      </c>
    </row>
    <row r="156" spans="2:9" outlineLevel="1" x14ac:dyDescent="0.35">
      <c r="B156" s="48" t="s">
        <v>97</v>
      </c>
      <c r="C156" s="89" t="s">
        <v>233</v>
      </c>
      <c r="D156" s="187">
        <f>'Παραδοχές μοναδιαίου κόστους'!E$17*'Ανάπτυξη δικτύου'!U100</f>
        <v>104149.65557876683</v>
      </c>
      <c r="E156" s="187">
        <f>'Παραδοχές μοναδιαίου κόστους'!F$17*'Ανάπτυξη δικτύου'!X100</f>
        <v>407557.67603219923</v>
      </c>
      <c r="F156" s="187">
        <f>'Παραδοχές μοναδιαίου κόστους'!G$17*'Ανάπτυξη δικτύου'!AA100</f>
        <v>54589.966236718603</v>
      </c>
      <c r="G156" s="187">
        <f>'Παραδοχές μοναδιαίου κόστους'!H$17*'Ανάπτυξη δικτύου'!AD100</f>
        <v>0</v>
      </c>
      <c r="H156" s="187">
        <f>'Παραδοχές μοναδιαίου κόστους'!I$17*'Ανάπτυξη δικτύου'!AG100</f>
        <v>445557.43232189695</v>
      </c>
      <c r="I156" s="170">
        <f t="shared" si="14"/>
        <v>1011854.7301695817</v>
      </c>
    </row>
    <row r="157" spans="2:9" outlineLevel="1" x14ac:dyDescent="0.35">
      <c r="B157" s="48" t="s">
        <v>98</v>
      </c>
      <c r="C157" s="89" t="s">
        <v>233</v>
      </c>
      <c r="D157" s="187">
        <f>'Παραδοχές μοναδιαίου κόστους'!E$17*'Ανάπτυξη δικτύου'!U101</f>
        <v>30617.074637523529</v>
      </c>
      <c r="E157" s="187">
        <f>'Παραδοχές μοναδιαίου κόστους'!F$17*'Ανάπτυξη δικτύου'!X101</f>
        <v>330812.00461956079</v>
      </c>
      <c r="F157" s="187">
        <f>'Παραδοχές μοναδιαίου κόστους'!G$17*'Ανάπτυξη δικτύου'!AA101</f>
        <v>271046.53600576764</v>
      </c>
      <c r="G157" s="187">
        <f>'Παραδοχές μοναδιαίου κόστους'!H$17*'Ανάπτυξη δικτύου'!AD101</f>
        <v>259727.42567820975</v>
      </c>
      <c r="H157" s="187">
        <f>'Παραδοχές μοναδιαίου κόστους'!I$17*'Ανάπτυξη δικτύου'!AG101</f>
        <v>349345.72994088125</v>
      </c>
      <c r="I157" s="170">
        <f t="shared" si="14"/>
        <v>1241548.7708819429</v>
      </c>
    </row>
    <row r="158" spans="2:9" outlineLevel="1" x14ac:dyDescent="0.35">
      <c r="B158" s="48" t="s">
        <v>99</v>
      </c>
      <c r="C158" s="89" t="s">
        <v>233</v>
      </c>
      <c r="D158" s="187">
        <f>'Παραδοχές μοναδιαίου κόστους'!E$17*'Ανάπτυξη δικτύου'!U102</f>
        <v>314685.04522106342</v>
      </c>
      <c r="E158" s="187">
        <f>'Παραδοχές μοναδιαίου κόστους'!F$17*'Ανάπτυξη δικτύου'!X102</f>
        <v>414765.83301570668</v>
      </c>
      <c r="F158" s="187">
        <f>'Παραδοχές μοναδιαίου κόστους'!G$17*'Ανάπτυξη δικτύου'!AA102</f>
        <v>330048.68651835417</v>
      </c>
      <c r="G158" s="187">
        <f>'Παραδοχές μοναδιαίου κόστους'!H$17*'Ανάπτυξη δικτύου'!AD102</f>
        <v>837386.03452767374</v>
      </c>
      <c r="H158" s="187">
        <f>'Παραδοχές μοναδιαίου κόστους'!I$17*'Ανάπτυξη δικτύου'!AG102</f>
        <v>134356.47937996595</v>
      </c>
      <c r="I158" s="170">
        <f t="shared" si="14"/>
        <v>2031242.0786627638</v>
      </c>
    </row>
    <row r="159" spans="2:9" outlineLevel="1" x14ac:dyDescent="0.35">
      <c r="B159" s="48" t="s">
        <v>100</v>
      </c>
      <c r="C159" s="89" t="s">
        <v>233</v>
      </c>
      <c r="D159" s="187">
        <f>'Παραδοχές μοναδιαίου κόστους'!E$17*'Ανάπτυξη δικτύου'!U103</f>
        <v>33885.189346023231</v>
      </c>
      <c r="E159" s="187">
        <f>'Παραδοχές μοναδιαίου κόστους'!F$17*'Ανάπτυξη δικτύου'!X103</f>
        <v>342769.06502749672</v>
      </c>
      <c r="F159" s="187">
        <f>'Παραδοχές μοναδιαίου κόστους'!G$17*'Ανάπτυξη δικτύου'!AA103</f>
        <v>210660.17081839906</v>
      </c>
      <c r="G159" s="187">
        <f>'Παραδοχές μοναδιαίου κόστους'!H$17*'Ανάπτυξη δικτύου'!AD103</f>
        <v>184828.86000142357</v>
      </c>
      <c r="H159" s="187">
        <f>'Παραδοχές μοναδιαίου κόστους'!I$17*'Ανάπτυξη δικτύου'!AG103</f>
        <v>682168.35103320738</v>
      </c>
      <c r="I159" s="170">
        <f t="shared" si="14"/>
        <v>1454311.6362265502</v>
      </c>
    </row>
    <row r="160" spans="2:9" outlineLevel="1" x14ac:dyDescent="0.35">
      <c r="B160" s="48" t="s">
        <v>101</v>
      </c>
      <c r="C160" s="89" t="s">
        <v>233</v>
      </c>
      <c r="D160" s="187">
        <f>'Παραδοχές μοναδιαίου κόστους'!E$17*'Ανάπτυξη δικτύου'!U104</f>
        <v>0</v>
      </c>
      <c r="E160" s="187">
        <f>'Παραδοχές μοναδιαίου κόστους'!F$17*'Ανάπτυξη δικτύου'!X104</f>
        <v>0</v>
      </c>
      <c r="F160" s="187">
        <f>'Παραδοχές μοναδιαίου κόστους'!G$17*'Ανάπτυξη δικτύου'!AA104</f>
        <v>0</v>
      </c>
      <c r="G160" s="187">
        <f>'Παραδοχές μοναδιαίου κόστους'!H$17*'Ανάπτυξη δικτύου'!AD104</f>
        <v>0</v>
      </c>
      <c r="H160" s="187">
        <f>'Παραδοχές μοναδιαίου κόστους'!I$17*'Ανάπτυξη δικτύου'!AG104</f>
        <v>0</v>
      </c>
      <c r="I160" s="170">
        <f t="shared" si="14"/>
        <v>0</v>
      </c>
    </row>
    <row r="161" spans="2:9" outlineLevel="1" x14ac:dyDescent="0.35">
      <c r="B161" s="48" t="s">
        <v>102</v>
      </c>
      <c r="C161" s="89" t="s">
        <v>233</v>
      </c>
      <c r="D161" s="187">
        <f>'Παραδοχές μοναδιαίου κόστους'!E$17*'Ανάπτυξη δικτύου'!U105</f>
        <v>18318.642971327281</v>
      </c>
      <c r="E161" s="187">
        <f>'Παραδοχές μοναδιαίου κόστους'!F$17*'Ανάπτυξη δικτύου'!X105</f>
        <v>0</v>
      </c>
      <c r="F161" s="187">
        <f>'Παραδοχές μοναδιαίου κόστους'!G$17*'Ανάπτυξη δικτύου'!AA105</f>
        <v>54589.966236718603</v>
      </c>
      <c r="G161" s="187">
        <f>'Παραδοχές μοναδιαίου κόστους'!H$17*'Ανάπτυξη δικτύου'!AD105</f>
        <v>0</v>
      </c>
      <c r="H161" s="187">
        <f>'Παραδοχές μοναδιαίου κόστους'!I$17*'Ανάπτυξη δικτύου'!AG105</f>
        <v>0</v>
      </c>
      <c r="I161" s="170">
        <f t="shared" si="14"/>
        <v>72908.609208045877</v>
      </c>
    </row>
    <row r="162" spans="2:9" outlineLevel="1" x14ac:dyDescent="0.35">
      <c r="B162" s="48" t="s">
        <v>103</v>
      </c>
      <c r="C162" s="89" t="s">
        <v>233</v>
      </c>
      <c r="D162" s="187">
        <f>'Παραδοχές μοναδιαίου κόστους'!E$17*'Ανάπτυξη δικτύου'!U106</f>
        <v>0</v>
      </c>
      <c r="E162" s="187">
        <f>'Παραδοχές μοναδιαίου κόστους'!F$17*'Ανάπτυξη δικτύου'!X106</f>
        <v>0</v>
      </c>
      <c r="F162" s="187">
        <f>'Παραδοχές μοναδιαίου κόστους'!G$17*'Ανάπτυξη δικτύου'!AA106</f>
        <v>0</v>
      </c>
      <c r="G162" s="187">
        <f>'Παραδοχές μοναδιαίου κόστους'!H$17*'Ανάπτυξη δικτύου'!AD106</f>
        <v>0</v>
      </c>
      <c r="H162" s="187">
        <f>'Παραδοχές μοναδιαίου κόστους'!I$17*'Ανάπτυξη δικτύου'!AG106</f>
        <v>0</v>
      </c>
      <c r="I162" s="170">
        <f t="shared" si="14"/>
        <v>0</v>
      </c>
    </row>
    <row r="163" spans="2:9" outlineLevel="1" x14ac:dyDescent="0.35">
      <c r="B163" s="48" t="s">
        <v>104</v>
      </c>
      <c r="C163" s="89" t="s">
        <v>233</v>
      </c>
      <c r="D163" s="187">
        <f>'Παραδοχές μοναδιαίου κόστους'!E$17*'Ανάπτυξη δικτύου'!U107</f>
        <v>0</v>
      </c>
      <c r="E163" s="187">
        <f>'Παραδοχές μοναδιαίου κόστους'!F$17*'Ανάπτυξη δικτύου'!X107</f>
        <v>0</v>
      </c>
      <c r="F163" s="187">
        <f>'Παραδοχές μοναδιαίου κόστους'!G$17*'Ανάπτυξη δικτύου'!AA107</f>
        <v>0</v>
      </c>
      <c r="G163" s="187">
        <f>'Παραδοχές μοναδιαίου κόστους'!H$17*'Ανάπτυξη δικτύου'!AD107</f>
        <v>456142.30010222999</v>
      </c>
      <c r="H163" s="187">
        <f>'Παραδοχές μοναδιαίου κόστους'!I$17*'Ανάπτυξη δικτύου'!AG107</f>
        <v>472088.82424443419</v>
      </c>
      <c r="I163" s="170">
        <f t="shared" si="14"/>
        <v>928231.12434666418</v>
      </c>
    </row>
    <row r="164" spans="2:9" outlineLevel="1" x14ac:dyDescent="0.35">
      <c r="B164" s="48" t="s">
        <v>136</v>
      </c>
      <c r="C164" s="89" t="s">
        <v>233</v>
      </c>
      <c r="D164" s="187">
        <f>'Παραδοχές μοναδιαίου κόστους'!E$17*'Ανάπτυξη δικτύου'!U108</f>
        <v>0</v>
      </c>
      <c r="E164" s="187">
        <f>'Παραδοχές μοναδιαίου κόστους'!F$17*'Ανάπτυξη δικτύου'!X108</f>
        <v>0</v>
      </c>
      <c r="F164" s="187">
        <f>'Παραδοχές μοναδιαίου κόστους'!G$17*'Ανάπτυξη δικτύου'!AA108</f>
        <v>0</v>
      </c>
      <c r="G164" s="187">
        <f>'Παραδοχές μοναδιαίου κόστους'!H$17*'Ανάπτυξη δικτύου'!AD108</f>
        <v>456142.30010222999</v>
      </c>
      <c r="H164" s="187">
        <f>'Παραδοχές μοναδιαίου κόστους'!I$17*'Ανάπτυξη δικτύου'!AG108</f>
        <v>472088.82424443419</v>
      </c>
      <c r="I164" s="170">
        <f t="shared" si="14"/>
        <v>928231.12434666418</v>
      </c>
    </row>
    <row r="165" spans="2:9" outlineLevel="1" x14ac:dyDescent="0.35">
      <c r="B165" s="48" t="s">
        <v>106</v>
      </c>
      <c r="C165" s="89" t="s">
        <v>233</v>
      </c>
      <c r="D165" s="187">
        <f>'Παραδοχές μοναδιαίου κόστους'!E$17*'Ανάπτυξη δικτύου'!U109</f>
        <v>13072.458833998809</v>
      </c>
      <c r="E165" s="187">
        <f>'Παραδοχές μοναδιαίου κόστους'!F$17*'Ανάπτυξη δικτύου'!X109</f>
        <v>99557.36821926797</v>
      </c>
      <c r="F165" s="187">
        <f>'Παραδοχές μοναδιαίου κόστους'!G$17*'Ανάπτυξη δικτύου'!AA109</f>
        <v>0</v>
      </c>
      <c r="G165" s="187">
        <f>'Παραδοχές μοναδιαίου κόστους'!H$17*'Ανάπτυξη δικτύου'!AD109</f>
        <v>90954.774640384654</v>
      </c>
      <c r="H165" s="187">
        <f>'Παραδοχές μοναδιαίου κόστους'!I$17*'Ανάπτυξη δικτύου'!AG109</f>
        <v>395799.27024653362</v>
      </c>
      <c r="I165" s="170">
        <f t="shared" si="14"/>
        <v>599383.87194018508</v>
      </c>
    </row>
    <row r="166" spans="2:9" outlineLevel="1" x14ac:dyDescent="0.35">
      <c r="B166" s="48" t="s">
        <v>107</v>
      </c>
      <c r="C166" s="89" t="s">
        <v>233</v>
      </c>
      <c r="D166" s="187">
        <f>'Παραδοχές μοναδιαίου κόστους'!E$17*'Ανάπτυξη δικτύου'!U110</f>
        <v>30445.06860023407</v>
      </c>
      <c r="E166" s="187">
        <f>'Παραδοχές μοναδιαίου κόστους'!F$17*'Ανάπτυξη δικτύου'!X110</f>
        <v>200895.57522269661</v>
      </c>
      <c r="F166" s="187">
        <f>'Παραδοχές μοναδιαίου κόστους'!G$17*'Ανάπτυξη δικτύου'!AA110</f>
        <v>21887.89454499177</v>
      </c>
      <c r="G166" s="187">
        <f>'Παραδοχές μοναδιαίου κόστους'!H$17*'Ανάπτυξη δικτύου'!AD110</f>
        <v>0</v>
      </c>
      <c r="H166" s="187">
        <f>'Παραδοχές μοναδιαίου κόστους'!I$17*'Ανάπτυξη δικτύου'!AG110</f>
        <v>45887.033716559003</v>
      </c>
      <c r="I166" s="170">
        <f t="shared" si="14"/>
        <v>299115.57208448148</v>
      </c>
    </row>
    <row r="167" spans="2:9" outlineLevel="1" x14ac:dyDescent="0.35">
      <c r="B167" s="48" t="s">
        <v>108</v>
      </c>
      <c r="C167" s="89" t="s">
        <v>233</v>
      </c>
      <c r="D167" s="187">
        <f>'Παραδοχές μοναδιαίου κόστους'!E$17*'Ανάπτυξη δικτύου'!U111</f>
        <v>173640.09464370788</v>
      </c>
      <c r="E167" s="187">
        <f>'Παραδοχές μοναδιαίου κόστους'!F$17*'Ανάπτυξη δικτύου'!X111</f>
        <v>0</v>
      </c>
      <c r="F167" s="187">
        <f>'Παραδοχές μοναδιαίου κόστους'!G$17*'Ανάπτυξη δικτύου'!AA111</f>
        <v>651099.9776506247</v>
      </c>
      <c r="G167" s="187">
        <f>'Παραδοχές μοναδιαίου κόστους'!H$17*'Ανάπτυξη δικτύου'!AD111</f>
        <v>705469.68133810884</v>
      </c>
      <c r="H167" s="187">
        <f>'Παραδοχές μοναδιαίου κόστους'!I$17*'Ανάπτυξη δικτύου'!AG111</f>
        <v>169007.79907950744</v>
      </c>
      <c r="I167" s="170">
        <f t="shared" si="14"/>
        <v>1699217.5527119488</v>
      </c>
    </row>
    <row r="168" spans="2:9" outlineLevel="1" x14ac:dyDescent="0.35">
      <c r="B168" s="48" t="s">
        <v>109</v>
      </c>
      <c r="C168" s="89" t="s">
        <v>233</v>
      </c>
      <c r="D168" s="187">
        <f>'Παραδοχές μοναδιαίου κόστους'!E$17*'Ανάπτυξη δικτύου'!U112</f>
        <v>0</v>
      </c>
      <c r="E168" s="187">
        <f>'Παραδοχές μοναδιαίου κόστους'!F$17*'Ανάπτυξη δικτύου'!X112</f>
        <v>0</v>
      </c>
      <c r="F168" s="187">
        <f>'Παραδοχές μοναδιαίου κόστους'!G$17*'Ανάπτυξη δικτύου'!AA112</f>
        <v>68605.139818887241</v>
      </c>
      <c r="G168" s="187">
        <f>'Παραδοχές μοναδιαίου κόστους'!H$17*'Ανάπτυξη δικτύου'!AD112</f>
        <v>0</v>
      </c>
      <c r="H168" s="187">
        <f>'Παραδοχές μοναδιαίου κόστους'!I$17*'Ανάπτυξη δικτύου'!AG112</f>
        <v>0</v>
      </c>
      <c r="I168" s="170">
        <f t="shared" si="14"/>
        <v>68605.139818887241</v>
      </c>
    </row>
    <row r="169" spans="2:9" outlineLevel="1" x14ac:dyDescent="0.35">
      <c r="B169" s="48" t="s">
        <v>110</v>
      </c>
      <c r="C169" s="89" t="s">
        <v>233</v>
      </c>
      <c r="D169" s="187">
        <f>'Παραδοχές μοναδιαίου κόστους'!E$17*'Ανάπτυξη δικτύου'!U113</f>
        <v>15996.561467919595</v>
      </c>
      <c r="E169" s="187">
        <f>'Παραδοχές μοναδιαίου κόστους'!F$17*'Ανάπτυξη δικτύου'!X113</f>
        <v>0</v>
      </c>
      <c r="F169" s="187">
        <f>'Παραδοχές μοναδιαίου κόστους'!G$17*'Ανάπτυξη δικτύου'!AA113</f>
        <v>54589.966236718603</v>
      </c>
      <c r="G169" s="187">
        <f>'Παραδοχές μοναδιαίου κόστους'!H$17*'Ανάπτυξη δικτύου'!AD113</f>
        <v>0</v>
      </c>
      <c r="H169" s="187">
        <f>'Παραδοχές μοναδιαίου κόστους'!I$17*'Ανάπτυξη δικτύου'!AG113</f>
        <v>136622.50573633926</v>
      </c>
      <c r="I169" s="170">
        <f t="shared" si="14"/>
        <v>207209.03344097745</v>
      </c>
    </row>
    <row r="170" spans="2:9" outlineLevel="1" x14ac:dyDescent="0.35">
      <c r="B170" s="48" t="s">
        <v>111</v>
      </c>
      <c r="C170" s="89" t="s">
        <v>233</v>
      </c>
      <c r="D170" s="187">
        <f>'Παραδοχές μοναδιαίου κόστους'!E$17*'Ανάπτυξη δικτύου'!U114</f>
        <v>11524.404498393687</v>
      </c>
      <c r="E170" s="187">
        <f>'Παραδοχές μοναδιαίου κόστους'!F$17*'Ανάπτυξη δικτύου'!X114</f>
        <v>211411.00423393105</v>
      </c>
      <c r="F170" s="187">
        <f>'Παραδοχές μοναδιαίου κόστους'!G$17*'Ανάπτυξη δικτύου'!AA114</f>
        <v>351330.98714312876</v>
      </c>
      <c r="G170" s="187">
        <f>'Παραδοχές μοναδιαίου κόστους'!H$17*'Ανάπτυξη δικτύου'!AD114</f>
        <v>0</v>
      </c>
      <c r="H170" s="187">
        <f>'Παραδοχές μοναδιαίου κόστους'!I$17*'Ανάπτυξη δικτύου'!AG114</f>
        <v>97250.297794353435</v>
      </c>
      <c r="I170" s="170">
        <f t="shared" si="14"/>
        <v>671516.69366980693</v>
      </c>
    </row>
    <row r="171" spans="2:9" outlineLevel="1" x14ac:dyDescent="0.35">
      <c r="B171" s="48" t="s">
        <v>112</v>
      </c>
      <c r="C171" s="89" t="s">
        <v>233</v>
      </c>
      <c r="D171" s="187">
        <f>'Παραδοχές μοναδιαίου κόστους'!E$17*'Ανάπτυξη δικτύου'!U115</f>
        <v>55987.965137718587</v>
      </c>
      <c r="E171" s="187">
        <f>'Παραδοχές μοναδιαίου κόστους'!F$17*'Ανάπτυξη δικτύου'!X115</f>
        <v>268228.24163334293</v>
      </c>
      <c r="F171" s="187">
        <f>'Παραδοχές μοναδιαίου κόστους'!G$17*'Ανάπτυξη δικτύου'!AA115</f>
        <v>239988.21924034454</v>
      </c>
      <c r="G171" s="187">
        <f>'Παραδοχές μοναδιαίου κόστους'!H$17*'Ανάπτυξη δικτύου'!AD115</f>
        <v>266113.41787964094</v>
      </c>
      <c r="H171" s="187">
        <f>'Παραδοχές μοναδιαίου κόστους'!I$17*'Ανάπτυξη δικτύου'!AG115</f>
        <v>365868.8387894365</v>
      </c>
      <c r="I171" s="170">
        <f t="shared" si="14"/>
        <v>1196186.6826804834</v>
      </c>
    </row>
    <row r="172" spans="2:9" outlineLevel="1" x14ac:dyDescent="0.35">
      <c r="B172" s="48" t="s">
        <v>113</v>
      </c>
      <c r="C172" s="89" t="s">
        <v>233</v>
      </c>
      <c r="D172" s="187">
        <f>'Παραδοχές μοναδιαίου κόστους'!E$17*'Ανάπτυξη δικτύου'!U116</f>
        <v>0</v>
      </c>
      <c r="E172" s="187">
        <f>'Παραδοχές μοναδιαίου κόστους'!F$17*'Ανάπτυξη δικτύου'!X116</f>
        <v>0</v>
      </c>
      <c r="F172" s="187">
        <f>'Παραδοχές μοναδιαίου κόστους'!G$17*'Ανάπτυξη δικτύου'!AA116</f>
        <v>0</v>
      </c>
      <c r="G172" s="187">
        <f>'Παραδοχές μοναδιαίου κόστους'!H$17*'Ανάπτυξη δικτύου'!AD116</f>
        <v>0</v>
      </c>
      <c r="H172" s="187">
        <f>'Παραδοχές μοναδιαίου κόστους'!I$17*'Ανάπτυξη δικτύου'!AG116</f>
        <v>0</v>
      </c>
      <c r="I172" s="170">
        <f t="shared" si="14"/>
        <v>0</v>
      </c>
    </row>
    <row r="173" spans="2:9" outlineLevel="1" x14ac:dyDescent="0.35">
      <c r="B173" s="48" t="s">
        <v>114</v>
      </c>
      <c r="C173" s="89" t="s">
        <v>233</v>
      </c>
      <c r="D173" s="187">
        <f>'Παραδοχές μοναδιαίου κόστους'!E$17*'Ανάπτυξη δικτύου'!U117</f>
        <v>0</v>
      </c>
      <c r="E173" s="187">
        <f>'Παραδοχές μοναδιαίου κόστους'!F$17*'Ανάπτυξη δικτύου'!X117</f>
        <v>0</v>
      </c>
      <c r="F173" s="187">
        <f>'Παραδοχές μοναδιαίου κόστους'!G$17*'Ανάπτυξη δικτύου'!AA117</f>
        <v>0</v>
      </c>
      <c r="G173" s="187">
        <f>'Παραδοχές μοναδιαίου κόστους'!H$17*'Ανάπτυξη δικτύου'!AD117</f>
        <v>0</v>
      </c>
      <c r="H173" s="187">
        <f>'Παραδοχές μοναδιαίου κόστους'!I$17*'Ανάπτυξη δικτύου'!AG117</f>
        <v>0</v>
      </c>
      <c r="I173" s="170">
        <f t="shared" si="14"/>
        <v>0</v>
      </c>
    </row>
    <row r="174" spans="2:9" outlineLevel="1" x14ac:dyDescent="0.35">
      <c r="B174" s="48" t="s">
        <v>115</v>
      </c>
      <c r="C174" s="89" t="s">
        <v>233</v>
      </c>
      <c r="D174" s="187">
        <f>'Παραδοχές μοναδιαίου κόστους'!E$17*'Ανάπτυξη δικτύου'!U118</f>
        <v>159535.59958597232</v>
      </c>
      <c r="E174" s="187">
        <f>'Παραδοχές μοναδιαίου κόστους'!F$17*'Ανάπτυξη δικτύου'!X118</f>
        <v>348874.7980017619</v>
      </c>
      <c r="F174" s="187">
        <f>'Παραδοχές μοναδιαίου κόστους'!G$17*'Ανάπτυξη δικτύου'!AA118</f>
        <v>163596.87187580805</v>
      </c>
      <c r="G174" s="187">
        <f>'Παραδοχές μοναδιαίου κόστους'!H$17*'Ανάπτυξη δικτύου'!AD118</f>
        <v>439356.2634584679</v>
      </c>
      <c r="H174" s="187">
        <f>'Παραδοχές μοναδιαίου κόστους'!I$17*'Ανάπτυξη δικτύου'!AG118</f>
        <v>298171.30139278463</v>
      </c>
      <c r="I174" s="170">
        <f t="shared" si="14"/>
        <v>1409534.8343147947</v>
      </c>
    </row>
    <row r="175" spans="2:9" outlineLevel="1" x14ac:dyDescent="0.35">
      <c r="B175" s="48" t="s">
        <v>116</v>
      </c>
      <c r="C175" s="89" t="s">
        <v>233</v>
      </c>
      <c r="D175" s="187">
        <f>'Παραδοχές μοναδιαίου κόστους'!E$17*'Ανάπτυξη δικτύου'!U119</f>
        <v>0</v>
      </c>
      <c r="E175" s="187">
        <f>'Παραδοχές μοναδιαίου κόστους'!F$17*'Ανάπτυξη δικτύου'!X119</f>
        <v>0</v>
      </c>
      <c r="F175" s="187">
        <f>'Παραδοχές μοναδιαίου κόστους'!G$17*'Ανάπτυξη δικτύου'!AA119</f>
        <v>0</v>
      </c>
      <c r="G175" s="187">
        <f>'Παραδοχές μοναδιαίου κόστους'!H$17*'Ανάπτυξη δικτύου'!AD119</f>
        <v>0</v>
      </c>
      <c r="H175" s="187">
        <f>'Παραδοχές μοναδιαίου κόστους'!I$17*'Ανάπτυξη δικτύου'!AG119</f>
        <v>0</v>
      </c>
      <c r="I175" s="170">
        <f t="shared" si="14"/>
        <v>0</v>
      </c>
    </row>
    <row r="176" spans="2:9" outlineLevel="1" x14ac:dyDescent="0.35">
      <c r="B176" s="48" t="s">
        <v>117</v>
      </c>
      <c r="C176" s="89" t="s">
        <v>233</v>
      </c>
      <c r="D176" s="187">
        <f>'Παραδοχές μοναδιαίου κόστους'!E$17*'Ανάπτυξη δικτύου'!U120</f>
        <v>200215.02740492913</v>
      </c>
      <c r="E176" s="187">
        <f>'Παραδοχές μοναδιαίου κόστους'!F$17*'Ανάπτυξη δικτύου'!X120</f>
        <v>691135.05194806983</v>
      </c>
      <c r="F176" s="187">
        <f>'Παραδοχές μοναδιαίου κόστους'!G$17*'Ανάπτυξη δικτύου'!AA120</f>
        <v>455839.19508917641</v>
      </c>
      <c r="G176" s="187">
        <f>'Παραδοχές μοναδιαίου κόστους'!H$17*'Ανάπτυξη δικτύου'!AD120</f>
        <v>1256124.666021521</v>
      </c>
      <c r="H176" s="187">
        <f>'Παραδοχές μοναδιαίου κόστους'!I$17*'Ανάπτυξη δικτύου'!AG120</f>
        <v>360014.93736880552</v>
      </c>
      <c r="I176" s="170">
        <f t="shared" si="14"/>
        <v>2963328.8778325021</v>
      </c>
    </row>
    <row r="177" spans="2:37" outlineLevel="1" x14ac:dyDescent="0.35">
      <c r="B177" s="48" t="s">
        <v>118</v>
      </c>
      <c r="C177" s="89" t="s">
        <v>233</v>
      </c>
      <c r="D177" s="187">
        <f>'Παραδοχές μοναδιαίου κόστους'!E$17*'Ανάπτυξη δικτύου'!U121</f>
        <v>0</v>
      </c>
      <c r="E177" s="187">
        <f>'Παραδοχές μοναδιαίου κόστους'!F$17*'Ανάπτυξη δικτύου'!X121</f>
        <v>0</v>
      </c>
      <c r="F177" s="187">
        <f>'Παραδοχές μοναδιαίου κόστους'!G$17*'Ανάπτυξη δικτύου'!AA121</f>
        <v>0</v>
      </c>
      <c r="G177" s="187">
        <f>'Παραδοχές μοναδιαίου κόστους'!H$17*'Ανάπτυξη δικτύου'!AD121</f>
        <v>0</v>
      </c>
      <c r="H177" s="187">
        <f>'Παραδοχές μοναδιαίου κόστους'!I$17*'Ανάπτυξη δικτύου'!AG121</f>
        <v>117455.69947201521</v>
      </c>
      <c r="I177" s="170">
        <f t="shared" si="14"/>
        <v>117455.69947201521</v>
      </c>
    </row>
    <row r="178" spans="2:37" outlineLevel="1" x14ac:dyDescent="0.35">
      <c r="B178" s="48" t="s">
        <v>119</v>
      </c>
      <c r="C178" s="89" t="s">
        <v>233</v>
      </c>
      <c r="D178" s="187">
        <f>'Παραδοχές μοναδιαίου κόστους'!E$17*'Ανάπτυξη δικτύου'!U122</f>
        <v>0</v>
      </c>
      <c r="E178" s="187">
        <f>'Παραδοχές μοναδιαίου κόστους'!F$17*'Ανάπτυξη δικτύου'!X122</f>
        <v>0</v>
      </c>
      <c r="F178" s="187">
        <f>'Παραδοχές μοναδιαίου κόστους'!G$17*'Ανάπτυξη δικτύου'!AA122</f>
        <v>0</v>
      </c>
      <c r="G178" s="187">
        <f>'Παραδοχές μοναδιαίου κόστους'!H$17*'Ανάπτυξη δικτύου'!AD122</f>
        <v>0</v>
      </c>
      <c r="H178" s="187">
        <f>'Παραδοχές μοναδιαίου κόστους'!I$17*'Ανάπτυξη δικτύου'!AG122</f>
        <v>0</v>
      </c>
      <c r="I178" s="170">
        <f t="shared" si="14"/>
        <v>0</v>
      </c>
    </row>
    <row r="179" spans="2:37" outlineLevel="1" x14ac:dyDescent="0.35">
      <c r="B179" s="48" t="s">
        <v>120</v>
      </c>
      <c r="C179" s="89" t="s">
        <v>233</v>
      </c>
      <c r="D179" s="187">
        <f>'Παραδοχές μοναδιαίου κόστους'!E$17*'Ανάπτυξη δικτύου'!U123</f>
        <v>124016.35288569923</v>
      </c>
      <c r="E179" s="187">
        <f>'Παραδοχές μοναδιαίου κόστους'!F$17*'Ανάπτυξη δικτύου'!X123</f>
        <v>288580.68488089344</v>
      </c>
      <c r="F179" s="187">
        <f>'Παραδοχές μοναδιαίου κόστους'!G$17*'Ανάπτυξη δικτύου'!AA123</f>
        <v>332298.03536487505</v>
      </c>
      <c r="G179" s="187">
        <f>'Παραδοχές μοναδιαίου κόστους'!H$17*'Ανάπτυξη δικτύου'!AD123</f>
        <v>207179.83270643285</v>
      </c>
      <c r="H179" s="187">
        <f>'Παραδοχές μοναδιαίου κόστους'!I$17*'Ανάπτυξη δικτύου'!AG123</f>
        <v>432150.10971335502</v>
      </c>
      <c r="I179" s="170">
        <f t="shared" si="14"/>
        <v>1384225.0155512556</v>
      </c>
    </row>
    <row r="180" spans="2:37" outlineLevel="1" x14ac:dyDescent="0.35">
      <c r="B180" s="48" t="s">
        <v>121</v>
      </c>
      <c r="C180" s="89" t="s">
        <v>233</v>
      </c>
      <c r="D180" s="187">
        <f>'Παραδοχές μοναδιαίου κόστους'!E$17*'Ανάπτυξη δικτύου'!U124</f>
        <v>31305.098786681359</v>
      </c>
      <c r="E180" s="187">
        <f>'Παραδοχές μοναδιαίου κόστους'!F$17*'Ανάπτυξη δικτύου'!X124</f>
        <v>153491.34282527686</v>
      </c>
      <c r="F180" s="187">
        <f>'Παραδοχές μοναδιαίου κόστους'!G$17*'Ανάπτυξη δικτύου'!AA124</f>
        <v>211179.25132144234</v>
      </c>
      <c r="G180" s="187">
        <f>'Παραδοχές μοναδιαίου κόστους'!H$17*'Ανάπτυξη δικτύου'!AD124</f>
        <v>179628.83778025815</v>
      </c>
      <c r="H180" s="187">
        <f>'Παραδοχές μοναδιαίου κόστους'!I$17*'Ανάπτυξη δικτύου'!AG124</f>
        <v>406940.56649870228</v>
      </c>
      <c r="I180" s="170">
        <f t="shared" si="14"/>
        <v>982545.09721236106</v>
      </c>
    </row>
    <row r="181" spans="2:37" outlineLevel="1" x14ac:dyDescent="0.35">
      <c r="B181" s="323" t="s">
        <v>137</v>
      </c>
      <c r="C181" s="89" t="s">
        <v>233</v>
      </c>
      <c r="D181" s="187">
        <f>'Παραδοχές μοναδιαίου κόστους'!E$17*'Ανάπτυξη δικτύου'!U125</f>
        <v>0</v>
      </c>
      <c r="E181" s="187">
        <f>'Παραδοχές μοναδιαίου κόστους'!F$17*'Ανάπτυξη δικτύου'!X125</f>
        <v>0</v>
      </c>
      <c r="F181" s="187">
        <f>'Παραδοχές μοναδιαίου κόστους'!G$17*'Ανάπτυξη δικτύου'!AA125</f>
        <v>0</v>
      </c>
      <c r="G181" s="187">
        <f>'Παραδοχές μοναδιαίου κόστους'!H$17*'Ανάπτυξη δικτύου'!AD125</f>
        <v>0</v>
      </c>
      <c r="H181" s="187">
        <f>'Παραδοχές μοναδιαίου κόστους'!I$17*'Ανάπτυξη δικτύου'!AG125</f>
        <v>0</v>
      </c>
      <c r="I181" s="170">
        <f t="shared" si="14"/>
        <v>0</v>
      </c>
    </row>
    <row r="182" spans="2:37" outlineLevel="1" x14ac:dyDescent="0.35">
      <c r="B182" s="324" t="s">
        <v>123</v>
      </c>
      <c r="C182" s="89" t="s">
        <v>233</v>
      </c>
      <c r="D182" s="187">
        <f>'Παραδοχές μοναδιαίου κόστους'!E$17*'Ανάπτυξη δικτύου'!U126</f>
        <v>62008.176442849617</v>
      </c>
      <c r="E182" s="187">
        <f>'Παραδοχές μοναδιαίου κόστους'!F$17*'Ανάπτυξη δικτύου'!X126</f>
        <v>111090.41939287994</v>
      </c>
      <c r="F182" s="187">
        <f>'Παραδοχές μοναδιαίου κόστους'!G$17*'Ανάπτυξη δικτύου'!AA126</f>
        <v>287397.57185163104</v>
      </c>
      <c r="G182" s="187">
        <f>'Παραδοχές μοναδιαίου κόστους'!H$17*'Ανάπτυξη δικτύου'!AD126</f>
        <v>0</v>
      </c>
      <c r="H182" s="187">
        <f>'Παραδοχές μοναδιαίου κόστους'!I$17*'Ανάπτυξη δικτύου'!AG126</f>
        <v>282970.04125211382</v>
      </c>
      <c r="I182" s="170">
        <f t="shared" si="14"/>
        <v>743466.20893947443</v>
      </c>
    </row>
    <row r="183" spans="2:37" outlineLevel="1" x14ac:dyDescent="0.35">
      <c r="B183" s="324" t="s">
        <v>124</v>
      </c>
      <c r="C183" s="89" t="s">
        <v>233</v>
      </c>
      <c r="D183" s="187">
        <f>'Παραδοχές μοναδιαίου κόστους'!E$17*'Ανάπτυξη δικτύου'!U127</f>
        <v>0</v>
      </c>
      <c r="E183" s="187">
        <f>'Παραδοχές μοναδιαίου κόστους'!F$17*'Ανάπτυξη δικτύου'!X127</f>
        <v>301216.16006374772</v>
      </c>
      <c r="F183" s="187">
        <f>'Παραδοχές μοναδιαίου κόστους'!G$17*'Ανάπτυξη δικτύου'!AA127</f>
        <v>134614.87712255807</v>
      </c>
      <c r="G183" s="187">
        <f>'Παραδοχές μοναδιαίου κόστους'!H$17*'Ανάπτυξη δικτύου'!AD127</f>
        <v>246134.38513516329</v>
      </c>
      <c r="H183" s="187">
        <f>'Παραδοχές μοναδιαίου κόστους'!I$17*'Ανάπτυξη δικτύου'!AG127</f>
        <v>371061.81585612526</v>
      </c>
      <c r="I183" s="170">
        <f t="shared" ref="I183:I186" si="15">D183+E183+F183+G183+H183</f>
        <v>1053027.2381775943</v>
      </c>
    </row>
    <row r="184" spans="2:37" outlineLevel="1" x14ac:dyDescent="0.35">
      <c r="B184" s="323" t="s">
        <v>125</v>
      </c>
      <c r="C184" s="89" t="s">
        <v>233</v>
      </c>
      <c r="D184" s="187">
        <f>'Παραδοχές μοναδιαίου κόστους'!E$17*'Ανάπτυξη δικτύου'!U128</f>
        <v>34659.216513825791</v>
      </c>
      <c r="E184" s="187">
        <f>'Παραδοχές μοναδιαίου κόστους'!F$17*'Ανάπτυξη δικτύου'!X128</f>
        <v>0</v>
      </c>
      <c r="F184" s="187">
        <f>'Παραδοχές μοναδιαίου κόστους'!G$17*'Ανάπτυξη δικτύου'!AA128</f>
        <v>0</v>
      </c>
      <c r="G184" s="187">
        <f>'Παραδοχές μοναδιαίου κόστους'!H$17*'Ανάπτυξη δικτύου'!AD128</f>
        <v>0</v>
      </c>
      <c r="H184" s="187">
        <f>'Παραδοχές μοναδιαίου κόστους'!I$17*'Ανάπτυξη δικτύου'!AG128</f>
        <v>0</v>
      </c>
      <c r="I184" s="170">
        <f t="shared" si="15"/>
        <v>34659.216513825791</v>
      </c>
    </row>
    <row r="185" spans="2:37" outlineLevel="1" x14ac:dyDescent="0.35">
      <c r="B185" s="324" t="s">
        <v>126</v>
      </c>
      <c r="C185" s="89" t="s">
        <v>233</v>
      </c>
      <c r="D185" s="187">
        <f>'Παραδοχές μοναδιαίου κόστους'!E$17*'Ανάπτυξη δικτύου'!U129</f>
        <v>75424.647351427338</v>
      </c>
      <c r="E185" s="187">
        <f>'Παραδοχές μοναδιαίου κόστους'!F$17*'Ανάπτυξη δικτύου'!X129</f>
        <v>102186.22547207658</v>
      </c>
      <c r="F185" s="187">
        <f>'Παραδοχές μοναδιαίου κόστους'!G$17*'Ανάπτυξη δικτύου'!AA129</f>
        <v>76996.941284753659</v>
      </c>
      <c r="G185" s="187">
        <f>'Παραδοχές μοναδιαίου κόστους'!H$17*'Ανάπτυξη δικτύου'!AD129</f>
        <v>118505.76956655935</v>
      </c>
      <c r="H185" s="187">
        <f>'Παραδοχές μοναδιαίου κόστους'!I$17*'Ανάπτυξη δικτύου'!AG129</f>
        <v>0</v>
      </c>
      <c r="I185" s="170">
        <f t="shared" si="15"/>
        <v>373113.58367481694</v>
      </c>
    </row>
    <row r="186" spans="2:37" outlineLevel="1" x14ac:dyDescent="0.35">
      <c r="B186" s="323" t="s">
        <v>127</v>
      </c>
      <c r="C186" s="89" t="s">
        <v>233</v>
      </c>
      <c r="D186" s="187">
        <f>'Παραδοχές μοναδιαίου κόστους'!E$17*'Ανάπτυξη δικτύου'!U130</f>
        <v>390453.70464706968</v>
      </c>
      <c r="E186" s="187">
        <f>'Παραδοχές μοναδιαίου κόστους'!F$17*'Ανάπτυξη δικτύου'!X130</f>
        <v>0</v>
      </c>
      <c r="F186" s="187">
        <f>'Παραδοχές μοναδιαίου κόστους'!G$17*'Ανάπτυξη δικτύου'!AA130</f>
        <v>0</v>
      </c>
      <c r="G186" s="187">
        <f>'Παραδοχές μοναδιαίου κόστους'!H$17*'Ανάπτυξη δικτύου'!AD130</f>
        <v>0</v>
      </c>
      <c r="H186" s="187">
        <f>'Παραδοχές μοναδιαίου κόστους'!I$17*'Ανάπτυξη δικτύου'!AG130</f>
        <v>0</v>
      </c>
      <c r="I186" s="170">
        <f t="shared" si="15"/>
        <v>390453.70464706968</v>
      </c>
    </row>
    <row r="187" spans="2:37" outlineLevel="1" x14ac:dyDescent="0.35">
      <c r="B187" s="393"/>
      <c r="C187" s="394"/>
      <c r="D187" s="395"/>
      <c r="E187" s="395"/>
      <c r="F187" s="395"/>
      <c r="G187" s="395"/>
      <c r="H187" s="395"/>
      <c r="I187" s="396"/>
    </row>
    <row r="188" spans="2:37" outlineLevel="1" x14ac:dyDescent="0.35">
      <c r="B188" s="477" t="s">
        <v>151</v>
      </c>
      <c r="C188" s="478"/>
      <c r="D188" s="478"/>
      <c r="E188" s="478"/>
      <c r="F188" s="478"/>
      <c r="G188" s="478"/>
      <c r="H188" s="478"/>
      <c r="I188" s="480"/>
    </row>
    <row r="189" spans="2:37" x14ac:dyDescent="0.35">
      <c r="B189" s="48" t="s">
        <v>140</v>
      </c>
      <c r="C189" s="89" t="s">
        <v>233</v>
      </c>
      <c r="D189" s="188">
        <f t="shared" ref="D189:I189" si="16">SUM(D133:D186)</f>
        <v>3366158.1497546937</v>
      </c>
      <c r="E189" s="188">
        <f t="shared" si="16"/>
        <v>9625009.6191541012</v>
      </c>
      <c r="F189" s="188">
        <f t="shared" si="16"/>
        <v>9256935.6376052164</v>
      </c>
      <c r="G189" s="188">
        <f t="shared" si="16"/>
        <v>10582501.362371733</v>
      </c>
      <c r="H189" s="188">
        <f t="shared" si="16"/>
        <v>10385954.13337755</v>
      </c>
      <c r="I189" s="188">
        <f t="shared" si="16"/>
        <v>43216558.902263314</v>
      </c>
    </row>
    <row r="191" spans="2:37" ht="19.399999999999999" customHeight="1" outlineLevel="1" x14ac:dyDescent="0.35">
      <c r="B191" s="419" t="s">
        <v>185</v>
      </c>
      <c r="C191" s="419"/>
      <c r="D191" s="419"/>
      <c r="E191" s="419"/>
      <c r="F191" s="419"/>
      <c r="G191" s="419"/>
      <c r="H191" s="419"/>
      <c r="I191" s="419"/>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103"/>
      <c r="AF191" s="103"/>
      <c r="AG191" s="103"/>
      <c r="AH191" s="103"/>
      <c r="AI191" s="103"/>
      <c r="AJ191" s="103"/>
      <c r="AK191" s="103"/>
    </row>
    <row r="192" spans="2:37" ht="15.5" outlineLevel="1" x14ac:dyDescent="0.35">
      <c r="B192" s="103"/>
      <c r="C192" s="103"/>
      <c r="D192" s="103"/>
      <c r="E192" s="103"/>
      <c r="F192" s="103"/>
      <c r="G192" s="103"/>
      <c r="H192" s="103"/>
      <c r="I192" s="103"/>
    </row>
    <row r="193" spans="2:9" outlineLevel="1" x14ac:dyDescent="0.35">
      <c r="B193" s="75"/>
      <c r="C193" s="61" t="s">
        <v>134</v>
      </c>
      <c r="D193" s="79">
        <f>$C$3</f>
        <v>2024</v>
      </c>
      <c r="E193" s="79">
        <f>$C$3+1</f>
        <v>2025</v>
      </c>
      <c r="F193" s="79">
        <f>$C$3+2</f>
        <v>2026</v>
      </c>
      <c r="G193" s="79">
        <f>$C$3+3</f>
        <v>2027</v>
      </c>
      <c r="H193" s="79">
        <f>$C$3+4</f>
        <v>2028</v>
      </c>
      <c r="I193" s="78" t="str">
        <f xml:space="preserve"> D193&amp;" - "&amp;H193</f>
        <v>2024 - 2028</v>
      </c>
    </row>
    <row r="194" spans="2:9" outlineLevel="1" x14ac:dyDescent="0.35">
      <c r="B194" s="48" t="s">
        <v>74</v>
      </c>
      <c r="C194" s="89" t="s">
        <v>233</v>
      </c>
      <c r="D194" s="187">
        <f>'Παραδοχές μοναδιαίου κόστους'!E$23*'Ανάπτυξη δικτύου'!U140</f>
        <v>15313.48164663458</v>
      </c>
      <c r="E194" s="187">
        <f>'Παραδοχές μοναδιαίου κόστους'!F$23*'Ανάπτυξη δικτύου'!X140</f>
        <v>39513.720553818603</v>
      </c>
      <c r="F194" s="187">
        <f>'Παραδοχές μοναδιαίου κόστους'!G$23*'Ανάπτυξη δικτύου'!AA140</f>
        <v>72514.228561814714</v>
      </c>
      <c r="G194" s="187">
        <f>'Παραδοχές μοναδιαίου κόστους'!H$23*'Ανάπτυξη δικτύου'!AD140</f>
        <v>67534.817299782138</v>
      </c>
      <c r="H194" s="187">
        <f>'Παραδοχές μοναδιαίου κόστους'!I$23*'Ανάπτυξη δικτύου'!AG140</f>
        <v>55074.484436800922</v>
      </c>
      <c r="I194" s="170">
        <f t="shared" ref="I194" si="17">D194+E194+F194+G194+H194</f>
        <v>249950.73249885096</v>
      </c>
    </row>
    <row r="195" spans="2:9" outlineLevel="1" x14ac:dyDescent="0.35">
      <c r="B195" s="48" t="s">
        <v>75</v>
      </c>
      <c r="C195" s="89" t="s">
        <v>233</v>
      </c>
      <c r="D195" s="187">
        <f>'Παραδοχές μοναδιαίου κόστους'!E$23*'Ανάπτυξη δικτύου'!U141</f>
        <v>191071.91914648577</v>
      </c>
      <c r="E195" s="187">
        <f>'Παραδοχές μοναδιαίου κόστους'!F$23*'Ανάπτυξη δικτύου'!X141</f>
        <v>243510.06896094716</v>
      </c>
      <c r="F195" s="187">
        <f>'Παραδοχές μοναδιαίου κόστους'!G$23*'Ανάπτυξη δικτύου'!AA141</f>
        <v>255125.86080702141</v>
      </c>
      <c r="G195" s="187">
        <f>'Παραδοχές μοναδιαίου κόστους'!H$23*'Ανάπτυξη δικτύου'!AD141</f>
        <v>219588.22898489702</v>
      </c>
      <c r="H195" s="187">
        <f>'Παραδοχές μοναδιαίου κόστους'!I$23*'Ανάπτυξη δικτύου'!AG141</f>
        <v>177002.81914187624</v>
      </c>
      <c r="I195" s="170">
        <f t="shared" ref="I195:I243" si="18">D195+E195+F195+G195+H195</f>
        <v>1086298.8970412277</v>
      </c>
    </row>
    <row r="196" spans="2:9" outlineLevel="1" x14ac:dyDescent="0.35">
      <c r="B196" s="48" t="s">
        <v>76</v>
      </c>
      <c r="C196" s="89" t="s">
        <v>233</v>
      </c>
      <c r="D196" s="187">
        <f>'Παραδοχές μοναδιαίου κόστους'!E$23*'Ανάπτυξη δικτύου'!U142</f>
        <v>91786.362215322079</v>
      </c>
      <c r="E196" s="187">
        <f>'Παραδοχές μοναδιαίου κόστους'!F$23*'Ανάπτυξη δικτύου'!X142</f>
        <v>124644.13699356955</v>
      </c>
      <c r="F196" s="187">
        <f>'Παραδοχές μοναδιαίου κόστους'!G$23*'Ανάπτυξη δικτύου'!AA142</f>
        <v>186527.97773319558</v>
      </c>
      <c r="G196" s="187">
        <f>'Παραδοχές μοναδιαίου κόστους'!H$23*'Ανάπτυξη δικτύου'!AD142</f>
        <v>189137.51754363201</v>
      </c>
      <c r="H196" s="187">
        <f>'Παραδοχές μοναδιαίου κόστους'!I$23*'Ανάπτυξη δικτύου'!AG142</f>
        <v>179248.63257691727</v>
      </c>
      <c r="I196" s="170">
        <f t="shared" si="18"/>
        <v>771344.62706263654</v>
      </c>
    </row>
    <row r="197" spans="2:9" outlineLevel="1" x14ac:dyDescent="0.35">
      <c r="B197" s="48" t="s">
        <v>77</v>
      </c>
      <c r="C197" s="89" t="s">
        <v>233</v>
      </c>
      <c r="D197" s="187">
        <f>'Παραδοχές μοναδιαίου κόστους'!E$23*'Ανάπτυξη δικτύου'!U143</f>
        <v>18716.47756810893</v>
      </c>
      <c r="E197" s="187">
        <f>'Παραδοχές μοναδιαίου κόστους'!F$23*'Ανάπτυξη δικτύου'!X143</f>
        <v>19797.456565149525</v>
      </c>
      <c r="F197" s="187">
        <f>'Παραδοχές μοναδιαίου κόστους'!G$23*'Ανάπτυξη δικτύου'!AA143</f>
        <v>26191.419298620211</v>
      </c>
      <c r="G197" s="187">
        <f>'Παραδοχές μοναδιαίου κόστους'!H$23*'Ανάπτυξη δικτύου'!AD143</f>
        <v>28563.625098426059</v>
      </c>
      <c r="H197" s="187">
        <f>'Παραδοχές μοναδιαίου κόστους'!I$23*'Ανάπτυξη δικτύου'!AG143</f>
        <v>21788.852200894773</v>
      </c>
      <c r="I197" s="170">
        <f t="shared" si="18"/>
        <v>115057.8307311995</v>
      </c>
    </row>
    <row r="198" spans="2:9" outlineLevel="1" x14ac:dyDescent="0.35">
      <c r="B198" s="48" t="s">
        <v>78</v>
      </c>
      <c r="C198" s="89" t="s">
        <v>233</v>
      </c>
      <c r="D198" s="187">
        <f>'Παραδοχές μοναδιαίου κόστους'!E$23*'Ανάπτυξη δικτύου'!U144</f>
        <v>1248876.596806251</v>
      </c>
      <c r="E198" s="187">
        <f>'Παραδοχές μοναδιαίου κόστους'!F$23*'Ανάπτυξη δικτύου'!X144</f>
        <v>1437363.7574095908</v>
      </c>
      <c r="F198" s="187">
        <f>'Παραδοχές μοναδιαίου κόστους'!G$23*'Ανάπτυξη δικτύου'!AA144</f>
        <v>1551293.1463638938</v>
      </c>
      <c r="G198" s="187">
        <f>'Παραδοχές μοναδιαίου κόστους'!H$23*'Ανάπτυξη δικτύου'!AD144</f>
        <v>1483357.72898422</v>
      </c>
      <c r="H198" s="187">
        <f>'Παραδοχές μοναδιαίου κόστους'!I$23*'Ανάπτυξη δικτύου'!AG144</f>
        <v>1337099.6599574203</v>
      </c>
      <c r="I198" s="170">
        <f t="shared" si="18"/>
        <v>7057990.8895213753</v>
      </c>
    </row>
    <row r="199" spans="2:9" outlineLevel="1" x14ac:dyDescent="0.35">
      <c r="B199" s="48" t="s">
        <v>79</v>
      </c>
      <c r="C199" s="89" t="s">
        <v>233</v>
      </c>
      <c r="D199" s="187">
        <f>'Παραδοχές μοναδιαίου κόστους'!E$23*'Ανάπτυξη δικτύου'!U145</f>
        <v>105083.25368626816</v>
      </c>
      <c r="E199" s="187">
        <f>'Παραδοχές μοναδιαίου κόστους'!F$23*'Ανάπτυξη δικτύου'!X145</f>
        <v>113223.04790198637</v>
      </c>
      <c r="F199" s="187">
        <f>'Παραδοχές μοναδιαίου κόστους'!G$23*'Ανάπτυξη δικτύου'!AA145</f>
        <v>109657.67366368799</v>
      </c>
      <c r="G199" s="187">
        <f>'Παραδοχές μοναδιαίου κόστους'!H$23*'Ανάπτυξη δικτύου'!AD145</f>
        <v>89650.897393508421</v>
      </c>
      <c r="H199" s="187">
        <f>'Παραδοχές μοναδιαίου κόστους'!I$23*'Ανάπτυξη δικτύου'!AG145</f>
        <v>92911.235289412725</v>
      </c>
      <c r="I199" s="170">
        <f t="shared" si="18"/>
        <v>510526.10793486366</v>
      </c>
    </row>
    <row r="200" spans="2:9" outlineLevel="1" x14ac:dyDescent="0.35">
      <c r="B200" s="48" t="s">
        <v>80</v>
      </c>
      <c r="C200" s="89" t="s">
        <v>233</v>
      </c>
      <c r="D200" s="187">
        <f>'Παραδοχές μοναδιαίου κόστους'!E$23*'Ανάπτυξη δικτύου'!U146</f>
        <v>119845.32395673789</v>
      </c>
      <c r="E200" s="187">
        <f>'Παραδοχές μοναδιαίου κόστους'!F$23*'Ανάπτυξη δικτύου'!X146</f>
        <v>135781.05206747117</v>
      </c>
      <c r="F200" s="187">
        <f>'Παραδοχές μοναδιαίου κόστους'!G$23*'Ανάπτυξη δικτύου'!AA146</f>
        <v>132564.85937764385</v>
      </c>
      <c r="G200" s="187">
        <f>'Παραδοχές μοναδιαίου κόστους'!H$23*'Ανάπτυξη δικτύου'!AD146</f>
        <v>107806.95538900445</v>
      </c>
      <c r="H200" s="187">
        <f>'Παραδοχές μοναδιαίου κόστους'!I$23*'Ανάπτυξη δικτύου'!AG146</f>
        <v>92673.268302918324</v>
      </c>
      <c r="I200" s="170">
        <f t="shared" si="18"/>
        <v>588671.45909377572</v>
      </c>
    </row>
    <row r="201" spans="2:9" outlineLevel="1" x14ac:dyDescent="0.35">
      <c r="B201" s="48" t="s">
        <v>81</v>
      </c>
      <c r="C201" s="89" t="s">
        <v>233</v>
      </c>
      <c r="D201" s="187">
        <f>'Παραδοχές μοναδιαίου κόστους'!E$23*'Ανάπτυξη δικτύου'!U147</f>
        <v>183619.98826288688</v>
      </c>
      <c r="E201" s="187">
        <f>'Παραδοχές μοναδιαίου κόστους'!F$23*'Ανάπτυξη δικτύου'!X147</f>
        <v>199855.52700662563</v>
      </c>
      <c r="F201" s="187">
        <f>'Παραδοχές μοναδιαίου κόστους'!G$23*'Ανάπτυξη δικτύου'!AA147</f>
        <v>196298.22910849412</v>
      </c>
      <c r="G201" s="187">
        <f>'Παραδοχές μοναδιαίου κόστους'!H$23*'Ανάπτυξη δικτύου'!AD147</f>
        <v>159144.28157941884</v>
      </c>
      <c r="H201" s="187">
        <f>'Παραδοχές μοναδιαίου κόστους'!I$23*'Ανάπτυξη δικτύου'!AG147</f>
        <v>126419.96157515739</v>
      </c>
      <c r="I201" s="170">
        <f t="shared" si="18"/>
        <v>865337.98753258283</v>
      </c>
    </row>
    <row r="202" spans="2:9" outlineLevel="1" x14ac:dyDescent="0.35">
      <c r="B202" s="48" t="s">
        <v>82</v>
      </c>
      <c r="C202" s="89" t="s">
        <v>233</v>
      </c>
      <c r="D202" s="187">
        <f>'Παραδοχές μοναδιαίου κόστους'!E$23*'Ανάπτυξη δικτύου'!U148</f>
        <v>0</v>
      </c>
      <c r="E202" s="187">
        <f>'Παραδοχές μοναδιαίου κόστους'!F$23*'Ανάπτυξη δικτύου'!X148</f>
        <v>0</v>
      </c>
      <c r="F202" s="187">
        <f>'Παραδοχές μοναδιαίου κόστους'!G$23*'Ανάπτυξη δικτύου'!AA148</f>
        <v>0</v>
      </c>
      <c r="G202" s="187">
        <f>'Παραδοχές μοναδιαίου κόστους'!H$23*'Ανάπτυξη δικτύου'!AD148</f>
        <v>0</v>
      </c>
      <c r="H202" s="187">
        <f>'Παραδοχές μοναδιαίου κόστους'!I$23*'Ανάπτυξη δικτύου'!AG148</f>
        <v>0</v>
      </c>
      <c r="I202" s="170">
        <f t="shared" si="18"/>
        <v>0</v>
      </c>
    </row>
    <row r="203" spans="2:9" outlineLevel="1" x14ac:dyDescent="0.35">
      <c r="B203" s="48" t="s">
        <v>83</v>
      </c>
      <c r="C203" s="89" t="s">
        <v>233</v>
      </c>
      <c r="D203" s="187">
        <f>'Παραδοχές μοναδιαίου κόστους'!E$23*'Ανάπτυξη δικτύου'!U149</f>
        <v>26656.801384882419</v>
      </c>
      <c r="E203" s="187">
        <f>'Παραδοχές μοναδιαίου κόστους'!F$23*'Ανάπτυξη δικτύου'!X149</f>
        <v>47578.849817543211</v>
      </c>
      <c r="F203" s="187">
        <f>'Παραδοχές μοναδιαίου κόστους'!G$23*'Ανάπτυξη δικτύου'!AA149</f>
        <v>56505.30753196554</v>
      </c>
      <c r="G203" s="187">
        <f>'Παραδοχές μοναδιαίου κόστους'!H$23*'Ανάπτυξη δικτύου'!AD149</f>
        <v>60272.394101583712</v>
      </c>
      <c r="H203" s="187">
        <f>'Παραδοχές μοναδιαίου κόστους'!I$23*'Ανάπτυξη δικτύου'!AG149</f>
        <v>57290.551998530143</v>
      </c>
      <c r="I203" s="170">
        <f t="shared" si="18"/>
        <v>248303.90483450503</v>
      </c>
    </row>
    <row r="204" spans="2:9" outlineLevel="1" x14ac:dyDescent="0.35">
      <c r="B204" s="48" t="s">
        <v>84</v>
      </c>
      <c r="C204" s="89" t="s">
        <v>233</v>
      </c>
      <c r="D204" s="187">
        <f>'Παραδοχές μοναδιαίου κόστους'!E$23*'Ανάπτυξη δικτύου'!U150</f>
        <v>51911.442413231423</v>
      </c>
      <c r="E204" s="187">
        <f>'Παραδοχές μοναδιαίου κόστους'!F$23*'Ανάπτυξη δικτύου'!X150</f>
        <v>73289.83236968545</v>
      </c>
      <c r="F204" s="187">
        <f>'Παραδοχές μοναδιαίου κόστους'!G$23*'Ανάπτυξη δικτύου'!AA150</f>
        <v>111045.57153837876</v>
      </c>
      <c r="G204" s="187">
        <f>'Παραδοχές μοναδιαίου κόστους'!H$23*'Ανάπτυξη δικτύου'!AD150</f>
        <v>128250.39076975983</v>
      </c>
      <c r="H204" s="187">
        <f>'Παραδοχές μοναδιαίου κόστους'!I$23*'Ανάπτυξη δικτύου'!AG150</f>
        <v>112959.9539015671</v>
      </c>
      <c r="I204" s="170">
        <f t="shared" si="18"/>
        <v>477457.19099262258</v>
      </c>
    </row>
    <row r="205" spans="2:9" outlineLevel="1" x14ac:dyDescent="0.35">
      <c r="B205" s="48" t="s">
        <v>85</v>
      </c>
      <c r="C205" s="89" t="s">
        <v>233</v>
      </c>
      <c r="D205" s="187">
        <f>'Παραδοχές μοναδιαίου κόστους'!E$23*'Ανάπτυξη δικτύου'!U151</f>
        <v>87122.997434042409</v>
      </c>
      <c r="E205" s="187">
        <f>'Παραδοχές μοναδιαίου κόστους'!F$23*'Ανάπτυξη δικτύου'!X151</f>
        <v>108419.1537935598</v>
      </c>
      <c r="F205" s="187">
        <f>'Παραδοχές μοναδιαίου κόστους'!G$23*'Ανάπτυξη δικτύου'!AA151</f>
        <v>107843.78733240892</v>
      </c>
      <c r="G205" s="187">
        <f>'Παραδοχές μοναδιαίου κόστους'!H$23*'Ανάπτυξη δικτύου'!AD151</f>
        <v>87163.374487038876</v>
      </c>
      <c r="H205" s="187">
        <f>'Παραδοχές μοναδιαίου κόστους'!I$23*'Ανάπτυξη δικτύου'!AG151</f>
        <v>71048.018405238457</v>
      </c>
      <c r="I205" s="170">
        <f t="shared" si="18"/>
        <v>461597.33145228843</v>
      </c>
    </row>
    <row r="206" spans="2:9" outlineLevel="1" x14ac:dyDescent="0.35">
      <c r="B206" s="48" t="s">
        <v>86</v>
      </c>
      <c r="C206" s="89" t="s">
        <v>233</v>
      </c>
      <c r="D206" s="187">
        <f>'Παραδοχές μοναδιαίου κόστους'!E$23*'Ανάπτυξη δικτύου'!U152</f>
        <v>100041.7782470469</v>
      </c>
      <c r="E206" s="187">
        <f>'Παραδοχές μοναδιαίου κόστους'!F$23*'Ανάπτυξη δικτύου'!X152</f>
        <v>204199.32984832968</v>
      </c>
      <c r="F206" s="187">
        <f>'Παραδοχές μοναδιαίου κόστους'!G$23*'Ανάπτυξη δικτύου'!AA152</f>
        <v>300747.85035131266</v>
      </c>
      <c r="G206" s="187">
        <f>'Παραδοχές μοναδιαίου κόστους'!H$23*'Ανάπτυξη δικτύου'!AD152</f>
        <v>295257.53211100772</v>
      </c>
      <c r="H206" s="187">
        <f>'Παραδοχές μοναδιαίου κόστους'!I$23*'Ανάπτυξη δικτύου'!AG152</f>
        <v>246608.16269149233</v>
      </c>
      <c r="I206" s="170">
        <f t="shared" si="18"/>
        <v>1146854.6532491893</v>
      </c>
    </row>
    <row r="207" spans="2:9" outlineLevel="1" x14ac:dyDescent="0.35">
      <c r="B207" s="48" t="s">
        <v>87</v>
      </c>
      <c r="C207" s="89" t="s">
        <v>233</v>
      </c>
      <c r="D207" s="187">
        <f>'Παραδοχές μοναδιαίου κόστους'!E$23*'Ανάπτυξη δικτύου'!U153</f>
        <v>92069.94520877827</v>
      </c>
      <c r="E207" s="187">
        <f>'Παραδοχές μοναδιαίου κόστους'!F$23*'Ανάπτυξη δικτύου'!X153</f>
        <v>153684.01518141018</v>
      </c>
      <c r="F207" s="187">
        <f>'Παραδοχές μοναδιαίου κόστους'!G$23*'Ανάπτυξη δικτύου'!AA153</f>
        <v>161765.68099861339</v>
      </c>
      <c r="G207" s="187">
        <f>'Παραδοχές μοναδιαίου κόστους'!H$23*'Ανάπτυξη δικτύου'!AD153</f>
        <v>121388.2586139818</v>
      </c>
      <c r="H207" s="187">
        <f>'Παραδοχές μοναδιαίου κόστους'!I$23*'Ανάπτυξη δικτύου'!AG153</f>
        <v>134763.67903911776</v>
      </c>
      <c r="I207" s="170">
        <f t="shared" si="18"/>
        <v>663671.57904190139</v>
      </c>
    </row>
    <row r="208" spans="2:9" outlineLevel="1" x14ac:dyDescent="0.35">
      <c r="B208" s="48" t="s">
        <v>88</v>
      </c>
      <c r="C208" s="89" t="s">
        <v>233</v>
      </c>
      <c r="D208" s="187">
        <f>'Παραδοχές μοναδιαίου κόστους'!E$23*'Ανάπτυξη δικτύου'!U154</f>
        <v>169771.68541577595</v>
      </c>
      <c r="E208" s="187">
        <f>'Παραδοχές μοναδιαίου κόστους'!F$23*'Ανάπτυξη δικτύου'!X154</f>
        <v>233374.52899697109</v>
      </c>
      <c r="F208" s="187">
        <f>'Παραδοχές μοναδιαίου κόστους'!G$23*'Ανάπτυξη δικτύου'!AA154</f>
        <v>286511.59096339525</v>
      </c>
      <c r="G208" s="187">
        <f>'Παραδοχές μοναδιαίου κόστους'!H$23*'Ανάπτυξη δικτύου'!AD154</f>
        <v>244677.89967946048</v>
      </c>
      <c r="H208" s="187">
        <f>'Παραδοχές μοναδιαίου κόστους'!I$23*'Ανάπτυξη δικτύου'!AG154</f>
        <v>236717.65981531821</v>
      </c>
      <c r="I208" s="170">
        <f t="shared" si="18"/>
        <v>1171053.364870921</v>
      </c>
    </row>
    <row r="209" spans="2:9" outlineLevel="1" x14ac:dyDescent="0.35">
      <c r="B209" s="48" t="s">
        <v>89</v>
      </c>
      <c r="C209" s="89" t="s">
        <v>233</v>
      </c>
      <c r="D209" s="187">
        <f>'Παραδοχές μοναδιαίου κόστους'!E$23*'Ανάπτυξη δικτύου'!U155</f>
        <v>67272.187892108705</v>
      </c>
      <c r="E209" s="187">
        <f>'Παραδοχές μοναδιαίου κόστους'!F$23*'Ανάπτυξη δικτύου'!X155</f>
        <v>80028.816217562737</v>
      </c>
      <c r="F209" s="187">
        <f>'Παραδοχές μοναδιαίου κόστους'!G$23*'Ανάπτυξη δικτύου'!AA155</f>
        <v>98252.176277615174</v>
      </c>
      <c r="G209" s="187">
        <f>'Παραδοχές μοναδιαίου κόστους'!H$23*'Ανάπτυξη δικτύου'!AD155</f>
        <v>112982.14672315372</v>
      </c>
      <c r="H209" s="187">
        <f>'Παραδοχές μοναδιαίου κόστους'!I$23*'Ανάπτυξη δικτύου'!AG155</f>
        <v>107278.49209901296</v>
      </c>
      <c r="I209" s="170">
        <f t="shared" si="18"/>
        <v>465813.8192094533</v>
      </c>
    </row>
    <row r="210" spans="2:9" outlineLevel="1" x14ac:dyDescent="0.35">
      <c r="B210" s="48" t="s">
        <v>90</v>
      </c>
      <c r="C210" s="89" t="s">
        <v>233</v>
      </c>
      <c r="D210" s="187">
        <f>'Παραδοχές μοναδιαίου κόστους'!E$23*'Ανάπτυξη δικτύου'!U156</f>
        <v>1811.7802359701404</v>
      </c>
      <c r="E210" s="187">
        <f>'Παραδοχές μοναδιαίου κόστους'!F$23*'Ανάπτυξη δικτύου'!X156</f>
        <v>3410.088212178865</v>
      </c>
      <c r="F210" s="187">
        <f>'Παραδοχές μοναδιαίου κόστους'!G$23*'Ανάπτυξη δικτύου'!AA156</f>
        <v>4108.7273716093614</v>
      </c>
      <c r="G210" s="187">
        <f>'Παραδοχές μοναδιαίου κόστους'!H$23*'Ανάπτυξη δικτύου'!AD156</f>
        <v>7834.2675445132527</v>
      </c>
      <c r="H210" s="187">
        <f>'Παραδοχές μοναδιαίου κόστους'!I$23*'Ανάπτυξη δικτύου'!AG156</f>
        <v>8016.5128575305689</v>
      </c>
      <c r="I210" s="170">
        <f t="shared" si="18"/>
        <v>25181.376221802188</v>
      </c>
    </row>
    <row r="211" spans="2:9" outlineLevel="1" x14ac:dyDescent="0.35">
      <c r="B211" s="48" t="s">
        <v>91</v>
      </c>
      <c r="C211" s="89" t="s">
        <v>233</v>
      </c>
      <c r="D211" s="187">
        <f>'Παραδοχές μοναδιαίου κόστους'!E$23*'Ανάπτυξη δικτύου'!U157</f>
        <v>4820.9108887553302</v>
      </c>
      <c r="E211" s="187">
        <f>'Παραδοχές μοναδιαίου κόστους'!F$23*'Ανάπτυξη δικτύου'!X157</f>
        <v>5981.1864673930886</v>
      </c>
      <c r="F211" s="187">
        <f>'Παραδοχές μοναδιαίου κόστους'!G$23*'Ανάπτυξη δικτύου'!AA157</f>
        <v>8739.6341416172381</v>
      </c>
      <c r="G211" s="187">
        <f>'Παραδοχές μοναδιαίου κόστους'!H$23*'Ανάπτυξη δικτύου'!AD157</f>
        <v>7734.1947839081568</v>
      </c>
      <c r="H211" s="187">
        <f>'Παραδοχές μοναδιαίου κόστους'!I$23*'Ανάπτυξη δικτύου'!AG157</f>
        <v>7897.5293642833612</v>
      </c>
      <c r="I211" s="170">
        <f t="shared" si="18"/>
        <v>35173.455645957176</v>
      </c>
    </row>
    <row r="212" spans="2:9" outlineLevel="1" x14ac:dyDescent="0.35">
      <c r="B212" s="48" t="s">
        <v>92</v>
      </c>
      <c r="C212" s="89" t="s">
        <v>233</v>
      </c>
      <c r="D212" s="187">
        <f>'Παραδοχές μοναδιαίου κόστους'!E$23*'Ανάπτυξη δικτύου'!U158</f>
        <v>114614.79318854585</v>
      </c>
      <c r="E212" s="187">
        <f>'Παραδοχές μοναδιαίου κόστους'!F$23*'Ανάπτυξη δικτύου'!X158</f>
        <v>144590.44661559991</v>
      </c>
      <c r="F212" s="187">
        <f>'Παραδοχές μοναδιαίου κόστους'!G$23*'Ανάπτυξη δικτύου'!AA158</f>
        <v>169282.31602292883</v>
      </c>
      <c r="G212" s="187">
        <f>'Παραδοχές μοναδιαίου κόστους'!H$23*'Ανάπτυξη δικτύου'!AD158</f>
        <v>143690.1881202604</v>
      </c>
      <c r="H212" s="187">
        <f>'Παραδοχές μοναδιαίου κόστους'!I$23*'Ανάπτυξη δικτύου'!AG158</f>
        <v>116737.67981216591</v>
      </c>
      <c r="I212" s="170">
        <f t="shared" si="18"/>
        <v>688915.42375950085</v>
      </c>
    </row>
    <row r="213" spans="2:9" outlineLevel="1" x14ac:dyDescent="0.35">
      <c r="B213" s="48" t="s">
        <v>93</v>
      </c>
      <c r="C213" s="89" t="s">
        <v>233</v>
      </c>
      <c r="D213" s="187">
        <f>'Παραδοχές μοναδιαίου κόστους'!E$23*'Ανάπτυξη δικτύου'!U159</f>
        <v>166006.33344710758</v>
      </c>
      <c r="E213" s="187">
        <f>'Παραδοχές μοναδιαίου κόστους'!F$23*'Ανάπτυξη δικτύου'!X159</f>
        <v>228394.71763950351</v>
      </c>
      <c r="F213" s="187">
        <f>'Παραδοχές μοναδιαίου κόστους'!G$23*'Ανάπτυξη δικτύου'!AA159</f>
        <v>393297.27793589141</v>
      </c>
      <c r="G213" s="187">
        <f>'Παραδοχές μοναδιαίου κόστους'!H$23*'Ανάπτυξη δικτύου'!AD159</f>
        <v>420634.40504053549</v>
      </c>
      <c r="H213" s="187">
        <f>'Παραδοχές μοναδιαίου κόστους'!I$23*'Ανάπτυξη δικτύου'!AG159</f>
        <v>365219.83252230176</v>
      </c>
      <c r="I213" s="170">
        <f t="shared" si="18"/>
        <v>1573552.5665853398</v>
      </c>
    </row>
    <row r="214" spans="2:9" outlineLevel="1" x14ac:dyDescent="0.35">
      <c r="B214" s="48" t="s">
        <v>94</v>
      </c>
      <c r="C214" s="89" t="s">
        <v>233</v>
      </c>
      <c r="D214" s="187">
        <f>'Παραδοχές μοναδιαίου κόστους'!E$23*'Ανάπτυξη δικτύου'!U160</f>
        <v>114677.81163153613</v>
      </c>
      <c r="E214" s="187">
        <f>'Παραδοχές μοναδιαίου κόστους'!F$23*'Ανάπτυξη δικτύου'!X160</f>
        <v>159029.19313303978</v>
      </c>
      <c r="F214" s="187">
        <f>'Παραδοχές μοναδιαίου κόστους'!G$23*'Ανάπτυξη δικτύου'!AA160</f>
        <v>188685.40314236836</v>
      </c>
      <c r="G214" s="187">
        <f>'Παραδοχές μοναδιαίου κόστους'!H$23*'Ανάπτυξη δικτύου'!AD160</f>
        <v>180845.77452206687</v>
      </c>
      <c r="H214" s="187">
        <f>'Παραδοχές μοναδιαίου κόστους'!I$23*'Ανάπτυξη δικτύου'!AG160</f>
        <v>168614.48286794816</v>
      </c>
      <c r="I214" s="170">
        <f t="shared" si="18"/>
        <v>811852.66529695934</v>
      </c>
    </row>
    <row r="215" spans="2:9" outlineLevel="1" x14ac:dyDescent="0.35">
      <c r="B215" s="48" t="s">
        <v>95</v>
      </c>
      <c r="C215" s="89" t="s">
        <v>233</v>
      </c>
      <c r="D215" s="187">
        <f>'Παραδοχές μοναδιαίου κόστους'!E$23*'Ανάπτυξη δικτύου'!U161</f>
        <v>59221.581800102242</v>
      </c>
      <c r="E215" s="187">
        <f>'Παραδοχές μοναδιαίου κόστους'!F$23*'Ανάπτυξη δικτύου'!X161</f>
        <v>76145.104642581238</v>
      </c>
      <c r="F215" s="187">
        <f>'Παραδοχές μοναδιαίου κόστους'!G$23*'Ανάπτυξη δικτύου'!AA161</f>
        <v>100753.14076468172</v>
      </c>
      <c r="G215" s="187">
        <f>'Παραδοχές μοναδιαίου κόστους'!H$23*'Ανάπτυξη δικτύου'!AD161</f>
        <v>109007.82851626561</v>
      </c>
      <c r="H215" s="187">
        <f>'Παραδοχές μοναδιαίου κόστους'!I$23*'Ανάπτυξη δικτύου'!AG161</f>
        <v>87527.23221997662</v>
      </c>
      <c r="I215" s="170">
        <f t="shared" si="18"/>
        <v>432654.88794360741</v>
      </c>
    </row>
    <row r="216" spans="2:9" outlineLevel="1" x14ac:dyDescent="0.35">
      <c r="B216" s="48" t="s">
        <v>96</v>
      </c>
      <c r="C216" s="89" t="s">
        <v>233</v>
      </c>
      <c r="D216" s="187">
        <f>'Παραδοχές μοναδιαίου κόστους'!E$23*'Ανάπτυξη δικτύου'!U162</f>
        <v>63790.418916896517</v>
      </c>
      <c r="E216" s="187">
        <f>'Παραδοχές μοναδιαίου κόστους'!F$23*'Ανάπτυξη δικτύου'!X162</f>
        <v>87660.918406724959</v>
      </c>
      <c r="F216" s="187">
        <f>'Παραδοχές μοναδιαίου κόστους'!G$23*'Ανάπτυξη δικτύου'!AA162</f>
        <v>118493.49874711547</v>
      </c>
      <c r="G216" s="187">
        <f>'Παραδοχές μοναδιαίου κόστους'!H$23*'Ανάπτυξη δικτύου'!AD162</f>
        <v>106248.67954529652</v>
      </c>
      <c r="H216" s="187">
        <f>'Παραδοχές μοναδιαίου κόστους'!I$23*'Ανάπτυξη δικτύου'!AG162</f>
        <v>94606.750068185429</v>
      </c>
      <c r="I216" s="170">
        <f t="shared" si="18"/>
        <v>470800.2656842189</v>
      </c>
    </row>
    <row r="217" spans="2:9" outlineLevel="1" x14ac:dyDescent="0.35">
      <c r="B217" s="48" t="s">
        <v>97</v>
      </c>
      <c r="C217" s="89" t="s">
        <v>233</v>
      </c>
      <c r="D217" s="187">
        <f>'Παραδοχές μοναδιαίου κόστους'!E$23*'Ανάπτυξη δικτύου'!U163</f>
        <v>157750.91741538275</v>
      </c>
      <c r="E217" s="187">
        <f>'Παραδοχές μοναδιαίου κόστους'!F$23*'Ανάπτυξη δικτύου'!X163</f>
        <v>266000.41264603153</v>
      </c>
      <c r="F217" s="187">
        <f>'Παραδοχές μοναδιαίου κόστους'!G$23*'Ανάπτυξη δικτύου'!AA163</f>
        <v>293574.75440489093</v>
      </c>
      <c r="G217" s="187">
        <f>'Παραδοχές μοναδιαίου κόστους'!H$23*'Ανάπτυξη δικτύου'!AD163</f>
        <v>226436.06503201716</v>
      </c>
      <c r="H217" s="187">
        <f>'Παραδοχές μοναδιαίου κόστους'!I$23*'Ανάπτυξη δικτύου'!AG163</f>
        <v>254193.36038600176</v>
      </c>
      <c r="I217" s="170">
        <f t="shared" si="18"/>
        <v>1197955.5098843242</v>
      </c>
    </row>
    <row r="218" spans="2:9" outlineLevel="1" x14ac:dyDescent="0.35">
      <c r="B218" s="48" t="s">
        <v>98</v>
      </c>
      <c r="C218" s="89" t="s">
        <v>233</v>
      </c>
      <c r="D218" s="187">
        <f>'Παραδοχές μοναδιαίου κόστους'!E$23*'Ανάπτυξη δικτύου'!U164</f>
        <v>33305.247120355452</v>
      </c>
      <c r="E218" s="187">
        <f>'Παραδοχές μοναδιαίου κόστους'!F$23*'Ανάπτυξη δικτύου'!X164</f>
        <v>67186.857037571681</v>
      </c>
      <c r="F218" s="187">
        <f>'Παραδοχές μοναδιαίου κόστους'!G$23*'Ανάπτυξη δικτύου'!AA164</f>
        <v>97152.851228355139</v>
      </c>
      <c r="G218" s="187">
        <f>'Παραδοχές μοναδιαίου κόστους'!H$23*'Ανάπτυξη δικτύου'!AD164</f>
        <v>99529.508476097209</v>
      </c>
      <c r="H218" s="187">
        <f>'Παραδοχές μοναδιαίου κόστους'!I$23*'Ανάπτυξη δικτύου'!AG164</f>
        <v>106505.09939290612</v>
      </c>
      <c r="I218" s="170">
        <f t="shared" si="18"/>
        <v>403679.56325528561</v>
      </c>
    </row>
    <row r="219" spans="2:9" outlineLevel="1" x14ac:dyDescent="0.35">
      <c r="B219" s="48" t="s">
        <v>99</v>
      </c>
      <c r="C219" s="89" t="s">
        <v>233</v>
      </c>
      <c r="D219" s="187">
        <f>'Παραδοχές μοναδιαίου κόστους'!E$23*'Ανάπτυξη δικτύου'!U165</f>
        <v>153670.47323176306</v>
      </c>
      <c r="E219" s="187">
        <f>'Παραδοχές μοναδιαίου κόστους'!F$23*'Ανάπτυξη δικτύου'!X165</f>
        <v>181925.49970052644</v>
      </c>
      <c r="F219" s="187">
        <f>'Παραδοχές μοναδιαίου κόστους'!G$23*'Ανάπτυξη δικτύου'!AA165</f>
        <v>198125.85700288889</v>
      </c>
      <c r="G219" s="187">
        <f>'Παραδοχές μοναδιαίου κόστους'!H$23*'Ανάπτυξη δικτύου'!AD165</f>
        <v>196428.53295914613</v>
      </c>
      <c r="H219" s="187">
        <f>'Παραδοχές μοναδιαίου κόστους'!I$23*'Ανάπτυξη δικτύου'!AG165</f>
        <v>167945.20071843261</v>
      </c>
      <c r="I219" s="170">
        <f t="shared" si="18"/>
        <v>898095.56361275725</v>
      </c>
    </row>
    <row r="220" spans="2:9" outlineLevel="1" x14ac:dyDescent="0.35">
      <c r="B220" s="48" t="s">
        <v>100</v>
      </c>
      <c r="C220" s="89" t="s">
        <v>233</v>
      </c>
      <c r="D220" s="187">
        <f>'Παραδοχές μοναδιαίου κόστους'!E$23*'Ανάπτυξη δικτύου'!U166</f>
        <v>50005.134512775883</v>
      </c>
      <c r="E220" s="187">
        <f>'Παραδοχές μοναδιαίου κόστους'!F$23*'Ανάπτυξη δικτύου'!X166</f>
        <v>97688.201602060421</v>
      </c>
      <c r="F220" s="187">
        <f>'Παραδοχές μοναδιαίου κόστους'!G$23*'Ανάπτυξη δικτύου'!AA166</f>
        <v>133320.64534901013</v>
      </c>
      <c r="G220" s="187">
        <f>'Παραδοχές μοναδιαίου κόστους'!H$23*'Ανάπτυξη δικτύου'!AD166</f>
        <v>128464.83239962791</v>
      </c>
      <c r="H220" s="187">
        <f>'Παραδοχές μοναδιαίου κόστους'!I$23*'Ανάπτυξη δικτύου'!AG166</f>
        <v>179278.37845022907</v>
      </c>
      <c r="I220" s="170">
        <f t="shared" si="18"/>
        <v>588757.19231370336</v>
      </c>
    </row>
    <row r="221" spans="2:9" outlineLevel="1" x14ac:dyDescent="0.35">
      <c r="B221" s="48" t="s">
        <v>101</v>
      </c>
      <c r="C221" s="89" t="s">
        <v>233</v>
      </c>
      <c r="D221" s="187">
        <f>'Παραδοχές μοναδιαίου κόστους'!E$23*'Ανάπτυξη δικτύου'!U167</f>
        <v>4584.5917275418342</v>
      </c>
      <c r="E221" s="187">
        <f>'Παραδοχές μοναδιαίου κόστους'!F$23*'Ανάπτυξη δικτύου'!X167</f>
        <v>1556.191049208609</v>
      </c>
      <c r="F221" s="187">
        <f>'Παραδοχές μοναδιαίου κόστους'!G$23*'Ανάπτυξη δικτύου'!AA167</f>
        <v>1511.5719427325412</v>
      </c>
      <c r="G221" s="187">
        <f>'Παραδοχές μοναδιαίου κόστους'!H$23*'Ανάπτυξη δικτύου'!AD167</f>
        <v>1243.7614532347684</v>
      </c>
      <c r="H221" s="187">
        <f>'Παραδοχές μοναδιαίου κόστους'!I$23*'Ανάπτυξη δικτύου'!AG167</f>
        <v>966.74088263355657</v>
      </c>
      <c r="I221" s="170">
        <f t="shared" si="18"/>
        <v>9862.8570553513091</v>
      </c>
    </row>
    <row r="222" spans="2:9" outlineLevel="1" x14ac:dyDescent="0.35">
      <c r="B222" s="48" t="s">
        <v>102</v>
      </c>
      <c r="C222" s="89" t="s">
        <v>233</v>
      </c>
      <c r="D222" s="187">
        <f>'Παραδοχές μοναδιαίου κόστους'!E$23*'Ανάπτυξη δικτύου'!U168</f>
        <v>59757.238565519503</v>
      </c>
      <c r="E222" s="187">
        <f>'Παραδοχές μοναδιαίου κόστους'!F$23*'Ανάπτυξη δικτύου'!X168</f>
        <v>63763.236729312746</v>
      </c>
      <c r="F222" s="187">
        <f>'Παραδοχές μοναδιαίου κόστους'!G$23*'Ανάπτυξη δικτύου'!AA168</f>
        <v>66179.367965453799</v>
      </c>
      <c r="G222" s="187">
        <f>'Παραδοχές μοναδιαίου κόστους'!H$23*'Ανάπτυξη δικτύου'!AD168</f>
        <v>56412.444763958571</v>
      </c>
      <c r="H222" s="187">
        <f>'Παραδοχές μοναδιαίου κόστους'!I$23*'Ανάπτυξη δικτύου'!AG168</f>
        <v>42536.598835876481</v>
      </c>
      <c r="I222" s="170">
        <f t="shared" si="18"/>
        <v>288648.8868601211</v>
      </c>
    </row>
    <row r="223" spans="2:9" outlineLevel="1" x14ac:dyDescent="0.35">
      <c r="B223" s="48" t="s">
        <v>103</v>
      </c>
      <c r="C223" s="89" t="s">
        <v>233</v>
      </c>
      <c r="D223" s="187">
        <f>'Παραδοχές μοναδιαίου κόστους'!E$23*'Ανάπτυξη δικτύου'!U169</f>
        <v>0</v>
      </c>
      <c r="E223" s="187">
        <f>'Παραδοχές μοναδιαίου κόστους'!F$23*'Ανάπτυξη δικτύου'!X169</f>
        <v>0</v>
      </c>
      <c r="F223" s="187">
        <f>'Παραδοχές μοναδιαίου κόστους'!G$23*'Ανάπτυξη δικτύου'!AA169</f>
        <v>0</v>
      </c>
      <c r="G223" s="187">
        <f>'Παραδοχές μοναδιαίου κόστους'!H$23*'Ανάπτυξη δικτύου'!AD169</f>
        <v>0</v>
      </c>
      <c r="H223" s="187">
        <f>'Παραδοχές μοναδιαίου κόστους'!I$23*'Ανάπτυξη δικτύου'!AG169</f>
        <v>0</v>
      </c>
      <c r="I223" s="170">
        <f t="shared" si="18"/>
        <v>0</v>
      </c>
    </row>
    <row r="224" spans="2:9" outlineLevel="1" x14ac:dyDescent="0.35">
      <c r="B224" s="48" t="s">
        <v>104</v>
      </c>
      <c r="C224" s="89" t="s">
        <v>233</v>
      </c>
      <c r="D224" s="187">
        <f>'Παραδοχές μοναδιαίου κόστους'!E$23*'Ανάπτυξη δικτύου'!U170</f>
        <v>0</v>
      </c>
      <c r="E224" s="187">
        <f>'Παραδοχές μοναδιαίου κόστους'!F$23*'Ανάπτυξη δικτύου'!X170</f>
        <v>0</v>
      </c>
      <c r="F224" s="187">
        <f>'Παραδοχές μοναδιαίου κόστους'!G$23*'Ανάπτυξη δικτύου'!AA170</f>
        <v>0</v>
      </c>
      <c r="G224" s="187">
        <f>'Παραδοχές μοναδιαίου κόστους'!H$23*'Ανάπτυξη δικτύου'!AD170</f>
        <v>21730.085159963768</v>
      </c>
      <c r="H224" s="187">
        <f>'Παραδοχές μοναδιαίου κόστους'!I$23*'Ανάπτυξη δικτύου'!AG170</f>
        <v>42135.029546167156</v>
      </c>
      <c r="I224" s="170">
        <f t="shared" si="18"/>
        <v>63865.114706130924</v>
      </c>
    </row>
    <row r="225" spans="2:9" outlineLevel="1" x14ac:dyDescent="0.35">
      <c r="B225" s="48" t="s">
        <v>136</v>
      </c>
      <c r="C225" s="89" t="s">
        <v>233</v>
      </c>
      <c r="D225" s="187">
        <f>'Παραδοχές μοναδιαίου κόστους'!E$23*'Ανάπτυξη δικτύου'!U171</f>
        <v>0</v>
      </c>
      <c r="E225" s="187">
        <f>'Παραδοχές μοναδιαίου κόστους'!F$23*'Ανάπτυξη δικτύου'!X171</f>
        <v>0</v>
      </c>
      <c r="F225" s="187">
        <f>'Παραδοχές μοναδιαίου κόστους'!G$23*'Ανάπτυξη δικτύου'!AA171</f>
        <v>0</v>
      </c>
      <c r="G225" s="187">
        <f>'Παραδοχές μοναδιαίου κόστους'!H$23*'Ανάπτυξη δικτύου'!AD171</f>
        <v>21730.085159963768</v>
      </c>
      <c r="H225" s="187">
        <f>'Παραδοχές μοναδιαίου κόστους'!I$23*'Ανάπτυξη δικτύου'!AG171</f>
        <v>36587.424173516141</v>
      </c>
      <c r="I225" s="170">
        <f t="shared" si="18"/>
        <v>58317.509333479909</v>
      </c>
    </row>
    <row r="226" spans="2:9" outlineLevel="1" x14ac:dyDescent="0.35">
      <c r="B226" s="48" t="s">
        <v>106</v>
      </c>
      <c r="C226" s="89" t="s">
        <v>233</v>
      </c>
      <c r="D226" s="187">
        <f>'Παραδοχές μοναδιαίου κόστους'!E$23*'Ανάπτυξη δικτύου'!U172</f>
        <v>29051.502218512516</v>
      </c>
      <c r="E226" s="187">
        <f>'Παραδοχές μοναδιαίου κόστους'!F$23*'Ανάπτυξη δικτύου'!X172</f>
        <v>39703.169898939646</v>
      </c>
      <c r="F226" s="187">
        <f>'Παραδοχές μοναδιαίου κόστους'!G$23*'Ανάπτυξη δικτύου'!AA172</f>
        <v>38641.275481490047</v>
      </c>
      <c r="G226" s="187">
        <f>'Παραδοχές μοναδιαίου κόστους'!H$23*'Ανάπτυξη δικτύου'!AD172</f>
        <v>35683.087210045771</v>
      </c>
      <c r="H226" s="187">
        <f>'Παραδοχές μοναδιαίου κόστους'!I$23*'Ανάπτυξη δικτύου'!AG172</f>
        <v>53914.395377640649</v>
      </c>
      <c r="I226" s="170">
        <f t="shared" si="18"/>
        <v>196993.43018662863</v>
      </c>
    </row>
    <row r="227" spans="2:9" outlineLevel="1" x14ac:dyDescent="0.35">
      <c r="B227" s="48" t="s">
        <v>107</v>
      </c>
      <c r="C227" s="89" t="s">
        <v>233</v>
      </c>
      <c r="D227" s="187">
        <f>'Παραδοχές μοναδιαίου κόστους'!E$23*'Ανάπτυξη δικτύου'!U173</f>
        <v>58386.587430481231</v>
      </c>
      <c r="E227" s="187">
        <f>'Παραδοχές μοναδιαίου κόστους'!F$23*'Ανάπτυξη δικτύου'!X173</f>
        <v>84169.637618065637</v>
      </c>
      <c r="F227" s="187">
        <f>'Παραδοχές μοναδιαίου κόστους'!G$23*'Ανάπτυξη δικτύου'!AA173</f>
        <v>87025.319212047107</v>
      </c>
      <c r="G227" s="187">
        <f>'Παραδοχές μοναδιαίου κόστους'!H$23*'Ανάπτυξη δικτύου'!AD173</f>
        <v>68892.947622279869</v>
      </c>
      <c r="H227" s="187">
        <f>'Παραδοχές μοναδιαίου κόστους'!I$23*'Ανάπτυξη δικτύου'!AG173</f>
        <v>53914.395377640649</v>
      </c>
      <c r="I227" s="170">
        <f t="shared" si="18"/>
        <v>352388.88726051449</v>
      </c>
    </row>
    <row r="228" spans="2:9" outlineLevel="1" x14ac:dyDescent="0.35">
      <c r="B228" s="48" t="s">
        <v>108</v>
      </c>
      <c r="C228" s="89" t="s">
        <v>233</v>
      </c>
      <c r="D228" s="187">
        <f>'Παραδοχές μοναδιαίου κόστους'!E$23*'Ανάπτυξη δικτύου'!U174</f>
        <v>115481.29677966199</v>
      </c>
      <c r="E228" s="187">
        <f>'Παραδοχές μοναδιαίου κόστους'!F$23*'Ανάπτυξη δικτύου'!X174</f>
        <v>119745.51821258245</v>
      </c>
      <c r="F228" s="187">
        <f>'Παραδοχές μοναδιαίου κόστους'!G$23*'Ανάπτυξη δικτύου'!AA174</f>
        <v>189386.22286127164</v>
      </c>
      <c r="G228" s="187">
        <f>'Παραδοχές μοναδιαίου κόστους'!H$23*'Ανάπτυξη δικτύου'!AD174</f>
        <v>250482.11979455606</v>
      </c>
      <c r="H228" s="187">
        <f>'Παραδοχές μοναδιαίου κόστους'!I$23*'Ανάπτυξη δικτύου'!AG174</f>
        <v>231303.91087257033</v>
      </c>
      <c r="I228" s="170">
        <f t="shared" si="18"/>
        <v>906399.06852064247</v>
      </c>
    </row>
    <row r="229" spans="2:9" outlineLevel="1" x14ac:dyDescent="0.35">
      <c r="B229" s="48" t="s">
        <v>109</v>
      </c>
      <c r="C229" s="89" t="s">
        <v>233</v>
      </c>
      <c r="D229" s="187">
        <f>'Παραδοχές μοναδιαίου κόστους'!E$23*'Ανάπτυξη δικτύου'!U175</f>
        <v>218941.82555893081</v>
      </c>
      <c r="E229" s="187">
        <f>'Παραδοχές μοναδιαίου κόστους'!F$23*'Ανάπτυξη δικτύου'!X175</f>
        <v>235377.27921682215</v>
      </c>
      <c r="F229" s="187">
        <f>'Παραδοχές μοναδιαίου κόστους'!G$23*'Ανάπτυξη δικτύου'!AA175</f>
        <v>240848.3767297568</v>
      </c>
      <c r="G229" s="187">
        <f>'Παραδοχές μοναδιαίου κόστους'!H$23*'Ανάπτυξη δικτύου'!AD175</f>
        <v>201760.98148853201</v>
      </c>
      <c r="H229" s="187">
        <f>'Παραδοχές μοναδιαίου κόστους'!I$23*'Ανάπτυξη δικτύου'!AG175</f>
        <v>157296.17807280761</v>
      </c>
      <c r="I229" s="170">
        <f t="shared" si="18"/>
        <v>1054224.6410668495</v>
      </c>
    </row>
    <row r="230" spans="2:9" outlineLevel="1" x14ac:dyDescent="0.35">
      <c r="B230" s="48" t="s">
        <v>110</v>
      </c>
      <c r="C230" s="89" t="s">
        <v>233</v>
      </c>
      <c r="D230" s="187">
        <f>'Παραδοχές μοναδιαίου κόστους'!E$23*'Ανάπτυξη δικτύου'!U176</f>
        <v>31194.129280181551</v>
      </c>
      <c r="E230" s="187">
        <f>'Παραδοχές μοναδιαίου κόστους'!F$23*'Ανάπτυξη δικτύου'!X176</f>
        <v>30528.408756648885</v>
      </c>
      <c r="F230" s="187">
        <f>'Παραδοχές μοναδιαίου κόστους'!G$23*'Ανάπτυξη δικτύου'!AA176</f>
        <v>34147.784342639672</v>
      </c>
      <c r="G230" s="187">
        <f>'Παραδοχές μοναδιαίου κόστους'!H$23*'Ανάπτυξη δικτύου'!AD176</f>
        <v>31222.701308790045</v>
      </c>
      <c r="H230" s="187">
        <f>'Παραδοχές μοναδιαίου κόστους'!I$23*'Ανάπτυξη δικτύου'!AG176</f>
        <v>38996.839911772076</v>
      </c>
      <c r="I230" s="170">
        <f t="shared" si="18"/>
        <v>166089.86360003223</v>
      </c>
    </row>
    <row r="231" spans="2:9" outlineLevel="1" x14ac:dyDescent="0.35">
      <c r="B231" s="48" t="s">
        <v>111</v>
      </c>
      <c r="C231" s="89" t="s">
        <v>233</v>
      </c>
      <c r="D231" s="187">
        <f>'Παραδοχές μοναδιαίου κόστους'!E$23*'Ανάπτυξη δικτύου'!U177</f>
        <v>37732.292740421624</v>
      </c>
      <c r="E231" s="187">
        <f>'Παραδοχές μοναδιαίου κόστους'!F$23*'Ανάπτυξη δικτύου'!X177</f>
        <v>54006.595455578768</v>
      </c>
      <c r="F231" s="187">
        <f>'Παραδοχές μοναδιαίου κόστους'!G$23*'Ανάπτυξη δικτύου'!AA177</f>
        <v>79536.16731396316</v>
      </c>
      <c r="G231" s="187">
        <f>'Παραδοχές μοναδιαίου κόστους'!H$23*'Ανάπτυξη δικτύου'!AD177</f>
        <v>73081.707459036043</v>
      </c>
      <c r="H231" s="187">
        <f>'Παραδοχές μοναδιαίου κόστους'!I$23*'Ανάπτυξη δικτύου'!AG177</f>
        <v>58614.243360905333</v>
      </c>
      <c r="I231" s="170">
        <f t="shared" si="18"/>
        <v>302971.00632990489</v>
      </c>
    </row>
    <row r="232" spans="2:9" outlineLevel="1" x14ac:dyDescent="0.35">
      <c r="B232" s="48" t="s">
        <v>112</v>
      </c>
      <c r="C232" s="89" t="s">
        <v>233</v>
      </c>
      <c r="D232" s="187">
        <f>'Παραδοχές μοναδιαίου κόστους'!E$23*'Ανάπτυξη δικτύου'!U178</f>
        <v>68343.501422943213</v>
      </c>
      <c r="E232" s="187">
        <f>'Παραδοχές μοναδιαίου κόστους'!F$23*'Ανάπτυξη δικτύου'!X178</f>
        <v>100205.17147295435</v>
      </c>
      <c r="F232" s="187">
        <f>'Παραδοχές μοναδιαίου κόστους'!G$23*'Ανάπτυξη δικτύου'!AA178</f>
        <v>127123.20038380669</v>
      </c>
      <c r="G232" s="187">
        <f>'Παραδοχές μοναδιαίου κόστους'!H$23*'Ανάπτυξη δικτύου'!AD178</f>
        <v>125605.61066805373</v>
      </c>
      <c r="H232" s="187">
        <f>'Παραδοχές μοναδιαίου κόστους'!I$23*'Ανάπτυξη δικτύου'!AG178</f>
        <v>133291.25831018359</v>
      </c>
      <c r="I232" s="170">
        <f t="shared" si="18"/>
        <v>554568.74225794151</v>
      </c>
    </row>
    <row r="233" spans="2:9" outlineLevel="1" x14ac:dyDescent="0.35">
      <c r="B233" s="48" t="s">
        <v>113</v>
      </c>
      <c r="C233" s="89" t="s">
        <v>233</v>
      </c>
      <c r="D233" s="187">
        <f>'Παραδοχές μοναδιαίου κόστους'!E$23*'Ανάπτυξη δικτύου'!U179</f>
        <v>0</v>
      </c>
      <c r="E233" s="187">
        <f>'Παραδοχές μοναδιαίου κόστους'!F$23*'Ανάπτυξη δικτύου'!X179</f>
        <v>0</v>
      </c>
      <c r="F233" s="187">
        <f>'Παραδοχές μοναδιαίου κόστους'!G$23*'Ανάπτυξη δικτύου'!AA179</f>
        <v>1374.1563115750373</v>
      </c>
      <c r="G233" s="187">
        <f>'Παραδοχές μοναδιαίου κόστους'!H$23*'Ανάπτυξη δικτύου'!AD179</f>
        <v>0</v>
      </c>
      <c r="H233" s="187">
        <f>'Παραδοχές μοναδιαίου κόστους'!I$23*'Ανάπτυξη δικτύου'!AG179</f>
        <v>0</v>
      </c>
      <c r="I233" s="170">
        <f t="shared" si="18"/>
        <v>1374.1563115750373</v>
      </c>
    </row>
    <row r="234" spans="2:9" outlineLevel="1" x14ac:dyDescent="0.35">
      <c r="B234" s="48" t="s">
        <v>114</v>
      </c>
      <c r="C234" s="89" t="s">
        <v>233</v>
      </c>
      <c r="D234" s="187">
        <f>'Παραδοχές μοναδιαίου κόστους'!E$23*'Ανάπτυξη δικτύου'!U180</f>
        <v>215853.92185240777</v>
      </c>
      <c r="E234" s="187">
        <f>'Παραδοχές μοναδιαίου κόστους'!F$23*'Ανάπτυξη δικτύου'!X180</f>
        <v>232116.0440615241</v>
      </c>
      <c r="F234" s="187">
        <f>'Παραδοχές μοναδιαίου κόστους'!G$23*'Ανάπτυξη δικτύου'!AA180</f>
        <v>224702.04006875012</v>
      </c>
      <c r="G234" s="187">
        <f>'Παραδοχές μοναδιαίου κόστους'!H$23*'Ανάπτυξη δικτύου'!AD180</f>
        <v>183075.96747269476</v>
      </c>
      <c r="H234" s="187">
        <f>'Παραδοχές μοναδιαίου κόστους'!I$23*'Ανάπτυξη δικτύου'!AG180</f>
        <v>143836.17039921728</v>
      </c>
      <c r="I234" s="170">
        <f t="shared" si="18"/>
        <v>999584.14385459397</v>
      </c>
    </row>
    <row r="235" spans="2:9" outlineLevel="1" x14ac:dyDescent="0.35">
      <c r="B235" s="48" t="s">
        <v>115</v>
      </c>
      <c r="C235" s="89" t="s">
        <v>233</v>
      </c>
      <c r="D235" s="187">
        <f>'Παραδοχές μοναδιαίου κόστους'!E$23*'Ανάπτυξη δικτύου'!U181</f>
        <v>83893.302230791291</v>
      </c>
      <c r="E235" s="187">
        <f>'Παραδοχές μοναδιαίου κόστους'!F$23*'Ανάπτυξη δικτύου'!X181</f>
        <v>109014.56602108308</v>
      </c>
      <c r="F235" s="187">
        <f>'Παραδοχές μοναδιαίου κόστους'!G$23*'Ανάπτυξη δικτύου'!AA181</f>
        <v>119139.35221355571</v>
      </c>
      <c r="G235" s="187">
        <f>'Παραδοχές μοναδιαίου κόστους'!H$23*'Ανάπτυξη δικτύου'!AD181</f>
        <v>114683.38365344035</v>
      </c>
      <c r="H235" s="187">
        <f>'Παραδοχές μοναδιαίου κόστους'!I$23*'Ανάπτυξη δικτύου'!AG181</f>
        <v>110223.33355688133</v>
      </c>
      <c r="I235" s="170">
        <f t="shared" si="18"/>
        <v>536953.93767575175</v>
      </c>
    </row>
    <row r="236" spans="2:9" outlineLevel="1" x14ac:dyDescent="0.35">
      <c r="B236" s="48" t="s">
        <v>116</v>
      </c>
      <c r="C236" s="89" t="s">
        <v>233</v>
      </c>
      <c r="D236" s="187">
        <f>'Παραδοχές μοναδιαίου κόστους'!E$23*'Ανάπτυξη δικτύου'!U182</f>
        <v>163784.93333170068</v>
      </c>
      <c r="E236" s="187">
        <f>'Παραδοχές μοναδιαίου κόστους'!F$23*'Ανάπτυξη δικτύου'!X182</f>
        <v>173535.60013088005</v>
      </c>
      <c r="F236" s="187">
        <f>'Παραδοχές μοναδιαίου κόστους'!G$23*'Ανάπτυξη δικτύου'!AA182</f>
        <v>167660.81157527032</v>
      </c>
      <c r="G236" s="187">
        <f>'Παραδοχές μοναδιαίου κόστους'!H$23*'Ανάπτυξη δικτύου'!AD182</f>
        <v>136785.16763850878</v>
      </c>
      <c r="H236" s="187">
        <f>'Παραδοχές μοναδιαίου κόστους'!I$23*'Ανάπτυξη δικτύου'!AG182</f>
        <v>107947.7742485285</v>
      </c>
      <c r="I236" s="170">
        <f t="shared" si="18"/>
        <v>749714.28692488838</v>
      </c>
    </row>
    <row r="237" spans="2:9" outlineLevel="1" x14ac:dyDescent="0.35">
      <c r="B237" s="48" t="s">
        <v>117</v>
      </c>
      <c r="C237" s="89" t="s">
        <v>233</v>
      </c>
      <c r="D237" s="187">
        <f>'Παραδοχές μοναδιαίου κόστους'!E$23*'Ανάπτυξη δικτύου'!U183</f>
        <v>208417.74557955642</v>
      </c>
      <c r="E237" s="187">
        <f>'Παραδοχές μοναδιαίου κόστους'!F$23*'Ανάπτυξη δικτύου'!X183</f>
        <v>310331.55940435675</v>
      </c>
      <c r="F237" s="187">
        <f>'Παραδοχές μοναδιαίου κόστους'!G$23*'Ανάπτυξη δικτύου'!AA183</f>
        <v>370170.22721208353</v>
      </c>
      <c r="G237" s="187">
        <f>'Παραδοχές μοναδιαίου κόστους'!H$23*'Ανάπτυξη δικτύου'!AD183</f>
        <v>416631.49461633165</v>
      </c>
      <c r="H237" s="187">
        <f>'Παραδοχές μοναδιαίου κόστους'!I$23*'Ανάπτυξη δικτύου'!AG183</f>
        <v>396557.11005628487</v>
      </c>
      <c r="I237" s="170">
        <f t="shared" si="18"/>
        <v>1702108.1368686133</v>
      </c>
    </row>
    <row r="238" spans="2:9" outlineLevel="1" x14ac:dyDescent="0.35">
      <c r="B238" s="48" t="s">
        <v>118</v>
      </c>
      <c r="C238" s="89" t="s">
        <v>233</v>
      </c>
      <c r="D238" s="187">
        <f>'Παραδοχές μοναδιαίου κόστους'!E$23*'Ανάπτυξη δικτύου'!U184</f>
        <v>73542.522969640137</v>
      </c>
      <c r="E238" s="187">
        <f>'Παραδοχές μοναδιαίου κόστους'!F$23*'Ανάπτυξη δικτύου'!X184</f>
        <v>78810.927570355998</v>
      </c>
      <c r="F238" s="187">
        <f>'Παραδοχές μοναδιαίου κόστους'!G$23*'Ανάπτυξη δικτύου'!AA184</f>
        <v>75152.608680038786</v>
      </c>
      <c r="G238" s="187">
        <f>'Παραδοχές μοναδιαίου κόστους'!H$23*'Ανάπτυξη δικτύου'!AD184</f>
        <v>61358.898359581908</v>
      </c>
      <c r="H238" s="187">
        <f>'Παραδοχές μοναδιαίου κόστους'!I$23*'Ανάπτυξη δικτύου'!AG184</f>
        <v>55104.230310112718</v>
      </c>
      <c r="I238" s="170">
        <f t="shared" si="18"/>
        <v>343969.18788972951</v>
      </c>
    </row>
    <row r="239" spans="2:9" outlineLevel="1" x14ac:dyDescent="0.35">
      <c r="B239" s="48" t="s">
        <v>119</v>
      </c>
      <c r="C239" s="89" t="s">
        <v>233</v>
      </c>
      <c r="D239" s="187">
        <f>'Παραδοχές μοναδιαίου κόστους'!E$23*'Ανάπτυξη δικτύου'!U185</f>
        <v>0</v>
      </c>
      <c r="E239" s="187">
        <f>'Παραδοχές μοναδιαίου κόστους'!F$23*'Ανάπτυξη δικτύου'!X185</f>
        <v>0</v>
      </c>
      <c r="F239" s="187">
        <f>'Παραδοχές μοναδιαίου κόστους'!G$23*'Ανάπτυξη δικτύου'!AA185</f>
        <v>0</v>
      </c>
      <c r="G239" s="187">
        <f>'Παραδοχές μοναδιαίου κόστους'!H$23*'Ανάπτυξη δικτύου'!AD185</f>
        <v>0</v>
      </c>
      <c r="H239" s="187">
        <f>'Παραδοχές μοναδιαίου κόστους'!I$23*'Ανάπτυξη δικτύου'!AG185</f>
        <v>0</v>
      </c>
      <c r="I239" s="170">
        <f t="shared" si="18"/>
        <v>0</v>
      </c>
    </row>
    <row r="240" spans="2:9" outlineLevel="1" x14ac:dyDescent="0.35">
      <c r="B240" s="48" t="s">
        <v>120</v>
      </c>
      <c r="C240" s="89" t="s">
        <v>233</v>
      </c>
      <c r="D240" s="187">
        <f>'Παραδοχές μοναδιαίου κόστους'!E$23*'Ανάπτυξη δικτύου'!U186</f>
        <v>194096.80441001855</v>
      </c>
      <c r="E240" s="187">
        <f>'Παραδοχές μοναδιαίου κόστους'!F$23*'Ανάπτυξη δικτύου'!X186</f>
        <v>223090.13597611419</v>
      </c>
      <c r="F240" s="187">
        <f>'Παραδοχές μοναδιαίου κόστους'!G$23*'Ανάπτυξη δικτύου'!AA186</f>
        <v>245053.29504317639</v>
      </c>
      <c r="G240" s="187">
        <f>'Παραδοχές μοναδιαίου κόστους'!H$23*'Ανάπτυξη δικτύου'!AD186</f>
        <v>215899.83295116635</v>
      </c>
      <c r="H240" s="187">
        <f>'Παραδοχές μοναδιαίου κόστους'!I$23*'Ανάπτυξη δικτύου'!AG186</f>
        <v>197185.39418393373</v>
      </c>
      <c r="I240" s="170">
        <f t="shared" si="18"/>
        <v>1075325.4625644092</v>
      </c>
    </row>
    <row r="241" spans="2:37" outlineLevel="1" x14ac:dyDescent="0.35">
      <c r="B241" s="48" t="s">
        <v>121</v>
      </c>
      <c r="C241" s="89" t="s">
        <v>233</v>
      </c>
      <c r="D241" s="187">
        <f>'Παραδοχές μοναδιαίου κόστους'!E$23*'Ανάπτυξη δικτύου'!U187</f>
        <v>59001.017249636308</v>
      </c>
      <c r="E241" s="187">
        <f>'Παραδοχές μοναδιαίου κόστους'!F$23*'Ανάπτυξη δικτύου'!X187</f>
        <v>80840.74198236721</v>
      </c>
      <c r="F241" s="187">
        <f>'Παραδοχές μοναδιαίου κόστους'!G$23*'Ανάπτυξη δικτύου'!AA187</f>
        <v>105493.98003961564</v>
      </c>
      <c r="G241" s="187">
        <f>'Παραδοχές μοναδιαίου κόστους'!H$23*'Ανάπτυξη δικτύου'!AD187</f>
        <v>105062.10252669326</v>
      </c>
      <c r="H241" s="187">
        <f>'Παραδοχές μοναδιαίου κόστους'!I$23*'Ανάπτυξη δικτύου'!AG187</f>
        <v>123058.67789092378</v>
      </c>
      <c r="I241" s="170">
        <f t="shared" si="18"/>
        <v>473456.51968923619</v>
      </c>
    </row>
    <row r="242" spans="2:37" outlineLevel="1" x14ac:dyDescent="0.35">
      <c r="B242" s="323" t="s">
        <v>137</v>
      </c>
      <c r="C242" s="89" t="s">
        <v>233</v>
      </c>
      <c r="D242" s="187">
        <f>'Παραδοχές μοναδιαίου κόστους'!E$23*'Ανάπτυξη δικτύου'!U188</f>
        <v>0</v>
      </c>
      <c r="E242" s="187">
        <f>'Παραδοχές μοναδιαίου κόστους'!F$23*'Ανάπτυξη δικτύου'!X188</f>
        <v>0</v>
      </c>
      <c r="F242" s="187">
        <f>'Παραδοχές μοναδιαίου κόστους'!G$23*'Ανάπτυξη δικτύου'!AA188</f>
        <v>0</v>
      </c>
      <c r="G242" s="187">
        <f>'Παραδοχές μοναδιαίου κόστους'!H$23*'Ανάπτυξη δικτύου'!AD188</f>
        <v>0</v>
      </c>
      <c r="H242" s="187">
        <f>'Παραδοχές μοναδιαίου κόστους'!I$23*'Ανάπτυξη δικτύου'!AG188</f>
        <v>0</v>
      </c>
      <c r="I242" s="170">
        <f t="shared" ref="I242" si="19">D242+E242+F242+G242+H242</f>
        <v>0</v>
      </c>
    </row>
    <row r="243" spans="2:37" outlineLevel="1" x14ac:dyDescent="0.35">
      <c r="B243" s="324" t="s">
        <v>123</v>
      </c>
      <c r="C243" s="89" t="s">
        <v>233</v>
      </c>
      <c r="D243" s="187">
        <f>'Παραδοχές μοναδιαίου κόστους'!E$23*'Ανάπτυξη δικτύου'!U189</f>
        <v>87201.770487780246</v>
      </c>
      <c r="E243" s="187">
        <f>'Παραδοχές μοναδιαίου κόστους'!F$23*'Ανάπτυξη δικτύου'!X189</f>
        <v>100570.53806711636</v>
      </c>
      <c r="F243" s="187">
        <f>'Παραδοχές μοναδιαίου κόστους'!G$23*'Ανάπτυξη δικτύου'!AA189</f>
        <v>116446.00584286868</v>
      </c>
      <c r="G243" s="187">
        <f>'Παραδοχές μοναδιαίου κόστους'!H$23*'Ανάπτυξη δικτύου'!AD189</f>
        <v>101159.26486309449</v>
      </c>
      <c r="H243" s="187">
        <f>'Παραδοχές μοναδιαίου κόστους'!I$23*'Ανάπτυξη δικτύου'!AG189</f>
        <v>90620.80304440399</v>
      </c>
      <c r="I243" s="170">
        <f t="shared" si="18"/>
        <v>495998.38230526377</v>
      </c>
    </row>
    <row r="244" spans="2:37" outlineLevel="1" x14ac:dyDescent="0.35">
      <c r="B244" s="324" t="s">
        <v>124</v>
      </c>
      <c r="C244" s="89" t="s">
        <v>233</v>
      </c>
      <c r="D244" s="187">
        <f>'Παραδοχές μοναδιαίου κόστους'!E$23*'Ανάπτυξη δικτύου'!U190</f>
        <v>211316.59395710865</v>
      </c>
      <c r="E244" s="187">
        <f>'Παραδοχές μοναδιαίου κόστους'!F$23*'Ανάπτυξη δικτύου'!X190</f>
        <v>250005.47507938306</v>
      </c>
      <c r="F244" s="187">
        <f>'Παραδοχές μοναδιαίου κόστους'!G$23*'Ανάπτυξη δικτύου'!AA190</f>
        <v>257008.45495387926</v>
      </c>
      <c r="G244" s="187">
        <f>'Παραδοχές μοναδιαίου κόστους'!H$23*'Ανάπτυξη δικτύου'!AD190</f>
        <v>207064.83780060211</v>
      </c>
      <c r="H244" s="187">
        <f>'Παραδοχές μοναδιαίου κόστους'!I$23*'Ανάπτυξη δικτύου'!AG190</f>
        <v>185733.23295889003</v>
      </c>
      <c r="I244" s="170">
        <f t="shared" ref="I244:I247" si="20">D244+E244+F244+G244+H244</f>
        <v>1111128.594749863</v>
      </c>
    </row>
    <row r="245" spans="2:37" outlineLevel="1" x14ac:dyDescent="0.35">
      <c r="B245" s="323" t="s">
        <v>125</v>
      </c>
      <c r="C245" s="89" t="s">
        <v>233</v>
      </c>
      <c r="D245" s="187">
        <f>'Παραδοχές μοναδιαίου κόστους'!E$23*'Ανάπτυξη δικτύου'!U191</f>
        <v>5529.8683723958202</v>
      </c>
      <c r="E245" s="187">
        <f>'Παραδοχές μοναδιαίου κόστους'!F$23*'Ανάπτυξη δικτύου'!X191</f>
        <v>3937.8399593017848</v>
      </c>
      <c r="F245" s="187">
        <f>'Παραδοχές μοναδιαίου κόστους'!G$23*'Ανάπτυξη δικτύου'!AA191</f>
        <v>3888.8623617573558</v>
      </c>
      <c r="G245" s="187">
        <f>'Παραδοχές μοναδιαίου κόστους'!H$23*'Ανάπτυξη δικτύου'!AD191</f>
        <v>3473.9544038626282</v>
      </c>
      <c r="H245" s="187">
        <f>'Παραδοχές μοναδιαίου κόστους'!I$23*'Ανάπτυξη δικτύου'!AG191</f>
        <v>3093.570824427381</v>
      </c>
      <c r="I245" s="170">
        <f t="shared" si="20"/>
        <v>19924.095921744971</v>
      </c>
    </row>
    <row r="246" spans="2:37" outlineLevel="1" x14ac:dyDescent="0.35">
      <c r="B246" s="324" t="s">
        <v>126</v>
      </c>
      <c r="C246" s="89" t="s">
        <v>233</v>
      </c>
      <c r="D246" s="187">
        <f>'Παραδοχές μοναδιαίου κόστους'!E$23*'Ανάπτυξη δικτύου'!U192</f>
        <v>40426.331178255481</v>
      </c>
      <c r="E246" s="187">
        <f>'Παραδοχές μοναδιαίου κόστους'!F$23*'Ανάπτυξη δικτύου'!X192</f>
        <v>44669.449160327124</v>
      </c>
      <c r="F246" s="187">
        <f>'Παραδοχές μοναδιαίου κόστους'!G$23*'Ανάπτυξη δικτύου'!AA192</f>
        <v>43931.777281053939</v>
      </c>
      <c r="G246" s="187">
        <f>'Παραδοχές μοναδιαίου κόστους'!H$23*'Ανάπτυξη δικτύου'!AD192</f>
        <v>38199.202333831046</v>
      </c>
      <c r="H246" s="187">
        <f>'Παραδοχές μοναδιαίου κόστους'!I$23*'Ανάπτυξη δικτύου'!AG192</f>
        <v>29299.68521212471</v>
      </c>
      <c r="I246" s="170">
        <f t="shared" si="20"/>
        <v>196526.44516559233</v>
      </c>
    </row>
    <row r="247" spans="2:37" outlineLevel="1" x14ac:dyDescent="0.35">
      <c r="B247" s="323" t="s">
        <v>127</v>
      </c>
      <c r="C247" s="89" t="s">
        <v>233</v>
      </c>
      <c r="D247" s="187">
        <f>'Παραδοχές μοναδιαίου κόστους'!E$23*'Ανάπτυξη δικτύου'!U193</f>
        <v>1575.4610747566439</v>
      </c>
      <c r="E247" s="187">
        <f>'Παραδοχές μοναδιαίου κόστους'!F$23*'Ανάπτυξη δικτύου'!X193</f>
        <v>0</v>
      </c>
      <c r="F247" s="187">
        <f>'Παραδοχές μοναδιαίου κόστους'!G$23*'Ανάπτυξη δικτύου'!AA193</f>
        <v>0</v>
      </c>
      <c r="G247" s="187">
        <f>'Παραδοχές μοναδιαίου κόστους'!H$23*'Ανάπτυξη δικτύου'!AD193</f>
        <v>0</v>
      </c>
      <c r="H247" s="187">
        <f>'Παραδοχές μοναδιαίου κόστους'!I$23*'Ανάπτυξη δικτύου'!AG193</f>
        <v>0</v>
      </c>
      <c r="I247" s="170">
        <f t="shared" si="20"/>
        <v>1575.4610747566439</v>
      </c>
    </row>
    <row r="248" spans="2:37" outlineLevel="1" x14ac:dyDescent="0.35">
      <c r="B248" s="477" t="s">
        <v>151</v>
      </c>
      <c r="C248" s="478"/>
      <c r="D248" s="478"/>
      <c r="E248" s="478"/>
      <c r="F248" s="478"/>
      <c r="G248" s="478"/>
      <c r="H248" s="478"/>
      <c r="I248" s="480"/>
    </row>
    <row r="249" spans="2:37" x14ac:dyDescent="0.35">
      <c r="B249" s="48" t="s">
        <v>140</v>
      </c>
      <c r="C249" s="89" t="s">
        <v>233</v>
      </c>
      <c r="D249" s="188">
        <f>SUM(D194:D247)</f>
        <v>5456948.8820919935</v>
      </c>
      <c r="E249" s="188">
        <f t="shared" ref="E249:I249" si="21">SUM(E194:E247)</f>
        <v>6868254.0056103561</v>
      </c>
      <c r="F249" s="188">
        <f t="shared" si="21"/>
        <v>7952800.3238362065</v>
      </c>
      <c r="G249" s="188">
        <f t="shared" si="21"/>
        <v>7492869.9644068331</v>
      </c>
      <c r="H249" s="188">
        <f t="shared" si="21"/>
        <v>6897644.4874990778</v>
      </c>
      <c r="I249" s="188">
        <f t="shared" si="21"/>
        <v>34668517.663444459</v>
      </c>
    </row>
    <row r="251" spans="2:37" ht="15" customHeight="1" outlineLevel="1" x14ac:dyDescent="0.35">
      <c r="B251" s="419" t="s">
        <v>191</v>
      </c>
      <c r="C251" s="419"/>
      <c r="D251" s="419"/>
      <c r="E251" s="419"/>
      <c r="F251" s="419"/>
      <c r="G251" s="419"/>
      <c r="H251" s="419"/>
      <c r="I251" s="419"/>
      <c r="J251" s="103"/>
      <c r="K251" s="103"/>
      <c r="L251" s="103"/>
      <c r="M251" s="103"/>
      <c r="N251" s="103"/>
      <c r="O251" s="103"/>
      <c r="P251" s="103"/>
      <c r="Q251" s="103"/>
      <c r="R251" s="103"/>
      <c r="S251" s="103"/>
      <c r="T251" s="103"/>
      <c r="U251" s="103"/>
      <c r="V251" s="103"/>
      <c r="W251" s="103"/>
      <c r="X251" s="103"/>
      <c r="Y251" s="103"/>
      <c r="Z251" s="103"/>
      <c r="AA251" s="103"/>
      <c r="AB251" s="103"/>
      <c r="AC251" s="103"/>
      <c r="AD251" s="103"/>
      <c r="AE251" s="103"/>
      <c r="AF251" s="103"/>
      <c r="AG251" s="103"/>
      <c r="AH251" s="103"/>
      <c r="AI251" s="103"/>
      <c r="AJ251" s="103"/>
      <c r="AK251" s="103"/>
    </row>
    <row r="252" spans="2:37" ht="15.5" outlineLevel="1" x14ac:dyDescent="0.35">
      <c r="B252" s="103"/>
      <c r="C252" s="103"/>
      <c r="D252" s="103"/>
      <c r="E252" s="103"/>
      <c r="F252" s="103"/>
      <c r="G252" s="103"/>
      <c r="H252" s="103"/>
      <c r="I252" s="103"/>
    </row>
    <row r="253" spans="2:37" outlineLevel="1" x14ac:dyDescent="0.35">
      <c r="B253" s="75"/>
      <c r="C253" s="61" t="s">
        <v>134</v>
      </c>
      <c r="D253" s="79">
        <f>$C$3</f>
        <v>2024</v>
      </c>
      <c r="E253" s="79">
        <f>$C$3+1</f>
        <v>2025</v>
      </c>
      <c r="F253" s="79">
        <f>$C$3+2</f>
        <v>2026</v>
      </c>
      <c r="G253" s="79">
        <f>$C$3+3</f>
        <v>2027</v>
      </c>
      <c r="H253" s="79">
        <f>$C$3+4</f>
        <v>2028</v>
      </c>
      <c r="I253" s="78" t="str">
        <f xml:space="preserve"> D253&amp;" - "&amp;H253</f>
        <v>2024 - 2028</v>
      </c>
    </row>
    <row r="254" spans="2:37" outlineLevel="1" x14ac:dyDescent="0.35">
      <c r="B254" s="48" t="s">
        <v>74</v>
      </c>
      <c r="C254" s="89" t="s">
        <v>233</v>
      </c>
      <c r="D254" s="187">
        <f>'Παραδοχές μοναδιαίου κόστους'!E$29*'Ανάπτυξη δικτύου'!U201</f>
        <v>12253.704018639966</v>
      </c>
      <c r="E254" s="187">
        <f>'Παραδοχές μοναδιαίου κόστους'!F$29*'Ανάπτυξη δικτύου'!X201</f>
        <v>17925.8023425918</v>
      </c>
      <c r="F254" s="187">
        <f>'Παραδοχές μοναδιαίου κόστους'!G$29*'Ανάπτυξη δικτύου'!AA201</f>
        <v>31349.413575884024</v>
      </c>
      <c r="G254" s="187">
        <f>'Παραδοχές μοναδιαίου κόστους'!H$29*'Ανάπτυξη δικτύου'!AD201</f>
        <v>29024.10636713589</v>
      </c>
      <c r="H254" s="187">
        <f>'Παραδοχές μοναδιαίου κόστους'!I$29*'Ανάπτυξη δικτύου'!AG201</f>
        <v>23682.325299025339</v>
      </c>
      <c r="I254" s="170">
        <f t="shared" ref="I254" si="22">D254+E254+F254+G254+H254</f>
        <v>114235.35160327701</v>
      </c>
    </row>
    <row r="255" spans="2:37" outlineLevel="1" x14ac:dyDescent="0.35">
      <c r="B255" s="48" t="s">
        <v>75</v>
      </c>
      <c r="C255" s="89" t="s">
        <v>233</v>
      </c>
      <c r="D255" s="187">
        <f>'Παραδοχές μοναδιαίου κόστους'!E$29*'Ανάπτυξη δικτύου'!U202</f>
        <v>151420.7710874796</v>
      </c>
      <c r="E255" s="187">
        <f>'Παραδοχές μοναδιαίου κόστους'!F$29*'Ανάπτυξη δικτύου'!X202</f>
        <v>120724.79128684272</v>
      </c>
      <c r="F255" s="187">
        <f>'Παραδοχές μοναδιαίου κόστους'!G$29*'Ανάπτυξη δικτύου'!AA202</f>
        <v>131883.73987096036</v>
      </c>
      <c r="G255" s="187">
        <f>'Παραδοχές μοναδιαίου κόστους'!H$29*'Ανάπτυξη δικτύου'!AD202</f>
        <v>117708.87582227333</v>
      </c>
      <c r="H255" s="187">
        <f>'Παραδοχές μοναδιαίου κόστους'!I$29*'Ανάπτυξη δικτύου'!AG202</f>
        <v>96565.140366568434</v>
      </c>
      <c r="I255" s="170">
        <f t="shared" ref="I255:I303" si="23">D255+E255+F255+G255+H255</f>
        <v>618303.31843412446</v>
      </c>
    </row>
    <row r="256" spans="2:37" outlineLevel="1" x14ac:dyDescent="0.35">
      <c r="B256" s="48" t="s">
        <v>76</v>
      </c>
      <c r="C256" s="89" t="s">
        <v>233</v>
      </c>
      <c r="D256" s="187">
        <f>'Παραδοχές μοναδιαίου κόστους'!E$29*'Ανάπτυξη δικτύου'!U203</f>
        <v>68562.391532866488</v>
      </c>
      <c r="E256" s="187">
        <f>'Παραδοχές μοναδιαίου κόστους'!F$29*'Ανάπτυξη δικτύου'!X203</f>
        <v>59264.897540813705</v>
      </c>
      <c r="F256" s="187">
        <f>'Παραδοχές μοναδιαίου κόστους'!G$29*'Ανάπτυξη δικτύου'!AA203</f>
        <v>86661.309942529973</v>
      </c>
      <c r="G256" s="187">
        <f>'Παραδοχές μοναδιαίου κόστους'!H$29*'Ανάπτυξη δικτύου'!AD203</f>
        <v>87609.80255265093</v>
      </c>
      <c r="H256" s="187">
        <f>'Παραδοχές μοναδιαίου κόστους'!I$29*'Ανάπτυξη δικτύου'!AG203</f>
        <v>81878.427002831784</v>
      </c>
      <c r="I256" s="170">
        <f t="shared" si="23"/>
        <v>383976.82857169287</v>
      </c>
    </row>
    <row r="257" spans="2:9" outlineLevel="1" x14ac:dyDescent="0.35">
      <c r="B257" s="48" t="s">
        <v>77</v>
      </c>
      <c r="C257" s="89" t="s">
        <v>233</v>
      </c>
      <c r="D257" s="187">
        <f>'Παραδοχές μοναδιαίου κόστους'!E$29*'Ανάπτυξη δικτύου'!U204</f>
        <v>14004.233164159963</v>
      </c>
      <c r="E257" s="187">
        <f>'Παραδοχές μοναδιαίου κόστους'!F$29*'Ανάπτυξη δικτύου'!X204</f>
        <v>9694.5665730343408</v>
      </c>
      <c r="F257" s="187">
        <f>'Παραδοχές μοναδιαίου κόστους'!G$29*'Ανάπτυξη δικτύου'!AA204</f>
        <v>12972.171134848561</v>
      </c>
      <c r="G257" s="187">
        <f>'Παραδοχές μοναδιαίου κόστους'!H$29*'Ανάπτυξη δικτύου'!AD204</f>
        <v>13616.247431495849</v>
      </c>
      <c r="H257" s="187">
        <f>'Παραδοχές μοναδιαίου κόστους'!I$29*'Ανάπτυξη δικτύου'!AG204</f>
        <v>10831.451105755776</v>
      </c>
      <c r="I257" s="170">
        <f t="shared" si="23"/>
        <v>61118.669409294489</v>
      </c>
    </row>
    <row r="258" spans="2:9" outlineLevel="1" x14ac:dyDescent="0.35">
      <c r="B258" s="48" t="s">
        <v>78</v>
      </c>
      <c r="C258" s="89" t="s">
        <v>233</v>
      </c>
      <c r="D258" s="187">
        <f>'Παραδοχές μοναδιαίου κόστους'!E$29*'Ανάπτυξη δικτύου'!U205</f>
        <v>886059.5024907043</v>
      </c>
      <c r="E258" s="187">
        <f>'Παραδοχές μοναδιαίου κόστους'!F$29*'Ανάπτυξη δικτύου'!X205</f>
        <v>675990.23757490632</v>
      </c>
      <c r="F258" s="187">
        <f>'Παραδοχές μοναδιαίου κόστους'!G$29*'Ανάπτυξη δικτύου'!AA205</f>
        <v>758706.85643206269</v>
      </c>
      <c r="G258" s="187">
        <f>'Παραδοχές μοναδιαίου κόστους'!H$29*'Ανάπτυξη δικτύου'!AD205</f>
        <v>735202.71082143625</v>
      </c>
      <c r="H258" s="187">
        <f>'Παραδοχές μοναδιαίου κόστους'!I$29*'Ανάπτυξη δικτύου'!AG205</f>
        <v>659984.18178291549</v>
      </c>
      <c r="I258" s="170">
        <f t="shared" si="23"/>
        <v>3715943.4891020246</v>
      </c>
    </row>
    <row r="259" spans="2:9" outlineLevel="1" x14ac:dyDescent="0.35">
      <c r="B259" s="48" t="s">
        <v>79</v>
      </c>
      <c r="C259" s="89" t="s">
        <v>233</v>
      </c>
      <c r="D259" s="187">
        <f>'Παραδοχές μοναδιαίου κόστους'!E$29*'Ανάπτυξη δικτύου'!U206</f>
        <v>83150.134412199768</v>
      </c>
      <c r="E259" s="187">
        <f>'Παραδοχές μοναδιαίου κόστους'!F$29*'Ανάπτυξη δικτύου'!X206</f>
        <v>57984.483087771434</v>
      </c>
      <c r="F259" s="187">
        <f>'Παραδοχές μοναδιαίου κόστους'!G$29*'Ανάπτυξη δικτύου'!AA206</f>
        <v>59816.122455135031</v>
      </c>
      <c r="G259" s="187">
        <f>'Παραδοχές μοναδιαίου κόστους'!H$29*'Ανάπτυξη δικτύου'!AD206</f>
        <v>51956.733620181527</v>
      </c>
      <c r="H259" s="187">
        <f>'Παραδοχές μοναδιαίου κόστους'!I$29*'Ανάπτυξη δικτύου'!AG206</f>
        <v>51036.328938984836</v>
      </c>
      <c r="I259" s="170">
        <f t="shared" si="23"/>
        <v>303943.80251427263</v>
      </c>
    </row>
    <row r="260" spans="2:9" outlineLevel="1" x14ac:dyDescent="0.35">
      <c r="B260" s="48" t="s">
        <v>80</v>
      </c>
      <c r="C260" s="89" t="s">
        <v>233</v>
      </c>
      <c r="D260" s="187">
        <f>'Παραδοχές μοναδιαίου κόστους'!E$29*'Ανάπτυξη δικτύου'!U207</f>
        <v>90152.250994279762</v>
      </c>
      <c r="E260" s="187">
        <f>'Παραδοχές μοναδιαίου κόστους'!F$29*'Ανάπτυξη δικτύου'!X207</f>
        <v>66215.718857328888</v>
      </c>
      <c r="F260" s="187">
        <f>'Παραδοχές μοναδιαίου κόστους'!G$29*'Ανάπτυξη δικτύου'!AA207</f>
        <v>68644.405588573631</v>
      </c>
      <c r="G260" s="187">
        <f>'Παραδοχές μοναδιαίου κόστους'!H$29*'Ανάπτυξη δικτύου'!AD207</f>
        <v>58764.857335929453</v>
      </c>
      <c r="H260" s="187">
        <f>'Παραδοχές μοναδιαίου κόστους'!I$29*'Ανάπτυξη δικτύου'!AG207</f>
        <v>50852.745021938128</v>
      </c>
      <c r="I260" s="170">
        <f t="shared" si="23"/>
        <v>334629.97779804986</v>
      </c>
    </row>
    <row r="261" spans="2:9" outlineLevel="1" x14ac:dyDescent="0.35">
      <c r="B261" s="48" t="s">
        <v>81</v>
      </c>
      <c r="C261" s="89" t="s">
        <v>233</v>
      </c>
      <c r="D261" s="187">
        <f>'Παραδοχές μοναδιαίου κόστους'!E$29*'Ανάπτυξη δικτύου'!U208</f>
        <v>141501.10592953296</v>
      </c>
      <c r="E261" s="187">
        <f>'Παραδοχές μοναδιαίου κόστους'!F$29*'Ανάπτυξη δικτύου'!X208</f>
        <v>100238.16003816639</v>
      </c>
      <c r="F261" s="187">
        <f>'Παραδοχές μοναδιαίου κόστους'!G$29*'Ανάπτυξη δικτύου'!AA208</f>
        <v>104317.87620940717</v>
      </c>
      <c r="G261" s="187">
        <f>'Παραδοχές μοναδιαίου κόστους'!H$29*'Ανάπτυξη δικτύου'!AD208</f>
        <v>90297.219808867216</v>
      </c>
      <c r="H261" s="187">
        <f>'Παραδοχές μοναδιαίου κόστους'!I$29*'Ανάπτυξη δικτύου'!AG208</f>
        <v>73800.734652776635</v>
      </c>
      <c r="I261" s="170">
        <f t="shared" si="23"/>
        <v>510155.09663875034</v>
      </c>
    </row>
    <row r="262" spans="2:9" outlineLevel="1" x14ac:dyDescent="0.35">
      <c r="B262" s="48" t="s">
        <v>82</v>
      </c>
      <c r="C262" s="89" t="s">
        <v>233</v>
      </c>
      <c r="D262" s="187">
        <f>'Παραδοχές μοναδιαίου κόστους'!E$29*'Ανάπτυξη δικτύου'!U209</f>
        <v>0</v>
      </c>
      <c r="E262" s="187">
        <f>'Παραδοχές μοναδιαίου κόστους'!F$29*'Ανάπτυξη δικτύου'!X209</f>
        <v>0</v>
      </c>
      <c r="F262" s="187">
        <f>'Παραδοχές μοναδιαίου κόστους'!G$29*'Ανάπτυξη δικτύου'!AA209</f>
        <v>0</v>
      </c>
      <c r="G262" s="187">
        <f>'Παραδοχές μοναδιαίου κόστους'!H$29*'Ανάπτυξη δικτύου'!AD209</f>
        <v>0</v>
      </c>
      <c r="H262" s="187">
        <f>'Παραδοχές μοναδιαίου κόστους'!I$29*'Ανάπτυξη δικτύου'!AG209</f>
        <v>0</v>
      </c>
      <c r="I262" s="170">
        <f t="shared" si="23"/>
        <v>0</v>
      </c>
    </row>
    <row r="263" spans="2:9" outlineLevel="1" x14ac:dyDescent="0.35">
      <c r="B263" s="48" t="s">
        <v>83</v>
      </c>
      <c r="C263" s="89" t="s">
        <v>233</v>
      </c>
      <c r="D263" s="187">
        <f>'Παραδοχές μοναδιαίου κόστους'!E$29*'Ανάπτυξη δικτύου'!U210</f>
        <v>17797.046312786617</v>
      </c>
      <c r="E263" s="187">
        <f>'Παραδοχές μοναδιαίου κόστους'!F$29*'Ανάπτυξη δικτύου'!X210</f>
        <v>20486.631248676342</v>
      </c>
      <c r="F263" s="187">
        <f>'Παραδοχές μοναδιαίου κόστους'!G$29*'Ανάπτυξη δικτύου'!AA210</f>
        <v>24863.328008459743</v>
      </c>
      <c r="G263" s="187">
        <f>'Παραδοχές μοναδιαίου κόστους'!H$29*'Ανάπτυξη δικτύου'!AD210</f>
        <v>26336.689110919604</v>
      </c>
      <c r="H263" s="187">
        <f>'Παραδοχές μοναδιαίου κόστους'!I$29*'Ανάπτυξη δικτύου'!AG210</f>
        <v>25334.58055244571</v>
      </c>
      <c r="I263" s="170">
        <f t="shared" si="23"/>
        <v>114818.27523328802</v>
      </c>
    </row>
    <row r="264" spans="2:9" outlineLevel="1" x14ac:dyDescent="0.35">
      <c r="B264" s="48" t="s">
        <v>84</v>
      </c>
      <c r="C264" s="89" t="s">
        <v>233</v>
      </c>
      <c r="D264" s="187">
        <f>'Παραδοχές μοναδιαίου κόστους'!E$29*'Ανάπτυξη δικτύου'!U211</f>
        <v>36761.112055919897</v>
      </c>
      <c r="E264" s="187">
        <f>'Παραδοχές μοναδιαίου κόστους'!F$29*'Ανάπτυξη δικτύου'!X211</f>
        <v>34205.357531272108</v>
      </c>
      <c r="F264" s="187">
        <f>'Παραδοχές μοναδιαίου κόστους'!G$29*'Ανάπτυξη δικτύου'!AA211</f>
        <v>51168.00836523599</v>
      </c>
      <c r="G264" s="187">
        <f>'Παραδοχές μοναδιαίου κόστους'!H$29*'Ανάπτυξη δικτύου'!AD211</f>
        <v>57510.729283028522</v>
      </c>
      <c r="H264" s="187">
        <f>'Παραδοχές μοναδιαίου κόστους'!I$29*'Ανάπτυξη δικτύου'!AG211</f>
        <v>50669.16110489142</v>
      </c>
      <c r="I264" s="170">
        <f t="shared" si="23"/>
        <v>230314.36834034792</v>
      </c>
    </row>
    <row r="265" spans="2:9" outlineLevel="1" x14ac:dyDescent="0.35">
      <c r="B265" s="48" t="s">
        <v>85</v>
      </c>
      <c r="C265" s="89" t="s">
        <v>233</v>
      </c>
      <c r="D265" s="187">
        <f>'Παραδοχές μοναδιαίου κόστους'!E$29*'Ανάπτυξη δικτύου'!U212</f>
        <v>69437.656105626476</v>
      </c>
      <c r="E265" s="187">
        <f>'Παραδοχές μοναδιαίου κόστους'!F$29*'Ανάπτυξη δικτύου'!X212</f>
        <v>53960.323378210007</v>
      </c>
      <c r="F265" s="187">
        <f>'Παραδοχές μοναδιαίου κόστους'!G$29*'Ανάπτυξη δικτύου'!AA212</f>
        <v>56753.248714962458</v>
      </c>
      <c r="G265" s="187">
        <f>'Παραδοχές μοναδιαίου κόστους'!H$29*'Ανάπτυξη δικτύου'!AD212</f>
        <v>48552.671762307567</v>
      </c>
      <c r="H265" s="187">
        <f>'Παραδοχές μοναδιαίου κόστους'!I$29*'Ανάπτυξη δικτύου'!AG212</f>
        <v>40204.87783322906</v>
      </c>
      <c r="I265" s="170">
        <f t="shared" si="23"/>
        <v>268908.77779433556</v>
      </c>
    </row>
    <row r="266" spans="2:9" outlineLevel="1" x14ac:dyDescent="0.35">
      <c r="B266" s="48" t="s">
        <v>86</v>
      </c>
      <c r="C266" s="89" t="s">
        <v>233</v>
      </c>
      <c r="D266" s="187">
        <f>'Παραδοχές μοναδιαίου κόστους'!E$29*'Ανάπτυξη δικτύου'!U213</f>
        <v>76148.017830119788</v>
      </c>
      <c r="E266" s="187">
        <f>'Παραδοχές μοναδιαίου κόστους'!F$29*'Ανάπτυξη δικτύου'!X213</f>
        <v>92372.756969478141</v>
      </c>
      <c r="F266" s="187">
        <f>'Παραδοχές μοναδιαίου κόστους'!G$29*'Ανάπτυξη δικτύου'!AA213</f>
        <v>134225.93743697469</v>
      </c>
      <c r="G266" s="187">
        <f>'Παραδοχές μοναδιαίου κόστους'!H$29*'Ανάπτυξη δικτύου'!AD213</f>
        <v>131145.96210335474</v>
      </c>
      <c r="H266" s="187">
        <f>'Παραδοχές μοναδιαίου κόστους'!I$29*'Ανάπτυξη δικτύου'!AG213</f>
        <v>110333.93414507154</v>
      </c>
      <c r="I266" s="170">
        <f t="shared" si="23"/>
        <v>544226.60848499893</v>
      </c>
    </row>
    <row r="267" spans="2:9" outlineLevel="1" x14ac:dyDescent="0.35">
      <c r="B267" s="48" t="s">
        <v>87</v>
      </c>
      <c r="C267" s="89" t="s">
        <v>233</v>
      </c>
      <c r="D267" s="187">
        <f>'Παραδοχές μοναδιαίου κόστους'!E$29*'Ανάπτυξη δικτύου'!U214</f>
        <v>69145.901248039809</v>
      </c>
      <c r="E267" s="187">
        <f>'Παραδοχές μοναδιαίου κόστους'!F$29*'Ανάπτυξη δικτύου'!X214</f>
        <v>71154.460319063364</v>
      </c>
      <c r="F267" s="187">
        <f>'Παραδοχές μοναδιαίου κόστους'!G$29*'Ανάπτυξη δικτύου'!AA214</f>
        <v>77292.519678472672</v>
      </c>
      <c r="G267" s="187">
        <f>'Παραδοχές μοναδιαίου κόστους'!H$29*'Ανάπτυξη δικτύου'!AD214</f>
        <v>60735.629990488065</v>
      </c>
      <c r="H267" s="187">
        <f>'Παραδοχές μοναδιαίου κόστους'!I$29*'Ανάπτυξη δικτύου'!AG214</f>
        <v>65172.290551581362</v>
      </c>
      <c r="I267" s="170">
        <f t="shared" si="23"/>
        <v>343500.80178764526</v>
      </c>
    </row>
    <row r="268" spans="2:9" outlineLevel="1" x14ac:dyDescent="0.35">
      <c r="B268" s="48" t="s">
        <v>88</v>
      </c>
      <c r="C268" s="89" t="s">
        <v>233</v>
      </c>
      <c r="D268" s="187">
        <f>'Παραδοχές μοναδιαίου κόστους'!E$29*'Ανάπτυξη δικτύου'!U215</f>
        <v>126913.36305019965</v>
      </c>
      <c r="E268" s="187">
        <f>'Παραδοχές μοναδιαίου κόστους'!F$29*'Ανάπτυξη δικτύου'!X215</f>
        <v>109932.72661120072</v>
      </c>
      <c r="F268" s="187">
        <f>'Παραδοχές μοναδιαίου κόστους'!G$29*'Ανάπτυξη δικτύου'!AA215</f>
        <v>136207.79691590989</v>
      </c>
      <c r="G268" s="187">
        <f>'Παραδοχές μοναδιαίου κόστους'!H$29*'Ανάπτυξη δικτύου'!AD215</f>
        <v>119500.48732641753</v>
      </c>
      <c r="H268" s="187">
        <f>'Παραδοχές μοναδιαίου κόστους'!I$29*'Ανάπτυξη δικτύου'!AG215</f>
        <v>113822.02856895899</v>
      </c>
      <c r="I268" s="170">
        <f t="shared" si="23"/>
        <v>606376.40247268684</v>
      </c>
    </row>
    <row r="269" spans="2:9" outlineLevel="1" x14ac:dyDescent="0.35">
      <c r="B269" s="48" t="s">
        <v>89</v>
      </c>
      <c r="C269" s="89" t="s">
        <v>233</v>
      </c>
      <c r="D269" s="187">
        <f>'Παραδοχές μοναδιαίου κόστους'!E$29*'Ανάπτυξη δικτύου'!U216</f>
        <v>48431.306359386537</v>
      </c>
      <c r="E269" s="187">
        <f>'Παραδοχές μοναδιαίου κόστους'!F$29*'Ανάπτυξη δικτύου'!X216</f>
        <v>37863.684539964313</v>
      </c>
      <c r="F269" s="187">
        <f>'Παραδοχές μοναδιαίου κόστους'!G$29*'Ανάπτυξη δικτύου'!AA216</f>
        <v>46663.782276746904</v>
      </c>
      <c r="G269" s="187">
        <f>'Παραδοχές μοναδιαίου κόστους'!H$29*'Ανάπτυξη δικτύου'!AD216</f>
        <v>52673.378221839208</v>
      </c>
      <c r="H269" s="187">
        <f>'Παραδοχές μοναδιαίου κόστους'!I$29*'Ανάπτυξη δικτύου'!AG216</f>
        <v>49751.24151965788</v>
      </c>
      <c r="I269" s="170">
        <f t="shared" si="23"/>
        <v>235383.39291759481</v>
      </c>
    </row>
    <row r="270" spans="2:9" outlineLevel="1" x14ac:dyDescent="0.35">
      <c r="B270" s="48" t="s">
        <v>90</v>
      </c>
      <c r="C270" s="89" t="s">
        <v>233</v>
      </c>
      <c r="D270" s="187">
        <f>'Παραδοχές μοναδιαίου κόστους'!E$29*'Ανάπτυξη δικτύου'!U217</f>
        <v>583.50971517333176</v>
      </c>
      <c r="E270" s="187">
        <f>'Παραδοχές μοναδιαίου κόστους'!F$29*'Ανάπτυξη δικτύου'!X217</f>
        <v>1463.3308034768816</v>
      </c>
      <c r="F270" s="187">
        <f>'Παραδοχές μοναδιαίου κόστους'!G$29*'Ανάπτυξη δικτύου'!AA217</f>
        <v>1801.6904353956334</v>
      </c>
      <c r="G270" s="187">
        <f>'Παραδοχές μοναδιαίου κόστους'!H$29*'Ανάπτυξη δικτύου'!AD217</f>
        <v>3404.0618578739623</v>
      </c>
      <c r="H270" s="187">
        <f>'Παραδοχές μοναδιαίου κόστους'!I$29*'Ανάπτυξη δικτύου'!AG217</f>
        <v>3304.5105068407447</v>
      </c>
      <c r="I270" s="170">
        <f t="shared" si="23"/>
        <v>10557.103318760554</v>
      </c>
    </row>
    <row r="271" spans="2:9" outlineLevel="1" x14ac:dyDescent="0.35">
      <c r="B271" s="48" t="s">
        <v>91</v>
      </c>
      <c r="C271" s="89" t="s">
        <v>233</v>
      </c>
      <c r="D271" s="187">
        <f>'Παραδοχές μοναδιαίου κόστους'!E$29*'Ανάπτυξη δικτύου'!U218</f>
        <v>2917.5485758666587</v>
      </c>
      <c r="E271" s="187">
        <f>'Παραδοχές μοναδιαίου κόστους'!F$29*'Ανάπτυξη δικτύου'!X218</f>
        <v>2926.6616069537631</v>
      </c>
      <c r="F271" s="187">
        <f>'Παραδοχές μοναδιαίου κόστους'!G$29*'Ανάπτυξη δικτύου'!AA218</f>
        <v>3963.7189578703938</v>
      </c>
      <c r="G271" s="187">
        <f>'Παραδοχές μοναδιαίου κόστους'!H$29*'Ανάπτυξη δικτύου'!AD218</f>
        <v>3583.2230082883816</v>
      </c>
      <c r="H271" s="187">
        <f>'Παραδοχές μοναδιαίου κόστους'!I$29*'Ανάπτυξη δικτύου'!AG218</f>
        <v>3671.678340934161</v>
      </c>
      <c r="I271" s="170">
        <f t="shared" si="23"/>
        <v>17062.830489913358</v>
      </c>
    </row>
    <row r="272" spans="2:9" outlineLevel="1" x14ac:dyDescent="0.35">
      <c r="B272" s="48" t="s">
        <v>92</v>
      </c>
      <c r="C272" s="89" t="s">
        <v>233</v>
      </c>
      <c r="D272" s="187">
        <f>'Παραδοχές μοναδιαίου κόστους'!E$29*'Ανάπτυξη δικτύου'!U219</f>
        <v>87526.457275999768</v>
      </c>
      <c r="E272" s="187">
        <f>'Παραδοχές μοναδιαίου κόστους'!F$29*'Ανάπτυξη δικτύου'!X219</f>
        <v>70239.878566890315</v>
      </c>
      <c r="F272" s="187">
        <f>'Παραδοχές μοναδιαίου κόστους'!G$29*'Ανάπτυξη δικτύου'!AA219</f>
        <v>83598.436202357392</v>
      </c>
      <c r="G272" s="187">
        <f>'Παραδοχές μοναδιαίου κόστους'!H$29*'Ανάπτυξη δικτύου'!AD219</f>
        <v>73635.232820326244</v>
      </c>
      <c r="H272" s="187">
        <f>'Παραδοχές μοναδιαίου κόστους'!I$29*'Ανάπτυξη δικτύου'!AG219</f>
        <v>60031.940874273532</v>
      </c>
      <c r="I272" s="170">
        <f t="shared" si="23"/>
        <v>375031.94573984726</v>
      </c>
    </row>
    <row r="273" spans="2:9" outlineLevel="1" x14ac:dyDescent="0.35">
      <c r="B273" s="48" t="s">
        <v>93</v>
      </c>
      <c r="C273" s="89" t="s">
        <v>233</v>
      </c>
      <c r="D273" s="187">
        <f>'Παραδοχές μοναδιαίου κόστους'!E$29*'Ανάπτυξη δικτύου'!U220</f>
        <v>121078.26589846634</v>
      </c>
      <c r="E273" s="187">
        <f>'Παραδοχές μοναδιαίου κόστους'!F$29*'Ανάπτυξη δικτύου'!X220</f>
        <v>106823.14865381236</v>
      </c>
      <c r="F273" s="187">
        <f>'Παραδοχές μοναδιαίου κόστους'!G$29*'Ανάπτυξη δικτύου'!AA220</f>
        <v>178187.18406062815</v>
      </c>
      <c r="G273" s="187">
        <f>'Παραδοχές μοναδιαίου κόστους'!H$29*'Ανάπτυξη δικτύου'!AD220</f>
        <v>187581.72448389677</v>
      </c>
      <c r="H273" s="187">
        <f>'Παραδοχές μοναδιαίου κόστους'!I$29*'Ανάπτυξη δικτύου'!AG220</f>
        <v>163756.85400566357</v>
      </c>
      <c r="I273" s="170">
        <f t="shared" si="23"/>
        <v>757427.17710246716</v>
      </c>
    </row>
    <row r="274" spans="2:9" outlineLevel="1" x14ac:dyDescent="0.35">
      <c r="B274" s="48" t="s">
        <v>94</v>
      </c>
      <c r="C274" s="89" t="s">
        <v>233</v>
      </c>
      <c r="D274" s="187">
        <f>'Παραδοχές μοναδιαίου κόστους'!E$29*'Ανάπτυξη δικτύου'!U221</f>
        <v>89860.496136693095</v>
      </c>
      <c r="E274" s="187">
        <f>'Παραδοχές μοναδιαίου κόστους'!F$29*'Ανάπτυξη δικτύου'!X221</f>
        <v>77373.616233840119</v>
      </c>
      <c r="F274" s="187">
        <f>'Παραδοχές μοναδιαίου κόστους'!G$29*'Ανάπτυξη δικτύου'!AA221</f>
        <v>92426.719335795991</v>
      </c>
      <c r="G274" s="187">
        <f>'Παραδοχές μοναδιαίου κόστους'!H$29*'Ανάπτυξη δικτύου'!AD221</f>
        <v>89759.736357623959</v>
      </c>
      <c r="H274" s="187">
        <f>'Παραδοχές μοναδιαίου κόστους'!I$29*'Ανάπτυξη δικτύου'!AG221</f>
        <v>82612.76267101863</v>
      </c>
      <c r="I274" s="170">
        <f t="shared" si="23"/>
        <v>432033.33073497179</v>
      </c>
    </row>
    <row r="275" spans="2:9" outlineLevel="1" x14ac:dyDescent="0.35">
      <c r="B275" s="48" t="s">
        <v>95</v>
      </c>
      <c r="C275" s="89" t="s">
        <v>233</v>
      </c>
      <c r="D275" s="187">
        <f>'Παραδοχές μοναδιαίου κόστους'!E$29*'Ανάπτυξη δικτύου'!U222</f>
        <v>44930.248068346547</v>
      </c>
      <c r="E275" s="187">
        <f>'Παραδοχές μοναδιαίου κόστους'!F$29*'Ανάπτυξη δικτύου'!X222</f>
        <v>37132.019138225871</v>
      </c>
      <c r="F275" s="187">
        <f>'Παραδοχές μοναδιαίου κόστους'!G$29*'Ανάπτυξη δικτύου'!AA222</f>
        <v>49005.979842761233</v>
      </c>
      <c r="G275" s="187">
        <f>'Παραδοχές μοναδιαίου κόστους'!H$29*'Ανάπτυξη δικτύου'!AD222</f>
        <v>51956.733620181527</v>
      </c>
      <c r="H275" s="187">
        <f>'Παραδοχές μοναδιαίου κόστους'!I$29*'Ανάπτυξη δικτύου'!AG222</f>
        <v>42591.468754836271</v>
      </c>
      <c r="I275" s="170">
        <f t="shared" si="23"/>
        <v>225616.44942435145</v>
      </c>
    </row>
    <row r="276" spans="2:9" outlineLevel="1" x14ac:dyDescent="0.35">
      <c r="B276" s="48" t="s">
        <v>96</v>
      </c>
      <c r="C276" s="89" t="s">
        <v>233</v>
      </c>
      <c r="D276" s="187">
        <f>'Παραδοχές μοναδιαίου κόστους'!E$29*'Ανάπτυξη δικτύου'!U223</f>
        <v>50181.835504906529</v>
      </c>
      <c r="E276" s="187">
        <f>'Παραδοχές μοναδιαίου κόστους'!F$29*'Ανάπτυξη δικτύου'!X223</f>
        <v>42619.509651264176</v>
      </c>
      <c r="F276" s="187">
        <f>'Παραδοχές μοναδιαίου κόστους'!G$29*'Ανάπτυξη δικτύου'!AA223</f>
        <v>57113.58680204158</v>
      </c>
      <c r="G276" s="187">
        <f>'Παραδοχές μοναδιαίου κόστους'!H$29*'Ανάπτυξη δικτύου'!AD223</f>
        <v>52135.894770595951</v>
      </c>
      <c r="H276" s="187">
        <f>'Παραδοχές μοναδιαίου κόστους'!I$29*'Ανάπτυξη δικτύου'!AG223</f>
        <v>46263.14709577043</v>
      </c>
      <c r="I276" s="170">
        <f t="shared" si="23"/>
        <v>248313.97382457866</v>
      </c>
    </row>
    <row r="277" spans="2:9" outlineLevel="1" x14ac:dyDescent="0.35">
      <c r="B277" s="48" t="s">
        <v>97</v>
      </c>
      <c r="C277" s="89" t="s">
        <v>233</v>
      </c>
      <c r="D277" s="187">
        <f>'Παραδοχές μοναδιαίου κόστους'!E$29*'Ανάπτυξη δικτύου'!U224</f>
        <v>115534.92360431969</v>
      </c>
      <c r="E277" s="187">
        <f>'Παραδοχές μοναδιαίου κόστους'!F$29*'Ανάπτυξη δικτύου'!X224</f>
        <v>121090.62398771195</v>
      </c>
      <c r="F277" s="187">
        <f>'Παραδοχές μοναδιαίου κόστους'!G$29*'Ανάπτυξη δικτύου'!AA224</f>
        <v>136928.47309006815</v>
      </c>
      <c r="G277" s="187">
        <f>'Παραδοχές μοναδιαίου κόστους'!H$29*'Ανάπτυξη δικτύου'!AD224</f>
        <v>110184.10750486773</v>
      </c>
      <c r="H277" s="187">
        <f>'Παραδοχές μοναδιαίου κόστους'!I$29*'Ανάπτυξη δικτύου'!AG224</f>
        <v>118962.37824626682</v>
      </c>
      <c r="I277" s="170">
        <f t="shared" si="23"/>
        <v>602700.50643323432</v>
      </c>
    </row>
    <row r="278" spans="2:9" outlineLevel="1" x14ac:dyDescent="0.35">
      <c r="B278" s="48" t="s">
        <v>98</v>
      </c>
      <c r="C278" s="89" t="s">
        <v>233</v>
      </c>
      <c r="D278" s="187">
        <f>'Παραδοχές μοναδιαίου κόστους'!E$29*'Ανάπτυξη δικτύου'!U225</f>
        <v>24799.1628948666</v>
      </c>
      <c r="E278" s="187">
        <f>'Παραδοχές μοναδιαίου κόστους'!F$29*'Ανάπτυξη δικτύου'!X225</f>
        <v>29998.281471276074</v>
      </c>
      <c r="F278" s="187">
        <f>'Παραδοχές μοναδιαίου κόστους'!G$29*'Ανάπτυξη δικτύου'!AA225</f>
        <v>42880.232362416078</v>
      </c>
      <c r="G278" s="187">
        <f>'Παραδοχές μοναδιαίου κόστους'!H$29*'Ανάπτυξη δικτύου'!AD225</f>
        <v>43356.998400289413</v>
      </c>
      <c r="H278" s="187">
        <f>'Παραδοχές μοναδιαίου κόστους'!I$29*'Ανάπτυξη δικτύου'!AG225</f>
        <v>45712.395344630306</v>
      </c>
      <c r="I278" s="170">
        <f t="shared" si="23"/>
        <v>186747.07047347847</v>
      </c>
    </row>
    <row r="279" spans="2:9" outlineLevel="1" x14ac:dyDescent="0.35">
      <c r="B279" s="48" t="s">
        <v>99</v>
      </c>
      <c r="C279" s="89" t="s">
        <v>233</v>
      </c>
      <c r="D279" s="187">
        <f>'Παραδοχές μοναδιαίου κόστους'!E$29*'Ανάπτυξη δικτύου'!U226</f>
        <v>112909.12988603969</v>
      </c>
      <c r="E279" s="187">
        <f>'Παραδοχές μοναδιαίου κόστους'!F$29*'Ανάπτυξη δικτύου'!X226</f>
        <v>86885.266456439844</v>
      </c>
      <c r="F279" s="187">
        <f>'Παραδοχές μοναδιαίου κόστους'!G$29*'Ανάπτυξη δικτύου'!AA226</f>
        <v>98011.959685522466</v>
      </c>
      <c r="G279" s="187">
        <f>'Παραδοχές μοναδιαίου κόστους'!H$29*'Ανάπτυξη δικτύου'!AD226</f>
        <v>97642.826975858392</v>
      </c>
      <c r="H279" s="187">
        <f>'Παραδοχές μοναδιαίου κόστους'!I$29*'Ανάπτυξη δικτύου'!AG226</f>
        <v>84081.434007392294</v>
      </c>
      <c r="I279" s="170">
        <f t="shared" si="23"/>
        <v>479530.61701125267</v>
      </c>
    </row>
    <row r="280" spans="2:9" outlineLevel="1" x14ac:dyDescent="0.35">
      <c r="B280" s="48" t="s">
        <v>100</v>
      </c>
      <c r="C280" s="89" t="s">
        <v>233</v>
      </c>
      <c r="D280" s="187">
        <f>'Παραδοχές μοναδιαίου κόστους'!E$29*'Ανάπτυξη δικτύου'!U227</f>
        <v>32968.298907293247</v>
      </c>
      <c r="E280" s="187">
        <f>'Παραδοχές μοναδιαίου κόστους'!F$29*'Ανάπτυξη δικτύου'!X227</f>
        <v>42070.760599960347</v>
      </c>
      <c r="F280" s="187">
        <f>'Παραδοχές μοναδιαίου κόστους'!G$29*'Ανάπτυξη δικτύου'!AA227</f>
        <v>57113.58680204158</v>
      </c>
      <c r="G280" s="187">
        <f>'Παραδοχές μοναδιαίου κόστους'!H$29*'Ανάπτυξη δικτύου'!AD227</f>
        <v>55002.473177226653</v>
      </c>
      <c r="H280" s="187">
        <f>'Παραδοχές μοναδιαίου κόστους'!I$29*'Ανάπτυξη δικτύου'!AG227</f>
        <v>75269.405989150298</v>
      </c>
      <c r="I280" s="170">
        <f t="shared" si="23"/>
        <v>262424.5254756721</v>
      </c>
    </row>
    <row r="281" spans="2:9" outlineLevel="1" x14ac:dyDescent="0.35">
      <c r="B281" s="48" t="s">
        <v>101</v>
      </c>
      <c r="C281" s="89" t="s">
        <v>233</v>
      </c>
      <c r="D281" s="187">
        <f>'Παραδοχές μοναδιαίου κόστους'!E$29*'Ανάπτυξη δικτύου'!U228</f>
        <v>1750.5291455199954</v>
      </c>
      <c r="E281" s="187">
        <f>'Παραδοχές μοναδιαίου κόστους'!F$29*'Ανάπτυξη δικτύου'!X228</f>
        <v>731.66540173844078</v>
      </c>
      <c r="F281" s="187">
        <f>'Παραδοχές μοναδιαίου κόστους'!G$29*'Ανάπτυξη δικτύου'!AA228</f>
        <v>900.84521769781668</v>
      </c>
      <c r="G281" s="187">
        <f>'Παραδοχές μοναδιαίου κόστους'!H$29*'Ανάπτυξη δικτύου'!AD228</f>
        <v>716.64460165767628</v>
      </c>
      <c r="H281" s="187">
        <f>'Παραδοχές μοναδιαίου κόστους'!I$29*'Ανάπτυξη δικτύου'!AG228</f>
        <v>550.75175114012416</v>
      </c>
      <c r="I281" s="170">
        <f t="shared" si="23"/>
        <v>4650.4361177540532</v>
      </c>
    </row>
    <row r="282" spans="2:9" outlineLevel="1" x14ac:dyDescent="0.35">
      <c r="B282" s="48" t="s">
        <v>102</v>
      </c>
      <c r="C282" s="89" t="s">
        <v>233</v>
      </c>
      <c r="D282" s="187">
        <f>'Παραδοχές μοναδιαίου κόστους'!E$29*'Ανάπτυξη δικτύου'!U229</f>
        <v>45513.757783519875</v>
      </c>
      <c r="E282" s="187">
        <f>'Παραδοχές μοναδιαίου κόστους'!F$29*'Ανάπτυξη δικτύου'!X229</f>
        <v>31827.444975622173</v>
      </c>
      <c r="F282" s="187">
        <f>'Παραδοχές μοναδιαίου κόστους'!G$29*'Ανάπτυξη δικτύου'!AA229</f>
        <v>34592.456359596166</v>
      </c>
      <c r="G282" s="187">
        <f>'Παραδοχές μοναδιαίου κόστους'!H$29*'Ανάπτυξη δικτύου'!AD229</f>
        <v>30636.556720865661</v>
      </c>
      <c r="H282" s="187">
        <f>'Παραδοχές μοναδιαίου κόστους'!I$29*'Ανάπτυξη δικτύου'!AG229</f>
        <v>24416.66096721217</v>
      </c>
      <c r="I282" s="170">
        <f t="shared" si="23"/>
        <v>166986.87680681606</v>
      </c>
    </row>
    <row r="283" spans="2:9" outlineLevel="1" x14ac:dyDescent="0.35">
      <c r="B283" s="48" t="s">
        <v>103</v>
      </c>
      <c r="C283" s="89" t="s">
        <v>233</v>
      </c>
      <c r="D283" s="187">
        <f>'Παραδοχές μοναδιαίου κόστους'!E$29*'Ανάπτυξη δικτύου'!U230</f>
        <v>0</v>
      </c>
      <c r="E283" s="187">
        <f>'Παραδοχές μοναδιαίου κόστους'!F$29*'Ανάπτυξη δικτύου'!X230</f>
        <v>0</v>
      </c>
      <c r="F283" s="187">
        <f>'Παραδοχές μοναδιαίου κόστους'!G$29*'Ανάπτυξη δικτύου'!AA230</f>
        <v>0</v>
      </c>
      <c r="G283" s="187">
        <f>'Παραδοχές μοναδιαίου κόστους'!H$29*'Ανάπτυξη δικτύου'!AD230</f>
        <v>0</v>
      </c>
      <c r="H283" s="187">
        <f>'Παραδοχές μοναδιαίου κόστους'!I$29*'Ανάπτυξη δικτύου'!AG230</f>
        <v>0</v>
      </c>
      <c r="I283" s="170">
        <f t="shared" si="23"/>
        <v>0</v>
      </c>
    </row>
    <row r="284" spans="2:9" outlineLevel="1" x14ac:dyDescent="0.35">
      <c r="B284" s="48" t="s">
        <v>104</v>
      </c>
      <c r="C284" s="89" t="s">
        <v>233</v>
      </c>
      <c r="D284" s="187">
        <f>'Παραδοχές μοναδιαίου κόστους'!E$29*'Ανάπτυξη δικτύου'!U231</f>
        <v>0</v>
      </c>
      <c r="E284" s="187">
        <f>'Παραδοχές μοναδιαίου κόστους'!F$29*'Ανάπτυξη δικτύου'!X231</f>
        <v>0</v>
      </c>
      <c r="F284" s="187">
        <f>'Παραδοχές μοναδιαίου κόστους'!G$29*'Ανάπτυξη δικτύου'!AA231</f>
        <v>0</v>
      </c>
      <c r="G284" s="187">
        <f>'Παραδοχές μοναδιαίου κόστους'!H$29*'Ανάπτυξη δικτύου'!AD231</f>
        <v>8599.7352198921144</v>
      </c>
      <c r="H284" s="187">
        <f>'Παραδοχές μοναδιαίου κόστους'!I$29*'Ανάπτυξη δικτύου'!AG231</f>
        <v>16889.720368297141</v>
      </c>
      <c r="I284" s="170">
        <f t="shared" si="23"/>
        <v>25489.455588189256</v>
      </c>
    </row>
    <row r="285" spans="2:9" outlineLevel="1" x14ac:dyDescent="0.35">
      <c r="B285" s="48" t="s">
        <v>136</v>
      </c>
      <c r="C285" s="89" t="s">
        <v>233</v>
      </c>
      <c r="D285" s="187">
        <f>'Παραδοχές μοναδιαίου κόστους'!E$29*'Ανάπτυξη δικτύου'!U232</f>
        <v>0</v>
      </c>
      <c r="E285" s="187">
        <f>'Παραδοχές μοναδιαίου κόστους'!F$29*'Ανάπτυξη δικτύου'!X232</f>
        <v>0</v>
      </c>
      <c r="F285" s="187">
        <f>'Παραδοχές μοναδιαίου κόστους'!G$29*'Ανάπτυξη δικτύου'!AA232</f>
        <v>0</v>
      </c>
      <c r="G285" s="187">
        <f>'Παραδοχές μοναδιαίου κόστους'!H$29*'Ανάπτυξη δικτύου'!AD232</f>
        <v>8599.7352198921144</v>
      </c>
      <c r="H285" s="187">
        <f>'Παραδοχές μοναδιαίου κόστους'!I$29*'Ανάπτυξη δικτύου'!AG232</f>
        <v>14870.297280783352</v>
      </c>
      <c r="I285" s="170">
        <f t="shared" si="23"/>
        <v>23470.032500675465</v>
      </c>
    </row>
    <row r="286" spans="2:9" outlineLevel="1" x14ac:dyDescent="0.35">
      <c r="B286" s="48" t="s">
        <v>106</v>
      </c>
      <c r="C286" s="89" t="s">
        <v>233</v>
      </c>
      <c r="D286" s="187">
        <f>'Παραδοχές μοναδιαίου κόστους'!E$29*'Ανάπτυξη δικτύου'!U233</f>
        <v>21881.614318999942</v>
      </c>
      <c r="E286" s="187">
        <f>'Παραδοχές μοναδιαίου κόστους'!F$29*'Ανάπτυξη δικτύου'!X233</f>
        <v>18657.467744330239</v>
      </c>
      <c r="F286" s="187">
        <f>'Παραδοχές μοναδιαίου κόστους'!G$29*'Ανάπτυξη δικτύου'!AA233</f>
        <v>19458.25670227284</v>
      </c>
      <c r="G286" s="187">
        <f>'Παραδοχές μοναδιαίου κόστους'!H$29*'Ανάπτυξη δικτύου'!AD233</f>
        <v>17916.115041441906</v>
      </c>
      <c r="H286" s="187">
        <f>'Παραδοχές μοναδιαίου κόστους'!I$29*'Ανάπτυξη δικτύου'!AG233</f>
        <v>25150.996635399002</v>
      </c>
      <c r="I286" s="170">
        <f t="shared" si="23"/>
        <v>103064.45044244392</v>
      </c>
    </row>
    <row r="287" spans="2:9" outlineLevel="1" x14ac:dyDescent="0.35">
      <c r="B287" s="48" t="s">
        <v>107</v>
      </c>
      <c r="C287" s="89" t="s">
        <v>233</v>
      </c>
      <c r="D287" s="187">
        <f>'Παραδοχές μοναδιαίου κόστους'!E$29*'Ανάπτυξη δικτύου'!U234</f>
        <v>43471.473780413216</v>
      </c>
      <c r="E287" s="187">
        <f>'Παραδοχές μοναδιαίου κόστους'!F$29*'Ανάπτυξη δικτύου'!X234</f>
        <v>39144.098993006584</v>
      </c>
      <c r="F287" s="187">
        <f>'Παραδοχές μοναδιαίου κόστους'!G$29*'Ανάπτυξη δικτύου'!AA234</f>
        <v>42519.894275336948</v>
      </c>
      <c r="G287" s="187">
        <f>'Παραδοχές μοναδιαίου κόστους'!H$29*'Ανάπτυξη δικτύου'!AD234</f>
        <v>34936.424330811722</v>
      </c>
      <c r="H287" s="187">
        <f>'Παραδοχές μοναδιαίου κόστους'!I$29*'Ανάπτυξη δικτύου'!AG234</f>
        <v>28455.507142239749</v>
      </c>
      <c r="I287" s="170">
        <f t="shared" si="23"/>
        <v>188527.39852180821</v>
      </c>
    </row>
    <row r="288" spans="2:9" outlineLevel="1" x14ac:dyDescent="0.35">
      <c r="B288" s="48" t="s">
        <v>108</v>
      </c>
      <c r="C288" s="89" t="s">
        <v>233</v>
      </c>
      <c r="D288" s="187">
        <f>'Παραδοχές μοναδιαίου κόστους'!E$29*'Ανάπτυξη δικτύου'!U235</f>
        <v>79357.321263573118</v>
      </c>
      <c r="E288" s="187">
        <f>'Παραδοχές μοναδιαίου κόστους'!F$29*'Ανάπτυξη δικτύου'!X235</f>
        <v>56338.235933859942</v>
      </c>
      <c r="F288" s="187">
        <f>'Παραδοχές μοναδιαίου κόστους'!G$29*'Ανάπτυξη δικτύου'!AA235</f>
        <v>87201.817073148661</v>
      </c>
      <c r="G288" s="187">
        <f>'Παραδοχές μοναδιαίου κόστους'!H$29*'Ανάπτυξη δικτύου'!AD235</f>
        <v>110721.59095611099</v>
      </c>
      <c r="H288" s="187">
        <f>'Παραδοχές μοναδιαίου κόστους'!I$29*'Ανάπτυξη δικτύου'!AG235</f>
        <v>102439.82571206309</v>
      </c>
      <c r="I288" s="170">
        <f t="shared" si="23"/>
        <v>436058.79093875573</v>
      </c>
    </row>
    <row r="289" spans="2:9" outlineLevel="1" x14ac:dyDescent="0.35">
      <c r="B289" s="48" t="s">
        <v>109</v>
      </c>
      <c r="C289" s="89" t="s">
        <v>233</v>
      </c>
      <c r="D289" s="187">
        <f>'Παραδοχές μοναδιαίου κόστους'!E$29*'Ανάπτυξη δικτύου'!U236</f>
        <v>172135.36597613286</v>
      </c>
      <c r="E289" s="187">
        <f>'Παραδοχές μοναδιαίου κόστους'!F$29*'Ανάπτυξη δικτύου'!X236</f>
        <v>119810.20953466967</v>
      </c>
      <c r="F289" s="187">
        <f>'Παραδοχές μοναδιαίου κόστους'!G$29*'Ανάπτυξη δικτύου'!AA236</f>
        <v>129001.03517432735</v>
      </c>
      <c r="G289" s="187">
        <f>'Παραδοχές μοναδιαίου κόστους'!H$29*'Ανάπτυξη δικτύου'!AD236</f>
        <v>114483.97511481379</v>
      </c>
      <c r="H289" s="187">
        <f>'Παραδοχές μοναδιαίου κόστους'!I$29*'Ανάπτυξη δικτύου'!AG236</f>
        <v>91608.374606307319</v>
      </c>
      <c r="I289" s="170">
        <f t="shared" si="23"/>
        <v>627038.96040625102</v>
      </c>
    </row>
    <row r="290" spans="2:9" outlineLevel="1" x14ac:dyDescent="0.35">
      <c r="B290" s="48" t="s">
        <v>110</v>
      </c>
      <c r="C290" s="89" t="s">
        <v>233</v>
      </c>
      <c r="D290" s="187">
        <f>'Παραδοχές μοναδιαίου κόστους'!E$29*'Ανάπτυξη δικτύου'!U237</f>
        <v>19547.575458306615</v>
      </c>
      <c r="E290" s="187">
        <f>'Παραδοχές μοναδιαίου κόστους'!F$29*'Ανάπτυξη δικτύου'!X237</f>
        <v>13352.893581726545</v>
      </c>
      <c r="F290" s="187">
        <f>'Παραδοχές μοναδιαίου κόστους'!G$29*'Ανάπτυξη δικτύου'!AA237</f>
        <v>15854.875831481575</v>
      </c>
      <c r="G290" s="187">
        <f>'Παραδοχές μοναδιαίου κόστους'!H$29*'Ανάπτυξη δικτύου'!AD237</f>
        <v>14691.214333982363</v>
      </c>
      <c r="H290" s="187">
        <f>'Παραδοχές μοναδιαίου κόστους'!I$29*'Ανάπτυξη δικτύου'!AG237</f>
        <v>17624.056036483973</v>
      </c>
      <c r="I290" s="170">
        <f t="shared" si="23"/>
        <v>81070.615241981082</v>
      </c>
    </row>
    <row r="291" spans="2:9" outlineLevel="1" x14ac:dyDescent="0.35">
      <c r="B291" s="48" t="s">
        <v>111</v>
      </c>
      <c r="C291" s="89" t="s">
        <v>233</v>
      </c>
      <c r="D291" s="187">
        <f>'Παραδοχές μοναδιαίου κόστους'!E$29*'Ανάπτυξη δικτύου'!U238</f>
        <v>28008.466328319926</v>
      </c>
      <c r="E291" s="187">
        <f>'Παραδοχές μοναδιαίου κόστους'!F$29*'Ανάπτυξη δικτύου'!X238</f>
        <v>25425.372710410818</v>
      </c>
      <c r="F291" s="187">
        <f>'Παραδοχές μοναδιαίου κόστους'!G$29*'Ανάπτυξη δικτύου'!AA238</f>
        <v>36934.653925610488</v>
      </c>
      <c r="G291" s="187">
        <f>'Παραδοχές μοναδιαίου κόστους'!H$29*'Ανάπτυξη δικτύου'!AD238</f>
        <v>34040.618578739624</v>
      </c>
      <c r="H291" s="187">
        <f>'Παραδοχές μοναδιαίου κόστους'!I$29*'Ανάπτυξη δικτύου'!AG238</f>
        <v>27537.587557006209</v>
      </c>
      <c r="I291" s="170">
        <f t="shared" si="23"/>
        <v>151946.69910008708</v>
      </c>
    </row>
    <row r="292" spans="2:9" outlineLevel="1" x14ac:dyDescent="0.35">
      <c r="B292" s="48" t="s">
        <v>112</v>
      </c>
      <c r="C292" s="89" t="s">
        <v>233</v>
      </c>
      <c r="D292" s="187">
        <f>'Παραδοχές μοναδιαίου κόστους'!E$29*'Ανάπτυξη δικτύου'!U239</f>
        <v>49014.816074559865</v>
      </c>
      <c r="E292" s="187">
        <f>'Παραδοχές μοναδιαίου κόστους'!F$29*'Ανάπτυξη δικτύου'!X239</f>
        <v>45912.00395908716</v>
      </c>
      <c r="F292" s="187">
        <f>'Παραδοχές μοναδιαίου κόστους'!G$29*'Ανάπτυξη δικτύου'!AA239</f>
        <v>58194.601063278962</v>
      </c>
      <c r="G292" s="187">
        <f>'Παραδοχές μοναδιαίου κόστους'!H$29*'Ανάπτυξη δικτύου'!AD239</f>
        <v>57689.890433442939</v>
      </c>
      <c r="H292" s="187">
        <f>'Παραδοχές μοναδιαίου κόστους'!I$29*'Ανάπτυξη δικτύου'!AG239</f>
        <v>59848.356957226824</v>
      </c>
      <c r="I292" s="170">
        <f t="shared" si="23"/>
        <v>270659.66848759574</v>
      </c>
    </row>
    <row r="293" spans="2:9" outlineLevel="1" x14ac:dyDescent="0.35">
      <c r="B293" s="48" t="s">
        <v>113</v>
      </c>
      <c r="C293" s="89" t="s">
        <v>233</v>
      </c>
      <c r="D293" s="187">
        <f>'Παραδοχές μοναδιαίου κόστους'!E$29*'Ανάπτυξη δικτύου'!U240</f>
        <v>0</v>
      </c>
      <c r="E293" s="187">
        <f>'Παραδοχές μοναδιαίου κόστους'!F$29*'Ανάπτυξη δικτύου'!X240</f>
        <v>0</v>
      </c>
      <c r="F293" s="187">
        <f>'Παραδοχές μοναδιαίου κόστους'!G$29*'Ανάπτυξη δικτύου'!AA240</f>
        <v>180.16904353956335</v>
      </c>
      <c r="G293" s="187">
        <f>'Παραδοχές μοναδιαίου κόστους'!H$29*'Ανάπτυξη δικτύου'!AD240</f>
        <v>0</v>
      </c>
      <c r="H293" s="187">
        <f>'Παραδοχές μοναδιαίου κόστους'!I$29*'Ανάπτυξη δικτύου'!AG240</f>
        <v>0</v>
      </c>
      <c r="I293" s="170">
        <f t="shared" si="23"/>
        <v>180.16904353956335</v>
      </c>
    </row>
    <row r="294" spans="2:9" outlineLevel="1" x14ac:dyDescent="0.35">
      <c r="B294" s="48" t="s">
        <v>114</v>
      </c>
      <c r="C294" s="89" t="s">
        <v>233</v>
      </c>
      <c r="D294" s="187">
        <f>'Παραδοχές μοναδιαίου κόστους'!E$29*'Ανάπτυξη δικτύου'!U241</f>
        <v>170093.08197302622</v>
      </c>
      <c r="E294" s="187">
        <f>'Παραδοχές μοναδιαίου κόστους'!F$29*'Ανάπτυξη δικτύου'!X241</f>
        <v>118163.96238075818</v>
      </c>
      <c r="F294" s="187">
        <f>'Παραδοχές μοναδιαίου κόστους'!G$29*'Ανάπτυξη δικτύου'!AA241</f>
        <v>122334.78056336351</v>
      </c>
      <c r="G294" s="187">
        <f>'Παραδοχές μοναδιαίου κόστους'!H$29*'Ανάπτυξη δικτύου'!AD241</f>
        <v>106600.88449657934</v>
      </c>
      <c r="H294" s="187">
        <f>'Παραδοχές μοναδιαίου κόστους'!I$29*'Ανάπτυξη δικτύου'!AG241</f>
        <v>86100.857094906081</v>
      </c>
      <c r="I294" s="170">
        <f t="shared" si="23"/>
        <v>603293.56650863332</v>
      </c>
    </row>
    <row r="295" spans="2:9" outlineLevel="1" x14ac:dyDescent="0.35">
      <c r="B295" s="48" t="s">
        <v>115</v>
      </c>
      <c r="C295" s="89" t="s">
        <v>233</v>
      </c>
      <c r="D295" s="187">
        <f>'Παραδοχές μοναδιαίου κόστους'!E$29*'Ανάπτυξη δικτύου'!U242</f>
        <v>63894.313811479828</v>
      </c>
      <c r="E295" s="187">
        <f>'Παραδοχές μοναδιαίου κόστους'!F$29*'Ανάπτυξη δικτύου'!X242</f>
        <v>52679.908925167736</v>
      </c>
      <c r="F295" s="187">
        <f>'Παραδοχές μοναδιαίου κόστους'!G$29*'Ανάπτυξη δικτύου'!AA242</f>
        <v>59455.784368055902</v>
      </c>
      <c r="G295" s="187">
        <f>'Παραδοχές μοναδιαίου κόστους'!H$29*'Ανάπτυξη δικτύου'!AD242</f>
        <v>57689.890433442939</v>
      </c>
      <c r="H295" s="187">
        <f>'Παραδοχές μοναδιαίου κόστους'!I$29*'Ανάπτυξη δικτύου'!AG242</f>
        <v>53973.67161173217</v>
      </c>
      <c r="I295" s="170">
        <f t="shared" si="23"/>
        <v>287693.56914987857</v>
      </c>
    </row>
    <row r="296" spans="2:9" outlineLevel="1" x14ac:dyDescent="0.35">
      <c r="B296" s="48" t="s">
        <v>116</v>
      </c>
      <c r="C296" s="89" t="s">
        <v>233</v>
      </c>
      <c r="D296" s="187">
        <f>'Παραδοχές μοναδιαίου κόστους'!E$29*'Ανάπτυξη δικτύου'!U243</f>
        <v>125746.343619853</v>
      </c>
      <c r="E296" s="187">
        <f>'Παραδοχές μοναδιαίου κόστους'!F$29*'Ανάπτυξη δικτύου'!X243</f>
        <v>87251.099157309058</v>
      </c>
      <c r="F296" s="187">
        <f>'Παραδοχές μοναδιαίου κόστους'!G$29*'Ανάπτυξη δικτύου'!AA243</f>
        <v>90264.690813321242</v>
      </c>
      <c r="G296" s="187">
        <f>'Παραδοχές μοναδιαίου κόστους'!H$29*'Ανάπτυξη δικτύου'!AD243</f>
        <v>78651.745031929968</v>
      </c>
      <c r="H296" s="187">
        <f>'Παραδοχές μοναδιαίου κόστους'!I$29*'Ανάπτυξη δικτύου'!AG243</f>
        <v>63520.035298160983</v>
      </c>
      <c r="I296" s="170">
        <f t="shared" si="23"/>
        <v>445433.9139205743</v>
      </c>
    </row>
    <row r="297" spans="2:9" outlineLevel="1" x14ac:dyDescent="0.35">
      <c r="B297" s="48" t="s">
        <v>117</v>
      </c>
      <c r="C297" s="89" t="s">
        <v>233</v>
      </c>
      <c r="D297" s="187">
        <f>'Παραδοχές μοναδιαίου κόστους'!E$29*'Ανάπτυξη δικτύου'!U244</f>
        <v>145293.91907815961</v>
      </c>
      <c r="E297" s="187">
        <f>'Παραδοχές μοναδιαίου κόστους'!F$29*'Ανάπτυξη δικτύου'!X244</f>
        <v>139382.25903117296</v>
      </c>
      <c r="F297" s="187">
        <f>'Παραδοχές μοναδιαίου κόστους'!G$29*'Ανάπτυξη δικτύου'!AA244</f>
        <v>168458.05570949172</v>
      </c>
      <c r="G297" s="187">
        <f>'Παραδοχές μοναδιαίου κόστους'!H$29*'Ανάπτυξη δικτύου'!AD244</f>
        <v>186327.59643099582</v>
      </c>
      <c r="H297" s="187">
        <f>'Παραδοχές μοναδιαίου κόστους'!I$29*'Ανάπτυξη δικτύου'!AG244</f>
        <v>176424.14428188643</v>
      </c>
      <c r="I297" s="170">
        <f t="shared" si="23"/>
        <v>815885.97453170654</v>
      </c>
    </row>
    <row r="298" spans="2:9" outlineLevel="1" x14ac:dyDescent="0.35">
      <c r="B298" s="48" t="s">
        <v>118</v>
      </c>
      <c r="C298" s="89" t="s">
        <v>233</v>
      </c>
      <c r="D298" s="187">
        <f>'Παραδοχές μοναδιαίου κόστους'!E$29*'Ανάπτυξη δικτύου'!U245</f>
        <v>57183.952086986515</v>
      </c>
      <c r="E298" s="187">
        <f>'Παραδοχές μοναδιαίου κόστους'!F$29*'Ανάπτυξη δικτύου'!X245</f>
        <v>39692.848044310413</v>
      </c>
      <c r="F298" s="187">
        <f>'Παραδοχές μοναδιαίου κόστους'!G$29*'Ανάπτυξη δικτύου'!AA245</f>
        <v>40898.372883480879</v>
      </c>
      <c r="G298" s="187">
        <f>'Παραδοχές μοναδιαίου κόστους'!H$29*'Ανάπτυξη δικτύου'!AD245</f>
        <v>35473.907782054979</v>
      </c>
      <c r="H298" s="187">
        <f>'Παραδοχές μοναδιαίου κόστους'!I$29*'Ανάπτυξη δικτύου'!AG245</f>
        <v>31576.433732033784</v>
      </c>
      <c r="I298" s="170">
        <f t="shared" si="23"/>
        <v>204825.51452886657</v>
      </c>
    </row>
    <row r="299" spans="2:9" outlineLevel="1" x14ac:dyDescent="0.35">
      <c r="B299" s="48" t="s">
        <v>119</v>
      </c>
      <c r="C299" s="89" t="s">
        <v>233</v>
      </c>
      <c r="D299" s="187">
        <f>'Παραδοχές μοναδιαίου κόστους'!E$29*'Ανάπτυξη δικτύου'!U246</f>
        <v>0</v>
      </c>
      <c r="E299" s="187">
        <f>'Παραδοχές μοναδιαίου κόστους'!F$29*'Ανάπτυξη δικτύου'!X246</f>
        <v>0</v>
      </c>
      <c r="F299" s="187">
        <f>'Παραδοχές μοναδιαίου κόστους'!G$29*'Ανάπτυξη δικτύου'!AA246</f>
        <v>0</v>
      </c>
      <c r="G299" s="187">
        <f>'Παραδοχές μοναδιαίου κόστους'!H$29*'Ανάπτυξη δικτύου'!AD246</f>
        <v>0</v>
      </c>
      <c r="H299" s="187">
        <f>'Παραδοχές μοναδιαίου κόστους'!I$29*'Ανάπτυξη δικτύου'!AG246</f>
        <v>0</v>
      </c>
      <c r="I299" s="170">
        <f t="shared" si="23"/>
        <v>0</v>
      </c>
    </row>
    <row r="300" spans="2:9" outlineLevel="1" x14ac:dyDescent="0.35">
      <c r="B300" s="48" t="s">
        <v>120</v>
      </c>
      <c r="C300" s="89" t="s">
        <v>233</v>
      </c>
      <c r="D300" s="187">
        <f>'Παραδοχές μοναδιαίου κόστους'!E$29*'Ανάπτυξη δικτύου'!U247</f>
        <v>145877.42879333295</v>
      </c>
      <c r="E300" s="187">
        <f>'Παραδοχές μοναδιαίου κόστους'!F$29*'Ανάπτυξη δικτύου'!X247</f>
        <v>109201.06120946229</v>
      </c>
      <c r="F300" s="187">
        <f>'Παραδοχές μοναδιαίου κόστους'!G$29*'Ανάπτυξη δικτύου'!AA247</f>
        <v>123776.13291168002</v>
      </c>
      <c r="G300" s="187">
        <f>'Παραδοχές μοναδιαίου κόστους'!H$29*'Ανάπτυξη δικτύου'!AD247</f>
        <v>112513.20246025517</v>
      </c>
      <c r="H300" s="187">
        <f>'Παραδοχές μοναδιαίου κόστους'!I$29*'Ανάπτυξη δικτύου'!AG247</f>
        <v>101154.73829273613</v>
      </c>
      <c r="I300" s="170">
        <f t="shared" si="23"/>
        <v>592522.56366746663</v>
      </c>
    </row>
    <row r="301" spans="2:9" outlineLevel="1" x14ac:dyDescent="0.35">
      <c r="B301" s="48" t="s">
        <v>121</v>
      </c>
      <c r="C301" s="89" t="s">
        <v>233</v>
      </c>
      <c r="D301" s="187">
        <f>'Παραδοχές μοναδιαίου κόστους'!E$29*'Ανάπτυξη δικτύου'!U248</f>
        <v>46389.022356279871</v>
      </c>
      <c r="E301" s="187">
        <f>'Παραδοχές μοναδιαίου κόστους'!F$29*'Ανάπτυξη δικτύου'!X248</f>
        <v>39327.015343441191</v>
      </c>
      <c r="F301" s="187">
        <f>'Παραδοχές μοναδιαίου κόστους'!G$29*'Ανάπτυξη δικτύου'!AA248</f>
        <v>50627.501234617303</v>
      </c>
      <c r="G301" s="187">
        <f>'Παραδοχές μοναδιαίου κόστους'!H$29*'Ανάπτυξη δικτύου'!AD248</f>
        <v>50344.283266451755</v>
      </c>
      <c r="H301" s="187">
        <f>'Παραδοχές μοναδιαίου κόστους'!I$29*'Ανάπτυξη δικτύου'!AG248</f>
        <v>56360.262533339373</v>
      </c>
      <c r="I301" s="170">
        <f t="shared" si="23"/>
        <v>243048.08473412952</v>
      </c>
    </row>
    <row r="302" spans="2:9" outlineLevel="1" x14ac:dyDescent="0.35">
      <c r="B302" s="323" t="s">
        <v>137</v>
      </c>
      <c r="C302" s="89" t="s">
        <v>233</v>
      </c>
      <c r="D302" s="187">
        <f>'Παραδοχές μοναδιαίου κόστους'!E$29*'Ανάπτυξη δικτύου'!U249</f>
        <v>0</v>
      </c>
      <c r="E302" s="187">
        <f>'Παραδοχές μοναδιαίου κόστους'!F$29*'Ανάπτυξη δικτύου'!X249</f>
        <v>0</v>
      </c>
      <c r="F302" s="187">
        <f>'Παραδοχές μοναδιαίου κόστους'!G$29*'Ανάπτυξη δικτύου'!AA249</f>
        <v>0</v>
      </c>
      <c r="G302" s="187">
        <f>'Παραδοχές μοναδιαίου κόστους'!H$29*'Ανάπτυξη δικτύου'!AD249</f>
        <v>0</v>
      </c>
      <c r="H302" s="187">
        <f>'Παραδοχές μοναδιαίου κόστους'!I$29*'Ανάπτυξη δικτύου'!AG249</f>
        <v>0</v>
      </c>
      <c r="I302" s="170">
        <f t="shared" si="23"/>
        <v>0</v>
      </c>
    </row>
    <row r="303" spans="2:9" outlineLevel="1" x14ac:dyDescent="0.35">
      <c r="B303" s="324" t="s">
        <v>123</v>
      </c>
      <c r="C303" s="89" t="s">
        <v>233</v>
      </c>
      <c r="D303" s="187">
        <f>'Παραδοχές μοναδιαίου κόστους'!E$29*'Ανάπτυξη δικτύου'!U250</f>
        <v>68854.146390453141</v>
      </c>
      <c r="E303" s="187">
        <f>'Παραδοχές μοναδιαίου κόστους'!F$29*'Ανάπτυξη δικτύου'!X250</f>
        <v>50850.745420821637</v>
      </c>
      <c r="F303" s="187">
        <f>'Παραδοχές μοναδιαίου κόστους'!G$29*'Ανάπτυξη δικτύου'!AA250</f>
        <v>59816.122455135031</v>
      </c>
      <c r="G303" s="187">
        <f>'Παραδοχές μοναδιαίου κόστους'!H$29*'Ανάπτυξη δικτύου'!AD250</f>
        <v>53927.506274740139</v>
      </c>
      <c r="H303" s="187">
        <f>'Παραδοχές μοναδιαίου κόστους'!I$29*'Ανάπτυξη δικτύου'!AG250</f>
        <v>47915.402349190801</v>
      </c>
      <c r="I303" s="170">
        <f t="shared" si="23"/>
        <v>281363.92289034073</v>
      </c>
    </row>
    <row r="304" spans="2:9" outlineLevel="1" x14ac:dyDescent="0.35">
      <c r="B304" s="324" t="s">
        <v>124</v>
      </c>
      <c r="C304" s="89" t="s">
        <v>233</v>
      </c>
      <c r="D304" s="187">
        <f>'Παραδοχές μοναδιαίου κόστους'!E$29*'Ανάπτυξη δικτύου'!U251</f>
        <v>2625.7937182799928</v>
      </c>
      <c r="E304" s="187">
        <f>'Παραδοχές μοναδιαίου κόστους'!F$29*'Ανάπτυξη δικτύου'!X251</f>
        <v>1463.3308034768816</v>
      </c>
      <c r="F304" s="187">
        <f>'Παραδοχές μοναδιαίου κόστους'!G$29*'Ανάπτυξη δικτύου'!AA251</f>
        <v>1621.5213918560701</v>
      </c>
      <c r="G304" s="187">
        <f>'Παραδοχές μοναδιαίου κόστους'!H$29*'Ανάπτυξη δικτύου'!AD251</f>
        <v>1433.2892033153526</v>
      </c>
      <c r="H304" s="187">
        <f>'Παραδοχές μοναδιαίου κόστους'!I$29*'Ανάπτυξη δικτύου'!AG251</f>
        <v>1101.5035022802483</v>
      </c>
      <c r="I304" s="170">
        <f t="shared" ref="I304:I307" si="24">D304+E304+F304+G304+H304</f>
        <v>8245.438619208544</v>
      </c>
    </row>
    <row r="305" spans="2:37" outlineLevel="1" x14ac:dyDescent="0.35">
      <c r="B305" s="323" t="s">
        <v>125</v>
      </c>
      <c r="C305" s="89" t="s">
        <v>233</v>
      </c>
      <c r="D305" s="187">
        <f>'Παραδοχές μοναδιαίου κόστους'!E$29*'Ανάπτυξη δικτύου'!U252</f>
        <v>29467.240616253253</v>
      </c>
      <c r="E305" s="187">
        <f>'Παραδοχές μοναδιαίου κόστους'!F$29*'Ανάπτυξη δικτύου'!X252</f>
        <v>21218.296650414784</v>
      </c>
      <c r="F305" s="187">
        <f>'Παραδοχές μοναδιαίου κόστους'!G$29*'Ανάπτυξη δικτύου'!AA252</f>
        <v>22521.130442445417</v>
      </c>
      <c r="G305" s="187">
        <f>'Παραδοχές μοναδιαίου κόστους'!H$29*'Ανάπτυξη δικτύου'!AD252</f>
        <v>20245.209996829355</v>
      </c>
      <c r="H305" s="187">
        <f>'Παραδοχές μοναδιαίου κόστους'!I$29*'Ανάπτυξη δικτύου'!AG252</f>
        <v>16155.384700110309</v>
      </c>
      <c r="I305" s="170">
        <f t="shared" si="24"/>
        <v>109607.26240605312</v>
      </c>
    </row>
    <row r="306" spans="2:37" outlineLevel="1" x14ac:dyDescent="0.35">
      <c r="B306" s="324" t="s">
        <v>126</v>
      </c>
      <c r="C306" s="89" t="s">
        <v>233</v>
      </c>
      <c r="D306" s="187">
        <f>'Παραδοχές μοναδιαίου κόστους'!E$29*'Ανάπτυξη δικτύου'!U253</f>
        <v>160173.41681507957</v>
      </c>
      <c r="E306" s="187">
        <f>'Παραδοχές μοναδιαίου κόστους'!F$29*'Ανάπτυξη δικτύου'!X253</f>
        <v>121639.37303901577</v>
      </c>
      <c r="F306" s="187">
        <f>'Παραδοχές μοναδιαίου κόστους'!G$29*'Ανάπτυξη δικτύου'!AA253</f>
        <v>130802.72560972298</v>
      </c>
      <c r="G306" s="187">
        <f>'Παραδοχές μοναδιαίου κόστους'!H$29*'Ανάπτυξη δικτύου'!AD253</f>
        <v>111975.71900901191</v>
      </c>
      <c r="H306" s="187">
        <f>'Παραδοχές μοναδιαίου κόστους'!I$29*'Ανάπτυξη δικτύου'!AG253</f>
        <v>98951.731288175637</v>
      </c>
      <c r="I306" s="170">
        <f t="shared" si="24"/>
        <v>623542.96576100588</v>
      </c>
    </row>
    <row r="307" spans="2:37" outlineLevel="1" x14ac:dyDescent="0.35">
      <c r="B307" s="323" t="s">
        <v>127</v>
      </c>
      <c r="C307" s="89" t="s">
        <v>233</v>
      </c>
      <c r="D307" s="187">
        <f>'Παραδοχές μοναδιαίου κόστους'!E$29*'Ανάπτυξη δικτύου'!U254</f>
        <v>291.75485758666588</v>
      </c>
      <c r="E307" s="187">
        <f>'Παραδοχές μοναδιαίου κόστους'!F$29*'Ανάπτυξη δικτύου'!X254</f>
        <v>0</v>
      </c>
      <c r="F307" s="187">
        <f>'Παραδοχές μοναδιαίου κόστους'!G$29*'Ανάπτυξη δικτύου'!AA254</f>
        <v>0</v>
      </c>
      <c r="G307" s="187">
        <f>'Παραδοχές μοναδιαίου κόστους'!H$29*'Ανάπτυξη δικτύου'!AD254</f>
        <v>0</v>
      </c>
      <c r="H307" s="187">
        <f>'Παραδοχές μοναδιαίου κόστους'!I$29*'Ανάπτυξη δικτύου'!AG254</f>
        <v>0</v>
      </c>
      <c r="I307" s="170">
        <f t="shared" si="24"/>
        <v>291.75485758666588</v>
      </c>
    </row>
    <row r="308" spans="2:37" outlineLevel="1" x14ac:dyDescent="0.35">
      <c r="B308" s="477" t="s">
        <v>151</v>
      </c>
      <c r="C308" s="478"/>
      <c r="D308" s="478"/>
      <c r="E308" s="478"/>
      <c r="F308" s="478"/>
      <c r="G308" s="478"/>
      <c r="H308" s="478"/>
      <c r="I308" s="480"/>
    </row>
    <row r="309" spans="2:37" x14ac:dyDescent="0.35">
      <c r="B309" s="48" t="s">
        <v>140</v>
      </c>
      <c r="C309" s="89" t="s">
        <v>233</v>
      </c>
      <c r="D309" s="188">
        <f>SUM(D254:D307)</f>
        <v>4051599.7073060293</v>
      </c>
      <c r="E309" s="188">
        <f t="shared" ref="E309:I309" si="25">SUM(E254:E307)</f>
        <v>3278706.9879089743</v>
      </c>
      <c r="F309" s="188">
        <f t="shared" si="25"/>
        <v>3877973.5072325217</v>
      </c>
      <c r="G309" s="188">
        <f t="shared" si="25"/>
        <v>3697094.8494726126</v>
      </c>
      <c r="H309" s="188">
        <f t="shared" si="25"/>
        <v>3372803.7239821209</v>
      </c>
      <c r="I309" s="188">
        <f t="shared" si="25"/>
        <v>18278178.775902256</v>
      </c>
    </row>
    <row r="311" spans="2:37" ht="19.399999999999999" customHeight="1" outlineLevel="1" x14ac:dyDescent="0.35">
      <c r="B311" s="419" t="s">
        <v>194</v>
      </c>
      <c r="C311" s="419"/>
      <c r="D311" s="419"/>
      <c r="E311" s="419"/>
      <c r="F311" s="419"/>
      <c r="G311" s="419"/>
      <c r="H311" s="419"/>
      <c r="I311" s="419"/>
      <c r="J311" s="103"/>
      <c r="K311" s="103"/>
      <c r="L311" s="103"/>
      <c r="M311" s="103"/>
      <c r="N311" s="103"/>
      <c r="O311" s="103"/>
      <c r="P311" s="103"/>
      <c r="Q311" s="103"/>
      <c r="R311" s="103"/>
      <c r="S311" s="103"/>
      <c r="T311" s="103"/>
      <c r="U311" s="103"/>
      <c r="V311" s="103"/>
      <c r="W311" s="103"/>
      <c r="X311" s="103"/>
      <c r="Y311" s="103"/>
      <c r="Z311" s="103"/>
      <c r="AA311" s="103"/>
      <c r="AB311" s="103"/>
      <c r="AC311" s="103"/>
      <c r="AD311" s="103"/>
      <c r="AE311" s="103"/>
      <c r="AF311" s="103"/>
      <c r="AG311" s="103"/>
      <c r="AH311" s="103"/>
      <c r="AI311" s="103"/>
      <c r="AJ311" s="103"/>
      <c r="AK311" s="103"/>
    </row>
    <row r="312" spans="2:37" ht="15.5" outlineLevel="1" x14ac:dyDescent="0.35">
      <c r="B312" s="103"/>
      <c r="C312" s="103"/>
      <c r="D312" s="103"/>
      <c r="E312" s="103"/>
      <c r="F312" s="103"/>
      <c r="G312" s="103"/>
      <c r="H312" s="103"/>
      <c r="I312" s="103"/>
    </row>
    <row r="313" spans="2:37" outlineLevel="1" x14ac:dyDescent="0.35">
      <c r="B313" s="75"/>
      <c r="C313" s="61"/>
      <c r="D313" s="79">
        <f>$C$3</f>
        <v>2024</v>
      </c>
      <c r="E313" s="79">
        <f>$C$3+1</f>
        <v>2025</v>
      </c>
      <c r="F313" s="79">
        <f>$C$3+2</f>
        <v>2026</v>
      </c>
      <c r="G313" s="79">
        <f>$C$3+3</f>
        <v>2027</v>
      </c>
      <c r="H313" s="79">
        <f>$C$3+4</f>
        <v>2028</v>
      </c>
      <c r="I313" s="78" t="str">
        <f xml:space="preserve"> D313&amp;" - "&amp;H313</f>
        <v>2024 - 2028</v>
      </c>
    </row>
    <row r="314" spans="2:37" outlineLevel="1" x14ac:dyDescent="0.35">
      <c r="B314" s="48" t="s">
        <v>195</v>
      </c>
      <c r="C314" s="89" t="s">
        <v>233</v>
      </c>
      <c r="D314" s="187">
        <f>'Παραδοχές μοναδιαίου κόστους'!E35*'Ανάπτυξη δικτύου'!U262</f>
        <v>804010.85806633881</v>
      </c>
      <c r="E314" s="187">
        <f>'Παραδοχές μοναδιαίου κόστους'!F35*'Ανάπτυξη δικτύου'!X262</f>
        <v>442077.63626894611</v>
      </c>
      <c r="F314" s="187">
        <f>'Παραδοχές μοναδιαίου κόστους'!G35*'Ανάπτυξη δικτύου'!AA262</f>
        <v>375833.47124067089</v>
      </c>
      <c r="G314" s="187">
        <f>'Παραδοχές μοναδιαίου κόστους'!H35*'Ανάπτυξη δικτύου'!AD262</f>
        <v>234584.28640101041</v>
      </c>
      <c r="H314" s="187">
        <f>'Παραδοχές μοναδιαίου κόστους'!I35*'Ανάπτυξη δικτύου'!AG262</f>
        <v>161737.89712811587</v>
      </c>
      <c r="I314" s="170">
        <f t="shared" ref="I314" si="26">D314+E314+F314+G314+H314</f>
        <v>2018244.149105082</v>
      </c>
    </row>
    <row r="315" spans="2:37" outlineLevel="1" x14ac:dyDescent="0.35">
      <c r="B315" s="477" t="s">
        <v>151</v>
      </c>
      <c r="C315" s="478"/>
      <c r="D315" s="478"/>
      <c r="E315" s="478"/>
      <c r="F315" s="478"/>
      <c r="G315" s="478"/>
      <c r="H315" s="478"/>
      <c r="I315" s="480"/>
    </row>
    <row r="316" spans="2:37" x14ac:dyDescent="0.35">
      <c r="B316" s="48" t="s">
        <v>140</v>
      </c>
      <c r="C316" s="89" t="s">
        <v>233</v>
      </c>
      <c r="D316" s="188">
        <f>D314</f>
        <v>804010.85806633881</v>
      </c>
      <c r="E316" s="188">
        <f t="shared" ref="E316:I316" si="27">E314</f>
        <v>442077.63626894611</v>
      </c>
      <c r="F316" s="188">
        <f t="shared" si="27"/>
        <v>375833.47124067089</v>
      </c>
      <c r="G316" s="188">
        <f t="shared" si="27"/>
        <v>234584.28640101041</v>
      </c>
      <c r="H316" s="188">
        <f t="shared" si="27"/>
        <v>161737.89712811587</v>
      </c>
      <c r="I316" s="188">
        <f t="shared" si="27"/>
        <v>2018244.149105082</v>
      </c>
    </row>
    <row r="318" spans="2:37" ht="21" customHeight="1" outlineLevel="1" x14ac:dyDescent="0.35">
      <c r="B318" s="419" t="s">
        <v>197</v>
      </c>
      <c r="C318" s="419"/>
      <c r="D318" s="419"/>
      <c r="E318" s="419"/>
      <c r="F318" s="419"/>
      <c r="G318" s="419"/>
      <c r="H318" s="419"/>
      <c r="I318" s="419"/>
      <c r="J318" s="103"/>
      <c r="K318" s="103"/>
      <c r="L318" s="103"/>
      <c r="M318" s="103"/>
      <c r="N318" s="103"/>
      <c r="O318" s="103"/>
      <c r="P318" s="103"/>
      <c r="Q318" s="103"/>
      <c r="R318" s="103"/>
      <c r="S318" s="103"/>
      <c r="T318" s="103"/>
      <c r="U318" s="103"/>
      <c r="V318" s="103"/>
      <c r="W318" s="103"/>
      <c r="X318" s="103"/>
      <c r="Y318" s="103"/>
      <c r="Z318" s="103"/>
      <c r="AA318" s="103"/>
      <c r="AB318" s="103"/>
      <c r="AC318" s="103"/>
      <c r="AD318" s="103"/>
      <c r="AE318" s="103"/>
      <c r="AF318" s="103"/>
      <c r="AG318" s="103"/>
      <c r="AH318" s="103"/>
      <c r="AI318" s="103"/>
      <c r="AJ318" s="103"/>
      <c r="AK318" s="103"/>
    </row>
    <row r="319" spans="2:37" ht="15.5" x14ac:dyDescent="0.35">
      <c r="B319" s="103"/>
      <c r="C319" s="103"/>
      <c r="D319" s="103"/>
      <c r="E319" s="103"/>
      <c r="F319" s="103"/>
      <c r="G319" s="103"/>
      <c r="H319" s="103"/>
      <c r="I319" s="103"/>
    </row>
    <row r="320" spans="2:37" ht="21" customHeight="1" outlineLevel="1" x14ac:dyDescent="0.35">
      <c r="B320" s="419" t="s">
        <v>198</v>
      </c>
      <c r="C320" s="419"/>
      <c r="D320" s="419"/>
      <c r="E320" s="419"/>
      <c r="F320" s="419"/>
      <c r="G320" s="419"/>
      <c r="H320" s="419"/>
      <c r="I320" s="419"/>
      <c r="J320" s="103"/>
      <c r="K320" s="103"/>
      <c r="L320" s="103"/>
      <c r="M320" s="103"/>
      <c r="N320" s="103"/>
      <c r="O320" s="103"/>
      <c r="P320" s="103"/>
      <c r="Q320" s="103"/>
      <c r="R320" s="103"/>
      <c r="S320" s="103"/>
      <c r="T320" s="103"/>
      <c r="U320" s="103"/>
      <c r="V320" s="103"/>
      <c r="W320" s="103"/>
      <c r="X320" s="103"/>
      <c r="Y320" s="103"/>
      <c r="Z320" s="103"/>
      <c r="AA320" s="103"/>
      <c r="AB320" s="103"/>
      <c r="AC320" s="103"/>
      <c r="AD320" s="103"/>
      <c r="AE320" s="103"/>
      <c r="AF320" s="103"/>
      <c r="AG320" s="103"/>
      <c r="AH320" s="103"/>
      <c r="AI320" s="103"/>
      <c r="AJ320" s="103"/>
      <c r="AK320" s="103"/>
    </row>
    <row r="321" spans="2:37" ht="15.5" x14ac:dyDescent="0.35">
      <c r="B321" s="103"/>
      <c r="C321" s="103"/>
      <c r="D321" s="103"/>
      <c r="E321" s="103"/>
      <c r="F321" s="103"/>
      <c r="G321" s="103"/>
      <c r="H321" s="103"/>
      <c r="I321" s="103"/>
    </row>
    <row r="323" spans="2:37" ht="21" customHeight="1" outlineLevel="1" x14ac:dyDescent="0.35">
      <c r="B323" s="419" t="s">
        <v>199</v>
      </c>
      <c r="C323" s="419"/>
      <c r="D323" s="419"/>
      <c r="E323" s="419"/>
      <c r="F323" s="419"/>
      <c r="G323" s="419"/>
      <c r="H323" s="419"/>
      <c r="I323" s="419"/>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103"/>
      <c r="AJ323" s="103"/>
      <c r="AK323" s="103"/>
    </row>
    <row r="324" spans="2:37" ht="15.5" x14ac:dyDescent="0.35">
      <c r="B324" s="103"/>
      <c r="C324" s="103"/>
      <c r="D324" s="103"/>
      <c r="E324" s="103"/>
      <c r="F324" s="103"/>
      <c r="G324" s="103"/>
      <c r="H324" s="103"/>
      <c r="I324" s="103"/>
    </row>
  </sheetData>
  <mergeCells count="18">
    <mergeCell ref="J2:L2"/>
    <mergeCell ref="B5:I5"/>
    <mergeCell ref="B320:I320"/>
    <mergeCell ref="B315:I315"/>
    <mergeCell ref="B318:I318"/>
    <mergeCell ref="B188:I188"/>
    <mergeCell ref="B191:I191"/>
    <mergeCell ref="B248:I248"/>
    <mergeCell ref="B251:I251"/>
    <mergeCell ref="B308:I308"/>
    <mergeCell ref="B323:I323"/>
    <mergeCell ref="B311:I311"/>
    <mergeCell ref="C2:F2"/>
    <mergeCell ref="B9:I9"/>
    <mergeCell ref="B67:I67"/>
    <mergeCell ref="B70:I70"/>
    <mergeCell ref="B127:I127"/>
    <mergeCell ref="B130:I130"/>
  </mergeCells>
  <hyperlinks>
    <hyperlink ref="J2" location="'Αρχική σελίδα'!A1" display="Πίσω στην αρχική σελίδα" xr:uid="{C4FB60D3-6BD8-4EEC-8539-DBFB86FB49B6}"/>
  </hyperlinks>
  <pageMargins left="0.7" right="0.7" top="0.75" bottom="0.75" header="0.3" footer="0.3"/>
  <customProperties>
    <customPr name="_pios_id" r:id="rId1"/>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57098-A16C-4E51-B470-787023C6BBA3}">
  <sheetPr codeName="Sheet13">
    <tabColor theme="4" tint="0.79998168889431442"/>
  </sheetPr>
  <dimension ref="A2:AQ253"/>
  <sheetViews>
    <sheetView showGridLines="0" topLeftCell="A235" zoomScale="80" zoomScaleNormal="80" workbookViewId="0">
      <selection activeCell="A44" sqref="A44:XFD45"/>
    </sheetView>
  </sheetViews>
  <sheetFormatPr defaultColWidth="8.54296875" defaultRowHeight="14.5" outlineLevelRow="1" x14ac:dyDescent="0.35"/>
  <cols>
    <col min="1" max="1" width="2.54296875" customWidth="1"/>
    <col min="2" max="2" width="40" customWidth="1"/>
    <col min="3" max="8" width="12.453125" customWidth="1"/>
    <col min="9" max="9" width="16.453125" bestFit="1" customWidth="1"/>
    <col min="10" max="43" width="12.453125" customWidth="1"/>
  </cols>
  <sheetData>
    <row r="2" spans="1:43" ht="18.5" x14ac:dyDescent="0.45">
      <c r="B2" s="1" t="s">
        <v>0</v>
      </c>
      <c r="C2" s="420">
        <f>'[2]Αρχική σελίδα'!C3</f>
        <v>0</v>
      </c>
      <c r="D2" s="420"/>
      <c r="E2" s="420"/>
      <c r="F2" s="420"/>
      <c r="G2" s="98"/>
      <c r="H2" s="98"/>
      <c r="J2" s="421" t="s">
        <v>58</v>
      </c>
      <c r="K2" s="421"/>
      <c r="L2" s="421"/>
    </row>
    <row r="3" spans="1:43" ht="18.5" x14ac:dyDescent="0.45">
      <c r="B3" s="2" t="s">
        <v>1</v>
      </c>
      <c r="C3" s="99">
        <v>2024</v>
      </c>
      <c r="D3" s="46" t="s">
        <v>2</v>
      </c>
      <c r="E3" s="46">
        <f>C3+4</f>
        <v>2028</v>
      </c>
    </row>
    <row r="4" spans="1:43" ht="14.9" customHeight="1" x14ac:dyDescent="0.45">
      <c r="C4" s="2"/>
      <c r="D4" s="46"/>
    </row>
    <row r="5" spans="1:43" ht="79.400000000000006" customHeight="1" x14ac:dyDescent="0.35">
      <c r="B5" s="422" t="s">
        <v>234</v>
      </c>
      <c r="C5" s="422"/>
      <c r="D5" s="422"/>
      <c r="E5" s="422"/>
      <c r="F5" s="422"/>
      <c r="G5" s="422"/>
      <c r="H5" s="422"/>
      <c r="I5" s="422"/>
    </row>
    <row r="6" spans="1:43" x14ac:dyDescent="0.35">
      <c r="B6" s="226"/>
      <c r="C6" s="226"/>
      <c r="D6" s="226"/>
      <c r="E6" s="226"/>
      <c r="F6" s="226"/>
      <c r="G6" s="226"/>
      <c r="H6" s="226"/>
    </row>
    <row r="7" spans="1:43" ht="18.5" x14ac:dyDescent="0.45">
      <c r="B7" s="100" t="s">
        <v>235</v>
      </c>
      <c r="C7" s="101"/>
      <c r="D7" s="101"/>
      <c r="E7" s="101"/>
      <c r="F7" s="101"/>
      <c r="G7" s="98"/>
      <c r="H7" s="98"/>
      <c r="I7" s="98"/>
    </row>
    <row r="8" spans="1:43" ht="18.5" x14ac:dyDescent="0.45">
      <c r="B8" s="232"/>
      <c r="C8" s="54"/>
      <c r="D8" s="54"/>
      <c r="E8" s="54"/>
      <c r="F8" s="54"/>
    </row>
    <row r="9" spans="1:43" ht="15.5" x14ac:dyDescent="0.35">
      <c r="B9" s="419" t="s">
        <v>236</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row>
    <row r="10" spans="1:43" ht="5.9" customHeight="1" outlineLevel="1" x14ac:dyDescent="0.3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row>
    <row r="11" spans="1:43" outlineLevel="1" x14ac:dyDescent="0.35">
      <c r="B11" s="459"/>
      <c r="C11" s="450" t="s">
        <v>134</v>
      </c>
      <c r="D11" s="435" t="s">
        <v>169</v>
      </c>
      <c r="E11" s="436"/>
      <c r="F11" s="436"/>
      <c r="G11" s="436"/>
      <c r="H11" s="436"/>
      <c r="I11" s="436"/>
      <c r="J11" s="436"/>
      <c r="K11" s="436"/>
      <c r="L11" s="436"/>
      <c r="M11" s="436"/>
      <c r="N11" s="436"/>
      <c r="O11" s="436"/>
      <c r="P11" s="436"/>
      <c r="Q11" s="436"/>
      <c r="R11" s="436"/>
      <c r="S11" s="436"/>
      <c r="T11" s="435"/>
      <c r="U11" s="436"/>
      <c r="V11" s="436"/>
      <c r="W11" s="437"/>
      <c r="X11" s="435" t="s">
        <v>170</v>
      </c>
      <c r="Y11" s="436"/>
      <c r="Z11" s="436"/>
      <c r="AA11" s="436"/>
      <c r="AB11" s="436"/>
      <c r="AC11" s="436"/>
      <c r="AD11" s="436"/>
      <c r="AE11" s="436"/>
      <c r="AF11" s="436"/>
      <c r="AG11" s="436"/>
      <c r="AH11" s="436"/>
      <c r="AI11" s="436"/>
      <c r="AJ11" s="436"/>
      <c r="AK11" s="436"/>
      <c r="AL11" s="436"/>
      <c r="AM11" s="436"/>
      <c r="AN11" s="436"/>
      <c r="AO11" s="436"/>
      <c r="AP11" s="436"/>
      <c r="AQ11" s="437"/>
    </row>
    <row r="12" spans="1:43" outlineLevel="1" x14ac:dyDescent="0.35">
      <c r="B12" s="460"/>
      <c r="C12" s="451"/>
      <c r="D12" s="435">
        <f>$C$3-5</f>
        <v>2019</v>
      </c>
      <c r="E12" s="436"/>
      <c r="F12" s="436"/>
      <c r="G12" s="437"/>
      <c r="H12" s="435">
        <f>$C$3-4</f>
        <v>2020</v>
      </c>
      <c r="I12" s="436"/>
      <c r="J12" s="436"/>
      <c r="K12" s="437"/>
      <c r="L12" s="435">
        <f>$C$3-3</f>
        <v>2021</v>
      </c>
      <c r="M12" s="436"/>
      <c r="N12" s="436"/>
      <c r="O12" s="437"/>
      <c r="P12" s="435">
        <f>$C$3-2</f>
        <v>2022</v>
      </c>
      <c r="Q12" s="436"/>
      <c r="R12" s="436"/>
      <c r="S12" s="437"/>
      <c r="T12" s="435">
        <f>$C$3-1</f>
        <v>2023</v>
      </c>
      <c r="U12" s="436"/>
      <c r="V12" s="436"/>
      <c r="W12" s="437"/>
      <c r="X12" s="435">
        <f>$C$3</f>
        <v>2024</v>
      </c>
      <c r="Y12" s="436"/>
      <c r="Z12" s="436"/>
      <c r="AA12" s="437"/>
      <c r="AB12" s="435">
        <f>$C$3+1</f>
        <v>2025</v>
      </c>
      <c r="AC12" s="436"/>
      <c r="AD12" s="436"/>
      <c r="AE12" s="437"/>
      <c r="AF12" s="435">
        <f>$C$3+2</f>
        <v>2026</v>
      </c>
      <c r="AG12" s="436"/>
      <c r="AH12" s="436"/>
      <c r="AI12" s="437"/>
      <c r="AJ12" s="435">
        <f>$C$3+3</f>
        <v>2027</v>
      </c>
      <c r="AK12" s="436"/>
      <c r="AL12" s="436"/>
      <c r="AM12" s="437"/>
      <c r="AN12" s="435">
        <f>$C$3+4</f>
        <v>2028</v>
      </c>
      <c r="AO12" s="436"/>
      <c r="AP12" s="436"/>
      <c r="AQ12" s="437"/>
    </row>
    <row r="13" spans="1:43" outlineLevel="1" x14ac:dyDescent="0.35">
      <c r="B13" s="461"/>
      <c r="C13" s="452"/>
      <c r="D13" s="66" t="s">
        <v>237</v>
      </c>
      <c r="E13" s="9" t="s">
        <v>238</v>
      </c>
      <c r="F13" s="9" t="s">
        <v>239</v>
      </c>
      <c r="G13" s="67" t="s">
        <v>144</v>
      </c>
      <c r="H13" s="66" t="s">
        <v>164</v>
      </c>
      <c r="I13" s="9" t="s">
        <v>238</v>
      </c>
      <c r="J13" s="9" t="s">
        <v>240</v>
      </c>
      <c r="K13" s="67" t="s">
        <v>144</v>
      </c>
      <c r="L13" s="66" t="s">
        <v>164</v>
      </c>
      <c r="M13" s="9" t="s">
        <v>238</v>
      </c>
      <c r="N13" s="9" t="s">
        <v>240</v>
      </c>
      <c r="O13" s="67" t="s">
        <v>144</v>
      </c>
      <c r="P13" s="66" t="s">
        <v>164</v>
      </c>
      <c r="Q13" s="9" t="s">
        <v>238</v>
      </c>
      <c r="R13" s="9" t="s">
        <v>240</v>
      </c>
      <c r="S13" s="67" t="s">
        <v>144</v>
      </c>
      <c r="T13" s="66" t="s">
        <v>164</v>
      </c>
      <c r="U13" s="9" t="s">
        <v>238</v>
      </c>
      <c r="V13" s="9" t="s">
        <v>240</v>
      </c>
      <c r="W13" s="67" t="s">
        <v>144</v>
      </c>
      <c r="X13" s="66" t="s">
        <v>164</v>
      </c>
      <c r="Y13" s="9" t="s">
        <v>238</v>
      </c>
      <c r="Z13" s="9" t="s">
        <v>240</v>
      </c>
      <c r="AA13" s="67" t="s">
        <v>144</v>
      </c>
      <c r="AB13" s="66" t="s">
        <v>164</v>
      </c>
      <c r="AC13" s="9" t="s">
        <v>238</v>
      </c>
      <c r="AD13" s="9" t="s">
        <v>240</v>
      </c>
      <c r="AE13" s="67" t="s">
        <v>144</v>
      </c>
      <c r="AF13" s="66" t="s">
        <v>164</v>
      </c>
      <c r="AG13" s="9" t="s">
        <v>238</v>
      </c>
      <c r="AH13" s="9" t="s">
        <v>240</v>
      </c>
      <c r="AI13" s="67" t="s">
        <v>144</v>
      </c>
      <c r="AJ13" s="66" t="s">
        <v>164</v>
      </c>
      <c r="AK13" s="9" t="s">
        <v>238</v>
      </c>
      <c r="AL13" s="9" t="s">
        <v>240</v>
      </c>
      <c r="AM13" s="67" t="s">
        <v>144</v>
      </c>
      <c r="AN13" s="66" t="s">
        <v>164</v>
      </c>
      <c r="AO13" s="9" t="s">
        <v>238</v>
      </c>
      <c r="AP13" s="9" t="s">
        <v>240</v>
      </c>
      <c r="AQ13" s="67" t="s">
        <v>144</v>
      </c>
    </row>
    <row r="14" spans="1:43" outlineLevel="1" x14ac:dyDescent="0.35">
      <c r="B14" s="48" t="s">
        <v>74</v>
      </c>
      <c r="C14" s="62" t="s">
        <v>141</v>
      </c>
      <c r="D14" s="158">
        <f>E14+G14+F14</f>
        <v>5585.9687338982376</v>
      </c>
      <c r="E14" s="50">
        <v>5585.9687338982376</v>
      </c>
      <c r="F14" s="50"/>
      <c r="G14" s="77"/>
      <c r="H14" s="158">
        <f>I14+K14+J14</f>
        <v>5610.8165748669389</v>
      </c>
      <c r="I14" s="50">
        <v>5610.8165748669389</v>
      </c>
      <c r="J14" s="50"/>
      <c r="K14" s="77"/>
      <c r="L14" s="158">
        <f>M14+O14+N14</f>
        <v>5610.8165748669389</v>
      </c>
      <c r="M14" s="50">
        <v>5610.8165748669389</v>
      </c>
      <c r="N14" s="50"/>
      <c r="O14" s="77"/>
      <c r="P14" s="158">
        <f>Q14+S14+R14</f>
        <v>6111.5048469678313</v>
      </c>
      <c r="Q14" s="50">
        <v>6111.5048469678313</v>
      </c>
      <c r="R14" s="50"/>
      <c r="S14" s="77"/>
      <c r="T14" s="158">
        <f>U14+W14+V14</f>
        <v>6496</v>
      </c>
      <c r="U14" s="50">
        <v>6496</v>
      </c>
      <c r="V14" s="50"/>
      <c r="W14" s="77"/>
      <c r="X14" s="158">
        <f>Y14+AA14+Z14</f>
        <v>6496</v>
      </c>
      <c r="Y14" s="50">
        <v>6496</v>
      </c>
      <c r="Z14" s="50"/>
      <c r="AA14" s="77"/>
      <c r="AB14" s="158">
        <f>AC14+AE14+AD14</f>
        <v>7199</v>
      </c>
      <c r="AC14" s="50">
        <v>7199</v>
      </c>
      <c r="AD14" s="50"/>
      <c r="AE14" s="77"/>
      <c r="AF14" s="158">
        <f>AG14+AI14+AH14</f>
        <v>8045</v>
      </c>
      <c r="AG14" s="50">
        <v>8045</v>
      </c>
      <c r="AH14" s="50"/>
      <c r="AI14" s="77"/>
      <c r="AJ14" s="158">
        <f>AK14+AM14+AL14</f>
        <v>8045</v>
      </c>
      <c r="AK14" s="50">
        <v>8045</v>
      </c>
      <c r="AL14" s="50"/>
      <c r="AM14" s="77"/>
      <c r="AN14" s="158">
        <f>AO14+AQ14+AP14</f>
        <v>8297</v>
      </c>
      <c r="AO14" s="50">
        <v>8297</v>
      </c>
      <c r="AP14" s="50"/>
      <c r="AQ14" s="77"/>
    </row>
    <row r="15" spans="1:43" s="52" customFormat="1" outlineLevel="1" x14ac:dyDescent="0.35">
      <c r="A15"/>
      <c r="B15" s="48" t="s">
        <v>75</v>
      </c>
      <c r="C15" s="63" t="s">
        <v>141</v>
      </c>
      <c r="D15" s="158">
        <f t="shared" ref="D15:D67" si="0">E15+G15+F15</f>
        <v>19617.040659076716</v>
      </c>
      <c r="E15" s="50">
        <v>19617.040659076716</v>
      </c>
      <c r="F15" s="50"/>
      <c r="G15" s="77"/>
      <c r="H15" s="158">
        <f t="shared" ref="H15:H67" si="1">I15+K15+J15</f>
        <v>21538.810375279067</v>
      </c>
      <c r="I15" s="50">
        <v>21538.810375279067</v>
      </c>
      <c r="J15" s="50"/>
      <c r="K15" s="77"/>
      <c r="L15" s="158">
        <f t="shared" ref="L15:L67" si="2">M15+O15+N15</f>
        <v>23824.782196470689</v>
      </c>
      <c r="M15" s="50">
        <v>23824.782196470689</v>
      </c>
      <c r="N15" s="50"/>
      <c r="O15" s="77"/>
      <c r="P15" s="158">
        <f t="shared" ref="P15:P67" si="3">Q15+S15+R15</f>
        <v>24529.840558556731</v>
      </c>
      <c r="Q15" s="50">
        <v>24529.840558556731</v>
      </c>
      <c r="R15" s="50"/>
      <c r="S15" s="77"/>
      <c r="T15" s="158">
        <f t="shared" ref="T15:T67" si="4">U15+W15+V15</f>
        <v>24831</v>
      </c>
      <c r="U15" s="50">
        <v>24831</v>
      </c>
      <c r="V15" s="50"/>
      <c r="W15" s="77"/>
      <c r="X15" s="158">
        <f t="shared" ref="X15:X67" si="5">Y15+AA15+Z15</f>
        <v>24839</v>
      </c>
      <c r="Y15" s="50">
        <v>24839</v>
      </c>
      <c r="Z15" s="50"/>
      <c r="AA15" s="77"/>
      <c r="AB15" s="158">
        <f t="shared" ref="AB15:AB67" si="6">AC15+AE15+AD15</f>
        <v>25250</v>
      </c>
      <c r="AC15" s="50">
        <v>25250</v>
      </c>
      <c r="AD15" s="50"/>
      <c r="AE15" s="77"/>
      <c r="AF15" s="158">
        <f t="shared" ref="AF15:AF67" si="7">AG15+AI15+AH15</f>
        <v>25361</v>
      </c>
      <c r="AG15" s="50">
        <v>25361</v>
      </c>
      <c r="AH15" s="50"/>
      <c r="AI15" s="77"/>
      <c r="AJ15" s="158">
        <f t="shared" ref="AJ15:AJ67" si="8">AK15+AM15+AL15</f>
        <v>25551</v>
      </c>
      <c r="AK15" s="50">
        <v>25551</v>
      </c>
      <c r="AL15" s="50"/>
      <c r="AM15" s="77"/>
      <c r="AN15" s="158">
        <f t="shared" ref="AN15:AN67" si="9">AO15+AQ15+AP15</f>
        <v>25607</v>
      </c>
      <c r="AO15" s="50">
        <v>25607</v>
      </c>
      <c r="AP15" s="50"/>
      <c r="AQ15" s="77"/>
    </row>
    <row r="16" spans="1:43" s="52" customFormat="1" outlineLevel="1" x14ac:dyDescent="0.35">
      <c r="A16"/>
      <c r="B16" s="48" t="s">
        <v>76</v>
      </c>
      <c r="C16" s="63" t="s">
        <v>141</v>
      </c>
      <c r="D16" s="158">
        <f t="shared" si="0"/>
        <v>10650.837711539616</v>
      </c>
      <c r="E16" s="50">
        <v>10650.837711539616</v>
      </c>
      <c r="F16" s="50"/>
      <c r="G16" s="77"/>
      <c r="H16" s="158">
        <f t="shared" si="1"/>
        <v>11767.263192380909</v>
      </c>
      <c r="I16" s="50">
        <v>11767.263192380909</v>
      </c>
      <c r="J16" s="50"/>
      <c r="K16" s="77"/>
      <c r="L16" s="158">
        <f t="shared" si="2"/>
        <v>13175.272518465586</v>
      </c>
      <c r="M16" s="50">
        <v>13175.272518465586</v>
      </c>
      <c r="N16" s="50"/>
      <c r="O16" s="77"/>
      <c r="P16" s="158">
        <f t="shared" si="3"/>
        <v>13293.525867869635</v>
      </c>
      <c r="Q16" s="50">
        <v>13293.525867869635</v>
      </c>
      <c r="R16" s="50"/>
      <c r="S16" s="77"/>
      <c r="T16" s="158">
        <f t="shared" si="4"/>
        <v>14237</v>
      </c>
      <c r="U16" s="50">
        <v>14237</v>
      </c>
      <c r="V16" s="50"/>
      <c r="W16" s="77"/>
      <c r="X16" s="158">
        <f t="shared" si="5"/>
        <v>14334</v>
      </c>
      <c r="Y16" s="50">
        <v>14334</v>
      </c>
      <c r="Z16" s="50"/>
      <c r="AA16" s="77"/>
      <c r="AB16" s="158">
        <f t="shared" si="6"/>
        <v>15076</v>
      </c>
      <c r="AC16" s="50">
        <v>15076</v>
      </c>
      <c r="AD16" s="50"/>
      <c r="AE16" s="77"/>
      <c r="AF16" s="158">
        <f t="shared" si="7"/>
        <v>16658</v>
      </c>
      <c r="AG16" s="50">
        <v>16658</v>
      </c>
      <c r="AH16" s="50"/>
      <c r="AI16" s="77"/>
      <c r="AJ16" s="158">
        <f t="shared" si="8"/>
        <v>17227</v>
      </c>
      <c r="AK16" s="50">
        <v>17227</v>
      </c>
      <c r="AL16" s="50"/>
      <c r="AM16" s="77"/>
      <c r="AN16" s="158">
        <f t="shared" si="9"/>
        <v>18067</v>
      </c>
      <c r="AO16" s="50">
        <v>18067</v>
      </c>
      <c r="AP16" s="50"/>
      <c r="AQ16" s="77"/>
    </row>
    <row r="17" spans="1:43" outlineLevel="1" x14ac:dyDescent="0.35">
      <c r="B17" s="48" t="s">
        <v>77</v>
      </c>
      <c r="C17" s="62" t="s">
        <v>141</v>
      </c>
      <c r="D17" s="158">
        <f t="shared" si="0"/>
        <v>2669.6821010813642</v>
      </c>
      <c r="E17" s="50">
        <v>2669.6821010813642</v>
      </c>
      <c r="F17" s="50"/>
      <c r="G17" s="77"/>
      <c r="H17" s="158">
        <f t="shared" si="1"/>
        <v>2883.418507500533</v>
      </c>
      <c r="I17" s="50">
        <v>2883.418507500533</v>
      </c>
      <c r="J17" s="50"/>
      <c r="K17" s="77"/>
      <c r="L17" s="158">
        <f t="shared" si="2"/>
        <v>3430.7599439955766</v>
      </c>
      <c r="M17" s="50">
        <v>3430.7599439955766</v>
      </c>
      <c r="N17" s="50"/>
      <c r="O17" s="77"/>
      <c r="P17" s="158">
        <f t="shared" si="3"/>
        <v>3754.2620336478421</v>
      </c>
      <c r="Q17" s="50">
        <v>3754.2620336478421</v>
      </c>
      <c r="R17" s="50"/>
      <c r="S17" s="77"/>
      <c r="T17" s="158">
        <f t="shared" si="4"/>
        <v>3752</v>
      </c>
      <c r="U17" s="50">
        <v>3752</v>
      </c>
      <c r="V17" s="50"/>
      <c r="W17" s="77"/>
      <c r="X17" s="158">
        <f t="shared" si="5"/>
        <v>3752</v>
      </c>
      <c r="Y17" s="50">
        <v>3752</v>
      </c>
      <c r="Z17" s="50"/>
      <c r="AA17" s="77"/>
      <c r="AB17" s="158">
        <f t="shared" si="6"/>
        <v>3752</v>
      </c>
      <c r="AC17" s="50">
        <v>3752</v>
      </c>
      <c r="AD17" s="50"/>
      <c r="AE17" s="77"/>
      <c r="AF17" s="158">
        <f t="shared" si="7"/>
        <v>4014</v>
      </c>
      <c r="AG17" s="50">
        <v>4014</v>
      </c>
      <c r="AH17" s="50"/>
      <c r="AI17" s="77"/>
      <c r="AJ17" s="158">
        <f t="shared" si="8"/>
        <v>4131</v>
      </c>
      <c r="AK17" s="50">
        <v>4131</v>
      </c>
      <c r="AL17" s="50"/>
      <c r="AM17" s="77"/>
      <c r="AN17" s="158">
        <f t="shared" si="9"/>
        <v>4131</v>
      </c>
      <c r="AO17" s="50">
        <v>4131</v>
      </c>
      <c r="AP17" s="50"/>
      <c r="AQ17" s="77"/>
    </row>
    <row r="18" spans="1:43" s="52" customFormat="1" outlineLevel="1" x14ac:dyDescent="0.35">
      <c r="A18"/>
      <c r="B18" s="48" t="s">
        <v>78</v>
      </c>
      <c r="C18" s="63" t="s">
        <v>141</v>
      </c>
      <c r="D18" s="158">
        <f t="shared" si="0"/>
        <v>300528.49882135849</v>
      </c>
      <c r="E18" s="50">
        <v>300528.49882135849</v>
      </c>
      <c r="F18" s="50"/>
      <c r="G18" s="77"/>
      <c r="H18" s="158">
        <f t="shared" si="1"/>
        <v>302359.34101364139</v>
      </c>
      <c r="I18" s="50">
        <v>302359.34101364139</v>
      </c>
      <c r="J18" s="50"/>
      <c r="K18" s="77"/>
      <c r="L18" s="158">
        <f t="shared" si="2"/>
        <v>307501.81417479023</v>
      </c>
      <c r="M18" s="50">
        <v>307501.81417479023</v>
      </c>
      <c r="N18" s="50"/>
      <c r="O18" s="77"/>
      <c r="P18" s="158">
        <f t="shared" si="3"/>
        <v>312993.52142891532</v>
      </c>
      <c r="Q18" s="50">
        <v>312993.52142891532</v>
      </c>
      <c r="R18" s="50"/>
      <c r="S18" s="77"/>
      <c r="T18" s="158">
        <f t="shared" si="4"/>
        <v>315735</v>
      </c>
      <c r="U18" s="50">
        <v>315735</v>
      </c>
      <c r="V18" s="50"/>
      <c r="W18" s="77"/>
      <c r="X18" s="158">
        <f t="shared" si="5"/>
        <v>317982</v>
      </c>
      <c r="Y18" s="50">
        <v>317982</v>
      </c>
      <c r="Z18" s="50"/>
      <c r="AA18" s="77"/>
      <c r="AB18" s="158">
        <f t="shared" si="6"/>
        <v>322563</v>
      </c>
      <c r="AC18" s="50">
        <v>322563</v>
      </c>
      <c r="AD18" s="50"/>
      <c r="AE18" s="77"/>
      <c r="AF18" s="158">
        <f t="shared" si="7"/>
        <v>327161</v>
      </c>
      <c r="AG18" s="50">
        <v>327161</v>
      </c>
      <c r="AH18" s="50"/>
      <c r="AI18" s="77"/>
      <c r="AJ18" s="158">
        <f t="shared" si="8"/>
        <v>334318</v>
      </c>
      <c r="AK18" s="50">
        <v>334318</v>
      </c>
      <c r="AL18" s="50"/>
      <c r="AM18" s="77"/>
      <c r="AN18" s="158">
        <f t="shared" si="9"/>
        <v>338163</v>
      </c>
      <c r="AO18" s="50">
        <v>338163</v>
      </c>
      <c r="AP18" s="50"/>
      <c r="AQ18" s="77"/>
    </row>
    <row r="19" spans="1:43" outlineLevel="1" x14ac:dyDescent="0.35">
      <c r="B19" s="48" t="s">
        <v>79</v>
      </c>
      <c r="C19" s="62" t="s">
        <v>141</v>
      </c>
      <c r="D19" s="158">
        <f t="shared" si="0"/>
        <v>28503.301664748207</v>
      </c>
      <c r="E19" s="50">
        <v>28503.301664748207</v>
      </c>
      <c r="F19" s="50"/>
      <c r="G19" s="77"/>
      <c r="H19" s="158">
        <f t="shared" si="1"/>
        <v>29149.576466295537</v>
      </c>
      <c r="I19" s="50">
        <v>29149.576466295537</v>
      </c>
      <c r="J19" s="50"/>
      <c r="K19" s="77"/>
      <c r="L19" s="158">
        <f t="shared" si="2"/>
        <v>29880.27317446467</v>
      </c>
      <c r="M19" s="50">
        <v>29880.27317446467</v>
      </c>
      <c r="N19" s="50"/>
      <c r="O19" s="77"/>
      <c r="P19" s="158">
        <f t="shared" si="3"/>
        <v>30657.732738013852</v>
      </c>
      <c r="Q19" s="50">
        <v>30657.732738013852</v>
      </c>
      <c r="R19" s="50"/>
      <c r="S19" s="77"/>
      <c r="T19" s="158">
        <f t="shared" si="4"/>
        <v>31406</v>
      </c>
      <c r="U19" s="50">
        <v>31406</v>
      </c>
      <c r="V19" s="50"/>
      <c r="W19" s="77"/>
      <c r="X19" s="158">
        <f t="shared" si="5"/>
        <v>31435</v>
      </c>
      <c r="Y19" s="50">
        <v>31435</v>
      </c>
      <c r="Z19" s="50"/>
      <c r="AA19" s="77"/>
      <c r="AB19" s="158">
        <f t="shared" si="6"/>
        <v>31435</v>
      </c>
      <c r="AC19" s="50">
        <v>31435</v>
      </c>
      <c r="AD19" s="50"/>
      <c r="AE19" s="77"/>
      <c r="AF19" s="158">
        <f t="shared" si="7"/>
        <v>31435</v>
      </c>
      <c r="AG19" s="50">
        <v>31435</v>
      </c>
      <c r="AH19" s="50"/>
      <c r="AI19" s="77"/>
      <c r="AJ19" s="158">
        <f t="shared" si="8"/>
        <v>31435</v>
      </c>
      <c r="AK19" s="50">
        <v>31435</v>
      </c>
      <c r="AL19" s="50"/>
      <c r="AM19" s="77"/>
      <c r="AN19" s="158">
        <f t="shared" si="9"/>
        <v>31944</v>
      </c>
      <c r="AO19" s="50">
        <v>31944</v>
      </c>
      <c r="AP19" s="50"/>
      <c r="AQ19" s="77"/>
    </row>
    <row r="20" spans="1:43" outlineLevel="1" x14ac:dyDescent="0.35">
      <c r="B20" s="48" t="s">
        <v>80</v>
      </c>
      <c r="C20" s="62" t="s">
        <v>141</v>
      </c>
      <c r="D20" s="158">
        <f t="shared" si="0"/>
        <v>8349.5180394482832</v>
      </c>
      <c r="E20" s="50">
        <v>8349.5180394482832</v>
      </c>
      <c r="F20" s="50"/>
      <c r="G20" s="77"/>
      <c r="H20" s="158">
        <f t="shared" si="1"/>
        <v>9595.612463249905</v>
      </c>
      <c r="I20" s="50">
        <v>9595.612463249905</v>
      </c>
      <c r="J20" s="50"/>
      <c r="K20" s="77"/>
      <c r="L20" s="158">
        <f t="shared" si="2"/>
        <v>12266.69222428483</v>
      </c>
      <c r="M20" s="50">
        <v>12266.69222428483</v>
      </c>
      <c r="N20" s="50"/>
      <c r="O20" s="77"/>
      <c r="P20" s="158">
        <f t="shared" si="3"/>
        <v>12266.69222428483</v>
      </c>
      <c r="Q20" s="50">
        <v>12266.69222428483</v>
      </c>
      <c r="R20" s="50"/>
      <c r="S20" s="77"/>
      <c r="T20" s="158">
        <f t="shared" si="4"/>
        <v>14597</v>
      </c>
      <c r="U20" s="50">
        <v>14597</v>
      </c>
      <c r="V20" s="50"/>
      <c r="W20" s="77"/>
      <c r="X20" s="158">
        <f t="shared" si="5"/>
        <v>14708</v>
      </c>
      <c r="Y20" s="50">
        <v>14708</v>
      </c>
      <c r="Z20" s="50"/>
      <c r="AA20" s="77"/>
      <c r="AB20" s="158">
        <f t="shared" si="6"/>
        <v>14918</v>
      </c>
      <c r="AC20" s="50">
        <v>14918</v>
      </c>
      <c r="AD20" s="50"/>
      <c r="AE20" s="77"/>
      <c r="AF20" s="158">
        <f t="shared" si="7"/>
        <v>14972</v>
      </c>
      <c r="AG20" s="50">
        <v>14972</v>
      </c>
      <c r="AH20" s="50"/>
      <c r="AI20" s="77"/>
      <c r="AJ20" s="158">
        <f t="shared" si="8"/>
        <v>14972</v>
      </c>
      <c r="AK20" s="50">
        <v>14972</v>
      </c>
      <c r="AL20" s="50"/>
      <c r="AM20" s="77"/>
      <c r="AN20" s="158">
        <f t="shared" si="9"/>
        <v>15219</v>
      </c>
      <c r="AO20" s="50">
        <v>15219</v>
      </c>
      <c r="AP20" s="50"/>
      <c r="AQ20" s="77"/>
    </row>
    <row r="21" spans="1:43" outlineLevel="1" x14ac:dyDescent="0.35">
      <c r="B21" s="48" t="s">
        <v>81</v>
      </c>
      <c r="C21" s="62" t="s">
        <v>141</v>
      </c>
      <c r="D21" s="158">
        <f t="shared" si="0"/>
        <v>28847.799944911982</v>
      </c>
      <c r="E21" s="50">
        <v>28847.799944911982</v>
      </c>
      <c r="F21" s="50"/>
      <c r="G21" s="77"/>
      <c r="H21" s="158">
        <f t="shared" si="1"/>
        <v>29230.002913974138</v>
      </c>
      <c r="I21" s="50">
        <v>29230.002913974138</v>
      </c>
      <c r="J21" s="50"/>
      <c r="K21" s="77"/>
      <c r="L21" s="158">
        <f t="shared" si="2"/>
        <v>29715.908097009557</v>
      </c>
      <c r="M21" s="50">
        <v>29715.908097009557</v>
      </c>
      <c r="N21" s="50"/>
      <c r="O21" s="77"/>
      <c r="P21" s="158">
        <f t="shared" si="3"/>
        <v>30174.394442353896</v>
      </c>
      <c r="Q21" s="50">
        <v>30174.394442353896</v>
      </c>
      <c r="R21" s="50"/>
      <c r="S21" s="77"/>
      <c r="T21" s="158">
        <f t="shared" si="4"/>
        <v>30459</v>
      </c>
      <c r="U21" s="50">
        <v>30459</v>
      </c>
      <c r="V21" s="50"/>
      <c r="W21" s="77"/>
      <c r="X21" s="158">
        <f t="shared" si="5"/>
        <v>30667</v>
      </c>
      <c r="Y21" s="50">
        <v>30667</v>
      </c>
      <c r="Z21" s="50"/>
      <c r="AA21" s="77"/>
      <c r="AB21" s="158">
        <f t="shared" si="6"/>
        <v>30741</v>
      </c>
      <c r="AC21" s="50">
        <v>30741</v>
      </c>
      <c r="AD21" s="50"/>
      <c r="AE21" s="77"/>
      <c r="AF21" s="158">
        <f t="shared" si="7"/>
        <v>30780</v>
      </c>
      <c r="AG21" s="50">
        <v>30780</v>
      </c>
      <c r="AH21" s="50"/>
      <c r="AI21" s="77"/>
      <c r="AJ21" s="158">
        <f t="shared" si="8"/>
        <v>30780</v>
      </c>
      <c r="AK21" s="50">
        <v>30780</v>
      </c>
      <c r="AL21" s="50"/>
      <c r="AM21" s="77"/>
      <c r="AN21" s="158">
        <f t="shared" si="9"/>
        <v>30834</v>
      </c>
      <c r="AO21" s="50">
        <v>30834</v>
      </c>
      <c r="AP21" s="50"/>
      <c r="AQ21" s="77"/>
    </row>
    <row r="22" spans="1:43" outlineLevel="1" x14ac:dyDescent="0.35">
      <c r="B22" s="48" t="s">
        <v>82</v>
      </c>
      <c r="C22" s="62" t="s">
        <v>141</v>
      </c>
      <c r="D22" s="158">
        <f t="shared" si="0"/>
        <v>377.31343108795181</v>
      </c>
      <c r="E22" s="50">
        <v>377.31343108795181</v>
      </c>
      <c r="F22" s="50"/>
      <c r="G22" s="77"/>
      <c r="H22" s="158">
        <f t="shared" si="1"/>
        <v>377.31343108795181</v>
      </c>
      <c r="I22" s="50">
        <v>377.31343108795181</v>
      </c>
      <c r="J22" s="50"/>
      <c r="K22" s="77"/>
      <c r="L22" s="158">
        <f t="shared" si="2"/>
        <v>377.31343108795181</v>
      </c>
      <c r="M22" s="50">
        <v>377.31343108795181</v>
      </c>
      <c r="N22" s="50"/>
      <c r="O22" s="77"/>
      <c r="P22" s="158">
        <f t="shared" si="3"/>
        <v>377.31343108795181</v>
      </c>
      <c r="Q22" s="50">
        <v>377.31343108795181</v>
      </c>
      <c r="R22" s="50"/>
      <c r="S22" s="77"/>
      <c r="T22" s="158">
        <f t="shared" si="4"/>
        <v>377</v>
      </c>
      <c r="U22" s="50">
        <v>377</v>
      </c>
      <c r="V22" s="50"/>
      <c r="W22" s="77"/>
      <c r="X22" s="158">
        <f t="shared" si="5"/>
        <v>377</v>
      </c>
      <c r="Y22" s="50">
        <v>377</v>
      </c>
      <c r="Z22" s="50"/>
      <c r="AA22" s="77"/>
      <c r="AB22" s="158">
        <f t="shared" si="6"/>
        <v>377</v>
      </c>
      <c r="AC22" s="50">
        <v>377</v>
      </c>
      <c r="AD22" s="50"/>
      <c r="AE22" s="77"/>
      <c r="AF22" s="158">
        <f t="shared" si="7"/>
        <v>377</v>
      </c>
      <c r="AG22" s="50">
        <v>377</v>
      </c>
      <c r="AH22" s="50"/>
      <c r="AI22" s="77"/>
      <c r="AJ22" s="158">
        <f t="shared" si="8"/>
        <v>377</v>
      </c>
      <c r="AK22" s="50">
        <v>377</v>
      </c>
      <c r="AL22" s="50"/>
      <c r="AM22" s="77"/>
      <c r="AN22" s="158">
        <f t="shared" si="9"/>
        <v>377</v>
      </c>
      <c r="AO22" s="50">
        <v>377</v>
      </c>
      <c r="AP22" s="50"/>
      <c r="AQ22" s="77"/>
    </row>
    <row r="23" spans="1:43" outlineLevel="1" x14ac:dyDescent="0.35">
      <c r="B23" s="48" t="s">
        <v>83</v>
      </c>
      <c r="C23" s="62" t="s">
        <v>141</v>
      </c>
      <c r="D23" s="158">
        <f t="shared" si="0"/>
        <v>4684.922366370969</v>
      </c>
      <c r="E23" s="50">
        <v>4684.922366370969</v>
      </c>
      <c r="F23" s="50"/>
      <c r="G23" s="77"/>
      <c r="H23" s="158">
        <f t="shared" si="1"/>
        <v>4684.922366370969</v>
      </c>
      <c r="I23" s="50">
        <v>4684.922366370969</v>
      </c>
      <c r="J23" s="50"/>
      <c r="K23" s="77"/>
      <c r="L23" s="158">
        <f t="shared" si="2"/>
        <v>4740.7933523493157</v>
      </c>
      <c r="M23" s="50">
        <v>4740.7933523493157</v>
      </c>
      <c r="N23" s="50"/>
      <c r="O23" s="77"/>
      <c r="P23" s="158">
        <f t="shared" si="3"/>
        <v>4740.7933523493157</v>
      </c>
      <c r="Q23" s="50">
        <v>4740.7933523493157</v>
      </c>
      <c r="R23" s="50"/>
      <c r="S23" s="77"/>
      <c r="T23" s="158">
        <f t="shared" si="4"/>
        <v>5439</v>
      </c>
      <c r="U23" s="50">
        <v>5439</v>
      </c>
      <c r="V23" s="50"/>
      <c r="W23" s="77"/>
      <c r="X23" s="158">
        <f t="shared" si="5"/>
        <v>5439</v>
      </c>
      <c r="Y23" s="50">
        <v>5439</v>
      </c>
      <c r="Z23" s="50"/>
      <c r="AA23" s="77"/>
      <c r="AB23" s="158">
        <f t="shared" si="6"/>
        <v>6079</v>
      </c>
      <c r="AC23" s="50">
        <v>6079</v>
      </c>
      <c r="AD23" s="50"/>
      <c r="AE23" s="77"/>
      <c r="AF23" s="158">
        <f t="shared" si="7"/>
        <v>6240</v>
      </c>
      <c r="AG23" s="50">
        <v>6240</v>
      </c>
      <c r="AH23" s="50"/>
      <c r="AI23" s="77"/>
      <c r="AJ23" s="158">
        <f t="shared" si="8"/>
        <v>6833</v>
      </c>
      <c r="AK23" s="50">
        <v>6833</v>
      </c>
      <c r="AL23" s="50"/>
      <c r="AM23" s="77"/>
      <c r="AN23" s="158">
        <f t="shared" si="9"/>
        <v>7052</v>
      </c>
      <c r="AO23" s="50">
        <v>7052</v>
      </c>
      <c r="AP23" s="50"/>
      <c r="AQ23" s="77"/>
    </row>
    <row r="24" spans="1:43" outlineLevel="1" x14ac:dyDescent="0.35">
      <c r="B24" s="48" t="s">
        <v>84</v>
      </c>
      <c r="C24" s="62" t="s">
        <v>141</v>
      </c>
      <c r="D24" s="158">
        <f t="shared" si="0"/>
        <v>6922.8202019594864</v>
      </c>
      <c r="E24" s="50">
        <v>6922.8202019594864</v>
      </c>
      <c r="F24" s="50"/>
      <c r="G24" s="77"/>
      <c r="H24" s="158">
        <f t="shared" si="1"/>
        <v>6951.2362695666761</v>
      </c>
      <c r="I24" s="50">
        <v>6951.2362695666761</v>
      </c>
      <c r="J24" s="50"/>
      <c r="K24" s="77"/>
      <c r="L24" s="158">
        <f t="shared" si="2"/>
        <v>7599.7333737736499</v>
      </c>
      <c r="M24" s="50">
        <v>7599.7333737736499</v>
      </c>
      <c r="N24" s="50"/>
      <c r="O24" s="77"/>
      <c r="P24" s="158">
        <f t="shared" si="3"/>
        <v>8180.8438304460606</v>
      </c>
      <c r="Q24" s="50">
        <v>8180.8438304460606</v>
      </c>
      <c r="R24" s="50"/>
      <c r="S24" s="77"/>
      <c r="T24" s="158">
        <f t="shared" si="4"/>
        <v>8621</v>
      </c>
      <c r="U24" s="50">
        <v>8621</v>
      </c>
      <c r="V24" s="50"/>
      <c r="W24" s="77"/>
      <c r="X24" s="158">
        <f t="shared" si="5"/>
        <v>8970</v>
      </c>
      <c r="Y24" s="50">
        <v>8970</v>
      </c>
      <c r="Z24" s="50"/>
      <c r="AA24" s="77"/>
      <c r="AB24" s="158">
        <f t="shared" si="6"/>
        <v>9394</v>
      </c>
      <c r="AC24" s="50">
        <v>9394</v>
      </c>
      <c r="AD24" s="50"/>
      <c r="AE24" s="77"/>
      <c r="AF24" s="158">
        <f t="shared" si="7"/>
        <v>10041</v>
      </c>
      <c r="AG24" s="50">
        <v>10041</v>
      </c>
      <c r="AH24" s="50"/>
      <c r="AI24" s="77"/>
      <c r="AJ24" s="158">
        <f t="shared" si="8"/>
        <v>10669</v>
      </c>
      <c r="AK24" s="50">
        <v>10669</v>
      </c>
      <c r="AL24" s="50"/>
      <c r="AM24" s="77"/>
      <c r="AN24" s="158">
        <f t="shared" si="9"/>
        <v>10800</v>
      </c>
      <c r="AO24" s="50">
        <v>10800</v>
      </c>
      <c r="AP24" s="50"/>
      <c r="AQ24" s="77"/>
    </row>
    <row r="25" spans="1:43" outlineLevel="1" x14ac:dyDescent="0.35">
      <c r="B25" s="48" t="s">
        <v>85</v>
      </c>
      <c r="C25" s="62" t="s">
        <v>141</v>
      </c>
      <c r="D25" s="158">
        <f t="shared" si="0"/>
        <v>9603.63954313063</v>
      </c>
      <c r="E25" s="50">
        <v>9603.63954313063</v>
      </c>
      <c r="F25" s="50"/>
      <c r="G25" s="77"/>
      <c r="H25" s="158">
        <f t="shared" si="1"/>
        <v>11917.35835202928</v>
      </c>
      <c r="I25" s="50">
        <v>11917.35835202928</v>
      </c>
      <c r="J25" s="50"/>
      <c r="K25" s="77"/>
      <c r="L25" s="158">
        <f t="shared" si="2"/>
        <v>11957.036886748849</v>
      </c>
      <c r="M25" s="50">
        <v>11957.036886748849</v>
      </c>
      <c r="N25" s="50"/>
      <c r="O25" s="77"/>
      <c r="P25" s="158">
        <f t="shared" si="3"/>
        <v>11980.470632044104</v>
      </c>
      <c r="Q25" s="50">
        <v>11980.470632044104</v>
      </c>
      <c r="R25" s="50"/>
      <c r="S25" s="77"/>
      <c r="T25" s="158">
        <f t="shared" si="4"/>
        <v>12172</v>
      </c>
      <c r="U25" s="50">
        <v>12172</v>
      </c>
      <c r="V25" s="50"/>
      <c r="W25" s="77"/>
      <c r="X25" s="158">
        <f t="shared" si="5"/>
        <v>12193</v>
      </c>
      <c r="Y25" s="50">
        <v>12193</v>
      </c>
      <c r="Z25" s="50"/>
      <c r="AA25" s="77"/>
      <c r="AB25" s="158">
        <f t="shared" si="6"/>
        <v>12369</v>
      </c>
      <c r="AC25" s="50">
        <v>12369</v>
      </c>
      <c r="AD25" s="50"/>
      <c r="AE25" s="77"/>
      <c r="AF25" s="158">
        <f t="shared" si="7"/>
        <v>12369</v>
      </c>
      <c r="AG25" s="50">
        <v>12369</v>
      </c>
      <c r="AH25" s="50"/>
      <c r="AI25" s="77"/>
      <c r="AJ25" s="158">
        <f t="shared" si="8"/>
        <v>12400</v>
      </c>
      <c r="AK25" s="50">
        <v>12400</v>
      </c>
      <c r="AL25" s="50"/>
      <c r="AM25" s="77"/>
      <c r="AN25" s="158">
        <f t="shared" si="9"/>
        <v>12449</v>
      </c>
      <c r="AO25" s="50">
        <v>12449</v>
      </c>
      <c r="AP25" s="50"/>
      <c r="AQ25" s="77"/>
    </row>
    <row r="26" spans="1:43" outlineLevel="1" x14ac:dyDescent="0.35">
      <c r="B26" s="48" t="s">
        <v>86</v>
      </c>
      <c r="C26" s="62" t="s">
        <v>141</v>
      </c>
      <c r="D26" s="158">
        <f t="shared" si="0"/>
        <v>10528.637523098483</v>
      </c>
      <c r="E26" s="50">
        <v>10528.637523098483</v>
      </c>
      <c r="F26" s="50"/>
      <c r="G26" s="77"/>
      <c r="H26" s="158">
        <f t="shared" si="1"/>
        <v>11353.619932646885</v>
      </c>
      <c r="I26" s="50">
        <v>11353.619932646885</v>
      </c>
      <c r="J26" s="50"/>
      <c r="K26" s="77"/>
      <c r="L26" s="158">
        <f t="shared" si="2"/>
        <v>17243.148006143765</v>
      </c>
      <c r="M26" s="50">
        <v>17243.148006143765</v>
      </c>
      <c r="N26" s="50"/>
      <c r="O26" s="77"/>
      <c r="P26" s="158">
        <f t="shared" si="3"/>
        <v>18948.032792710535</v>
      </c>
      <c r="Q26" s="50">
        <v>18948.032792710535</v>
      </c>
      <c r="R26" s="50"/>
      <c r="S26" s="77"/>
      <c r="T26" s="158">
        <f t="shared" si="4"/>
        <v>18948</v>
      </c>
      <c r="U26" s="50">
        <v>18948</v>
      </c>
      <c r="V26" s="50"/>
      <c r="W26" s="77"/>
      <c r="X26" s="158">
        <f t="shared" si="5"/>
        <v>19063</v>
      </c>
      <c r="Y26" s="50">
        <v>19063</v>
      </c>
      <c r="Z26" s="50"/>
      <c r="AA26" s="77"/>
      <c r="AB26" s="158">
        <f t="shared" si="6"/>
        <v>20499</v>
      </c>
      <c r="AC26" s="50">
        <v>20499</v>
      </c>
      <c r="AD26" s="50"/>
      <c r="AE26" s="77"/>
      <c r="AF26" s="158">
        <f t="shared" si="7"/>
        <v>21730</v>
      </c>
      <c r="AG26" s="50">
        <v>21730</v>
      </c>
      <c r="AH26" s="50"/>
      <c r="AI26" s="77"/>
      <c r="AJ26" s="158">
        <f t="shared" si="8"/>
        <v>22362</v>
      </c>
      <c r="AK26" s="50">
        <v>22362</v>
      </c>
      <c r="AL26" s="50"/>
      <c r="AM26" s="77"/>
      <c r="AN26" s="158">
        <f t="shared" si="9"/>
        <v>22737</v>
      </c>
      <c r="AO26" s="50">
        <v>22737</v>
      </c>
      <c r="AP26" s="50"/>
      <c r="AQ26" s="77"/>
    </row>
    <row r="27" spans="1:43" outlineLevel="1" x14ac:dyDescent="0.35">
      <c r="B27" s="48" t="s">
        <v>87</v>
      </c>
      <c r="C27" s="62" t="s">
        <v>141</v>
      </c>
      <c r="D27" s="158">
        <f t="shared" si="0"/>
        <v>23355.835943676702</v>
      </c>
      <c r="E27" s="50">
        <v>23355.835943676702</v>
      </c>
      <c r="F27" s="50"/>
      <c r="G27" s="77"/>
      <c r="H27" s="158">
        <f t="shared" si="1"/>
        <v>23366.236482698769</v>
      </c>
      <c r="I27" s="50">
        <v>23366.236482698769</v>
      </c>
      <c r="J27" s="50"/>
      <c r="K27" s="77"/>
      <c r="L27" s="158">
        <f t="shared" si="2"/>
        <v>23366.236482698769</v>
      </c>
      <c r="M27" s="50">
        <v>23366.236482698769</v>
      </c>
      <c r="N27" s="50"/>
      <c r="O27" s="77"/>
      <c r="P27" s="158">
        <f t="shared" si="3"/>
        <v>23389.181985950428</v>
      </c>
      <c r="Q27" s="50">
        <v>23389.181985950428</v>
      </c>
      <c r="R27" s="50"/>
      <c r="S27" s="77"/>
      <c r="T27" s="158">
        <f t="shared" si="4"/>
        <v>23633</v>
      </c>
      <c r="U27" s="50">
        <v>23633</v>
      </c>
      <c r="V27" s="50"/>
      <c r="W27" s="77"/>
      <c r="X27" s="158">
        <f t="shared" si="5"/>
        <v>23706</v>
      </c>
      <c r="Y27" s="50">
        <v>23706</v>
      </c>
      <c r="Z27" s="50"/>
      <c r="AA27" s="77"/>
      <c r="AB27" s="158">
        <f t="shared" si="6"/>
        <v>24934</v>
      </c>
      <c r="AC27" s="50">
        <v>24934</v>
      </c>
      <c r="AD27" s="50"/>
      <c r="AE27" s="77"/>
      <c r="AF27" s="158">
        <f t="shared" si="7"/>
        <v>24934</v>
      </c>
      <c r="AG27" s="50">
        <v>24934</v>
      </c>
      <c r="AH27" s="50"/>
      <c r="AI27" s="77"/>
      <c r="AJ27" s="158">
        <f t="shared" si="8"/>
        <v>24934</v>
      </c>
      <c r="AK27" s="50">
        <v>24934</v>
      </c>
      <c r="AL27" s="50"/>
      <c r="AM27" s="77"/>
      <c r="AN27" s="158">
        <f t="shared" si="9"/>
        <v>25944</v>
      </c>
      <c r="AO27" s="50">
        <v>25944</v>
      </c>
      <c r="AP27" s="50"/>
      <c r="AQ27" s="77"/>
    </row>
    <row r="28" spans="1:43" outlineLevel="1" x14ac:dyDescent="0.35">
      <c r="B28" s="48" t="s">
        <v>88</v>
      </c>
      <c r="C28" s="62" t="s">
        <v>141</v>
      </c>
      <c r="D28" s="158">
        <f t="shared" si="0"/>
        <v>17070.307989881916</v>
      </c>
      <c r="E28" s="50">
        <v>17070.307989881916</v>
      </c>
      <c r="F28" s="50"/>
      <c r="G28" s="77"/>
      <c r="H28" s="158">
        <f t="shared" si="1"/>
        <v>17558.966420634919</v>
      </c>
      <c r="I28" s="50">
        <v>17558.966420634919</v>
      </c>
      <c r="J28" s="50"/>
      <c r="K28" s="77"/>
      <c r="L28" s="158">
        <f t="shared" si="2"/>
        <v>18262.143674012328</v>
      </c>
      <c r="M28" s="50">
        <v>18262.143674012328</v>
      </c>
      <c r="N28" s="50"/>
      <c r="O28" s="77"/>
      <c r="P28" s="158">
        <f t="shared" si="3"/>
        <v>20569.704118108501</v>
      </c>
      <c r="Q28" s="50">
        <v>20569.704118108501</v>
      </c>
      <c r="R28" s="50"/>
      <c r="S28" s="77"/>
      <c r="T28" s="158">
        <f t="shared" si="4"/>
        <v>21760</v>
      </c>
      <c r="U28" s="50">
        <v>21760</v>
      </c>
      <c r="V28" s="50"/>
      <c r="W28" s="77"/>
      <c r="X28" s="158">
        <f t="shared" si="5"/>
        <v>21995</v>
      </c>
      <c r="Y28" s="50">
        <v>21995</v>
      </c>
      <c r="Z28" s="50"/>
      <c r="AA28" s="77"/>
      <c r="AB28" s="158">
        <f t="shared" si="6"/>
        <v>23420</v>
      </c>
      <c r="AC28" s="50">
        <v>23420</v>
      </c>
      <c r="AD28" s="50"/>
      <c r="AE28" s="77"/>
      <c r="AF28" s="158">
        <f t="shared" si="7"/>
        <v>24852</v>
      </c>
      <c r="AG28" s="50">
        <v>24852</v>
      </c>
      <c r="AH28" s="50"/>
      <c r="AI28" s="77"/>
      <c r="AJ28" s="158">
        <f t="shared" si="8"/>
        <v>24852</v>
      </c>
      <c r="AK28" s="50">
        <v>24852</v>
      </c>
      <c r="AL28" s="50"/>
      <c r="AM28" s="77"/>
      <c r="AN28" s="158">
        <f t="shared" si="9"/>
        <v>26392</v>
      </c>
      <c r="AO28" s="50">
        <v>26392</v>
      </c>
      <c r="AP28" s="50"/>
      <c r="AQ28" s="77"/>
    </row>
    <row r="29" spans="1:43" outlineLevel="1" x14ac:dyDescent="0.35">
      <c r="B29" s="48" t="s">
        <v>89</v>
      </c>
      <c r="C29" s="62" t="s">
        <v>141</v>
      </c>
      <c r="D29" s="158">
        <f t="shared" si="0"/>
        <v>12014.781570101544</v>
      </c>
      <c r="E29" s="50">
        <v>12014.781570101544</v>
      </c>
      <c r="F29" s="50"/>
      <c r="G29" s="77"/>
      <c r="H29" s="158">
        <f t="shared" si="1"/>
        <v>12029.339995982375</v>
      </c>
      <c r="I29" s="50">
        <v>12029.339995982375</v>
      </c>
      <c r="J29" s="50"/>
      <c r="K29" s="77"/>
      <c r="L29" s="158">
        <f t="shared" si="2"/>
        <v>12054.033319261001</v>
      </c>
      <c r="M29" s="50">
        <v>12054.033319261001</v>
      </c>
      <c r="N29" s="50"/>
      <c r="O29" s="77"/>
      <c r="P29" s="158">
        <f t="shared" si="3"/>
        <v>12207.1480932704</v>
      </c>
      <c r="Q29" s="50">
        <v>12207.1480932704</v>
      </c>
      <c r="R29" s="50"/>
      <c r="S29" s="77"/>
      <c r="T29" s="158">
        <f t="shared" si="4"/>
        <v>12329</v>
      </c>
      <c r="U29" s="50">
        <v>12329</v>
      </c>
      <c r="V29" s="50"/>
      <c r="W29" s="77"/>
      <c r="X29" s="158">
        <f t="shared" si="5"/>
        <v>12512</v>
      </c>
      <c r="Y29" s="50">
        <v>12512</v>
      </c>
      <c r="Z29" s="50"/>
      <c r="AA29" s="77"/>
      <c r="AB29" s="158">
        <f t="shared" si="6"/>
        <v>12710</v>
      </c>
      <c r="AC29" s="50">
        <v>12710</v>
      </c>
      <c r="AD29" s="50"/>
      <c r="AE29" s="77"/>
      <c r="AF29" s="158">
        <f t="shared" si="7"/>
        <v>13177</v>
      </c>
      <c r="AG29" s="50">
        <v>13177</v>
      </c>
      <c r="AH29" s="50"/>
      <c r="AI29" s="77"/>
      <c r="AJ29" s="158">
        <f t="shared" si="8"/>
        <v>13917</v>
      </c>
      <c r="AK29" s="50">
        <v>13917</v>
      </c>
      <c r="AL29" s="50"/>
      <c r="AM29" s="77"/>
      <c r="AN29" s="158">
        <f t="shared" si="9"/>
        <v>14132</v>
      </c>
      <c r="AO29" s="50">
        <v>14132</v>
      </c>
      <c r="AP29" s="50"/>
      <c r="AQ29" s="77"/>
    </row>
    <row r="30" spans="1:43" outlineLevel="1" x14ac:dyDescent="0.35">
      <c r="B30" s="48" t="s">
        <v>90</v>
      </c>
      <c r="C30" s="62" t="s">
        <v>141</v>
      </c>
      <c r="D30" s="158">
        <f t="shared" si="0"/>
        <v>203.28175152180651</v>
      </c>
      <c r="E30" s="50">
        <v>203.28175152180651</v>
      </c>
      <c r="F30" s="50"/>
      <c r="G30" s="77"/>
      <c r="H30" s="158">
        <f t="shared" si="1"/>
        <v>203.28175152180651</v>
      </c>
      <c r="I30" s="50">
        <v>203.28175152180651</v>
      </c>
      <c r="J30" s="50"/>
      <c r="K30" s="77"/>
      <c r="L30" s="158">
        <f t="shared" si="2"/>
        <v>203.28175152180651</v>
      </c>
      <c r="M30" s="50">
        <v>203.28175152180651</v>
      </c>
      <c r="N30" s="50"/>
      <c r="O30" s="77"/>
      <c r="P30" s="158">
        <f t="shared" si="3"/>
        <v>203.28175152180651</v>
      </c>
      <c r="Q30" s="50">
        <v>203.28175152180651</v>
      </c>
      <c r="R30" s="50"/>
      <c r="S30" s="77"/>
      <c r="T30" s="158">
        <f t="shared" si="4"/>
        <v>203</v>
      </c>
      <c r="U30" s="50">
        <v>203</v>
      </c>
      <c r="V30" s="50"/>
      <c r="W30" s="77"/>
      <c r="X30" s="158">
        <f t="shared" si="5"/>
        <v>216</v>
      </c>
      <c r="Y30" s="50">
        <v>216</v>
      </c>
      <c r="Z30" s="50"/>
      <c r="AA30" s="77"/>
      <c r="AB30" s="158">
        <f t="shared" si="6"/>
        <v>316</v>
      </c>
      <c r="AC30" s="50">
        <v>316</v>
      </c>
      <c r="AD30" s="50"/>
      <c r="AE30" s="77"/>
      <c r="AF30" s="158">
        <f t="shared" si="7"/>
        <v>316</v>
      </c>
      <c r="AG30" s="50">
        <v>316</v>
      </c>
      <c r="AH30" s="50"/>
      <c r="AI30" s="77"/>
      <c r="AJ30" s="158">
        <f t="shared" si="8"/>
        <v>525</v>
      </c>
      <c r="AK30" s="50">
        <v>525</v>
      </c>
      <c r="AL30" s="50"/>
      <c r="AM30" s="77"/>
      <c r="AN30" s="158">
        <f t="shared" si="9"/>
        <v>525</v>
      </c>
      <c r="AO30" s="50">
        <v>525</v>
      </c>
      <c r="AP30" s="50"/>
      <c r="AQ30" s="77"/>
    </row>
    <row r="31" spans="1:43" outlineLevel="1" x14ac:dyDescent="0.35">
      <c r="B31" s="294" t="s">
        <v>91</v>
      </c>
      <c r="C31" s="62" t="s">
        <v>141</v>
      </c>
      <c r="D31" s="158">
        <f t="shared" si="0"/>
        <v>2728.2362482548492</v>
      </c>
      <c r="E31" s="50">
        <v>2728.2362482548492</v>
      </c>
      <c r="F31" s="50"/>
      <c r="G31" s="77"/>
      <c r="H31" s="158">
        <f t="shared" si="1"/>
        <v>2728.2362482548492</v>
      </c>
      <c r="I31" s="50">
        <v>2728.2362482548492</v>
      </c>
      <c r="J31" s="50"/>
      <c r="K31" s="77"/>
      <c r="L31" s="158">
        <f t="shared" si="2"/>
        <v>2819.4748828057459</v>
      </c>
      <c r="M31" s="50">
        <v>2819.4748828057459</v>
      </c>
      <c r="N31" s="50"/>
      <c r="O31" s="77"/>
      <c r="P31" s="158">
        <f t="shared" si="3"/>
        <v>2819.4748828057459</v>
      </c>
      <c r="Q31" s="50">
        <v>2819.4748828057459</v>
      </c>
      <c r="R31" s="50"/>
      <c r="S31" s="77"/>
      <c r="T31" s="158">
        <f t="shared" si="4"/>
        <v>2840</v>
      </c>
      <c r="U31" s="50">
        <v>2840</v>
      </c>
      <c r="V31" s="50"/>
      <c r="W31" s="77"/>
      <c r="X31" s="158">
        <f t="shared" si="5"/>
        <v>3067</v>
      </c>
      <c r="Y31" s="50">
        <v>3067</v>
      </c>
      <c r="Z31" s="50"/>
      <c r="AA31" s="77"/>
      <c r="AB31" s="158">
        <f t="shared" si="6"/>
        <v>3150</v>
      </c>
      <c r="AC31" s="50">
        <v>3150</v>
      </c>
      <c r="AD31" s="50"/>
      <c r="AE31" s="77"/>
      <c r="AF31" s="158">
        <f t="shared" si="7"/>
        <v>3230</v>
      </c>
      <c r="AG31" s="50">
        <v>3230</v>
      </c>
      <c r="AH31" s="50"/>
      <c r="AI31" s="77"/>
      <c r="AJ31" s="158">
        <f t="shared" si="8"/>
        <v>3230</v>
      </c>
      <c r="AK31" s="50">
        <v>3230</v>
      </c>
      <c r="AL31" s="50"/>
      <c r="AM31" s="77"/>
      <c r="AN31" s="158">
        <f t="shared" si="9"/>
        <v>3311</v>
      </c>
      <c r="AO31" s="50">
        <v>3311</v>
      </c>
      <c r="AP31" s="50"/>
      <c r="AQ31" s="77"/>
    </row>
    <row r="32" spans="1:43" outlineLevel="1" x14ac:dyDescent="0.35">
      <c r="B32" s="294" t="s">
        <v>92</v>
      </c>
      <c r="C32" s="62" t="s">
        <v>141</v>
      </c>
      <c r="D32" s="158">
        <f t="shared" si="0"/>
        <v>8734.5991923079837</v>
      </c>
      <c r="E32" s="50">
        <v>8734.5991923079837</v>
      </c>
      <c r="F32" s="50"/>
      <c r="G32" s="77"/>
      <c r="H32" s="158">
        <f t="shared" si="1"/>
        <v>12616.109811690969</v>
      </c>
      <c r="I32" s="50">
        <v>12616.109811690969</v>
      </c>
      <c r="J32" s="50"/>
      <c r="K32" s="77"/>
      <c r="L32" s="158">
        <f t="shared" si="2"/>
        <v>16148.685215610463</v>
      </c>
      <c r="M32" s="50">
        <v>16148.685215610463</v>
      </c>
      <c r="N32" s="50"/>
      <c r="O32" s="77"/>
      <c r="P32" s="158">
        <f t="shared" si="3"/>
        <v>16148.685215610463</v>
      </c>
      <c r="Q32" s="50">
        <v>16148.685215610463</v>
      </c>
      <c r="R32" s="50"/>
      <c r="S32" s="77"/>
      <c r="T32" s="158">
        <f t="shared" si="4"/>
        <v>17725</v>
      </c>
      <c r="U32" s="50">
        <v>17725</v>
      </c>
      <c r="V32" s="50"/>
      <c r="W32" s="77"/>
      <c r="X32" s="158">
        <f t="shared" si="5"/>
        <v>17763</v>
      </c>
      <c r="Y32" s="50">
        <v>17763</v>
      </c>
      <c r="Z32" s="50"/>
      <c r="AA32" s="77"/>
      <c r="AB32" s="158">
        <f t="shared" si="6"/>
        <v>18128</v>
      </c>
      <c r="AC32" s="50">
        <v>18128</v>
      </c>
      <c r="AD32" s="50"/>
      <c r="AE32" s="77"/>
      <c r="AF32" s="158">
        <f t="shared" si="7"/>
        <v>18510</v>
      </c>
      <c r="AG32" s="50">
        <v>18510</v>
      </c>
      <c r="AH32" s="50"/>
      <c r="AI32" s="77"/>
      <c r="AJ32" s="158">
        <f t="shared" si="8"/>
        <v>18510</v>
      </c>
      <c r="AK32" s="50">
        <v>18510</v>
      </c>
      <c r="AL32" s="50"/>
      <c r="AM32" s="77"/>
      <c r="AN32" s="158">
        <f t="shared" si="9"/>
        <v>18642</v>
      </c>
      <c r="AO32" s="50">
        <v>18642</v>
      </c>
      <c r="AP32" s="50"/>
      <c r="AQ32" s="77"/>
    </row>
    <row r="33" spans="2:43" outlineLevel="1" x14ac:dyDescent="0.35">
      <c r="B33" s="294" t="s">
        <v>93</v>
      </c>
      <c r="C33" s="62" t="s">
        <v>141</v>
      </c>
      <c r="D33" s="158">
        <f t="shared" si="0"/>
        <v>13603.681852117144</v>
      </c>
      <c r="E33" s="50">
        <v>13603.681852117144</v>
      </c>
      <c r="F33" s="50"/>
      <c r="G33" s="77"/>
      <c r="H33" s="158">
        <f t="shared" si="1"/>
        <v>20919.687781911314</v>
      </c>
      <c r="I33" s="50">
        <v>20919.687781911314</v>
      </c>
      <c r="J33" s="50"/>
      <c r="K33" s="77"/>
      <c r="L33" s="158">
        <f t="shared" si="2"/>
        <v>28858.772019765151</v>
      </c>
      <c r="M33" s="50">
        <v>28858.772019765151</v>
      </c>
      <c r="N33" s="50"/>
      <c r="O33" s="77"/>
      <c r="P33" s="158">
        <f t="shared" si="3"/>
        <v>29447.208355230778</v>
      </c>
      <c r="Q33" s="50">
        <v>29447.208355230778</v>
      </c>
      <c r="R33" s="50"/>
      <c r="S33" s="77"/>
      <c r="T33" s="158">
        <f t="shared" si="4"/>
        <v>30453</v>
      </c>
      <c r="U33" s="50">
        <v>30453</v>
      </c>
      <c r="V33" s="50"/>
      <c r="W33" s="77"/>
      <c r="X33" s="158">
        <f t="shared" si="5"/>
        <v>30959</v>
      </c>
      <c r="Y33" s="50">
        <v>30959</v>
      </c>
      <c r="Z33" s="50"/>
      <c r="AA33" s="77"/>
      <c r="AB33" s="158">
        <f t="shared" si="6"/>
        <v>32173</v>
      </c>
      <c r="AC33" s="50">
        <v>32173</v>
      </c>
      <c r="AD33" s="50"/>
      <c r="AE33" s="77"/>
      <c r="AF33" s="158">
        <f t="shared" si="7"/>
        <v>36180</v>
      </c>
      <c r="AG33" s="50">
        <v>36180</v>
      </c>
      <c r="AH33" s="50"/>
      <c r="AI33" s="77"/>
      <c r="AJ33" s="158">
        <f t="shared" si="8"/>
        <v>37331</v>
      </c>
      <c r="AK33" s="50">
        <v>37331</v>
      </c>
      <c r="AL33" s="50"/>
      <c r="AM33" s="77"/>
      <c r="AN33" s="158">
        <f t="shared" si="9"/>
        <v>38437</v>
      </c>
      <c r="AO33" s="50">
        <v>38437</v>
      </c>
      <c r="AP33" s="50"/>
      <c r="AQ33" s="77"/>
    </row>
    <row r="34" spans="2:43" outlineLevel="1" x14ac:dyDescent="0.35">
      <c r="B34" s="294" t="s">
        <v>94</v>
      </c>
      <c r="C34" s="62" t="s">
        <v>141</v>
      </c>
      <c r="D34" s="158">
        <f t="shared" si="0"/>
        <v>17236.545060091066</v>
      </c>
      <c r="E34" s="50">
        <v>17236.545060091066</v>
      </c>
      <c r="F34" s="50"/>
      <c r="G34" s="77"/>
      <c r="H34" s="158">
        <f t="shared" si="1"/>
        <v>17365.541720451463</v>
      </c>
      <c r="I34" s="50">
        <v>17365.541720451463</v>
      </c>
      <c r="J34" s="50"/>
      <c r="K34" s="77"/>
      <c r="L34" s="158">
        <f t="shared" si="2"/>
        <v>17879.307523335581</v>
      </c>
      <c r="M34" s="50">
        <v>17879.307523335581</v>
      </c>
      <c r="N34" s="50"/>
      <c r="O34" s="77"/>
      <c r="P34" s="158">
        <f t="shared" si="3"/>
        <v>17986.038533681982</v>
      </c>
      <c r="Q34" s="50">
        <v>17986.038533681982</v>
      </c>
      <c r="R34" s="50"/>
      <c r="S34" s="77"/>
      <c r="T34" s="158">
        <f t="shared" si="4"/>
        <v>19590</v>
      </c>
      <c r="U34" s="50">
        <v>19590</v>
      </c>
      <c r="V34" s="50"/>
      <c r="W34" s="77"/>
      <c r="X34" s="158">
        <f t="shared" si="5"/>
        <v>19619</v>
      </c>
      <c r="Y34" s="50">
        <v>19619</v>
      </c>
      <c r="Z34" s="50"/>
      <c r="AA34" s="77"/>
      <c r="AB34" s="158">
        <f t="shared" si="6"/>
        <v>20572</v>
      </c>
      <c r="AC34" s="50">
        <v>20572</v>
      </c>
      <c r="AD34" s="50"/>
      <c r="AE34" s="77"/>
      <c r="AF34" s="158">
        <f t="shared" si="7"/>
        <v>21232</v>
      </c>
      <c r="AG34" s="50">
        <v>21232</v>
      </c>
      <c r="AH34" s="50"/>
      <c r="AI34" s="77"/>
      <c r="AJ34" s="158">
        <f t="shared" si="8"/>
        <v>22067</v>
      </c>
      <c r="AK34" s="50">
        <v>22067</v>
      </c>
      <c r="AL34" s="50"/>
      <c r="AM34" s="77"/>
      <c r="AN34" s="158">
        <f t="shared" si="9"/>
        <v>22650</v>
      </c>
      <c r="AO34" s="50">
        <v>22650</v>
      </c>
      <c r="AP34" s="50"/>
      <c r="AQ34" s="77"/>
    </row>
    <row r="35" spans="2:43" outlineLevel="1" x14ac:dyDescent="0.35">
      <c r="B35" s="294" t="s">
        <v>95</v>
      </c>
      <c r="C35" s="62" t="s">
        <v>141</v>
      </c>
      <c r="D35" s="158">
        <f t="shared" si="0"/>
        <v>11568.495464269738</v>
      </c>
      <c r="E35" s="50">
        <v>11568.495464269738</v>
      </c>
      <c r="F35" s="50"/>
      <c r="G35" s="77"/>
      <c r="H35" s="158">
        <f t="shared" si="1"/>
        <v>11693.732357186895</v>
      </c>
      <c r="I35" s="50">
        <v>11693.732357186895</v>
      </c>
      <c r="J35" s="50"/>
      <c r="K35" s="77"/>
      <c r="L35" s="158">
        <f t="shared" si="2"/>
        <v>12492.87897951077</v>
      </c>
      <c r="M35" s="50">
        <v>12492.87897951077</v>
      </c>
      <c r="N35" s="50"/>
      <c r="O35" s="77"/>
      <c r="P35" s="158">
        <f t="shared" si="3"/>
        <v>13193.840493450181</v>
      </c>
      <c r="Q35" s="50">
        <v>13193.840493450181</v>
      </c>
      <c r="R35" s="50"/>
      <c r="S35" s="77"/>
      <c r="T35" s="158">
        <f t="shared" si="4"/>
        <v>13296</v>
      </c>
      <c r="U35" s="50">
        <v>13296</v>
      </c>
      <c r="V35" s="50"/>
      <c r="W35" s="77"/>
      <c r="X35" s="158">
        <f t="shared" si="5"/>
        <v>13339</v>
      </c>
      <c r="Y35" s="50">
        <v>13339</v>
      </c>
      <c r="Z35" s="50"/>
      <c r="AA35" s="77"/>
      <c r="AB35" s="158">
        <f t="shared" si="6"/>
        <v>13639</v>
      </c>
      <c r="AC35" s="50">
        <v>13639</v>
      </c>
      <c r="AD35" s="50"/>
      <c r="AE35" s="77"/>
      <c r="AF35" s="158">
        <f t="shared" si="7"/>
        <v>14135</v>
      </c>
      <c r="AG35" s="50">
        <v>14135</v>
      </c>
      <c r="AH35" s="50"/>
      <c r="AI35" s="77"/>
      <c r="AJ35" s="158">
        <f t="shared" si="8"/>
        <v>14622</v>
      </c>
      <c r="AK35" s="50">
        <v>14622</v>
      </c>
      <c r="AL35" s="50"/>
      <c r="AM35" s="77"/>
      <c r="AN35" s="158">
        <f t="shared" si="9"/>
        <v>14622</v>
      </c>
      <c r="AO35" s="50">
        <v>14622</v>
      </c>
      <c r="AP35" s="50"/>
      <c r="AQ35" s="77"/>
    </row>
    <row r="36" spans="2:43" outlineLevel="1" x14ac:dyDescent="0.35">
      <c r="B36" s="294" t="s">
        <v>96</v>
      </c>
      <c r="C36" s="62" t="s">
        <v>141</v>
      </c>
      <c r="D36" s="158">
        <f t="shared" si="0"/>
        <v>12354.47264017674</v>
      </c>
      <c r="E36" s="50">
        <v>12354.47264017674</v>
      </c>
      <c r="F36" s="50"/>
      <c r="G36" s="77"/>
      <c r="H36" s="158">
        <f t="shared" si="1"/>
        <v>12354.47264017674</v>
      </c>
      <c r="I36" s="50">
        <v>12354.47264017674</v>
      </c>
      <c r="J36" s="50"/>
      <c r="K36" s="77"/>
      <c r="L36" s="158">
        <f t="shared" si="2"/>
        <v>12453.558961343466</v>
      </c>
      <c r="M36" s="50">
        <v>12453.558961343466</v>
      </c>
      <c r="N36" s="50"/>
      <c r="O36" s="77"/>
      <c r="P36" s="158">
        <f t="shared" si="3"/>
        <v>13192.411109733806</v>
      </c>
      <c r="Q36" s="50">
        <v>13192.411109733806</v>
      </c>
      <c r="R36" s="50"/>
      <c r="S36" s="77"/>
      <c r="T36" s="158">
        <f t="shared" si="4"/>
        <v>13444</v>
      </c>
      <c r="U36" s="50">
        <v>13444</v>
      </c>
      <c r="V36" s="50"/>
      <c r="W36" s="77"/>
      <c r="X36" s="158">
        <f t="shared" si="5"/>
        <v>13444</v>
      </c>
      <c r="Y36" s="50">
        <v>13444</v>
      </c>
      <c r="Z36" s="50"/>
      <c r="AA36" s="77"/>
      <c r="AB36" s="158">
        <f t="shared" si="6"/>
        <v>13844</v>
      </c>
      <c r="AC36" s="50">
        <v>13844</v>
      </c>
      <c r="AD36" s="50"/>
      <c r="AE36" s="77"/>
      <c r="AF36" s="158">
        <f t="shared" si="7"/>
        <v>14466</v>
      </c>
      <c r="AG36" s="50">
        <v>14466</v>
      </c>
      <c r="AH36" s="50"/>
      <c r="AI36" s="77"/>
      <c r="AJ36" s="158">
        <f t="shared" si="8"/>
        <v>14466</v>
      </c>
      <c r="AK36" s="50">
        <v>14466</v>
      </c>
      <c r="AL36" s="50"/>
      <c r="AM36" s="77"/>
      <c r="AN36" s="158">
        <f t="shared" si="9"/>
        <v>14829</v>
      </c>
      <c r="AO36" s="50">
        <v>14829</v>
      </c>
      <c r="AP36" s="50"/>
      <c r="AQ36" s="77"/>
    </row>
    <row r="37" spans="2:43" outlineLevel="1" x14ac:dyDescent="0.35">
      <c r="B37" s="294" t="s">
        <v>97</v>
      </c>
      <c r="C37" s="62" t="s">
        <v>141</v>
      </c>
      <c r="D37" s="158">
        <f t="shared" si="0"/>
        <v>39331.432223143711</v>
      </c>
      <c r="E37" s="50">
        <v>39331.432223143711</v>
      </c>
      <c r="F37" s="50"/>
      <c r="G37" s="77"/>
      <c r="H37" s="158">
        <f t="shared" si="1"/>
        <v>39618.119859333994</v>
      </c>
      <c r="I37" s="50">
        <v>39618.119859333994</v>
      </c>
      <c r="J37" s="50"/>
      <c r="K37" s="77"/>
      <c r="L37" s="158">
        <f t="shared" si="2"/>
        <v>44197.668920423355</v>
      </c>
      <c r="M37" s="50">
        <v>44197.668920423355</v>
      </c>
      <c r="N37" s="50"/>
      <c r="O37" s="77"/>
      <c r="P37" s="158">
        <f t="shared" si="3"/>
        <v>44351.211994715581</v>
      </c>
      <c r="Q37" s="50">
        <v>44351.211994715581</v>
      </c>
      <c r="R37" s="50"/>
      <c r="S37" s="77"/>
      <c r="T37" s="158">
        <f t="shared" si="4"/>
        <v>46289</v>
      </c>
      <c r="U37" s="50">
        <v>46289</v>
      </c>
      <c r="V37" s="50"/>
      <c r="W37" s="77"/>
      <c r="X37" s="158">
        <f t="shared" si="5"/>
        <v>46804</v>
      </c>
      <c r="Y37" s="50">
        <v>46804</v>
      </c>
      <c r="Z37" s="50"/>
      <c r="AA37" s="77"/>
      <c r="AB37" s="158">
        <f t="shared" si="6"/>
        <v>48851</v>
      </c>
      <c r="AC37" s="50">
        <v>48851</v>
      </c>
      <c r="AD37" s="50"/>
      <c r="AE37" s="77"/>
      <c r="AF37" s="158">
        <f t="shared" si="7"/>
        <v>49119</v>
      </c>
      <c r="AG37" s="50">
        <v>49119</v>
      </c>
      <c r="AH37" s="50"/>
      <c r="AI37" s="77"/>
      <c r="AJ37" s="158">
        <f t="shared" si="8"/>
        <v>49119</v>
      </c>
      <c r="AK37" s="50">
        <v>49119</v>
      </c>
      <c r="AL37" s="50"/>
      <c r="AM37" s="77"/>
      <c r="AN37" s="158">
        <f t="shared" si="9"/>
        <v>50925</v>
      </c>
      <c r="AO37" s="50">
        <v>50925</v>
      </c>
      <c r="AP37" s="50"/>
      <c r="AQ37" s="77"/>
    </row>
    <row r="38" spans="2:43" outlineLevel="1" x14ac:dyDescent="0.35">
      <c r="B38" s="294" t="s">
        <v>98</v>
      </c>
      <c r="C38" s="62" t="s">
        <v>141</v>
      </c>
      <c r="D38" s="158">
        <f t="shared" si="0"/>
        <v>11010.058006322528</v>
      </c>
      <c r="E38" s="50">
        <v>11010.058006322528</v>
      </c>
      <c r="F38" s="50"/>
      <c r="G38" s="77"/>
      <c r="H38" s="158">
        <f t="shared" si="1"/>
        <v>11010.058006322528</v>
      </c>
      <c r="I38" s="50">
        <v>11010.058006322528</v>
      </c>
      <c r="J38" s="50"/>
      <c r="K38" s="77"/>
      <c r="L38" s="158">
        <f t="shared" si="2"/>
        <v>11024.861028760997</v>
      </c>
      <c r="M38" s="50">
        <v>11024.861028760997</v>
      </c>
      <c r="N38" s="50"/>
      <c r="O38" s="77"/>
      <c r="P38" s="158">
        <f t="shared" si="3"/>
        <v>11084.982538436832</v>
      </c>
      <c r="Q38" s="50">
        <v>11084.982538436832</v>
      </c>
      <c r="R38" s="50"/>
      <c r="S38" s="77"/>
      <c r="T38" s="158">
        <f t="shared" si="4"/>
        <v>12368</v>
      </c>
      <c r="U38" s="50">
        <v>12368</v>
      </c>
      <c r="V38" s="50"/>
      <c r="W38" s="77"/>
      <c r="X38" s="158">
        <f t="shared" si="5"/>
        <v>12471</v>
      </c>
      <c r="Y38" s="50">
        <v>12471</v>
      </c>
      <c r="Z38" s="50"/>
      <c r="AA38" s="77"/>
      <c r="AB38" s="158">
        <f t="shared" si="6"/>
        <v>13602</v>
      </c>
      <c r="AC38" s="50">
        <v>13602</v>
      </c>
      <c r="AD38" s="50"/>
      <c r="AE38" s="77"/>
      <c r="AF38" s="158">
        <f t="shared" si="7"/>
        <v>14511</v>
      </c>
      <c r="AG38" s="50">
        <v>14511</v>
      </c>
      <c r="AH38" s="50"/>
      <c r="AI38" s="77"/>
      <c r="AJ38" s="158">
        <f t="shared" si="8"/>
        <v>15257</v>
      </c>
      <c r="AK38" s="50">
        <v>15257</v>
      </c>
      <c r="AL38" s="50"/>
      <c r="AM38" s="77"/>
      <c r="AN38" s="158">
        <f t="shared" si="9"/>
        <v>16221</v>
      </c>
      <c r="AO38" s="50">
        <v>16221</v>
      </c>
      <c r="AP38" s="50"/>
      <c r="AQ38" s="77"/>
    </row>
    <row r="39" spans="2:43" outlineLevel="1" x14ac:dyDescent="0.35">
      <c r="B39" s="294" t="s">
        <v>99</v>
      </c>
      <c r="C39" s="62" t="s">
        <v>141</v>
      </c>
      <c r="D39" s="158">
        <f t="shared" si="0"/>
        <v>18708.47621471417</v>
      </c>
      <c r="E39" s="50">
        <v>18708.47621471417</v>
      </c>
      <c r="F39" s="50"/>
      <c r="G39" s="77"/>
      <c r="H39" s="158">
        <f t="shared" si="1"/>
        <v>20958.988591274603</v>
      </c>
      <c r="I39" s="50">
        <v>20958.988591274603</v>
      </c>
      <c r="J39" s="50"/>
      <c r="K39" s="77"/>
      <c r="L39" s="158">
        <f t="shared" si="2"/>
        <v>23004.928644420383</v>
      </c>
      <c r="M39" s="50">
        <v>23004.928644420383</v>
      </c>
      <c r="N39" s="50"/>
      <c r="O39" s="77"/>
      <c r="P39" s="158">
        <f t="shared" si="3"/>
        <v>24057.706919476761</v>
      </c>
      <c r="Q39" s="50">
        <v>24057.706919476761</v>
      </c>
      <c r="R39" s="50"/>
      <c r="S39" s="77"/>
      <c r="T39" s="158">
        <f t="shared" si="4"/>
        <v>24420</v>
      </c>
      <c r="U39" s="50">
        <v>24420</v>
      </c>
      <c r="V39" s="50"/>
      <c r="W39" s="77"/>
      <c r="X39" s="158">
        <f t="shared" si="5"/>
        <v>24660</v>
      </c>
      <c r="Y39" s="50">
        <v>24660</v>
      </c>
      <c r="Z39" s="50"/>
      <c r="AA39" s="77"/>
      <c r="AB39" s="158">
        <f t="shared" si="6"/>
        <v>24982</v>
      </c>
      <c r="AC39" s="50">
        <v>24982</v>
      </c>
      <c r="AD39" s="50"/>
      <c r="AE39" s="77"/>
      <c r="AF39" s="158">
        <f t="shared" si="7"/>
        <v>25233</v>
      </c>
      <c r="AG39" s="50">
        <v>25233</v>
      </c>
      <c r="AH39" s="50"/>
      <c r="AI39" s="77"/>
      <c r="AJ39" s="158">
        <f t="shared" si="8"/>
        <v>25779</v>
      </c>
      <c r="AK39" s="50">
        <v>25779</v>
      </c>
      <c r="AL39" s="50"/>
      <c r="AM39" s="77"/>
      <c r="AN39" s="158">
        <f t="shared" si="9"/>
        <v>25863</v>
      </c>
      <c r="AO39" s="50">
        <v>25863</v>
      </c>
      <c r="AP39" s="50"/>
      <c r="AQ39" s="77"/>
    </row>
    <row r="40" spans="2:43" outlineLevel="1" x14ac:dyDescent="0.35">
      <c r="B40" s="294" t="s">
        <v>100</v>
      </c>
      <c r="C40" s="62" t="s">
        <v>141</v>
      </c>
      <c r="D40" s="158">
        <f t="shared" si="0"/>
        <v>11613.793993805501</v>
      </c>
      <c r="E40" s="50">
        <v>11613.793993805501</v>
      </c>
      <c r="F40" s="50"/>
      <c r="G40" s="77"/>
      <c r="H40" s="158">
        <f t="shared" si="1"/>
        <v>11644.809186664315</v>
      </c>
      <c r="I40" s="50">
        <v>11644.809186664315</v>
      </c>
      <c r="J40" s="50"/>
      <c r="K40" s="77"/>
      <c r="L40" s="158">
        <f t="shared" si="2"/>
        <v>11644.809186664315</v>
      </c>
      <c r="M40" s="50">
        <v>11644.809186664315</v>
      </c>
      <c r="N40" s="50"/>
      <c r="O40" s="77"/>
      <c r="P40" s="158">
        <f t="shared" si="3"/>
        <v>12123.924081822068</v>
      </c>
      <c r="Q40" s="50">
        <v>12123.924081822068</v>
      </c>
      <c r="R40" s="50"/>
      <c r="S40" s="77"/>
      <c r="T40" s="158">
        <f t="shared" si="4"/>
        <v>12854</v>
      </c>
      <c r="U40" s="50">
        <v>12854</v>
      </c>
      <c r="V40" s="50"/>
      <c r="W40" s="77"/>
      <c r="X40" s="158">
        <f t="shared" si="5"/>
        <v>12961</v>
      </c>
      <c r="Y40" s="50">
        <v>12961</v>
      </c>
      <c r="Z40" s="50"/>
      <c r="AA40" s="77"/>
      <c r="AB40" s="158">
        <f t="shared" si="6"/>
        <v>14061</v>
      </c>
      <c r="AC40" s="50">
        <v>14061</v>
      </c>
      <c r="AD40" s="50"/>
      <c r="AE40" s="77"/>
      <c r="AF40" s="158">
        <f t="shared" si="7"/>
        <v>14724</v>
      </c>
      <c r="AG40" s="50">
        <v>14724</v>
      </c>
      <c r="AH40" s="50"/>
      <c r="AI40" s="77"/>
      <c r="AJ40" s="158">
        <f t="shared" si="8"/>
        <v>15222</v>
      </c>
      <c r="AK40" s="50">
        <v>15222</v>
      </c>
      <c r="AL40" s="50"/>
      <c r="AM40" s="77"/>
      <c r="AN40" s="158">
        <f t="shared" si="9"/>
        <v>16989</v>
      </c>
      <c r="AO40" s="50">
        <v>16989</v>
      </c>
      <c r="AP40" s="50"/>
      <c r="AQ40" s="77"/>
    </row>
    <row r="41" spans="2:43" outlineLevel="1" x14ac:dyDescent="0.35">
      <c r="B41" s="294" t="s">
        <v>101</v>
      </c>
      <c r="C41" s="62" t="s">
        <v>141</v>
      </c>
      <c r="D41" s="158">
        <f t="shared" si="0"/>
        <v>488.716143344069</v>
      </c>
      <c r="E41" s="50">
        <v>488.716143344069</v>
      </c>
      <c r="F41" s="50"/>
      <c r="G41" s="77"/>
      <c r="H41" s="158">
        <f t="shared" si="1"/>
        <v>488.716143344069</v>
      </c>
      <c r="I41" s="50">
        <v>488.716143344069</v>
      </c>
      <c r="J41" s="50"/>
      <c r="K41" s="77"/>
      <c r="L41" s="158">
        <f t="shared" si="2"/>
        <v>488.716143344069</v>
      </c>
      <c r="M41" s="50">
        <v>488.716143344069</v>
      </c>
      <c r="N41" s="50"/>
      <c r="O41" s="77"/>
      <c r="P41" s="158">
        <f t="shared" si="3"/>
        <v>488.716143344069</v>
      </c>
      <c r="Q41" s="50">
        <v>488.716143344069</v>
      </c>
      <c r="R41" s="50"/>
      <c r="S41" s="77"/>
      <c r="T41" s="158">
        <f t="shared" si="4"/>
        <v>490</v>
      </c>
      <c r="U41" s="50">
        <v>490</v>
      </c>
      <c r="V41" s="50"/>
      <c r="W41" s="77"/>
      <c r="X41" s="158">
        <f t="shared" si="5"/>
        <v>490</v>
      </c>
      <c r="Y41" s="50">
        <v>490</v>
      </c>
      <c r="Z41" s="50"/>
      <c r="AA41" s="77"/>
      <c r="AB41" s="158">
        <f t="shared" si="6"/>
        <v>490</v>
      </c>
      <c r="AC41" s="50">
        <v>490</v>
      </c>
      <c r="AD41" s="50"/>
      <c r="AE41" s="77"/>
      <c r="AF41" s="158">
        <f t="shared" si="7"/>
        <v>490</v>
      </c>
      <c r="AG41" s="50">
        <v>490</v>
      </c>
      <c r="AH41" s="50"/>
      <c r="AI41" s="77"/>
      <c r="AJ41" s="158">
        <f t="shared" si="8"/>
        <v>490</v>
      </c>
      <c r="AK41" s="50">
        <v>490</v>
      </c>
      <c r="AL41" s="50"/>
      <c r="AM41" s="77"/>
      <c r="AN41" s="158">
        <f t="shared" si="9"/>
        <v>490</v>
      </c>
      <c r="AO41" s="50">
        <v>490</v>
      </c>
      <c r="AP41" s="50"/>
      <c r="AQ41" s="77"/>
    </row>
    <row r="42" spans="2:43" outlineLevel="1" x14ac:dyDescent="0.35">
      <c r="B42" s="294" t="s">
        <v>102</v>
      </c>
      <c r="C42" s="62" t="s">
        <v>141</v>
      </c>
      <c r="D42" s="158">
        <f t="shared" si="0"/>
        <v>11594.406841611975</v>
      </c>
      <c r="E42" s="50">
        <v>11594.406841611975</v>
      </c>
      <c r="F42" s="50"/>
      <c r="G42" s="77"/>
      <c r="H42" s="158">
        <f t="shared" si="1"/>
        <v>12072.589326712661</v>
      </c>
      <c r="I42" s="50">
        <v>12072.589326712661</v>
      </c>
      <c r="J42" s="50"/>
      <c r="K42" s="77"/>
      <c r="L42" s="158">
        <f t="shared" si="2"/>
        <v>12110.259390882064</v>
      </c>
      <c r="M42" s="50">
        <v>12110.259390882064</v>
      </c>
      <c r="N42" s="50"/>
      <c r="O42" s="77"/>
      <c r="P42" s="158">
        <f t="shared" si="3"/>
        <v>12220.010837823156</v>
      </c>
      <c r="Q42" s="50">
        <v>12220.010837823156</v>
      </c>
      <c r="R42" s="50"/>
      <c r="S42" s="77"/>
      <c r="T42" s="158">
        <f t="shared" si="4"/>
        <v>12371</v>
      </c>
      <c r="U42" s="50">
        <v>12371</v>
      </c>
      <c r="V42" s="50"/>
      <c r="W42" s="77"/>
      <c r="X42" s="158">
        <f t="shared" si="5"/>
        <v>12401</v>
      </c>
      <c r="Y42" s="50">
        <v>12401</v>
      </c>
      <c r="Z42" s="50"/>
      <c r="AA42" s="77"/>
      <c r="AB42" s="158">
        <f t="shared" si="6"/>
        <v>12401</v>
      </c>
      <c r="AC42" s="50">
        <v>12401</v>
      </c>
      <c r="AD42" s="50"/>
      <c r="AE42" s="77"/>
      <c r="AF42" s="158">
        <f t="shared" si="7"/>
        <v>12491</v>
      </c>
      <c r="AG42" s="50">
        <v>12491</v>
      </c>
      <c r="AH42" s="50"/>
      <c r="AI42" s="77"/>
      <c r="AJ42" s="158">
        <f t="shared" si="8"/>
        <v>12491</v>
      </c>
      <c r="AK42" s="50">
        <v>12491</v>
      </c>
      <c r="AL42" s="50"/>
      <c r="AM42" s="77"/>
      <c r="AN42" s="158">
        <f t="shared" si="9"/>
        <v>12491</v>
      </c>
      <c r="AO42" s="50">
        <v>12491</v>
      </c>
      <c r="AP42" s="50"/>
      <c r="AQ42" s="77"/>
    </row>
    <row r="43" spans="2:43" outlineLevel="1" x14ac:dyDescent="0.35">
      <c r="B43" s="294" t="s">
        <v>103</v>
      </c>
      <c r="C43" s="62" t="s">
        <v>141</v>
      </c>
      <c r="D43" s="158">
        <f t="shared" si="0"/>
        <v>53.392284098616209</v>
      </c>
      <c r="E43" s="50">
        <v>53.392284098616209</v>
      </c>
      <c r="F43" s="50"/>
      <c r="G43" s="77"/>
      <c r="H43" s="158">
        <f t="shared" si="1"/>
        <v>74.851672877207193</v>
      </c>
      <c r="I43" s="50">
        <v>74.851672877207193</v>
      </c>
      <c r="J43" s="50"/>
      <c r="K43" s="77"/>
      <c r="L43" s="158">
        <f t="shared" si="2"/>
        <v>74.851672877207193</v>
      </c>
      <c r="M43" s="50">
        <v>74.851672877207193</v>
      </c>
      <c r="N43" s="50"/>
      <c r="O43" s="77"/>
      <c r="P43" s="158">
        <f t="shared" si="3"/>
        <v>74.851672877207193</v>
      </c>
      <c r="Q43" s="50">
        <v>74.851672877207193</v>
      </c>
      <c r="R43" s="50"/>
      <c r="S43" s="77"/>
      <c r="T43" s="158">
        <f t="shared" si="4"/>
        <v>75</v>
      </c>
      <c r="U43" s="50">
        <v>75</v>
      </c>
      <c r="V43" s="50"/>
      <c r="W43" s="77"/>
      <c r="X43" s="158">
        <f t="shared" si="5"/>
        <v>75</v>
      </c>
      <c r="Y43" s="50">
        <v>75</v>
      </c>
      <c r="Z43" s="50"/>
      <c r="AA43" s="77"/>
      <c r="AB43" s="158">
        <f t="shared" si="6"/>
        <v>75</v>
      </c>
      <c r="AC43" s="50">
        <v>75</v>
      </c>
      <c r="AD43" s="50"/>
      <c r="AE43" s="77"/>
      <c r="AF43" s="158">
        <f t="shared" si="7"/>
        <v>75</v>
      </c>
      <c r="AG43" s="50">
        <v>75</v>
      </c>
      <c r="AH43" s="50"/>
      <c r="AI43" s="77"/>
      <c r="AJ43" s="158">
        <f t="shared" si="8"/>
        <v>75</v>
      </c>
      <c r="AK43" s="50">
        <v>75</v>
      </c>
      <c r="AL43" s="50"/>
      <c r="AM43" s="77"/>
      <c r="AN43" s="158">
        <f t="shared" si="9"/>
        <v>75</v>
      </c>
      <c r="AO43" s="50">
        <v>75</v>
      </c>
      <c r="AP43" s="50"/>
      <c r="AQ43" s="77"/>
    </row>
    <row r="44" spans="2:43" outlineLevel="1" x14ac:dyDescent="0.35">
      <c r="B44" s="294" t="s">
        <v>104</v>
      </c>
      <c r="C44" s="62" t="s">
        <v>141</v>
      </c>
      <c r="D44" s="158">
        <f t="shared" si="0"/>
        <v>0</v>
      </c>
      <c r="E44" s="50">
        <v>0</v>
      </c>
      <c r="F44" s="50"/>
      <c r="G44" s="77"/>
      <c r="H44" s="158">
        <f t="shared" si="1"/>
        <v>0</v>
      </c>
      <c r="I44" s="50">
        <v>0</v>
      </c>
      <c r="J44" s="50"/>
      <c r="K44" s="77"/>
      <c r="L44" s="158">
        <f t="shared" si="2"/>
        <v>0</v>
      </c>
      <c r="M44" s="50">
        <v>0</v>
      </c>
      <c r="N44" s="50"/>
      <c r="O44" s="77"/>
      <c r="P44" s="158">
        <f t="shared" si="3"/>
        <v>0</v>
      </c>
      <c r="Q44" s="50">
        <v>0</v>
      </c>
      <c r="R44" s="50"/>
      <c r="S44" s="77"/>
      <c r="T44" s="158">
        <f t="shared" si="4"/>
        <v>0</v>
      </c>
      <c r="U44" s="50">
        <v>0</v>
      </c>
      <c r="V44" s="50"/>
      <c r="W44" s="77"/>
      <c r="X44" s="158">
        <f t="shared" si="5"/>
        <v>0</v>
      </c>
      <c r="Y44" s="50"/>
      <c r="Z44" s="50"/>
      <c r="AA44" s="77"/>
      <c r="AB44" s="158">
        <f t="shared" si="6"/>
        <v>0</v>
      </c>
      <c r="AC44" s="50"/>
      <c r="AD44" s="50"/>
      <c r="AE44" s="77"/>
      <c r="AF44" s="158">
        <f t="shared" si="7"/>
        <v>0</v>
      </c>
      <c r="AG44" s="50"/>
      <c r="AH44" s="50"/>
      <c r="AI44" s="77"/>
      <c r="AJ44" s="158">
        <f t="shared" si="8"/>
        <v>0</v>
      </c>
      <c r="AK44" s="50"/>
      <c r="AL44" s="50"/>
      <c r="AM44" s="77"/>
      <c r="AN44" s="158">
        <f t="shared" si="9"/>
        <v>0</v>
      </c>
      <c r="AO44" s="50"/>
      <c r="AP44" s="50"/>
      <c r="AQ44" s="77"/>
    </row>
    <row r="45" spans="2:43" outlineLevel="1" x14ac:dyDescent="0.35">
      <c r="B45" s="294" t="s">
        <v>136</v>
      </c>
      <c r="C45" s="62" t="s">
        <v>141</v>
      </c>
      <c r="D45" s="158">
        <f t="shared" si="0"/>
        <v>0</v>
      </c>
      <c r="E45" s="50">
        <v>0</v>
      </c>
      <c r="F45" s="50"/>
      <c r="G45" s="77"/>
      <c r="H45" s="158">
        <f t="shared" si="1"/>
        <v>0</v>
      </c>
      <c r="I45" s="50">
        <v>0</v>
      </c>
      <c r="J45" s="50"/>
      <c r="K45" s="77"/>
      <c r="L45" s="158">
        <f t="shared" si="2"/>
        <v>0</v>
      </c>
      <c r="M45" s="50">
        <v>0</v>
      </c>
      <c r="N45" s="50"/>
      <c r="O45" s="77"/>
      <c r="P45" s="158">
        <f t="shared" si="3"/>
        <v>0</v>
      </c>
      <c r="Q45" s="50">
        <v>0</v>
      </c>
      <c r="R45" s="50"/>
      <c r="S45" s="77"/>
      <c r="T45" s="158">
        <f t="shared" si="4"/>
        <v>0</v>
      </c>
      <c r="U45" s="50">
        <v>0</v>
      </c>
      <c r="V45" s="50"/>
      <c r="W45" s="77"/>
      <c r="X45" s="158">
        <f t="shared" si="5"/>
        <v>0</v>
      </c>
      <c r="Y45" s="50"/>
      <c r="Z45" s="50"/>
      <c r="AA45" s="77"/>
      <c r="AB45" s="158">
        <f t="shared" si="6"/>
        <v>0</v>
      </c>
      <c r="AC45" s="50"/>
      <c r="AD45" s="50"/>
      <c r="AE45" s="77"/>
      <c r="AF45" s="158">
        <f t="shared" si="7"/>
        <v>0</v>
      </c>
      <c r="AG45" s="50"/>
      <c r="AH45" s="50"/>
      <c r="AI45" s="77"/>
      <c r="AJ45" s="158">
        <f t="shared" si="8"/>
        <v>0</v>
      </c>
      <c r="AK45" s="50"/>
      <c r="AL45" s="50"/>
      <c r="AM45" s="77"/>
      <c r="AN45" s="158">
        <f t="shared" si="9"/>
        <v>0</v>
      </c>
      <c r="AO45" s="50"/>
      <c r="AP45" s="50"/>
      <c r="AQ45" s="77"/>
    </row>
    <row r="46" spans="2:43" outlineLevel="1" x14ac:dyDescent="0.35">
      <c r="B46" s="294" t="s">
        <v>106</v>
      </c>
      <c r="C46" s="62" t="s">
        <v>141</v>
      </c>
      <c r="D46" s="158">
        <f t="shared" si="0"/>
        <v>4676.166630924291</v>
      </c>
      <c r="E46" s="50">
        <v>4676.166630924291</v>
      </c>
      <c r="F46" s="50"/>
      <c r="G46" s="77"/>
      <c r="H46" s="158">
        <f t="shared" si="1"/>
        <v>4742.5489547329917</v>
      </c>
      <c r="I46" s="50">
        <v>4742.5489547329917</v>
      </c>
      <c r="J46" s="50"/>
      <c r="K46" s="77"/>
      <c r="L46" s="158">
        <f t="shared" si="2"/>
        <v>5188.8138097626061</v>
      </c>
      <c r="M46" s="50">
        <v>5188.8138097626061</v>
      </c>
      <c r="N46" s="50"/>
      <c r="O46" s="77"/>
      <c r="P46" s="158">
        <f t="shared" si="3"/>
        <v>5255.294066657586</v>
      </c>
      <c r="Q46" s="50">
        <v>5255.294066657586</v>
      </c>
      <c r="R46" s="50"/>
      <c r="S46" s="77"/>
      <c r="T46" s="158">
        <f t="shared" si="4"/>
        <v>6096</v>
      </c>
      <c r="U46" s="50">
        <v>6096</v>
      </c>
      <c r="V46" s="50"/>
      <c r="W46" s="77"/>
      <c r="X46" s="158">
        <f t="shared" si="5"/>
        <v>6115</v>
      </c>
      <c r="Y46" s="50">
        <v>6115</v>
      </c>
      <c r="Z46" s="50"/>
      <c r="AA46" s="77"/>
      <c r="AB46" s="158">
        <f t="shared" si="6"/>
        <v>6266</v>
      </c>
      <c r="AC46" s="50">
        <v>6266</v>
      </c>
      <c r="AD46" s="50"/>
      <c r="AE46" s="77"/>
      <c r="AF46" s="158">
        <f t="shared" si="7"/>
        <v>6266</v>
      </c>
      <c r="AG46" s="50">
        <v>6266</v>
      </c>
      <c r="AH46" s="50"/>
      <c r="AI46" s="77"/>
      <c r="AJ46" s="158">
        <f t="shared" si="8"/>
        <v>6382</v>
      </c>
      <c r="AK46" s="50">
        <v>6382</v>
      </c>
      <c r="AL46" s="50"/>
      <c r="AM46" s="77"/>
      <c r="AN46" s="158">
        <f t="shared" si="9"/>
        <v>6868</v>
      </c>
      <c r="AO46" s="50">
        <v>6868</v>
      </c>
      <c r="AP46" s="50"/>
      <c r="AQ46" s="77"/>
    </row>
    <row r="47" spans="2:43" outlineLevel="1" x14ac:dyDescent="0.35">
      <c r="B47" s="294" t="s">
        <v>107</v>
      </c>
      <c r="C47" s="62" t="s">
        <v>141</v>
      </c>
      <c r="D47" s="158">
        <f t="shared" si="0"/>
        <v>10392.515878047301</v>
      </c>
      <c r="E47" s="50">
        <v>10392.515878047301</v>
      </c>
      <c r="F47" s="50"/>
      <c r="G47" s="77"/>
      <c r="H47" s="158">
        <f t="shared" si="1"/>
        <v>11383.878213583215</v>
      </c>
      <c r="I47" s="50">
        <v>11383.878213583215</v>
      </c>
      <c r="J47" s="50"/>
      <c r="K47" s="77"/>
      <c r="L47" s="158">
        <f t="shared" si="2"/>
        <v>14026.268134473503</v>
      </c>
      <c r="M47" s="50">
        <v>14026.268134473503</v>
      </c>
      <c r="N47" s="50"/>
      <c r="O47" s="77"/>
      <c r="P47" s="158">
        <f t="shared" si="3"/>
        <v>14026.268134473503</v>
      </c>
      <c r="Q47" s="50">
        <v>14026.268134473503</v>
      </c>
      <c r="R47" s="50"/>
      <c r="S47" s="77"/>
      <c r="T47" s="158">
        <f t="shared" si="4"/>
        <v>14193</v>
      </c>
      <c r="U47" s="50">
        <v>14193</v>
      </c>
      <c r="V47" s="50"/>
      <c r="W47" s="77"/>
      <c r="X47" s="158">
        <f t="shared" si="5"/>
        <v>14249</v>
      </c>
      <c r="Y47" s="50">
        <v>14249</v>
      </c>
      <c r="Z47" s="50"/>
      <c r="AA47" s="77"/>
      <c r="AB47" s="158">
        <f t="shared" si="6"/>
        <v>14629</v>
      </c>
      <c r="AC47" s="50">
        <v>14629</v>
      </c>
      <c r="AD47" s="50"/>
      <c r="AE47" s="77"/>
      <c r="AF47" s="158">
        <f t="shared" si="7"/>
        <v>14669</v>
      </c>
      <c r="AG47" s="50">
        <v>14669</v>
      </c>
      <c r="AH47" s="50"/>
      <c r="AI47" s="77"/>
      <c r="AJ47" s="158">
        <f t="shared" si="8"/>
        <v>14669</v>
      </c>
      <c r="AK47" s="50">
        <v>14669</v>
      </c>
      <c r="AL47" s="50"/>
      <c r="AM47" s="77"/>
      <c r="AN47" s="158">
        <f t="shared" si="9"/>
        <v>14739</v>
      </c>
      <c r="AO47" s="50">
        <v>14739</v>
      </c>
      <c r="AP47" s="50"/>
      <c r="AQ47" s="77"/>
    </row>
    <row r="48" spans="2:43" outlineLevel="1" x14ac:dyDescent="0.35">
      <c r="B48" s="294" t="s">
        <v>108</v>
      </c>
      <c r="C48" s="62" t="s">
        <v>141</v>
      </c>
      <c r="D48" s="158">
        <f t="shared" si="0"/>
        <v>13001.704216455662</v>
      </c>
      <c r="E48" s="50">
        <v>13001.704216455662</v>
      </c>
      <c r="F48" s="50"/>
      <c r="G48" s="77"/>
      <c r="H48" s="158">
        <f t="shared" si="1"/>
        <v>14653.203877512426</v>
      </c>
      <c r="I48" s="50">
        <v>14653.203877512426</v>
      </c>
      <c r="J48" s="50"/>
      <c r="K48" s="77"/>
      <c r="L48" s="158">
        <f t="shared" si="2"/>
        <v>14871.384105052175</v>
      </c>
      <c r="M48" s="50">
        <v>14871.384105052175</v>
      </c>
      <c r="N48" s="50"/>
      <c r="O48" s="77"/>
      <c r="P48" s="158">
        <f t="shared" si="3"/>
        <v>15187.741692852815</v>
      </c>
      <c r="Q48" s="50">
        <v>15187.741692852815</v>
      </c>
      <c r="R48" s="50"/>
      <c r="S48" s="77"/>
      <c r="T48" s="158">
        <f t="shared" si="4"/>
        <v>16232</v>
      </c>
      <c r="U48" s="50">
        <v>16232</v>
      </c>
      <c r="V48" s="50"/>
      <c r="W48" s="77"/>
      <c r="X48" s="158">
        <f t="shared" si="5"/>
        <v>16824</v>
      </c>
      <c r="Y48" s="50">
        <v>16824</v>
      </c>
      <c r="Z48" s="50"/>
      <c r="AA48" s="77"/>
      <c r="AB48" s="158">
        <f t="shared" si="6"/>
        <v>16824</v>
      </c>
      <c r="AC48" s="50">
        <v>16824</v>
      </c>
      <c r="AD48" s="50"/>
      <c r="AE48" s="77"/>
      <c r="AF48" s="158">
        <f t="shared" si="7"/>
        <v>19035</v>
      </c>
      <c r="AG48" s="50">
        <v>19035</v>
      </c>
      <c r="AH48" s="50"/>
      <c r="AI48" s="77"/>
      <c r="AJ48" s="158">
        <f t="shared" si="8"/>
        <v>21088</v>
      </c>
      <c r="AK48" s="50">
        <v>21088</v>
      </c>
      <c r="AL48" s="50"/>
      <c r="AM48" s="77"/>
      <c r="AN48" s="158">
        <f t="shared" si="9"/>
        <v>21560</v>
      </c>
      <c r="AO48" s="50">
        <v>21560</v>
      </c>
      <c r="AP48" s="50"/>
      <c r="AQ48" s="77"/>
    </row>
    <row r="49" spans="2:43" outlineLevel="1" x14ac:dyDescent="0.35">
      <c r="B49" s="294" t="s">
        <v>109</v>
      </c>
      <c r="C49" s="62" t="s">
        <v>141</v>
      </c>
      <c r="D49" s="158">
        <f t="shared" si="0"/>
        <v>39020.493403784792</v>
      </c>
      <c r="E49" s="50">
        <v>39020.493403784792</v>
      </c>
      <c r="F49" s="50"/>
      <c r="G49" s="77"/>
      <c r="H49" s="158">
        <f t="shared" si="1"/>
        <v>39020.493403784792</v>
      </c>
      <c r="I49" s="50">
        <v>39020.493403784792</v>
      </c>
      <c r="J49" s="50"/>
      <c r="K49" s="77"/>
      <c r="L49" s="158">
        <f t="shared" si="2"/>
        <v>39040.368546879079</v>
      </c>
      <c r="M49" s="50">
        <v>39040.368546879079</v>
      </c>
      <c r="N49" s="50"/>
      <c r="O49" s="77"/>
      <c r="P49" s="158">
        <f t="shared" si="3"/>
        <v>39040.368546879079</v>
      </c>
      <c r="Q49" s="50">
        <v>39040.368546879079</v>
      </c>
      <c r="R49" s="50"/>
      <c r="S49" s="77"/>
      <c r="T49" s="158">
        <f t="shared" si="4"/>
        <v>39381</v>
      </c>
      <c r="U49" s="50">
        <v>39381</v>
      </c>
      <c r="V49" s="50"/>
      <c r="W49" s="77"/>
      <c r="X49" s="158">
        <f t="shared" si="5"/>
        <v>39381</v>
      </c>
      <c r="Y49" s="50">
        <v>39381</v>
      </c>
      <c r="Z49" s="50"/>
      <c r="AA49" s="77"/>
      <c r="AB49" s="158">
        <f t="shared" si="6"/>
        <v>39381</v>
      </c>
      <c r="AC49" s="50">
        <v>39381</v>
      </c>
      <c r="AD49" s="50"/>
      <c r="AE49" s="77"/>
      <c r="AF49" s="158">
        <f t="shared" si="7"/>
        <v>39561</v>
      </c>
      <c r="AG49" s="50">
        <v>39561</v>
      </c>
      <c r="AH49" s="50"/>
      <c r="AI49" s="77"/>
      <c r="AJ49" s="158">
        <f t="shared" si="8"/>
        <v>39561</v>
      </c>
      <c r="AK49" s="50">
        <v>39561</v>
      </c>
      <c r="AL49" s="50"/>
      <c r="AM49" s="77"/>
      <c r="AN49" s="158">
        <f t="shared" si="9"/>
        <v>39561</v>
      </c>
      <c r="AO49" s="50">
        <v>39561</v>
      </c>
      <c r="AP49" s="50"/>
      <c r="AQ49" s="77"/>
    </row>
    <row r="50" spans="2:43" outlineLevel="1" x14ac:dyDescent="0.35">
      <c r="B50" s="294" t="s">
        <v>110</v>
      </c>
      <c r="C50" s="62" t="s">
        <v>141</v>
      </c>
      <c r="D50" s="158">
        <f t="shared" si="0"/>
        <v>6056.3613324305143</v>
      </c>
      <c r="E50" s="50">
        <v>6056.3613324305143</v>
      </c>
      <c r="F50" s="50"/>
      <c r="G50" s="77"/>
      <c r="H50" s="158">
        <f t="shared" si="1"/>
        <v>6178.5375100744259</v>
      </c>
      <c r="I50" s="50">
        <v>6178.5375100744259</v>
      </c>
      <c r="J50" s="50"/>
      <c r="K50" s="77"/>
      <c r="L50" s="158">
        <f t="shared" si="2"/>
        <v>6541.9311561190216</v>
      </c>
      <c r="M50" s="50">
        <v>6541.9311561190216</v>
      </c>
      <c r="N50" s="50"/>
      <c r="O50" s="77"/>
      <c r="P50" s="158">
        <f t="shared" si="3"/>
        <v>6598.464229196381</v>
      </c>
      <c r="Q50" s="50">
        <v>6598.464229196381</v>
      </c>
      <c r="R50" s="50"/>
      <c r="S50" s="77"/>
      <c r="T50" s="158">
        <f t="shared" si="4"/>
        <v>6983</v>
      </c>
      <c r="U50" s="50">
        <v>6983</v>
      </c>
      <c r="V50" s="50"/>
      <c r="W50" s="77"/>
      <c r="X50" s="158">
        <f t="shared" si="5"/>
        <v>7022</v>
      </c>
      <c r="Y50" s="50">
        <v>7022</v>
      </c>
      <c r="Z50" s="50"/>
      <c r="AA50" s="77"/>
      <c r="AB50" s="158">
        <f t="shared" si="6"/>
        <v>7022</v>
      </c>
      <c r="AC50" s="50">
        <v>7022</v>
      </c>
      <c r="AD50" s="50"/>
      <c r="AE50" s="77"/>
      <c r="AF50" s="158">
        <f t="shared" si="7"/>
        <v>7157</v>
      </c>
      <c r="AG50" s="50">
        <v>7157</v>
      </c>
      <c r="AH50" s="50"/>
      <c r="AI50" s="77"/>
      <c r="AJ50" s="158">
        <f t="shared" si="8"/>
        <v>7157</v>
      </c>
      <c r="AK50" s="50">
        <v>7157</v>
      </c>
      <c r="AL50" s="50"/>
      <c r="AM50" s="77"/>
      <c r="AN50" s="158">
        <f t="shared" si="9"/>
        <v>7437</v>
      </c>
      <c r="AO50" s="50">
        <v>7437</v>
      </c>
      <c r="AP50" s="50"/>
      <c r="AQ50" s="77"/>
    </row>
    <row r="51" spans="2:43" outlineLevel="1" x14ac:dyDescent="0.35">
      <c r="B51" s="294" t="s">
        <v>111</v>
      </c>
      <c r="C51" s="62" t="s">
        <v>141</v>
      </c>
      <c r="D51" s="158">
        <f t="shared" si="0"/>
        <v>8794.7070345846259</v>
      </c>
      <c r="E51" s="50">
        <v>8794.7070345846259</v>
      </c>
      <c r="F51" s="50"/>
      <c r="G51" s="77"/>
      <c r="H51" s="158">
        <f t="shared" si="1"/>
        <v>8957.1804827272354</v>
      </c>
      <c r="I51" s="50">
        <v>8957.1804827272354</v>
      </c>
      <c r="J51" s="50"/>
      <c r="K51" s="77"/>
      <c r="L51" s="158">
        <f t="shared" si="2"/>
        <v>9231.8484460089276</v>
      </c>
      <c r="M51" s="50">
        <v>9231.8484460089276</v>
      </c>
      <c r="N51" s="50"/>
      <c r="O51" s="77"/>
      <c r="P51" s="158">
        <f t="shared" si="3"/>
        <v>9231.8484460089276</v>
      </c>
      <c r="Q51" s="50">
        <v>9231.8484460089276</v>
      </c>
      <c r="R51" s="50"/>
      <c r="S51" s="77"/>
      <c r="T51" s="158">
        <f t="shared" si="4"/>
        <v>9608</v>
      </c>
      <c r="U51" s="50">
        <v>9608</v>
      </c>
      <c r="V51" s="50"/>
      <c r="W51" s="77"/>
      <c r="X51" s="158">
        <f t="shared" si="5"/>
        <v>9636</v>
      </c>
      <c r="Y51" s="50">
        <v>9636</v>
      </c>
      <c r="Z51" s="50"/>
      <c r="AA51" s="77"/>
      <c r="AB51" s="158">
        <f t="shared" si="6"/>
        <v>10166</v>
      </c>
      <c r="AC51" s="50">
        <v>10166</v>
      </c>
      <c r="AD51" s="50"/>
      <c r="AE51" s="77"/>
      <c r="AF51" s="158">
        <f t="shared" si="7"/>
        <v>11031</v>
      </c>
      <c r="AG51" s="50">
        <v>11031</v>
      </c>
      <c r="AH51" s="50"/>
      <c r="AI51" s="77"/>
      <c r="AJ51" s="158">
        <f t="shared" si="8"/>
        <v>11031</v>
      </c>
      <c r="AK51" s="50">
        <v>11031</v>
      </c>
      <c r="AL51" s="50"/>
      <c r="AM51" s="77"/>
      <c r="AN51" s="158">
        <f t="shared" si="9"/>
        <v>11228</v>
      </c>
      <c r="AO51" s="50">
        <v>11228</v>
      </c>
      <c r="AP51" s="50"/>
      <c r="AQ51" s="77"/>
    </row>
    <row r="52" spans="2:43" outlineLevel="1" x14ac:dyDescent="0.35">
      <c r="B52" s="294" t="s">
        <v>112</v>
      </c>
      <c r="C52" s="62" t="s">
        <v>141</v>
      </c>
      <c r="D52" s="158">
        <f t="shared" si="0"/>
        <v>21512.94786792605</v>
      </c>
      <c r="E52" s="50">
        <v>21512.94786792605</v>
      </c>
      <c r="F52" s="50"/>
      <c r="G52" s="77"/>
      <c r="H52" s="158">
        <f t="shared" si="1"/>
        <v>21722.516547963729</v>
      </c>
      <c r="I52" s="50">
        <v>21722.516547963729</v>
      </c>
      <c r="J52" s="50"/>
      <c r="K52" s="77"/>
      <c r="L52" s="158">
        <f t="shared" si="2"/>
        <v>21756.840006854643</v>
      </c>
      <c r="M52" s="50">
        <v>21756.840006854643</v>
      </c>
      <c r="N52" s="50"/>
      <c r="O52" s="77"/>
      <c r="P52" s="158">
        <f t="shared" si="3"/>
        <v>22949.714289681171</v>
      </c>
      <c r="Q52" s="50">
        <v>22949.714289681171</v>
      </c>
      <c r="R52" s="50"/>
      <c r="S52" s="77"/>
      <c r="T52" s="158">
        <f t="shared" si="4"/>
        <v>24086</v>
      </c>
      <c r="U52" s="50">
        <v>24086</v>
      </c>
      <c r="V52" s="50"/>
      <c r="W52" s="77"/>
      <c r="X52" s="158">
        <f t="shared" si="5"/>
        <v>24254</v>
      </c>
      <c r="Y52" s="50">
        <v>24254</v>
      </c>
      <c r="Z52" s="50"/>
      <c r="AA52" s="77"/>
      <c r="AB52" s="158">
        <f t="shared" si="6"/>
        <v>25073</v>
      </c>
      <c r="AC52" s="50">
        <v>25073</v>
      </c>
      <c r="AD52" s="50"/>
      <c r="AE52" s="77"/>
      <c r="AF52" s="158">
        <f t="shared" si="7"/>
        <v>25791</v>
      </c>
      <c r="AG52" s="50">
        <v>25791</v>
      </c>
      <c r="AH52" s="50"/>
      <c r="AI52" s="77"/>
      <c r="AJ52" s="158">
        <f t="shared" si="8"/>
        <v>26473</v>
      </c>
      <c r="AK52" s="50">
        <v>26473</v>
      </c>
      <c r="AL52" s="50"/>
      <c r="AM52" s="77"/>
      <c r="AN52" s="158">
        <f t="shared" si="9"/>
        <v>27374</v>
      </c>
      <c r="AO52" s="50">
        <v>27374</v>
      </c>
      <c r="AP52" s="50"/>
      <c r="AQ52" s="77"/>
    </row>
    <row r="53" spans="2:43" outlineLevel="1" x14ac:dyDescent="0.35">
      <c r="B53" s="294" t="s">
        <v>113</v>
      </c>
      <c r="C53" s="62" t="s">
        <v>141</v>
      </c>
      <c r="D53" s="158">
        <f t="shared" si="0"/>
        <v>83.681282283702657</v>
      </c>
      <c r="E53" s="50">
        <v>83.681282283702657</v>
      </c>
      <c r="F53" s="50"/>
      <c r="G53" s="77"/>
      <c r="H53" s="158">
        <f t="shared" si="1"/>
        <v>83.681282283702657</v>
      </c>
      <c r="I53" s="50">
        <v>83.681282283702657</v>
      </c>
      <c r="J53" s="50"/>
      <c r="K53" s="77"/>
      <c r="L53" s="158">
        <f t="shared" si="2"/>
        <v>83.681282283702657</v>
      </c>
      <c r="M53" s="50">
        <v>83.681282283702657</v>
      </c>
      <c r="N53" s="50"/>
      <c r="O53" s="77"/>
      <c r="P53" s="158">
        <f t="shared" si="3"/>
        <v>83.681282283702657</v>
      </c>
      <c r="Q53" s="50">
        <v>83.681282283702657</v>
      </c>
      <c r="R53" s="50"/>
      <c r="S53" s="77"/>
      <c r="T53" s="158">
        <f t="shared" si="4"/>
        <v>111</v>
      </c>
      <c r="U53" s="50">
        <v>111</v>
      </c>
      <c r="V53" s="50"/>
      <c r="W53" s="77"/>
      <c r="X53" s="158">
        <f t="shared" si="5"/>
        <v>111</v>
      </c>
      <c r="Y53" s="50">
        <v>111</v>
      </c>
      <c r="Z53" s="50"/>
      <c r="AA53" s="77"/>
      <c r="AB53" s="158">
        <f t="shared" si="6"/>
        <v>111</v>
      </c>
      <c r="AC53" s="50">
        <v>111</v>
      </c>
      <c r="AD53" s="50"/>
      <c r="AE53" s="77"/>
      <c r="AF53" s="158">
        <f t="shared" si="7"/>
        <v>111</v>
      </c>
      <c r="AG53" s="50">
        <v>111</v>
      </c>
      <c r="AH53" s="50"/>
      <c r="AI53" s="77"/>
      <c r="AJ53" s="158">
        <f t="shared" si="8"/>
        <v>111</v>
      </c>
      <c r="AK53" s="50">
        <v>111</v>
      </c>
      <c r="AL53" s="50"/>
      <c r="AM53" s="77"/>
      <c r="AN53" s="158">
        <f t="shared" si="9"/>
        <v>111</v>
      </c>
      <c r="AO53" s="50">
        <v>111</v>
      </c>
      <c r="AP53" s="50"/>
      <c r="AQ53" s="77"/>
    </row>
    <row r="54" spans="2:43" outlineLevel="1" x14ac:dyDescent="0.35">
      <c r="B54" s="294" t="s">
        <v>114</v>
      </c>
      <c r="C54" s="62" t="s">
        <v>141</v>
      </c>
      <c r="D54" s="158">
        <f t="shared" si="0"/>
        <v>32919.779599151654</v>
      </c>
      <c r="E54" s="50">
        <v>32919.779599151654</v>
      </c>
      <c r="F54" s="50"/>
      <c r="G54" s="77"/>
      <c r="H54" s="158">
        <f t="shared" si="1"/>
        <v>32994.793558121783</v>
      </c>
      <c r="I54" s="50">
        <v>32994.793558121783</v>
      </c>
      <c r="J54" s="50"/>
      <c r="K54" s="77"/>
      <c r="L54" s="158">
        <f t="shared" si="2"/>
        <v>33497.89735558915</v>
      </c>
      <c r="M54" s="50">
        <v>33497.89735558915</v>
      </c>
      <c r="N54" s="50"/>
      <c r="O54" s="77"/>
      <c r="P54" s="158">
        <f t="shared" si="3"/>
        <v>33544.813448805209</v>
      </c>
      <c r="Q54" s="50">
        <v>33544.813448805209</v>
      </c>
      <c r="R54" s="50"/>
      <c r="S54" s="77"/>
      <c r="T54" s="158">
        <f t="shared" si="4"/>
        <v>33992</v>
      </c>
      <c r="U54" s="50">
        <v>33992</v>
      </c>
      <c r="V54" s="50"/>
      <c r="W54" s="77"/>
      <c r="X54" s="158">
        <f t="shared" si="5"/>
        <v>33992</v>
      </c>
      <c r="Y54" s="50">
        <v>33992</v>
      </c>
      <c r="Z54" s="50"/>
      <c r="AA54" s="77"/>
      <c r="AB54" s="158">
        <f t="shared" si="6"/>
        <v>33992</v>
      </c>
      <c r="AC54" s="50">
        <v>33992</v>
      </c>
      <c r="AD54" s="50"/>
      <c r="AE54" s="77"/>
      <c r="AF54" s="158">
        <f t="shared" si="7"/>
        <v>33992</v>
      </c>
      <c r="AG54" s="50">
        <v>33992</v>
      </c>
      <c r="AH54" s="50"/>
      <c r="AI54" s="77"/>
      <c r="AJ54" s="158">
        <f t="shared" si="8"/>
        <v>33992</v>
      </c>
      <c r="AK54" s="50">
        <v>33992</v>
      </c>
      <c r="AL54" s="50"/>
      <c r="AM54" s="77"/>
      <c r="AN54" s="158">
        <f t="shared" si="9"/>
        <v>33992</v>
      </c>
      <c r="AO54" s="50">
        <v>33992</v>
      </c>
      <c r="AP54" s="50"/>
      <c r="AQ54" s="77"/>
    </row>
    <row r="55" spans="2:43" outlineLevel="1" x14ac:dyDescent="0.35">
      <c r="B55" s="294" t="s">
        <v>115</v>
      </c>
      <c r="C55" s="62" t="s">
        <v>141</v>
      </c>
      <c r="D55" s="158">
        <f t="shared" si="0"/>
        <v>5801.6502638527527</v>
      </c>
      <c r="E55" s="50">
        <v>5801.6502638527527</v>
      </c>
      <c r="F55" s="50"/>
      <c r="G55" s="77"/>
      <c r="H55" s="158">
        <f t="shared" si="1"/>
        <v>7326.2116574362653</v>
      </c>
      <c r="I55" s="50">
        <v>7326.2116574362653</v>
      </c>
      <c r="J55" s="50"/>
      <c r="K55" s="77"/>
      <c r="L55" s="158">
        <f t="shared" si="2"/>
        <v>8152.8243943567186</v>
      </c>
      <c r="M55" s="50">
        <v>8152.8243943567186</v>
      </c>
      <c r="N55" s="50"/>
      <c r="O55" s="77"/>
      <c r="P55" s="158">
        <f t="shared" si="3"/>
        <v>8980.3237629395662</v>
      </c>
      <c r="Q55" s="50">
        <v>8980.3237629395662</v>
      </c>
      <c r="R55" s="50"/>
      <c r="S55" s="77"/>
      <c r="T55" s="158">
        <f t="shared" si="4"/>
        <v>9186</v>
      </c>
      <c r="U55" s="50">
        <v>9186</v>
      </c>
      <c r="V55" s="50"/>
      <c r="W55" s="77"/>
      <c r="X55" s="158">
        <f t="shared" si="5"/>
        <v>9328</v>
      </c>
      <c r="Y55" s="50">
        <v>9328</v>
      </c>
      <c r="Z55" s="50"/>
      <c r="AA55" s="77"/>
      <c r="AB55" s="158">
        <f t="shared" si="6"/>
        <v>9644</v>
      </c>
      <c r="AC55" s="50">
        <v>9644</v>
      </c>
      <c r="AD55" s="50"/>
      <c r="AE55" s="77"/>
      <c r="AF55" s="158">
        <f t="shared" si="7"/>
        <v>9789</v>
      </c>
      <c r="AG55" s="50">
        <v>9789</v>
      </c>
      <c r="AH55" s="50"/>
      <c r="AI55" s="77"/>
      <c r="AJ55" s="158">
        <f t="shared" si="8"/>
        <v>10123</v>
      </c>
      <c r="AK55" s="50">
        <v>10123</v>
      </c>
      <c r="AL55" s="50"/>
      <c r="AM55" s="77"/>
      <c r="AN55" s="158">
        <f t="shared" si="9"/>
        <v>10340</v>
      </c>
      <c r="AO55" s="50">
        <v>10340</v>
      </c>
      <c r="AP55" s="50"/>
      <c r="AQ55" s="77"/>
    </row>
    <row r="56" spans="2:43" outlineLevel="1" x14ac:dyDescent="0.35">
      <c r="B56" s="294" t="s">
        <v>116</v>
      </c>
      <c r="C56" s="62" t="s">
        <v>141</v>
      </c>
      <c r="D56" s="158">
        <f t="shared" si="0"/>
        <v>22391.318367748165</v>
      </c>
      <c r="E56" s="50">
        <v>22391.318367748165</v>
      </c>
      <c r="F56" s="50"/>
      <c r="G56" s="77"/>
      <c r="H56" s="158">
        <f t="shared" si="1"/>
        <v>22643.686603464794</v>
      </c>
      <c r="I56" s="50">
        <v>22643.686603464794</v>
      </c>
      <c r="J56" s="50"/>
      <c r="K56" s="77"/>
      <c r="L56" s="158">
        <f t="shared" si="2"/>
        <v>22701.896965765252</v>
      </c>
      <c r="M56" s="50">
        <v>22701.896965765252</v>
      </c>
      <c r="N56" s="50"/>
      <c r="O56" s="77"/>
      <c r="P56" s="158">
        <f t="shared" si="3"/>
        <v>22701.896965765252</v>
      </c>
      <c r="Q56" s="50">
        <v>22701.896965765252</v>
      </c>
      <c r="R56" s="50"/>
      <c r="S56" s="77"/>
      <c r="T56" s="158">
        <f t="shared" si="4"/>
        <v>22710</v>
      </c>
      <c r="U56" s="50">
        <v>22710</v>
      </c>
      <c r="V56" s="50"/>
      <c r="W56" s="77"/>
      <c r="X56" s="158">
        <f t="shared" si="5"/>
        <v>22710</v>
      </c>
      <c r="Y56" s="50">
        <v>22710</v>
      </c>
      <c r="Z56" s="50"/>
      <c r="AA56" s="77"/>
      <c r="AB56" s="158">
        <f t="shared" si="6"/>
        <v>22710</v>
      </c>
      <c r="AC56" s="50">
        <v>22710</v>
      </c>
      <c r="AD56" s="50"/>
      <c r="AE56" s="77"/>
      <c r="AF56" s="158">
        <f t="shared" si="7"/>
        <v>22710</v>
      </c>
      <c r="AG56" s="50">
        <v>22710</v>
      </c>
      <c r="AH56" s="50"/>
      <c r="AI56" s="77"/>
      <c r="AJ56" s="158">
        <f t="shared" si="8"/>
        <v>22710</v>
      </c>
      <c r="AK56" s="50">
        <v>22710</v>
      </c>
      <c r="AL56" s="50"/>
      <c r="AM56" s="77"/>
      <c r="AN56" s="158">
        <f t="shared" si="9"/>
        <v>22710</v>
      </c>
      <c r="AO56" s="50">
        <v>22710</v>
      </c>
      <c r="AP56" s="50"/>
      <c r="AQ56" s="77"/>
    </row>
    <row r="57" spans="2:43" outlineLevel="1" x14ac:dyDescent="0.35">
      <c r="B57" s="294" t="s">
        <v>117</v>
      </c>
      <c r="C57" s="62" t="s">
        <v>141</v>
      </c>
      <c r="D57" s="158">
        <f t="shared" si="0"/>
        <v>43927.008368749375</v>
      </c>
      <c r="E57" s="50">
        <v>43927.008368749375</v>
      </c>
      <c r="F57" s="50"/>
      <c r="G57" s="77"/>
      <c r="H57" s="158">
        <f t="shared" si="1"/>
        <v>44053.138547491355</v>
      </c>
      <c r="I57" s="50">
        <v>44053.138547491355</v>
      </c>
      <c r="J57" s="50"/>
      <c r="K57" s="77"/>
      <c r="L57" s="158">
        <f t="shared" si="2"/>
        <v>45439.789851271009</v>
      </c>
      <c r="M57" s="50">
        <v>45439.789851271009</v>
      </c>
      <c r="N57" s="50"/>
      <c r="O57" s="77"/>
      <c r="P57" s="158">
        <f t="shared" si="3"/>
        <v>45439.789851271009</v>
      </c>
      <c r="Q57" s="50">
        <v>45439.789851271009</v>
      </c>
      <c r="R57" s="50"/>
      <c r="S57" s="77"/>
      <c r="T57" s="158">
        <f t="shared" si="4"/>
        <v>47578</v>
      </c>
      <c r="U57" s="50">
        <v>47578</v>
      </c>
      <c r="V57" s="50"/>
      <c r="W57" s="77"/>
      <c r="X57" s="158">
        <f t="shared" si="5"/>
        <v>48308</v>
      </c>
      <c r="Y57" s="50">
        <v>48308</v>
      </c>
      <c r="Z57" s="50"/>
      <c r="AA57" s="77"/>
      <c r="AB57" s="158">
        <f t="shared" si="6"/>
        <v>50868</v>
      </c>
      <c r="AC57" s="50">
        <v>50868</v>
      </c>
      <c r="AD57" s="50"/>
      <c r="AE57" s="77"/>
      <c r="AF57" s="158">
        <f t="shared" si="7"/>
        <v>52523</v>
      </c>
      <c r="AG57" s="50">
        <v>52523</v>
      </c>
      <c r="AH57" s="50"/>
      <c r="AI57" s="77"/>
      <c r="AJ57" s="158">
        <f t="shared" si="8"/>
        <v>56433</v>
      </c>
      <c r="AK57" s="50">
        <v>56433</v>
      </c>
      <c r="AL57" s="50"/>
      <c r="AM57" s="77"/>
      <c r="AN57" s="158">
        <f t="shared" si="9"/>
        <v>57509</v>
      </c>
      <c r="AO57" s="50">
        <v>57509</v>
      </c>
      <c r="AP57" s="50"/>
      <c r="AQ57" s="77"/>
    </row>
    <row r="58" spans="2:43" outlineLevel="1" x14ac:dyDescent="0.35">
      <c r="B58" s="294" t="s">
        <v>118</v>
      </c>
      <c r="C58" s="62" t="s">
        <v>141</v>
      </c>
      <c r="D58" s="158">
        <f t="shared" si="0"/>
        <v>7263.9527354609245</v>
      </c>
      <c r="E58" s="50">
        <v>7263.9527354609245</v>
      </c>
      <c r="F58" s="50"/>
      <c r="G58" s="77"/>
      <c r="H58" s="158">
        <f t="shared" si="1"/>
        <v>8383.8652057626659</v>
      </c>
      <c r="I58" s="50">
        <v>8383.8652057626659</v>
      </c>
      <c r="J58" s="50"/>
      <c r="K58" s="77"/>
      <c r="L58" s="158">
        <f t="shared" si="2"/>
        <v>9443.9173959094696</v>
      </c>
      <c r="M58" s="50">
        <v>9443.9173959094696</v>
      </c>
      <c r="N58" s="50"/>
      <c r="O58" s="77"/>
      <c r="P58" s="158">
        <f t="shared" si="3"/>
        <v>10046.791120892924</v>
      </c>
      <c r="Q58" s="50">
        <v>10046.791120892924</v>
      </c>
      <c r="R58" s="50"/>
      <c r="S58" s="77"/>
      <c r="T58" s="158">
        <f t="shared" si="4"/>
        <v>10269</v>
      </c>
      <c r="U58" s="50">
        <v>10269</v>
      </c>
      <c r="V58" s="50"/>
      <c r="W58" s="77"/>
      <c r="X58" s="158">
        <f t="shared" si="5"/>
        <v>10269</v>
      </c>
      <c r="Y58" s="50">
        <v>10269</v>
      </c>
      <c r="Z58" s="50"/>
      <c r="AA58" s="77"/>
      <c r="AB58" s="158">
        <f t="shared" si="6"/>
        <v>10269</v>
      </c>
      <c r="AC58" s="50">
        <v>10269</v>
      </c>
      <c r="AD58" s="50"/>
      <c r="AE58" s="77"/>
      <c r="AF58" s="158">
        <f t="shared" si="7"/>
        <v>10269</v>
      </c>
      <c r="AG58" s="50">
        <v>10269</v>
      </c>
      <c r="AH58" s="50"/>
      <c r="AI58" s="77"/>
      <c r="AJ58" s="158">
        <f t="shared" si="8"/>
        <v>10269</v>
      </c>
      <c r="AK58" s="50">
        <v>10269</v>
      </c>
      <c r="AL58" s="50"/>
      <c r="AM58" s="77"/>
      <c r="AN58" s="158">
        <f t="shared" si="9"/>
        <v>10347</v>
      </c>
      <c r="AO58" s="50">
        <v>10347</v>
      </c>
      <c r="AP58" s="50"/>
      <c r="AQ58" s="77"/>
    </row>
    <row r="59" spans="2:43" outlineLevel="1" x14ac:dyDescent="0.35">
      <c r="B59" s="294" t="s">
        <v>119</v>
      </c>
      <c r="C59" s="62" t="s">
        <v>141</v>
      </c>
      <c r="D59" s="158">
        <f t="shared" si="0"/>
        <v>0</v>
      </c>
      <c r="E59" s="50">
        <v>0</v>
      </c>
      <c r="F59" s="50"/>
      <c r="G59" s="77"/>
      <c r="H59" s="158">
        <f t="shared" si="1"/>
        <v>0</v>
      </c>
      <c r="I59" s="50">
        <v>0</v>
      </c>
      <c r="J59" s="50"/>
      <c r="K59" s="77"/>
      <c r="L59" s="158">
        <f t="shared" si="2"/>
        <v>0</v>
      </c>
      <c r="M59" s="50">
        <v>0</v>
      </c>
      <c r="N59" s="50"/>
      <c r="O59" s="77"/>
      <c r="P59" s="158">
        <f t="shared" si="3"/>
        <v>0</v>
      </c>
      <c r="Q59" s="50">
        <v>0</v>
      </c>
      <c r="R59" s="50"/>
      <c r="S59" s="77"/>
      <c r="T59" s="158">
        <f t="shared" si="4"/>
        <v>0</v>
      </c>
      <c r="U59" s="50">
        <v>0</v>
      </c>
      <c r="V59" s="50"/>
      <c r="W59" s="77"/>
      <c r="X59" s="158">
        <f t="shared" si="5"/>
        <v>0</v>
      </c>
      <c r="Y59" s="50"/>
      <c r="Z59" s="50"/>
      <c r="AA59" s="77"/>
      <c r="AB59" s="158">
        <f t="shared" si="6"/>
        <v>0</v>
      </c>
      <c r="AC59" s="50"/>
      <c r="AD59" s="50"/>
      <c r="AE59" s="77"/>
      <c r="AF59" s="158">
        <f t="shared" si="7"/>
        <v>0</v>
      </c>
      <c r="AG59" s="50"/>
      <c r="AH59" s="50"/>
      <c r="AI59" s="77"/>
      <c r="AJ59" s="158">
        <f t="shared" si="8"/>
        <v>0</v>
      </c>
      <c r="AK59" s="50"/>
      <c r="AL59" s="50"/>
      <c r="AM59" s="77"/>
      <c r="AN59" s="158">
        <f t="shared" si="9"/>
        <v>0</v>
      </c>
      <c r="AO59" s="50"/>
      <c r="AP59" s="50"/>
      <c r="AQ59" s="77"/>
    </row>
    <row r="60" spans="2:43" outlineLevel="1" x14ac:dyDescent="0.35">
      <c r="B60" s="294" t="s">
        <v>120</v>
      </c>
      <c r="C60" s="62" t="s">
        <v>141</v>
      </c>
      <c r="D60" s="158">
        <f t="shared" si="0"/>
        <v>32537.311840009534</v>
      </c>
      <c r="E60" s="50">
        <v>32537.311840009534</v>
      </c>
      <c r="F60" s="50"/>
      <c r="G60" s="77"/>
      <c r="H60" s="158">
        <f t="shared" si="1"/>
        <v>33255.136845346053</v>
      </c>
      <c r="I60" s="50">
        <v>33255.136845346053</v>
      </c>
      <c r="J60" s="50"/>
      <c r="K60" s="77"/>
      <c r="L60" s="158">
        <f t="shared" si="2"/>
        <v>33733.491651118486</v>
      </c>
      <c r="M60" s="50">
        <v>33733.491651118486</v>
      </c>
      <c r="N60" s="50"/>
      <c r="O60" s="77"/>
      <c r="P60" s="158">
        <f t="shared" si="3"/>
        <v>34204.483014762998</v>
      </c>
      <c r="Q60" s="50">
        <v>34204.483014762998</v>
      </c>
      <c r="R60" s="50"/>
      <c r="S60" s="77"/>
      <c r="T60" s="158">
        <f t="shared" si="4"/>
        <v>35909</v>
      </c>
      <c r="U60" s="50">
        <v>35909</v>
      </c>
      <c r="V60" s="50"/>
      <c r="W60" s="77"/>
      <c r="X60" s="158">
        <f t="shared" si="5"/>
        <v>36254</v>
      </c>
      <c r="Y60" s="50">
        <v>36254</v>
      </c>
      <c r="Z60" s="50"/>
      <c r="AA60" s="77"/>
      <c r="AB60" s="158">
        <f t="shared" si="6"/>
        <v>37070</v>
      </c>
      <c r="AC60" s="50">
        <v>37070</v>
      </c>
      <c r="AD60" s="50"/>
      <c r="AE60" s="77"/>
      <c r="AF60" s="158">
        <f t="shared" si="7"/>
        <v>37992</v>
      </c>
      <c r="AG60" s="50">
        <v>37992</v>
      </c>
      <c r="AH60" s="50"/>
      <c r="AI60" s="77"/>
      <c r="AJ60" s="158">
        <f t="shared" si="8"/>
        <v>38484</v>
      </c>
      <c r="AK60" s="50">
        <v>38484</v>
      </c>
      <c r="AL60" s="50"/>
      <c r="AM60" s="77"/>
      <c r="AN60" s="158">
        <f t="shared" si="9"/>
        <v>39470</v>
      </c>
      <c r="AO60" s="50">
        <v>39470</v>
      </c>
      <c r="AP60" s="50"/>
      <c r="AQ60" s="77"/>
    </row>
    <row r="61" spans="2:43" outlineLevel="1" x14ac:dyDescent="0.35">
      <c r="B61" s="294" t="s">
        <v>121</v>
      </c>
      <c r="C61" s="62" t="s">
        <v>141</v>
      </c>
      <c r="D61" s="158">
        <f t="shared" si="0"/>
        <v>3169.3912264428313</v>
      </c>
      <c r="E61" s="50">
        <v>3169.3912264428313</v>
      </c>
      <c r="F61" s="50"/>
      <c r="G61" s="77"/>
      <c r="H61" s="158">
        <f t="shared" si="1"/>
        <v>5351.456683811507</v>
      </c>
      <c r="I61" s="50">
        <v>5351.456683811507</v>
      </c>
      <c r="J61" s="50"/>
      <c r="K61" s="77"/>
      <c r="L61" s="158">
        <f t="shared" si="2"/>
        <v>7526.6515416650836</v>
      </c>
      <c r="M61" s="50">
        <v>7526.6515416650836</v>
      </c>
      <c r="N61" s="50"/>
      <c r="O61" s="77"/>
      <c r="P61" s="158">
        <f t="shared" si="3"/>
        <v>7586.5862431397018</v>
      </c>
      <c r="Q61" s="50">
        <v>7586.5862431397018</v>
      </c>
      <c r="R61" s="50"/>
      <c r="S61" s="77"/>
      <c r="T61" s="158">
        <f t="shared" si="4"/>
        <v>8154</v>
      </c>
      <c r="U61" s="50">
        <v>8154</v>
      </c>
      <c r="V61" s="50"/>
      <c r="W61" s="77"/>
      <c r="X61" s="158">
        <f t="shared" si="5"/>
        <v>8265</v>
      </c>
      <c r="Y61" s="50">
        <v>8265</v>
      </c>
      <c r="Z61" s="50"/>
      <c r="AA61" s="77"/>
      <c r="AB61" s="158">
        <f t="shared" si="6"/>
        <v>8821</v>
      </c>
      <c r="AC61" s="50">
        <v>8821</v>
      </c>
      <c r="AD61" s="50"/>
      <c r="AE61" s="77"/>
      <c r="AF61" s="158">
        <f t="shared" si="7"/>
        <v>9571</v>
      </c>
      <c r="AG61" s="50">
        <v>9571</v>
      </c>
      <c r="AH61" s="50"/>
      <c r="AI61" s="77"/>
      <c r="AJ61" s="158">
        <f t="shared" si="8"/>
        <v>10118</v>
      </c>
      <c r="AK61" s="50">
        <v>10118</v>
      </c>
      <c r="AL61" s="50"/>
      <c r="AM61" s="77"/>
      <c r="AN61" s="158">
        <f t="shared" si="9"/>
        <v>11308</v>
      </c>
      <c r="AO61" s="50">
        <v>11308</v>
      </c>
      <c r="AP61" s="50"/>
      <c r="AQ61" s="77"/>
    </row>
    <row r="62" spans="2:43" outlineLevel="1" x14ac:dyDescent="0.35">
      <c r="B62" s="294" t="s">
        <v>137</v>
      </c>
      <c r="C62" s="62" t="s">
        <v>141</v>
      </c>
      <c r="D62" s="158">
        <f t="shared" si="0"/>
        <v>0</v>
      </c>
      <c r="E62" s="50">
        <v>0</v>
      </c>
      <c r="F62" s="50"/>
      <c r="G62" s="77"/>
      <c r="H62" s="158">
        <f t="shared" si="1"/>
        <v>0</v>
      </c>
      <c r="I62" s="50">
        <v>0</v>
      </c>
      <c r="J62" s="50"/>
      <c r="K62" s="77"/>
      <c r="L62" s="158">
        <f t="shared" si="2"/>
        <v>0</v>
      </c>
      <c r="M62" s="50">
        <v>0</v>
      </c>
      <c r="N62" s="50"/>
      <c r="O62" s="77"/>
      <c r="P62" s="158">
        <f t="shared" si="3"/>
        <v>0</v>
      </c>
      <c r="Q62" s="50">
        <v>0</v>
      </c>
      <c r="R62" s="50"/>
      <c r="S62" s="77"/>
      <c r="T62" s="158">
        <f t="shared" si="4"/>
        <v>0</v>
      </c>
      <c r="U62" s="50">
        <v>0</v>
      </c>
      <c r="V62" s="50"/>
      <c r="W62" s="77"/>
      <c r="X62" s="158">
        <f t="shared" si="5"/>
        <v>0</v>
      </c>
      <c r="Y62" s="50"/>
      <c r="Z62" s="50"/>
      <c r="AA62" s="77"/>
      <c r="AB62" s="158">
        <f t="shared" si="6"/>
        <v>0</v>
      </c>
      <c r="AC62" s="50"/>
      <c r="AD62" s="50"/>
      <c r="AE62" s="77"/>
      <c r="AF62" s="158">
        <f t="shared" si="7"/>
        <v>0</v>
      </c>
      <c r="AG62" s="50"/>
      <c r="AH62" s="50"/>
      <c r="AI62" s="77"/>
      <c r="AJ62" s="158">
        <f t="shared" si="8"/>
        <v>0</v>
      </c>
      <c r="AK62" s="50"/>
      <c r="AL62" s="50"/>
      <c r="AM62" s="77"/>
      <c r="AN62" s="158">
        <f t="shared" si="9"/>
        <v>0</v>
      </c>
      <c r="AO62" s="50"/>
      <c r="AP62" s="50"/>
      <c r="AQ62" s="77"/>
    </row>
    <row r="63" spans="2:43" outlineLevel="1" x14ac:dyDescent="0.35">
      <c r="B63" s="294" t="s">
        <v>123</v>
      </c>
      <c r="C63" s="62" t="s">
        <v>141</v>
      </c>
      <c r="D63" s="158">
        <f t="shared" si="0"/>
        <v>9391.4881281880353</v>
      </c>
      <c r="E63" s="50">
        <v>9391.4881281880353</v>
      </c>
      <c r="F63" s="50"/>
      <c r="G63" s="77"/>
      <c r="H63" s="158">
        <f t="shared" si="1"/>
        <v>10138.334101537446</v>
      </c>
      <c r="I63" s="50">
        <v>10138.334101537446</v>
      </c>
      <c r="J63" s="50"/>
      <c r="K63" s="77"/>
      <c r="L63" s="158">
        <f t="shared" si="2"/>
        <v>10444.686301069023</v>
      </c>
      <c r="M63" s="50">
        <v>10444.686301069023</v>
      </c>
      <c r="N63" s="50"/>
      <c r="O63" s="77"/>
      <c r="P63" s="158">
        <f t="shared" si="3"/>
        <v>10942.540165687649</v>
      </c>
      <c r="Q63" s="50">
        <v>10942.540165687649</v>
      </c>
      <c r="R63" s="50"/>
      <c r="S63" s="77"/>
      <c r="T63" s="158">
        <f t="shared" si="4"/>
        <v>11632</v>
      </c>
      <c r="U63" s="50">
        <v>11632</v>
      </c>
      <c r="V63" s="50"/>
      <c r="W63" s="77"/>
      <c r="X63" s="158">
        <f t="shared" si="5"/>
        <v>11735</v>
      </c>
      <c r="Y63" s="50">
        <v>11735</v>
      </c>
      <c r="Z63" s="50"/>
      <c r="AA63" s="77"/>
      <c r="AB63" s="158">
        <f t="shared" si="6"/>
        <v>11923</v>
      </c>
      <c r="AC63" s="50">
        <v>11923</v>
      </c>
      <c r="AD63" s="50"/>
      <c r="AE63" s="77"/>
      <c r="AF63" s="158">
        <f t="shared" si="7"/>
        <v>12402</v>
      </c>
      <c r="AG63" s="50">
        <v>12402</v>
      </c>
      <c r="AH63" s="50"/>
      <c r="AI63" s="77"/>
      <c r="AJ63" s="158">
        <f t="shared" si="8"/>
        <v>12402</v>
      </c>
      <c r="AK63" s="50">
        <v>12402</v>
      </c>
      <c r="AL63" s="50"/>
      <c r="AM63" s="77"/>
      <c r="AN63" s="158">
        <f t="shared" si="9"/>
        <v>12790</v>
      </c>
      <c r="AO63" s="50">
        <v>12790</v>
      </c>
      <c r="AP63" s="50"/>
      <c r="AQ63" s="77"/>
    </row>
    <row r="64" spans="2:43" outlineLevel="1" x14ac:dyDescent="0.35">
      <c r="B64" s="294" t="s">
        <v>124</v>
      </c>
      <c r="C64" s="62" t="s">
        <v>141</v>
      </c>
      <c r="D64" s="158">
        <f t="shared" si="0"/>
        <v>488.65215637486142</v>
      </c>
      <c r="E64" s="50">
        <v>488.65215637486142</v>
      </c>
      <c r="F64" s="50"/>
      <c r="G64" s="77"/>
      <c r="H64" s="158">
        <f t="shared" si="1"/>
        <v>653.00640021881463</v>
      </c>
      <c r="I64" s="50">
        <v>653.00640021881463</v>
      </c>
      <c r="J64" s="50"/>
      <c r="K64" s="77"/>
      <c r="L64" s="158">
        <f t="shared" si="2"/>
        <v>666.49295608057594</v>
      </c>
      <c r="M64" s="50">
        <v>666.49295608057594</v>
      </c>
      <c r="N64" s="50"/>
      <c r="O64" s="77"/>
      <c r="P64" s="158">
        <f t="shared" si="3"/>
        <v>666.49295608057594</v>
      </c>
      <c r="Q64" s="50">
        <v>666.49295608057594</v>
      </c>
      <c r="R64" s="50"/>
      <c r="S64" s="77"/>
      <c r="T64" s="158">
        <f t="shared" si="4"/>
        <v>666</v>
      </c>
      <c r="U64" s="50">
        <v>666</v>
      </c>
      <c r="V64" s="50"/>
      <c r="W64" s="77"/>
      <c r="X64" s="158">
        <f t="shared" si="5"/>
        <v>666</v>
      </c>
      <c r="Y64" s="50">
        <v>666</v>
      </c>
      <c r="Z64" s="50"/>
      <c r="AA64" s="77"/>
      <c r="AB64" s="158">
        <f t="shared" si="6"/>
        <v>666</v>
      </c>
      <c r="AC64" s="50">
        <v>666</v>
      </c>
      <c r="AD64" s="50"/>
      <c r="AE64" s="77"/>
      <c r="AF64" s="158">
        <f t="shared" si="7"/>
        <v>666</v>
      </c>
      <c r="AG64" s="50">
        <v>666</v>
      </c>
      <c r="AH64" s="50"/>
      <c r="AI64" s="77"/>
      <c r="AJ64" s="158">
        <f t="shared" si="8"/>
        <v>666</v>
      </c>
      <c r="AK64" s="50">
        <v>666</v>
      </c>
      <c r="AL64" s="50"/>
      <c r="AM64" s="77"/>
      <c r="AN64" s="158">
        <f t="shared" si="9"/>
        <v>666</v>
      </c>
      <c r="AO64" s="50">
        <v>666</v>
      </c>
      <c r="AP64" s="50"/>
      <c r="AQ64" s="77"/>
    </row>
    <row r="65" spans="2:43" outlineLevel="1" x14ac:dyDescent="0.35">
      <c r="B65" s="294" t="s">
        <v>125</v>
      </c>
      <c r="C65" s="62" t="s">
        <v>141</v>
      </c>
      <c r="D65" s="158">
        <f t="shared" si="0"/>
        <v>5451.1825048389228</v>
      </c>
      <c r="E65" s="50">
        <v>5451.1825048389228</v>
      </c>
      <c r="F65" s="50"/>
      <c r="G65" s="77"/>
      <c r="H65" s="158">
        <f t="shared" si="1"/>
        <v>6310.1197583588309</v>
      </c>
      <c r="I65" s="50">
        <v>6310.1197583588309</v>
      </c>
      <c r="J65" s="50"/>
      <c r="K65" s="77"/>
      <c r="L65" s="158">
        <f t="shared" si="2"/>
        <v>6372.8813475745847</v>
      </c>
      <c r="M65" s="50">
        <v>6372.8813475745847</v>
      </c>
      <c r="N65" s="50"/>
      <c r="O65" s="77"/>
      <c r="P65" s="158">
        <f t="shared" si="3"/>
        <v>6869.979659273572</v>
      </c>
      <c r="Q65" s="50">
        <v>6869.979659273572</v>
      </c>
      <c r="R65" s="50"/>
      <c r="S65" s="77"/>
      <c r="T65" s="158">
        <f t="shared" si="4"/>
        <v>7237</v>
      </c>
      <c r="U65" s="50">
        <v>7237</v>
      </c>
      <c r="V65" s="50"/>
      <c r="W65" s="77"/>
      <c r="X65" s="158">
        <f t="shared" si="5"/>
        <v>7328</v>
      </c>
      <c r="Y65" s="50">
        <v>7328</v>
      </c>
      <c r="Z65" s="50"/>
      <c r="AA65" s="77"/>
      <c r="AB65" s="158">
        <f t="shared" si="6"/>
        <v>7603</v>
      </c>
      <c r="AC65" s="50">
        <v>7603</v>
      </c>
      <c r="AD65" s="50"/>
      <c r="AE65" s="77"/>
      <c r="AF65" s="158">
        <f t="shared" si="7"/>
        <v>7806</v>
      </c>
      <c r="AG65" s="50">
        <v>7806</v>
      </c>
      <c r="AH65" s="50"/>
      <c r="AI65" s="77"/>
      <c r="AJ65" s="158">
        <f t="shared" si="8"/>
        <v>8074</v>
      </c>
      <c r="AK65" s="50">
        <v>8074</v>
      </c>
      <c r="AL65" s="50"/>
      <c r="AM65" s="77"/>
      <c r="AN65" s="158">
        <f t="shared" si="9"/>
        <v>8074</v>
      </c>
      <c r="AO65" s="50">
        <v>8074</v>
      </c>
      <c r="AP65" s="50"/>
      <c r="AQ65" s="77"/>
    </row>
    <row r="66" spans="2:43" outlineLevel="1" x14ac:dyDescent="0.35">
      <c r="B66" s="294" t="s">
        <v>126</v>
      </c>
      <c r="C66" s="62" t="s">
        <v>141</v>
      </c>
      <c r="D66" s="158">
        <f t="shared" si="0"/>
        <v>15691.393430961038</v>
      </c>
      <c r="E66" s="50">
        <v>15691.393430961038</v>
      </c>
      <c r="F66" s="50"/>
      <c r="G66" s="77"/>
      <c r="H66" s="158">
        <f t="shared" si="1"/>
        <v>20091.12807960873</v>
      </c>
      <c r="I66" s="50">
        <v>20091.12807960873</v>
      </c>
      <c r="J66" s="50"/>
      <c r="K66" s="77"/>
      <c r="L66" s="158">
        <f t="shared" si="2"/>
        <v>21682.389230135715</v>
      </c>
      <c r="M66" s="50">
        <v>21682.389230135715</v>
      </c>
      <c r="N66" s="50"/>
      <c r="O66" s="77"/>
      <c r="P66" s="158">
        <f t="shared" si="3"/>
        <v>23027.470758252646</v>
      </c>
      <c r="Q66" s="50">
        <v>23027.470758252646</v>
      </c>
      <c r="R66" s="50"/>
      <c r="S66" s="77"/>
      <c r="T66" s="158">
        <f t="shared" si="4"/>
        <v>24311</v>
      </c>
      <c r="U66" s="50">
        <v>24311</v>
      </c>
      <c r="V66" s="50"/>
      <c r="W66" s="77"/>
      <c r="X66" s="158">
        <f t="shared" si="5"/>
        <v>24446</v>
      </c>
      <c r="Y66" s="50">
        <v>24446</v>
      </c>
      <c r="Z66" s="50"/>
      <c r="AA66" s="77"/>
      <c r="AB66" s="158">
        <f t="shared" si="6"/>
        <v>24994</v>
      </c>
      <c r="AC66" s="50">
        <v>24994</v>
      </c>
      <c r="AD66" s="50"/>
      <c r="AE66" s="77"/>
      <c r="AF66" s="158">
        <f t="shared" si="7"/>
        <v>25234</v>
      </c>
      <c r="AG66" s="50">
        <v>25234</v>
      </c>
      <c r="AH66" s="50"/>
      <c r="AI66" s="77"/>
      <c r="AJ66" s="158">
        <f t="shared" si="8"/>
        <v>25611</v>
      </c>
      <c r="AK66" s="50">
        <v>25611</v>
      </c>
      <c r="AL66" s="50"/>
      <c r="AM66" s="77"/>
      <c r="AN66" s="158">
        <f t="shared" si="9"/>
        <v>26156</v>
      </c>
      <c r="AO66" s="50">
        <v>26156</v>
      </c>
      <c r="AP66" s="50"/>
      <c r="AQ66" s="77"/>
    </row>
    <row r="67" spans="2:43" outlineLevel="1" x14ac:dyDescent="0.35">
      <c r="B67" s="294" t="s">
        <v>127</v>
      </c>
      <c r="C67" s="64" t="s">
        <v>141</v>
      </c>
      <c r="D67" s="158">
        <f t="shared" si="0"/>
        <v>0</v>
      </c>
      <c r="E67" s="50">
        <v>0</v>
      </c>
      <c r="F67" s="50"/>
      <c r="G67" s="77"/>
      <c r="H67" s="158">
        <f t="shared" si="1"/>
        <v>0</v>
      </c>
      <c r="I67" s="50">
        <v>0</v>
      </c>
      <c r="J67" s="50"/>
      <c r="K67" s="77"/>
      <c r="L67" s="158">
        <f t="shared" si="2"/>
        <v>0</v>
      </c>
      <c r="M67" s="50">
        <v>0</v>
      </c>
      <c r="N67" s="50"/>
      <c r="O67" s="77"/>
      <c r="P67" s="158">
        <f t="shared" si="3"/>
        <v>0</v>
      </c>
      <c r="Q67" s="50">
        <v>0</v>
      </c>
      <c r="R67" s="50"/>
      <c r="S67" s="77"/>
      <c r="T67" s="158">
        <f t="shared" si="4"/>
        <v>0</v>
      </c>
      <c r="U67" s="50">
        <v>0</v>
      </c>
      <c r="V67" s="50"/>
      <c r="W67" s="77"/>
      <c r="X67" s="158">
        <f t="shared" si="5"/>
        <v>0</v>
      </c>
      <c r="Y67" s="50"/>
      <c r="Z67" s="50"/>
      <c r="AA67" s="77"/>
      <c r="AB67" s="158">
        <f t="shared" si="6"/>
        <v>0</v>
      </c>
      <c r="AC67" s="50"/>
      <c r="AD67" s="50"/>
      <c r="AE67" s="77"/>
      <c r="AF67" s="158">
        <f t="shared" si="7"/>
        <v>0</v>
      </c>
      <c r="AG67" s="50"/>
      <c r="AH67" s="50"/>
      <c r="AI67" s="77"/>
      <c r="AJ67" s="158">
        <f t="shared" si="8"/>
        <v>0</v>
      </c>
      <c r="AK67" s="50"/>
      <c r="AL67" s="50"/>
      <c r="AM67" s="77"/>
      <c r="AN67" s="158">
        <f t="shared" si="9"/>
        <v>0</v>
      </c>
      <c r="AO67" s="50"/>
      <c r="AP67" s="50"/>
      <c r="AQ67" s="77"/>
    </row>
    <row r="68" spans="2:43" outlineLevel="1" x14ac:dyDescent="0.35">
      <c r="B68" s="48" t="s">
        <v>140</v>
      </c>
      <c r="C68" s="59" t="s">
        <v>141</v>
      </c>
      <c r="D68" s="158">
        <f t="shared" ref="D68:AQ68" si="10">SUM(D14:D67)</f>
        <v>931112.20042936597</v>
      </c>
      <c r="E68" s="157">
        <f t="shared" si="10"/>
        <v>931112.20042936597</v>
      </c>
      <c r="F68" s="157">
        <f t="shared" si="10"/>
        <v>0</v>
      </c>
      <c r="G68" s="159">
        <f t="shared" si="10"/>
        <v>0</v>
      </c>
      <c r="H68" s="158">
        <f t="shared" si="10"/>
        <v>972065.94756975037</v>
      </c>
      <c r="I68" s="157">
        <f t="shared" si="10"/>
        <v>972065.94756975037</v>
      </c>
      <c r="J68" s="157">
        <f t="shared" si="10"/>
        <v>0</v>
      </c>
      <c r="K68" s="159">
        <f t="shared" si="10"/>
        <v>0</v>
      </c>
      <c r="L68" s="158">
        <f t="shared" si="10"/>
        <v>1024812.8662296577</v>
      </c>
      <c r="M68" s="157">
        <f t="shared" si="10"/>
        <v>1024812.8662296577</v>
      </c>
      <c r="N68" s="157">
        <f t="shared" si="10"/>
        <v>0</v>
      </c>
      <c r="O68" s="159">
        <f t="shared" si="10"/>
        <v>0</v>
      </c>
      <c r="P68" s="158">
        <f t="shared" si="10"/>
        <v>1047951.8555420121</v>
      </c>
      <c r="Q68" s="157">
        <f t="shared" si="10"/>
        <v>1047951.8555420121</v>
      </c>
      <c r="R68" s="157">
        <f t="shared" si="10"/>
        <v>0</v>
      </c>
      <c r="S68" s="159">
        <f t="shared" si="10"/>
        <v>0</v>
      </c>
      <c r="T68" s="158">
        <f t="shared" si="10"/>
        <v>1079544</v>
      </c>
      <c r="U68" s="157">
        <f t="shared" si="10"/>
        <v>1079544</v>
      </c>
      <c r="V68" s="157">
        <f t="shared" si="10"/>
        <v>0</v>
      </c>
      <c r="W68" s="159">
        <f t="shared" si="10"/>
        <v>0</v>
      </c>
      <c r="X68" s="158">
        <f t="shared" si="10"/>
        <v>1087630</v>
      </c>
      <c r="Y68" s="157">
        <f t="shared" si="10"/>
        <v>1087630</v>
      </c>
      <c r="Z68" s="157">
        <f t="shared" si="10"/>
        <v>0</v>
      </c>
      <c r="AA68" s="159">
        <f t="shared" si="10"/>
        <v>0</v>
      </c>
      <c r="AB68" s="158">
        <f t="shared" si="10"/>
        <v>1115032</v>
      </c>
      <c r="AC68" s="157">
        <f t="shared" si="10"/>
        <v>1115032</v>
      </c>
      <c r="AD68" s="157">
        <f t="shared" si="10"/>
        <v>0</v>
      </c>
      <c r="AE68" s="159">
        <f t="shared" si="10"/>
        <v>0</v>
      </c>
      <c r="AF68" s="158">
        <f t="shared" si="10"/>
        <v>1143433</v>
      </c>
      <c r="AG68" s="157">
        <f t="shared" si="10"/>
        <v>1143433</v>
      </c>
      <c r="AH68" s="157">
        <f t="shared" si="10"/>
        <v>0</v>
      </c>
      <c r="AI68" s="159">
        <f t="shared" si="10"/>
        <v>0</v>
      </c>
      <c r="AJ68" s="158">
        <f t="shared" si="10"/>
        <v>1167341</v>
      </c>
      <c r="AK68" s="157">
        <f t="shared" si="10"/>
        <v>1167341</v>
      </c>
      <c r="AL68" s="157">
        <f t="shared" si="10"/>
        <v>0</v>
      </c>
      <c r="AM68" s="159">
        <f t="shared" si="10"/>
        <v>0</v>
      </c>
      <c r="AN68" s="158">
        <f t="shared" si="10"/>
        <v>1190455</v>
      </c>
      <c r="AO68" s="157">
        <f t="shared" si="10"/>
        <v>1190455</v>
      </c>
      <c r="AP68" s="157">
        <f t="shared" si="10"/>
        <v>0</v>
      </c>
      <c r="AQ68" s="159">
        <f t="shared" si="10"/>
        <v>0</v>
      </c>
    </row>
    <row r="69" spans="2:43" outlineLevel="1" x14ac:dyDescent="0.35">
      <c r="B69" s="17" t="s">
        <v>213</v>
      </c>
      <c r="T69" s="52" t="s">
        <v>241</v>
      </c>
    </row>
    <row r="70" spans="2:43" outlineLevel="1" x14ac:dyDescent="0.35">
      <c r="B70" s="17" t="s">
        <v>242</v>
      </c>
    </row>
    <row r="72" spans="2:43" ht="15.5" x14ac:dyDescent="0.35">
      <c r="B72" s="419" t="s">
        <v>243</v>
      </c>
      <c r="C72" s="419"/>
      <c r="D72" s="419"/>
      <c r="E72" s="419"/>
      <c r="F72" s="419"/>
      <c r="G72" s="419"/>
      <c r="H72" s="419"/>
      <c r="I72" s="419"/>
      <c r="J72" s="419"/>
      <c r="K72" s="419"/>
      <c r="L72" s="419"/>
      <c r="M72" s="419"/>
      <c r="N72" s="419"/>
      <c r="O72" s="54"/>
      <c r="P72" s="54"/>
      <c r="Q72" s="54"/>
      <c r="R72" s="54"/>
      <c r="S72" s="54"/>
      <c r="T72" s="54"/>
      <c r="AD72" s="54"/>
      <c r="AE72" s="54"/>
      <c r="AF72" s="54"/>
      <c r="AG72" s="54"/>
      <c r="AH72" s="54"/>
      <c r="AI72" s="54"/>
      <c r="AJ72" s="54"/>
      <c r="AK72" s="54"/>
      <c r="AL72" s="54"/>
      <c r="AM72" s="54"/>
      <c r="AN72" s="54"/>
    </row>
    <row r="73" spans="2:43" ht="5.9" customHeight="1" outlineLevel="1" x14ac:dyDescent="0.35">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row>
    <row r="74" spans="2:43" outlineLevel="1" x14ac:dyDescent="0.35">
      <c r="B74" s="459"/>
      <c r="C74" s="450" t="s">
        <v>134</v>
      </c>
      <c r="D74" s="435" t="s">
        <v>169</v>
      </c>
      <c r="E74" s="436"/>
      <c r="F74" s="436"/>
      <c r="G74" s="436"/>
      <c r="H74" s="437"/>
      <c r="I74" s="435" t="s">
        <v>170</v>
      </c>
      <c r="J74" s="436"/>
      <c r="K74" s="436"/>
      <c r="L74" s="436"/>
      <c r="M74" s="437"/>
    </row>
    <row r="75" spans="2:43" outlineLevel="1" x14ac:dyDescent="0.35">
      <c r="B75" s="460"/>
      <c r="C75" s="451"/>
      <c r="D75" s="79">
        <f>$C$3-5</f>
        <v>2019</v>
      </c>
      <c r="E75" s="79">
        <f>$C$3-4</f>
        <v>2020</v>
      </c>
      <c r="F75" s="79">
        <f>$C$3-3</f>
        <v>2021</v>
      </c>
      <c r="G75" s="79">
        <f>$C$3-2</f>
        <v>2022</v>
      </c>
      <c r="H75" s="79">
        <f>$C$3-1</f>
        <v>2023</v>
      </c>
      <c r="I75" s="79">
        <f>$C$3</f>
        <v>2024</v>
      </c>
      <c r="J75" s="79">
        <f>$C$3+1</f>
        <v>2025</v>
      </c>
      <c r="K75" s="79">
        <f>$C$3+2</f>
        <v>2026</v>
      </c>
      <c r="L75" s="79">
        <f>$C$3+3</f>
        <v>2027</v>
      </c>
      <c r="M75" s="79">
        <f>$C$3+4</f>
        <v>2028</v>
      </c>
    </row>
    <row r="76" spans="2:43" outlineLevel="1" x14ac:dyDescent="0.35">
      <c r="B76" s="48" t="s">
        <v>74</v>
      </c>
      <c r="C76" s="62" t="s">
        <v>141</v>
      </c>
      <c r="D76" s="80">
        <v>2019.1158535025056</v>
      </c>
      <c r="E76" s="80">
        <v>2026.9916652114237</v>
      </c>
      <c r="F76" s="80">
        <v>2026.9916652114237</v>
      </c>
      <c r="G76" s="80">
        <v>2191.9339296618973</v>
      </c>
      <c r="H76" s="80">
        <v>2332</v>
      </c>
      <c r="I76" s="80">
        <v>2332</v>
      </c>
      <c r="J76" s="80">
        <v>2619</v>
      </c>
      <c r="K76" s="80">
        <v>2964</v>
      </c>
      <c r="L76" s="80">
        <v>2964</v>
      </c>
      <c r="M76" s="80">
        <v>3067</v>
      </c>
    </row>
    <row r="77" spans="2:43" s="52" customFormat="1" outlineLevel="1" x14ac:dyDescent="0.35">
      <c r="B77" s="48" t="s">
        <v>75</v>
      </c>
      <c r="C77" s="63" t="s">
        <v>141</v>
      </c>
      <c r="D77" s="80">
        <v>4271.7116044340555</v>
      </c>
      <c r="E77" s="80">
        <v>4823.5763448654752</v>
      </c>
      <c r="F77" s="80">
        <v>5445.8330565631704</v>
      </c>
      <c r="G77" s="80">
        <v>5615.1126162370683</v>
      </c>
      <c r="H77" s="80">
        <v>5693</v>
      </c>
      <c r="I77" s="80">
        <v>5696</v>
      </c>
      <c r="J77" s="80">
        <v>5846</v>
      </c>
      <c r="K77" s="80">
        <v>5886</v>
      </c>
      <c r="L77" s="80">
        <v>5955</v>
      </c>
      <c r="M77" s="80">
        <v>5975</v>
      </c>
      <c r="P77"/>
      <c r="Q77"/>
      <c r="R77"/>
      <c r="S77"/>
    </row>
    <row r="78" spans="2:43" s="52" customFormat="1" outlineLevel="1" x14ac:dyDescent="0.35">
      <c r="B78" s="48" t="s">
        <v>76</v>
      </c>
      <c r="C78" s="63" t="s">
        <v>141</v>
      </c>
      <c r="D78" s="80">
        <v>3819.1733148301732</v>
      </c>
      <c r="E78" s="80">
        <v>4183.797391187697</v>
      </c>
      <c r="F78" s="80">
        <v>4597.719453421184</v>
      </c>
      <c r="G78" s="80">
        <v>4640.3970466017226</v>
      </c>
      <c r="H78" s="80">
        <v>4920</v>
      </c>
      <c r="I78" s="80">
        <v>4958</v>
      </c>
      <c r="J78" s="80">
        <v>5249</v>
      </c>
      <c r="K78" s="80">
        <v>5870</v>
      </c>
      <c r="L78" s="80">
        <v>6093</v>
      </c>
      <c r="M78" s="80">
        <v>6423</v>
      </c>
      <c r="P78"/>
      <c r="Q78"/>
      <c r="R78"/>
      <c r="S78"/>
    </row>
    <row r="79" spans="2:43" outlineLevel="1" x14ac:dyDescent="0.35">
      <c r="B79" s="48" t="s">
        <v>77</v>
      </c>
      <c r="C79" s="62" t="s">
        <v>141</v>
      </c>
      <c r="D79" s="80">
        <v>1223.717672529534</v>
      </c>
      <c r="E79" s="80">
        <v>1312.7998362096498</v>
      </c>
      <c r="F79" s="80">
        <v>1518.5407105427655</v>
      </c>
      <c r="G79" s="80">
        <v>1610.3900337800965</v>
      </c>
      <c r="H79" s="80">
        <v>1609</v>
      </c>
      <c r="I79" s="80">
        <v>1609</v>
      </c>
      <c r="J79" s="80">
        <v>1609</v>
      </c>
      <c r="K79" s="80">
        <v>1737</v>
      </c>
      <c r="L79" s="80">
        <v>1794</v>
      </c>
      <c r="M79" s="80">
        <v>1794</v>
      </c>
    </row>
    <row r="80" spans="2:43" s="52" customFormat="1" outlineLevel="1" x14ac:dyDescent="0.35">
      <c r="B80" s="48" t="s">
        <v>78</v>
      </c>
      <c r="C80" s="63" t="s">
        <v>141</v>
      </c>
      <c r="D80" s="80">
        <v>42237.541824308209</v>
      </c>
      <c r="E80" s="80">
        <v>42522.466518121735</v>
      </c>
      <c r="F80" s="80">
        <v>43431.943255087768</v>
      </c>
      <c r="G80" s="80">
        <v>43960.340769866933</v>
      </c>
      <c r="H80" s="80">
        <v>44372</v>
      </c>
      <c r="I80" s="80">
        <v>44709</v>
      </c>
      <c r="J80" s="80">
        <v>45396</v>
      </c>
      <c r="K80" s="80">
        <v>46085</v>
      </c>
      <c r="L80" s="80">
        <v>47158</v>
      </c>
      <c r="M80" s="80">
        <v>47734</v>
      </c>
      <c r="P80"/>
      <c r="Q80"/>
      <c r="R80"/>
      <c r="S80"/>
    </row>
    <row r="81" spans="2:13" outlineLevel="1" x14ac:dyDescent="0.35">
      <c r="B81" s="48" t="s">
        <v>79</v>
      </c>
      <c r="C81" s="62" t="s">
        <v>141</v>
      </c>
      <c r="D81" s="80">
        <v>10486.750471569443</v>
      </c>
      <c r="E81" s="80">
        <v>10771.707443439638</v>
      </c>
      <c r="F81" s="80">
        <v>11037.737140710324</v>
      </c>
      <c r="G81" s="80">
        <v>11296.51327943584</v>
      </c>
      <c r="H81" s="80">
        <v>11514</v>
      </c>
      <c r="I81" s="80">
        <v>11525</v>
      </c>
      <c r="J81" s="80">
        <v>11525</v>
      </c>
      <c r="K81" s="80">
        <v>11525</v>
      </c>
      <c r="L81" s="80">
        <v>11525</v>
      </c>
      <c r="M81" s="80">
        <v>11719</v>
      </c>
    </row>
    <row r="82" spans="2:13" outlineLevel="1" x14ac:dyDescent="0.35">
      <c r="B82" s="48" t="s">
        <v>80</v>
      </c>
      <c r="C82" s="62" t="s">
        <v>141</v>
      </c>
      <c r="D82" s="80">
        <v>2378.3206285787778</v>
      </c>
      <c r="E82" s="80">
        <v>2739.5596769012009</v>
      </c>
      <c r="F82" s="80">
        <v>3266.2612866783006</v>
      </c>
      <c r="G82" s="80">
        <v>3266.2612866783006</v>
      </c>
      <c r="H82" s="80">
        <v>3966</v>
      </c>
      <c r="I82" s="80">
        <v>4004</v>
      </c>
      <c r="J82" s="80">
        <v>4077</v>
      </c>
      <c r="K82" s="80">
        <v>4096</v>
      </c>
      <c r="L82" s="80">
        <v>4096</v>
      </c>
      <c r="M82" s="80">
        <v>4182</v>
      </c>
    </row>
    <row r="83" spans="2:13" outlineLevel="1" x14ac:dyDescent="0.35">
      <c r="B83" s="48" t="s">
        <v>81</v>
      </c>
      <c r="C83" s="62" t="s">
        <v>141</v>
      </c>
      <c r="D83" s="80">
        <v>6878.1452104233213</v>
      </c>
      <c r="E83" s="80">
        <v>7003.479432531135</v>
      </c>
      <c r="F83" s="80">
        <v>7173.3655219395732</v>
      </c>
      <c r="G83" s="80">
        <v>7296.7778790688471</v>
      </c>
      <c r="H83" s="80">
        <v>7426</v>
      </c>
      <c r="I83" s="80">
        <v>7508</v>
      </c>
      <c r="J83" s="80">
        <v>7537</v>
      </c>
      <c r="K83" s="80">
        <v>7552</v>
      </c>
      <c r="L83" s="80">
        <v>7552</v>
      </c>
      <c r="M83" s="80">
        <v>7573</v>
      </c>
    </row>
    <row r="84" spans="2:13" outlineLevel="1" x14ac:dyDescent="0.35">
      <c r="B84" s="48" t="s">
        <v>82</v>
      </c>
      <c r="C84" s="62" t="s">
        <v>141</v>
      </c>
      <c r="D84" s="80">
        <v>619.8318578278006</v>
      </c>
      <c r="E84" s="80">
        <v>619.8318578278006</v>
      </c>
      <c r="F84" s="80">
        <v>619.8318578278006</v>
      </c>
      <c r="G84" s="80">
        <v>619.8318578278006</v>
      </c>
      <c r="H84" s="80">
        <v>620</v>
      </c>
      <c r="I84" s="80">
        <v>620</v>
      </c>
      <c r="J84" s="80">
        <v>620</v>
      </c>
      <c r="K84" s="80">
        <v>620</v>
      </c>
      <c r="L84" s="80">
        <v>620</v>
      </c>
      <c r="M84" s="80">
        <v>620</v>
      </c>
    </row>
    <row r="85" spans="2:13" outlineLevel="1" x14ac:dyDescent="0.35">
      <c r="B85" s="48" t="s">
        <v>83</v>
      </c>
      <c r="C85" s="62" t="s">
        <v>141</v>
      </c>
      <c r="D85" s="80">
        <v>2262.0929964706379</v>
      </c>
      <c r="E85" s="80">
        <v>2262.0929964706379</v>
      </c>
      <c r="F85" s="80">
        <v>2340.1870190894406</v>
      </c>
      <c r="G85" s="80">
        <v>2340.1870190894406</v>
      </c>
      <c r="H85" s="80">
        <v>2706</v>
      </c>
      <c r="I85" s="80">
        <v>2706</v>
      </c>
      <c r="J85" s="80">
        <v>3098</v>
      </c>
      <c r="K85" s="80">
        <v>3196</v>
      </c>
      <c r="L85" s="80">
        <v>3559</v>
      </c>
      <c r="M85" s="80">
        <v>3693</v>
      </c>
    </row>
    <row r="86" spans="2:13" outlineLevel="1" x14ac:dyDescent="0.35">
      <c r="B86" s="48" t="s">
        <v>84</v>
      </c>
      <c r="C86" s="62" t="s">
        <v>141</v>
      </c>
      <c r="D86" s="80">
        <v>2160.7027938896708</v>
      </c>
      <c r="E86" s="80">
        <v>2166.1400645469257</v>
      </c>
      <c r="F86" s="80">
        <v>2391.3141543845109</v>
      </c>
      <c r="G86" s="80">
        <v>2562.9722363920364</v>
      </c>
      <c r="H86" s="80">
        <v>2682</v>
      </c>
      <c r="I86" s="80">
        <v>2833</v>
      </c>
      <c r="J86" s="80">
        <v>3017</v>
      </c>
      <c r="K86" s="80">
        <v>3297</v>
      </c>
      <c r="L86" s="80">
        <v>3569</v>
      </c>
      <c r="M86" s="80">
        <v>3626</v>
      </c>
    </row>
    <row r="87" spans="2:13" outlineLevel="1" x14ac:dyDescent="0.35">
      <c r="B87" s="48" t="s">
        <v>85</v>
      </c>
      <c r="C87" s="62" t="s">
        <v>141</v>
      </c>
      <c r="D87" s="80">
        <v>2542.5350613910605</v>
      </c>
      <c r="E87" s="80">
        <v>3295.6795529176457</v>
      </c>
      <c r="F87" s="80">
        <v>3308.8906803748914</v>
      </c>
      <c r="G87" s="80">
        <v>3315.7561204194976</v>
      </c>
      <c r="H87" s="80">
        <v>3378</v>
      </c>
      <c r="I87" s="80">
        <v>3386</v>
      </c>
      <c r="J87" s="80">
        <v>3457</v>
      </c>
      <c r="K87" s="80">
        <v>3457</v>
      </c>
      <c r="L87" s="80">
        <v>3469</v>
      </c>
      <c r="M87" s="80">
        <v>3489</v>
      </c>
    </row>
    <row r="88" spans="2:13" outlineLevel="1" x14ac:dyDescent="0.35">
      <c r="B88" s="48" t="s">
        <v>86</v>
      </c>
      <c r="C88" s="62" t="s">
        <v>141</v>
      </c>
      <c r="D88" s="80">
        <v>1955.0231937453555</v>
      </c>
      <c r="E88" s="80">
        <v>2126.6104912075402</v>
      </c>
      <c r="F88" s="80">
        <v>2925.3185971410958</v>
      </c>
      <c r="G88" s="80">
        <v>3179.6255722477467</v>
      </c>
      <c r="H88" s="80">
        <v>3180</v>
      </c>
      <c r="I88" s="80">
        <v>3213</v>
      </c>
      <c r="J88" s="80">
        <v>3625</v>
      </c>
      <c r="K88" s="80">
        <v>3978</v>
      </c>
      <c r="L88" s="80">
        <v>4159</v>
      </c>
      <c r="M88" s="80">
        <v>4266</v>
      </c>
    </row>
    <row r="89" spans="2:13" outlineLevel="1" x14ac:dyDescent="0.35">
      <c r="B89" s="48" t="s">
        <v>87</v>
      </c>
      <c r="C89" s="62" t="s">
        <v>141</v>
      </c>
      <c r="D89" s="80">
        <v>3817.0693149729586</v>
      </c>
      <c r="E89" s="80">
        <v>3827.5484744413634</v>
      </c>
      <c r="F89" s="80">
        <v>3827.5484744413634</v>
      </c>
      <c r="G89" s="80">
        <v>3832.2252525905492</v>
      </c>
      <c r="H89" s="80">
        <v>3884</v>
      </c>
      <c r="I89" s="80">
        <v>3898</v>
      </c>
      <c r="J89" s="80">
        <v>4145</v>
      </c>
      <c r="K89" s="80">
        <v>4145</v>
      </c>
      <c r="L89" s="80">
        <v>4145</v>
      </c>
      <c r="M89" s="80">
        <v>4348</v>
      </c>
    </row>
    <row r="90" spans="2:13" outlineLevel="1" x14ac:dyDescent="0.35">
      <c r="B90" s="48" t="s">
        <v>88</v>
      </c>
      <c r="C90" s="62" t="s">
        <v>141</v>
      </c>
      <c r="D90" s="80">
        <v>4799.3388714711928</v>
      </c>
      <c r="E90" s="80">
        <v>4933.6753013873931</v>
      </c>
      <c r="F90" s="80">
        <v>5137.2187881778973</v>
      </c>
      <c r="G90" s="80">
        <v>5835.7306482846743</v>
      </c>
      <c r="H90" s="80">
        <v>6214</v>
      </c>
      <c r="I90" s="80">
        <v>6293</v>
      </c>
      <c r="J90" s="80">
        <v>6774</v>
      </c>
      <c r="K90" s="80">
        <v>7258</v>
      </c>
      <c r="L90" s="80">
        <v>7258</v>
      </c>
      <c r="M90" s="80">
        <v>7778</v>
      </c>
    </row>
    <row r="91" spans="2:13" outlineLevel="1" x14ac:dyDescent="0.35">
      <c r="B91" s="48" t="s">
        <v>89</v>
      </c>
      <c r="C91" s="62" t="s">
        <v>141</v>
      </c>
      <c r="D91" s="80">
        <v>4291.2485021451885</v>
      </c>
      <c r="E91" s="80">
        <v>4299.4687765188692</v>
      </c>
      <c r="F91" s="80">
        <v>4311.4667146542042</v>
      </c>
      <c r="G91" s="80">
        <v>4345.4518653145606</v>
      </c>
      <c r="H91" s="80">
        <v>4379</v>
      </c>
      <c r="I91" s="80">
        <v>4454</v>
      </c>
      <c r="J91" s="80">
        <v>4535</v>
      </c>
      <c r="K91" s="80">
        <v>4726</v>
      </c>
      <c r="L91" s="80">
        <v>5029</v>
      </c>
      <c r="M91" s="80">
        <v>5117</v>
      </c>
    </row>
    <row r="92" spans="2:13" outlineLevel="1" x14ac:dyDescent="0.35">
      <c r="B92" s="48" t="s">
        <v>90</v>
      </c>
      <c r="C92" s="62" t="s">
        <v>141</v>
      </c>
      <c r="D92" s="80">
        <v>312.93996455575217</v>
      </c>
      <c r="E92" s="80">
        <v>312.93996455575217</v>
      </c>
      <c r="F92" s="80">
        <v>312.93996455575217</v>
      </c>
      <c r="G92" s="80">
        <v>312.93996455575217</v>
      </c>
      <c r="H92" s="80">
        <v>311</v>
      </c>
      <c r="I92" s="80">
        <v>321</v>
      </c>
      <c r="J92" s="80">
        <v>393</v>
      </c>
      <c r="K92" s="80">
        <v>393</v>
      </c>
      <c r="L92" s="80">
        <v>545</v>
      </c>
      <c r="M92" s="80">
        <v>545</v>
      </c>
    </row>
    <row r="93" spans="2:13" outlineLevel="1" x14ac:dyDescent="0.35">
      <c r="B93" s="294" t="s">
        <v>91</v>
      </c>
      <c r="C93" s="62" t="s">
        <v>141</v>
      </c>
      <c r="D93" s="80">
        <v>1234.0908946431341</v>
      </c>
      <c r="E93" s="80">
        <v>1234.0908946431341</v>
      </c>
      <c r="F93" s="80">
        <v>1277.0636763831603</v>
      </c>
      <c r="G93" s="80">
        <v>1277.0636763831603</v>
      </c>
      <c r="H93" s="80">
        <v>1284</v>
      </c>
      <c r="I93" s="80">
        <v>1415</v>
      </c>
      <c r="J93" s="80">
        <v>1462</v>
      </c>
      <c r="K93" s="80">
        <v>1508</v>
      </c>
      <c r="L93" s="80">
        <v>1508</v>
      </c>
      <c r="M93" s="80">
        <v>1554</v>
      </c>
    </row>
    <row r="94" spans="2:13" outlineLevel="1" x14ac:dyDescent="0.35">
      <c r="B94" s="294" t="s">
        <v>92</v>
      </c>
      <c r="C94" s="62" t="s">
        <v>141</v>
      </c>
      <c r="D94" s="80">
        <v>2859.2558664092526</v>
      </c>
      <c r="E94" s="80">
        <v>3976.0245707060649</v>
      </c>
      <c r="F94" s="80">
        <v>5001.50418465041</v>
      </c>
      <c r="G94" s="80">
        <v>5001.50418465041</v>
      </c>
      <c r="H94" s="80">
        <v>5513</v>
      </c>
      <c r="I94" s="80">
        <v>5527</v>
      </c>
      <c r="J94" s="80">
        <v>5669</v>
      </c>
      <c r="K94" s="80">
        <v>5817</v>
      </c>
      <c r="L94" s="80">
        <v>5817</v>
      </c>
      <c r="M94" s="80">
        <v>5868</v>
      </c>
    </row>
    <row r="95" spans="2:13" outlineLevel="1" x14ac:dyDescent="0.35">
      <c r="B95" s="294" t="s">
        <v>93</v>
      </c>
      <c r="C95" s="62" t="s">
        <v>141</v>
      </c>
      <c r="D95" s="80">
        <v>1430.783778206395</v>
      </c>
      <c r="E95" s="80">
        <v>2010.4702067435574</v>
      </c>
      <c r="F95" s="80">
        <v>2684.5244730519707</v>
      </c>
      <c r="G95" s="80">
        <v>2757.6780392461292</v>
      </c>
      <c r="H95" s="80">
        <v>2875</v>
      </c>
      <c r="I95" s="80">
        <v>2926</v>
      </c>
      <c r="J95" s="80">
        <v>3049</v>
      </c>
      <c r="K95" s="80">
        <v>3455</v>
      </c>
      <c r="L95" s="80">
        <v>3571</v>
      </c>
      <c r="M95" s="80">
        <v>3683</v>
      </c>
    </row>
    <row r="96" spans="2:13" outlineLevel="1" x14ac:dyDescent="0.35">
      <c r="B96" s="294" t="s">
        <v>94</v>
      </c>
      <c r="C96" s="62" t="s">
        <v>141</v>
      </c>
      <c r="D96" s="80">
        <v>5243.4663777893084</v>
      </c>
      <c r="E96" s="80">
        <v>5263.9244431663974</v>
      </c>
      <c r="F96" s="80">
        <v>5389.9006253559764</v>
      </c>
      <c r="G96" s="80">
        <v>5417.7577611376555</v>
      </c>
      <c r="H96" s="80">
        <v>5894</v>
      </c>
      <c r="I96" s="80">
        <v>5903</v>
      </c>
      <c r="J96" s="80">
        <v>6200</v>
      </c>
      <c r="K96" s="80">
        <v>6405</v>
      </c>
      <c r="L96" s="80">
        <v>6665</v>
      </c>
      <c r="M96" s="80">
        <v>6846</v>
      </c>
    </row>
    <row r="97" spans="2:13" outlineLevel="1" x14ac:dyDescent="0.35">
      <c r="B97" s="294" t="s">
        <v>95</v>
      </c>
      <c r="C97" s="62" t="s">
        <v>141</v>
      </c>
      <c r="D97" s="80">
        <v>3032.6079142185617</v>
      </c>
      <c r="E97" s="80">
        <v>3086.9499483450227</v>
      </c>
      <c r="F97" s="80">
        <v>3439.3650005343006</v>
      </c>
      <c r="G97" s="80">
        <v>3655.6823271269682</v>
      </c>
      <c r="H97" s="80">
        <v>3686</v>
      </c>
      <c r="I97" s="80">
        <v>3699</v>
      </c>
      <c r="J97" s="80">
        <v>3795</v>
      </c>
      <c r="K97" s="80">
        <v>3953</v>
      </c>
      <c r="L97" s="80">
        <v>4108</v>
      </c>
      <c r="M97" s="80">
        <v>4108</v>
      </c>
    </row>
    <row r="98" spans="2:13" outlineLevel="1" x14ac:dyDescent="0.35">
      <c r="B98" s="294" t="s">
        <v>96</v>
      </c>
      <c r="C98" s="62" t="s">
        <v>141</v>
      </c>
      <c r="D98" s="80">
        <v>2094.6156255186661</v>
      </c>
      <c r="E98" s="80">
        <v>2096.0154323941142</v>
      </c>
      <c r="F98" s="80">
        <v>2112.6274496988517</v>
      </c>
      <c r="G98" s="80">
        <v>2276.5589297052238</v>
      </c>
      <c r="H98" s="80">
        <v>2304</v>
      </c>
      <c r="I98" s="80">
        <v>2304</v>
      </c>
      <c r="J98" s="80">
        <v>2382</v>
      </c>
      <c r="K98" s="80">
        <v>2504</v>
      </c>
      <c r="L98" s="80">
        <v>2504</v>
      </c>
      <c r="M98" s="80">
        <v>2575</v>
      </c>
    </row>
    <row r="99" spans="2:13" outlineLevel="1" x14ac:dyDescent="0.35">
      <c r="B99" s="294" t="s">
        <v>97</v>
      </c>
      <c r="C99" s="62" t="s">
        <v>141</v>
      </c>
      <c r="D99" s="80">
        <v>5364.2390177140251</v>
      </c>
      <c r="E99" s="80">
        <v>5403.5668908630469</v>
      </c>
      <c r="F99" s="80">
        <v>5937.3298758268293</v>
      </c>
      <c r="G99" s="80">
        <v>5953.3291095807645</v>
      </c>
      <c r="H99" s="80">
        <v>6179</v>
      </c>
      <c r="I99" s="80">
        <v>6274</v>
      </c>
      <c r="J99" s="80">
        <v>6654</v>
      </c>
      <c r="K99" s="80">
        <v>6703</v>
      </c>
      <c r="L99" s="80">
        <v>6703</v>
      </c>
      <c r="M99" s="80">
        <v>7038</v>
      </c>
    </row>
    <row r="100" spans="2:13" outlineLevel="1" x14ac:dyDescent="0.35">
      <c r="B100" s="294" t="s">
        <v>98</v>
      </c>
      <c r="C100" s="62" t="s">
        <v>141</v>
      </c>
      <c r="D100" s="80">
        <v>3993.7980214941799</v>
      </c>
      <c r="E100" s="80">
        <v>3993.7980214941799</v>
      </c>
      <c r="F100" s="80">
        <v>3997.4850702568619</v>
      </c>
      <c r="G100" s="80">
        <v>4014.8664386496475</v>
      </c>
      <c r="H100" s="80">
        <v>4463</v>
      </c>
      <c r="I100" s="80">
        <v>4500</v>
      </c>
      <c r="J100" s="80">
        <v>4907</v>
      </c>
      <c r="K100" s="80">
        <v>5234</v>
      </c>
      <c r="L100" s="80">
        <v>5502</v>
      </c>
      <c r="M100" s="80">
        <v>5849</v>
      </c>
    </row>
    <row r="101" spans="2:13" outlineLevel="1" x14ac:dyDescent="0.35">
      <c r="B101" s="294" t="s">
        <v>99</v>
      </c>
      <c r="C101" s="62" t="s">
        <v>141</v>
      </c>
      <c r="D101" s="80">
        <v>8287.5837684078469</v>
      </c>
      <c r="E101" s="80">
        <v>9191.986805884495</v>
      </c>
      <c r="F101" s="80">
        <v>10155.974944471907</v>
      </c>
      <c r="G101" s="80">
        <v>10556.731003830319</v>
      </c>
      <c r="H101" s="80">
        <v>10725</v>
      </c>
      <c r="I101" s="80">
        <v>10866</v>
      </c>
      <c r="J101" s="80">
        <v>11054</v>
      </c>
      <c r="K101" s="80">
        <v>11201</v>
      </c>
      <c r="L101" s="80">
        <v>11521</v>
      </c>
      <c r="M101" s="80">
        <v>11570</v>
      </c>
    </row>
    <row r="102" spans="2:13" outlineLevel="1" x14ac:dyDescent="0.35">
      <c r="B102" s="294" t="s">
        <v>100</v>
      </c>
      <c r="C102" s="62" t="s">
        <v>141</v>
      </c>
      <c r="D102" s="80">
        <v>2938.1158365927681</v>
      </c>
      <c r="E102" s="80">
        <v>2950.2633924560591</v>
      </c>
      <c r="F102" s="80">
        <v>2950.2633924560591</v>
      </c>
      <c r="G102" s="80">
        <v>3088.904984138585</v>
      </c>
      <c r="H102" s="80">
        <v>3332</v>
      </c>
      <c r="I102" s="80">
        <v>3369</v>
      </c>
      <c r="J102" s="80">
        <v>3757</v>
      </c>
      <c r="K102" s="80">
        <v>3991</v>
      </c>
      <c r="L102" s="80">
        <v>4167</v>
      </c>
      <c r="M102" s="80">
        <v>4791</v>
      </c>
    </row>
    <row r="103" spans="2:13" outlineLevel="1" x14ac:dyDescent="0.35">
      <c r="B103" s="294" t="s">
        <v>101</v>
      </c>
      <c r="C103" s="62" t="s">
        <v>141</v>
      </c>
      <c r="D103" s="80">
        <v>602.62577807994649</v>
      </c>
      <c r="E103" s="80">
        <v>602.62577807994649</v>
      </c>
      <c r="F103" s="80">
        <v>602.62577807994649</v>
      </c>
      <c r="G103" s="80">
        <v>602.62577807994649</v>
      </c>
      <c r="H103" s="80">
        <v>606</v>
      </c>
      <c r="I103" s="80">
        <v>606</v>
      </c>
      <c r="J103" s="80">
        <v>606</v>
      </c>
      <c r="K103" s="80">
        <v>606</v>
      </c>
      <c r="L103" s="80">
        <v>606</v>
      </c>
      <c r="M103" s="80">
        <v>606</v>
      </c>
    </row>
    <row r="104" spans="2:13" outlineLevel="1" x14ac:dyDescent="0.35">
      <c r="B104" s="294" t="s">
        <v>102</v>
      </c>
      <c r="C104" s="62" t="s">
        <v>141</v>
      </c>
      <c r="D104" s="80">
        <v>3198.2743187099309</v>
      </c>
      <c r="E104" s="80">
        <v>3279.9715557313552</v>
      </c>
      <c r="F104" s="80">
        <v>3295.0325014001551</v>
      </c>
      <c r="G104" s="80">
        <v>3319.8438913426935</v>
      </c>
      <c r="H104" s="80">
        <v>3393</v>
      </c>
      <c r="I104" s="80">
        <v>3403</v>
      </c>
      <c r="J104" s="80">
        <v>3403</v>
      </c>
      <c r="K104" s="80">
        <v>3432</v>
      </c>
      <c r="L104" s="80">
        <v>3432</v>
      </c>
      <c r="M104" s="80">
        <v>3432</v>
      </c>
    </row>
    <row r="105" spans="2:13" outlineLevel="1" x14ac:dyDescent="0.35">
      <c r="B105" s="294" t="s">
        <v>103</v>
      </c>
      <c r="C105" s="62" t="s">
        <v>141</v>
      </c>
      <c r="D105" s="80">
        <v>196.58549508202367</v>
      </c>
      <c r="E105" s="80">
        <v>213.98666594973798</v>
      </c>
      <c r="F105" s="80">
        <v>213.98666594973798</v>
      </c>
      <c r="G105" s="80">
        <v>213.98666594973798</v>
      </c>
      <c r="H105" s="80">
        <v>210</v>
      </c>
      <c r="I105" s="80">
        <v>210</v>
      </c>
      <c r="J105" s="80">
        <v>210</v>
      </c>
      <c r="K105" s="80">
        <v>210</v>
      </c>
      <c r="L105" s="80">
        <v>210</v>
      </c>
      <c r="M105" s="80">
        <v>210</v>
      </c>
    </row>
    <row r="106" spans="2:13" outlineLevel="1" x14ac:dyDescent="0.35">
      <c r="B106" s="294" t="s">
        <v>104</v>
      </c>
      <c r="C106" s="62" t="s">
        <v>141</v>
      </c>
      <c r="D106" s="80">
        <v>0</v>
      </c>
      <c r="E106" s="80">
        <v>0</v>
      </c>
      <c r="F106" s="80">
        <v>0</v>
      </c>
      <c r="G106" s="80">
        <v>0</v>
      </c>
      <c r="H106" s="80">
        <v>0</v>
      </c>
      <c r="I106" s="80"/>
      <c r="J106" s="80"/>
      <c r="K106" s="80"/>
      <c r="L106" s="80"/>
      <c r="M106" s="80"/>
    </row>
    <row r="107" spans="2:13" outlineLevel="1" x14ac:dyDescent="0.35">
      <c r="B107" s="294" t="s">
        <v>136</v>
      </c>
      <c r="C107" s="62" t="s">
        <v>141</v>
      </c>
      <c r="D107" s="80">
        <v>0</v>
      </c>
      <c r="E107" s="80">
        <v>0</v>
      </c>
      <c r="F107" s="80">
        <v>0</v>
      </c>
      <c r="G107" s="80">
        <v>0</v>
      </c>
      <c r="H107" s="80">
        <v>0</v>
      </c>
      <c r="I107" s="80"/>
      <c r="J107" s="80"/>
      <c r="K107" s="80"/>
      <c r="L107" s="80"/>
      <c r="M107" s="80"/>
    </row>
    <row r="108" spans="2:13" outlineLevel="1" x14ac:dyDescent="0.35">
      <c r="B108" s="294" t="s">
        <v>106</v>
      </c>
      <c r="C108" s="62" t="s">
        <v>141</v>
      </c>
      <c r="D108" s="80">
        <v>1573.9368215549694</v>
      </c>
      <c r="E108" s="80">
        <v>1591.6764891406763</v>
      </c>
      <c r="F108" s="80">
        <v>1749.6991532738036</v>
      </c>
      <c r="G108" s="80">
        <v>1776.4995860493725</v>
      </c>
      <c r="H108" s="80">
        <v>2031</v>
      </c>
      <c r="I108" s="80">
        <v>2039</v>
      </c>
      <c r="J108" s="80">
        <v>2103</v>
      </c>
      <c r="K108" s="80">
        <v>2103</v>
      </c>
      <c r="L108" s="80">
        <v>2152</v>
      </c>
      <c r="M108" s="80">
        <v>2358</v>
      </c>
    </row>
    <row r="109" spans="2:13" outlineLevel="1" x14ac:dyDescent="0.35">
      <c r="B109" s="294" t="s">
        <v>107</v>
      </c>
      <c r="C109" s="62" t="s">
        <v>141</v>
      </c>
      <c r="D109" s="80">
        <v>2973.0364194897011</v>
      </c>
      <c r="E109" s="80">
        <v>3257.6406501812789</v>
      </c>
      <c r="F109" s="80">
        <v>3990.7658212963215</v>
      </c>
      <c r="G109" s="80">
        <v>3990.7658212963215</v>
      </c>
      <c r="H109" s="80">
        <v>4055</v>
      </c>
      <c r="I109" s="80">
        <v>4074</v>
      </c>
      <c r="J109" s="80">
        <v>4208</v>
      </c>
      <c r="K109" s="80">
        <v>4222</v>
      </c>
      <c r="L109" s="80">
        <v>4222</v>
      </c>
      <c r="M109" s="80">
        <v>4246</v>
      </c>
    </row>
    <row r="110" spans="2:13" outlineLevel="1" x14ac:dyDescent="0.35">
      <c r="B110" s="294" t="s">
        <v>108</v>
      </c>
      <c r="C110" s="62" t="s">
        <v>141</v>
      </c>
      <c r="D110" s="80">
        <v>4240.1748839677684</v>
      </c>
      <c r="E110" s="80">
        <v>4751.094706761508</v>
      </c>
      <c r="F110" s="80">
        <v>4798.4157404235648</v>
      </c>
      <c r="G110" s="80">
        <v>4899.0895354957429</v>
      </c>
      <c r="H110" s="80">
        <v>5212</v>
      </c>
      <c r="I110" s="80">
        <v>5412</v>
      </c>
      <c r="J110" s="80">
        <v>5412</v>
      </c>
      <c r="K110" s="80">
        <v>6159</v>
      </c>
      <c r="L110" s="80">
        <v>6853</v>
      </c>
      <c r="M110" s="80">
        <v>7012</v>
      </c>
    </row>
    <row r="111" spans="2:13" outlineLevel="1" x14ac:dyDescent="0.35">
      <c r="B111" s="294" t="s">
        <v>109</v>
      </c>
      <c r="C111" s="62" t="s">
        <v>141</v>
      </c>
      <c r="D111" s="80">
        <v>5900.31564538987</v>
      </c>
      <c r="E111" s="80">
        <v>5900.31564538987</v>
      </c>
      <c r="F111" s="80">
        <v>5903.5787285844544</v>
      </c>
      <c r="G111" s="80">
        <v>5903.5787285844544</v>
      </c>
      <c r="H111" s="80">
        <v>5985</v>
      </c>
      <c r="I111" s="80">
        <v>5985</v>
      </c>
      <c r="J111" s="80">
        <v>5985</v>
      </c>
      <c r="K111" s="80">
        <v>6041</v>
      </c>
      <c r="L111" s="80">
        <v>6041</v>
      </c>
      <c r="M111" s="80">
        <v>6041</v>
      </c>
    </row>
    <row r="112" spans="2:13" outlineLevel="1" x14ac:dyDescent="0.35">
      <c r="B112" s="294" t="s">
        <v>110</v>
      </c>
      <c r="C112" s="62" t="s">
        <v>141</v>
      </c>
      <c r="D112" s="80">
        <v>1739.1488290260293</v>
      </c>
      <c r="E112" s="80">
        <v>1770.6359805155107</v>
      </c>
      <c r="F112" s="80">
        <v>1853.5178242434431</v>
      </c>
      <c r="G112" s="80">
        <v>1875.0948920061501</v>
      </c>
      <c r="H112" s="80">
        <v>1994</v>
      </c>
      <c r="I112" s="80">
        <v>2006</v>
      </c>
      <c r="J112" s="80">
        <v>2006</v>
      </c>
      <c r="K112" s="80">
        <v>2048</v>
      </c>
      <c r="L112" s="80">
        <v>2048</v>
      </c>
      <c r="M112" s="80">
        <v>2136</v>
      </c>
    </row>
    <row r="113" spans="2:13" outlineLevel="1" x14ac:dyDescent="0.35">
      <c r="B113" s="294" t="s">
        <v>111</v>
      </c>
      <c r="C113" s="62" t="s">
        <v>141</v>
      </c>
      <c r="D113" s="80">
        <v>3333.8440138645351</v>
      </c>
      <c r="E113" s="80">
        <v>3402.7737300078593</v>
      </c>
      <c r="F113" s="80">
        <v>3499.394183786867</v>
      </c>
      <c r="G113" s="80">
        <v>3499.394183786867</v>
      </c>
      <c r="H113" s="80">
        <v>3619</v>
      </c>
      <c r="I113" s="80">
        <v>3630</v>
      </c>
      <c r="J113" s="80">
        <v>3840</v>
      </c>
      <c r="K113" s="80">
        <v>4183</v>
      </c>
      <c r="L113" s="80">
        <v>4183</v>
      </c>
      <c r="M113" s="80">
        <v>4261</v>
      </c>
    </row>
    <row r="114" spans="2:13" outlineLevel="1" x14ac:dyDescent="0.35">
      <c r="B114" s="294" t="s">
        <v>112</v>
      </c>
      <c r="C114" s="62" t="s">
        <v>141</v>
      </c>
      <c r="D114" s="80">
        <v>5838.9486953266642</v>
      </c>
      <c r="E114" s="80">
        <v>5893.3380282889566</v>
      </c>
      <c r="F114" s="80">
        <v>5918.0998478612782</v>
      </c>
      <c r="G114" s="80">
        <v>6201.9089358832889</v>
      </c>
      <c r="H114" s="80">
        <v>6490</v>
      </c>
      <c r="I114" s="80">
        <v>6550</v>
      </c>
      <c r="J114" s="80">
        <v>6844</v>
      </c>
      <c r="K114" s="80">
        <v>7102</v>
      </c>
      <c r="L114" s="80">
        <v>7347</v>
      </c>
      <c r="M114" s="80">
        <v>7671</v>
      </c>
    </row>
    <row r="115" spans="2:13" outlineLevel="1" x14ac:dyDescent="0.35">
      <c r="B115" s="294" t="s">
        <v>113</v>
      </c>
      <c r="C115" s="62" t="s">
        <v>141</v>
      </c>
      <c r="D115" s="80">
        <v>29.251732141957966</v>
      </c>
      <c r="E115" s="80">
        <v>29.251732141957966</v>
      </c>
      <c r="F115" s="80">
        <v>29.251732141957966</v>
      </c>
      <c r="G115" s="80">
        <v>29.251732141957966</v>
      </c>
      <c r="H115" s="80">
        <v>73</v>
      </c>
      <c r="I115" s="80">
        <v>73</v>
      </c>
      <c r="J115" s="80">
        <v>73</v>
      </c>
      <c r="K115" s="80">
        <v>73</v>
      </c>
      <c r="L115" s="80">
        <v>73</v>
      </c>
      <c r="M115" s="80">
        <v>73</v>
      </c>
    </row>
    <row r="116" spans="2:13" outlineLevel="1" x14ac:dyDescent="0.35">
      <c r="B116" s="294" t="s">
        <v>114</v>
      </c>
      <c r="C116" s="62" t="s">
        <v>141</v>
      </c>
      <c r="D116" s="80">
        <v>5681.8360299334763</v>
      </c>
      <c r="E116" s="80">
        <v>5690.6044089871266</v>
      </c>
      <c r="F116" s="80">
        <v>5734.8421663585586</v>
      </c>
      <c r="G116" s="80">
        <v>5744.5404955126478</v>
      </c>
      <c r="H116" s="80">
        <v>5823</v>
      </c>
      <c r="I116" s="80">
        <v>5823</v>
      </c>
      <c r="J116" s="80">
        <v>5823</v>
      </c>
      <c r="K116" s="80">
        <v>5823</v>
      </c>
      <c r="L116" s="80">
        <v>5823</v>
      </c>
      <c r="M116" s="80">
        <v>5823</v>
      </c>
    </row>
    <row r="117" spans="2:13" outlineLevel="1" x14ac:dyDescent="0.35">
      <c r="B117" s="294" t="s">
        <v>115</v>
      </c>
      <c r="C117" s="62" t="s">
        <v>141</v>
      </c>
      <c r="D117" s="80">
        <v>2109.8258560206618</v>
      </c>
      <c r="E117" s="80">
        <v>2738.1391529356647</v>
      </c>
      <c r="F117" s="80">
        <v>3243.6655528123515</v>
      </c>
      <c r="G117" s="80">
        <v>3731.060164662154</v>
      </c>
      <c r="H117" s="80">
        <v>3862</v>
      </c>
      <c r="I117" s="80">
        <v>3955</v>
      </c>
      <c r="J117" s="80">
        <v>4162</v>
      </c>
      <c r="K117" s="80">
        <v>4257</v>
      </c>
      <c r="L117" s="80">
        <v>4476</v>
      </c>
      <c r="M117" s="80">
        <v>4618</v>
      </c>
    </row>
    <row r="118" spans="2:13" outlineLevel="1" x14ac:dyDescent="0.35">
      <c r="B118" s="294" t="s">
        <v>116</v>
      </c>
      <c r="C118" s="62" t="s">
        <v>141</v>
      </c>
      <c r="D118" s="80">
        <v>5300.1070416507118</v>
      </c>
      <c r="E118" s="80">
        <v>5403.4754755956019</v>
      </c>
      <c r="F118" s="80">
        <v>5406.6961996681512</v>
      </c>
      <c r="G118" s="80">
        <v>5406.6961996681512</v>
      </c>
      <c r="H118" s="80">
        <v>5410</v>
      </c>
      <c r="I118" s="80">
        <v>5410</v>
      </c>
      <c r="J118" s="80">
        <v>5410</v>
      </c>
      <c r="K118" s="80">
        <v>5410</v>
      </c>
      <c r="L118" s="80">
        <v>5410</v>
      </c>
      <c r="M118" s="80">
        <v>5410</v>
      </c>
    </row>
    <row r="119" spans="2:13" outlineLevel="1" x14ac:dyDescent="0.35">
      <c r="B119" s="294" t="s">
        <v>117</v>
      </c>
      <c r="C119" s="62" t="s">
        <v>141</v>
      </c>
      <c r="D119" s="80">
        <v>10199.787575178158</v>
      </c>
      <c r="E119" s="80">
        <v>10214.413181401158</v>
      </c>
      <c r="F119" s="80">
        <v>10391.319949426153</v>
      </c>
      <c r="G119" s="80">
        <v>10391.319949426153</v>
      </c>
      <c r="H119" s="80">
        <v>10811</v>
      </c>
      <c r="I119" s="80">
        <v>11036</v>
      </c>
      <c r="J119" s="80">
        <v>11825</v>
      </c>
      <c r="K119" s="80">
        <v>12335</v>
      </c>
      <c r="L119" s="80">
        <v>13541</v>
      </c>
      <c r="M119" s="80">
        <v>13872</v>
      </c>
    </row>
    <row r="120" spans="2:13" outlineLevel="1" x14ac:dyDescent="0.35">
      <c r="B120" s="294" t="s">
        <v>118</v>
      </c>
      <c r="C120" s="62" t="s">
        <v>141</v>
      </c>
      <c r="D120" s="80">
        <v>2676.2023383802352</v>
      </c>
      <c r="E120" s="80">
        <v>3252.1930978546857</v>
      </c>
      <c r="F120" s="80">
        <v>3648.598741096765</v>
      </c>
      <c r="G120" s="80">
        <v>3939.2008786553124</v>
      </c>
      <c r="H120" s="80">
        <v>4001</v>
      </c>
      <c r="I120" s="80">
        <v>4001</v>
      </c>
      <c r="J120" s="80">
        <v>4001</v>
      </c>
      <c r="K120" s="80">
        <v>4001</v>
      </c>
      <c r="L120" s="80">
        <v>4001</v>
      </c>
      <c r="M120" s="80">
        <v>4048</v>
      </c>
    </row>
    <row r="121" spans="2:13" outlineLevel="1" x14ac:dyDescent="0.35">
      <c r="B121" s="294" t="s">
        <v>119</v>
      </c>
      <c r="C121" s="62" t="s">
        <v>141</v>
      </c>
      <c r="D121" s="80">
        <v>0</v>
      </c>
      <c r="E121" s="80">
        <v>0</v>
      </c>
      <c r="F121" s="80">
        <v>0</v>
      </c>
      <c r="G121" s="80">
        <v>0</v>
      </c>
      <c r="H121" s="80">
        <v>0</v>
      </c>
      <c r="I121" s="80"/>
      <c r="J121" s="80"/>
      <c r="K121" s="80"/>
      <c r="L121" s="80"/>
      <c r="M121" s="80"/>
    </row>
    <row r="122" spans="2:13" outlineLevel="1" x14ac:dyDescent="0.35">
      <c r="B122" s="294" t="s">
        <v>120</v>
      </c>
      <c r="C122" s="62" t="s">
        <v>141</v>
      </c>
      <c r="D122" s="80">
        <v>13463.07526584388</v>
      </c>
      <c r="E122" s="80">
        <v>13774.439005542337</v>
      </c>
      <c r="F122" s="80">
        <v>13921.904302892297</v>
      </c>
      <c r="G122" s="80">
        <v>14108.446757968075</v>
      </c>
      <c r="H122" s="80">
        <v>14769</v>
      </c>
      <c r="I122" s="80">
        <v>14911</v>
      </c>
      <c r="J122" s="80">
        <v>15248</v>
      </c>
      <c r="K122" s="80">
        <v>15628</v>
      </c>
      <c r="L122" s="80">
        <v>15831</v>
      </c>
      <c r="M122" s="80">
        <v>16238</v>
      </c>
    </row>
    <row r="123" spans="2:13" outlineLevel="1" x14ac:dyDescent="0.35">
      <c r="B123" s="294" t="s">
        <v>121</v>
      </c>
      <c r="C123" s="62" t="s">
        <v>141</v>
      </c>
      <c r="D123" s="80">
        <v>962.16281596582076</v>
      </c>
      <c r="E123" s="80">
        <v>1634.1501878966221</v>
      </c>
      <c r="F123" s="80">
        <v>2236.4255693192999</v>
      </c>
      <c r="G123" s="80">
        <v>2249.8157061351726</v>
      </c>
      <c r="H123" s="80">
        <v>2414</v>
      </c>
      <c r="I123" s="80">
        <v>2448</v>
      </c>
      <c r="J123" s="80">
        <v>2617</v>
      </c>
      <c r="K123" s="80">
        <v>2845</v>
      </c>
      <c r="L123" s="80">
        <v>3011</v>
      </c>
      <c r="M123" s="80">
        <v>3373</v>
      </c>
    </row>
    <row r="124" spans="2:13" outlineLevel="1" x14ac:dyDescent="0.35">
      <c r="B124" s="294" t="s">
        <v>137</v>
      </c>
      <c r="C124" s="62" t="s">
        <v>141</v>
      </c>
      <c r="D124" s="80">
        <v>0</v>
      </c>
      <c r="E124" s="80">
        <v>0</v>
      </c>
      <c r="F124" s="80">
        <v>0</v>
      </c>
      <c r="G124" s="80">
        <v>0</v>
      </c>
      <c r="H124" s="80">
        <v>0</v>
      </c>
      <c r="I124" s="80">
        <v>0</v>
      </c>
      <c r="J124" s="80">
        <v>0</v>
      </c>
      <c r="K124" s="80">
        <v>0</v>
      </c>
      <c r="L124" s="80">
        <v>526</v>
      </c>
      <c r="M124" s="80">
        <v>1052</v>
      </c>
    </row>
    <row r="125" spans="2:13" outlineLevel="1" x14ac:dyDescent="0.35">
      <c r="B125" s="294" t="s">
        <v>123</v>
      </c>
      <c r="C125" s="62" t="s">
        <v>141</v>
      </c>
      <c r="D125" s="80">
        <v>3853.2712424332185</v>
      </c>
      <c r="E125" s="80">
        <v>4148.3463163919487</v>
      </c>
      <c r="F125" s="80">
        <v>4273.9999641133145</v>
      </c>
      <c r="G125" s="80">
        <v>4435.0649350801878</v>
      </c>
      <c r="H125" s="80">
        <v>4660</v>
      </c>
      <c r="I125" s="80">
        <v>4700</v>
      </c>
      <c r="J125" s="80">
        <v>4774</v>
      </c>
      <c r="K125" s="80">
        <v>4961</v>
      </c>
      <c r="L125" s="80">
        <v>4961</v>
      </c>
      <c r="M125" s="80">
        <v>5113</v>
      </c>
    </row>
    <row r="126" spans="2:13" outlineLevel="1" x14ac:dyDescent="0.35">
      <c r="B126" s="294" t="s">
        <v>124</v>
      </c>
      <c r="C126" s="62" t="s">
        <v>141</v>
      </c>
      <c r="D126" s="80">
        <v>369.84130130746064</v>
      </c>
      <c r="E126" s="80">
        <v>473.8291929365484</v>
      </c>
      <c r="F126" s="80">
        <v>482.57545008378787</v>
      </c>
      <c r="G126" s="80">
        <v>482.57545008378787</v>
      </c>
      <c r="H126" s="80">
        <v>483</v>
      </c>
      <c r="I126" s="80">
        <v>483</v>
      </c>
      <c r="J126" s="80">
        <v>483</v>
      </c>
      <c r="K126" s="80">
        <v>483</v>
      </c>
      <c r="L126" s="80">
        <v>483</v>
      </c>
      <c r="M126" s="80">
        <v>483</v>
      </c>
    </row>
    <row r="127" spans="2:13" outlineLevel="1" x14ac:dyDescent="0.35">
      <c r="B127" s="294" t="s">
        <v>125</v>
      </c>
      <c r="C127" s="62" t="s">
        <v>141</v>
      </c>
      <c r="D127" s="80">
        <v>1701.4956339186556</v>
      </c>
      <c r="E127" s="80">
        <v>1968.0250691686199</v>
      </c>
      <c r="F127" s="80">
        <v>1996.7824232152764</v>
      </c>
      <c r="G127" s="80">
        <v>2157.2854851678931</v>
      </c>
      <c r="H127" s="80">
        <v>2265</v>
      </c>
      <c r="I127" s="80">
        <v>2298</v>
      </c>
      <c r="J127" s="80">
        <v>2399</v>
      </c>
      <c r="K127" s="80">
        <v>2474</v>
      </c>
      <c r="L127" s="80">
        <v>2572</v>
      </c>
      <c r="M127" s="80">
        <v>2572</v>
      </c>
    </row>
    <row r="128" spans="2:13" outlineLevel="1" x14ac:dyDescent="0.35">
      <c r="B128" s="294" t="s">
        <v>126</v>
      </c>
      <c r="C128" s="62" t="s">
        <v>141</v>
      </c>
      <c r="D128" s="80">
        <v>4511.8014165750119</v>
      </c>
      <c r="E128" s="80">
        <v>5772.5253059129109</v>
      </c>
      <c r="F128" s="80">
        <v>6283.5588394448177</v>
      </c>
      <c r="G128" s="80">
        <v>6745.1541289297857</v>
      </c>
      <c r="H128" s="80">
        <v>7105</v>
      </c>
      <c r="I128" s="80">
        <v>7153</v>
      </c>
      <c r="J128" s="80">
        <v>7351</v>
      </c>
      <c r="K128" s="80">
        <v>7438</v>
      </c>
      <c r="L128" s="80">
        <v>7574</v>
      </c>
      <c r="M128" s="80">
        <v>7771</v>
      </c>
    </row>
    <row r="129" spans="2:40" outlineLevel="1" x14ac:dyDescent="0.35">
      <c r="B129" s="294" t="s">
        <v>127</v>
      </c>
      <c r="C129" s="62" t="s">
        <v>141</v>
      </c>
      <c r="D129" s="80">
        <v>0</v>
      </c>
      <c r="E129" s="80">
        <v>0</v>
      </c>
      <c r="F129" s="80">
        <v>0</v>
      </c>
      <c r="G129" s="80">
        <v>0</v>
      </c>
      <c r="H129" s="80">
        <v>0</v>
      </c>
      <c r="I129" s="80"/>
      <c r="J129" s="80"/>
      <c r="K129" s="80"/>
      <c r="L129" s="80"/>
      <c r="M129" s="80"/>
    </row>
    <row r="130" spans="2:40" outlineLevel="1" x14ac:dyDescent="0.35">
      <c r="B130" s="333" t="s">
        <v>140</v>
      </c>
      <c r="C130" s="65" t="s">
        <v>141</v>
      </c>
      <c r="D130" s="158">
        <f t="shared" ref="D130:M130" si="11">SUM(D76:D129)</f>
        <v>213009.36538748044</v>
      </c>
      <c r="E130" s="158">
        <f t="shared" si="11"/>
        <v>224198.90775184982</v>
      </c>
      <c r="F130" s="158">
        <f t="shared" si="11"/>
        <v>236093.88416896012</v>
      </c>
      <c r="G130" s="158">
        <f t="shared" si="11"/>
        <v>241925.72373440751</v>
      </c>
      <c r="H130" s="158">
        <f t="shared" si="11"/>
        <v>250712</v>
      </c>
      <c r="I130" s="158">
        <f t="shared" si="11"/>
        <v>253054</v>
      </c>
      <c r="J130" s="158">
        <f t="shared" si="11"/>
        <v>261234</v>
      </c>
      <c r="K130" s="158">
        <f t="shared" si="11"/>
        <v>269390</v>
      </c>
      <c r="L130" s="158">
        <f t="shared" si="11"/>
        <v>276932</v>
      </c>
      <c r="M130" s="158">
        <f t="shared" si="11"/>
        <v>284250</v>
      </c>
    </row>
    <row r="132" spans="2:40" ht="15.5" x14ac:dyDescent="0.35">
      <c r="B132" s="419" t="s">
        <v>244</v>
      </c>
      <c r="C132" s="419"/>
      <c r="D132" s="419"/>
      <c r="E132" s="419"/>
      <c r="F132" s="419"/>
      <c r="G132" s="419"/>
      <c r="H132" s="419"/>
      <c r="I132" s="419"/>
      <c r="J132" s="419"/>
      <c r="K132" s="419"/>
      <c r="L132" s="419"/>
      <c r="M132" s="419"/>
      <c r="N132" s="419"/>
    </row>
    <row r="133" spans="2:40" ht="5.9" customHeight="1" outlineLevel="1" x14ac:dyDescent="0.35">
      <c r="B133" s="103"/>
      <c r="C133" s="103"/>
      <c r="D133" s="103"/>
      <c r="E133" s="103"/>
      <c r="F133" s="103"/>
      <c r="G133" s="103"/>
      <c r="H133" s="103"/>
      <c r="I133" s="103"/>
      <c r="J133" s="103"/>
      <c r="K133" s="103"/>
      <c r="L133" s="103"/>
      <c r="M133" s="103"/>
      <c r="N133" s="103"/>
      <c r="O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row>
    <row r="134" spans="2:40" outlineLevel="1" x14ac:dyDescent="0.35">
      <c r="B134" s="459"/>
      <c r="C134" s="450" t="s">
        <v>134</v>
      </c>
      <c r="D134" s="435" t="s">
        <v>169</v>
      </c>
      <c r="E134" s="436"/>
      <c r="F134" s="436"/>
      <c r="G134" s="436"/>
      <c r="H134" s="437"/>
      <c r="I134" s="435" t="s">
        <v>170</v>
      </c>
      <c r="J134" s="436"/>
      <c r="K134" s="436"/>
      <c r="L134" s="436"/>
      <c r="M134" s="437"/>
    </row>
    <row r="135" spans="2:40" outlineLevel="1" x14ac:dyDescent="0.35">
      <c r="B135" s="460"/>
      <c r="C135" s="451"/>
      <c r="D135" s="79">
        <f>$C$3-5</f>
        <v>2019</v>
      </c>
      <c r="E135" s="79">
        <f>$C$3-4</f>
        <v>2020</v>
      </c>
      <c r="F135" s="79">
        <f>$C$3-3</f>
        <v>2021</v>
      </c>
      <c r="G135" s="79">
        <f>$C$3-2</f>
        <v>2022</v>
      </c>
      <c r="H135" s="79">
        <f>$C$3-1</f>
        <v>2023</v>
      </c>
      <c r="I135" s="79">
        <f>$C$3</f>
        <v>2024</v>
      </c>
      <c r="J135" s="79">
        <f>$C$3+1</f>
        <v>2025</v>
      </c>
      <c r="K135" s="79">
        <f>$C$3+2</f>
        <v>2026</v>
      </c>
      <c r="L135" s="79">
        <f>$C$3+3</f>
        <v>2027</v>
      </c>
      <c r="M135" s="79">
        <f>$C$3+4</f>
        <v>2028</v>
      </c>
    </row>
    <row r="136" spans="2:40" outlineLevel="1" x14ac:dyDescent="0.35">
      <c r="B136" s="48" t="s">
        <v>74</v>
      </c>
      <c r="C136" s="62" t="s">
        <v>175</v>
      </c>
      <c r="D136" s="80">
        <v>48422.856570000004</v>
      </c>
      <c r="E136" s="80">
        <v>48422.856570000004</v>
      </c>
      <c r="F136" s="80">
        <v>48422.856570000004</v>
      </c>
      <c r="G136" s="80">
        <v>48422.856570000004</v>
      </c>
      <c r="H136" s="80">
        <v>48422.856570000004</v>
      </c>
      <c r="I136" s="86">
        <v>48422.856570000004</v>
      </c>
      <c r="J136" s="86">
        <v>48422.856570000004</v>
      </c>
      <c r="K136" s="86">
        <v>48422.856570000004</v>
      </c>
      <c r="L136" s="86">
        <v>48422.856570000004</v>
      </c>
      <c r="M136" s="86">
        <v>48422.856570000004</v>
      </c>
    </row>
    <row r="137" spans="2:40" s="52" customFormat="1" outlineLevel="1" x14ac:dyDescent="0.35">
      <c r="B137" s="48" t="s">
        <v>75</v>
      </c>
      <c r="C137" s="63" t="s">
        <v>175</v>
      </c>
      <c r="D137" s="87">
        <v>110786.4154</v>
      </c>
      <c r="E137" s="87">
        <v>110786.4154</v>
      </c>
      <c r="F137" s="87">
        <v>110786.4154</v>
      </c>
      <c r="G137" s="87">
        <v>110786.4154</v>
      </c>
      <c r="H137" s="87">
        <v>110786.4154</v>
      </c>
      <c r="I137" s="87">
        <v>110786.4154</v>
      </c>
      <c r="J137" s="87">
        <v>110786.4154</v>
      </c>
      <c r="K137" s="87">
        <v>110786.4154</v>
      </c>
      <c r="L137" s="87">
        <v>110786.4154</v>
      </c>
      <c r="M137" s="87">
        <v>110786.4154</v>
      </c>
      <c r="O137"/>
      <c r="P137"/>
      <c r="Q137"/>
      <c r="R137"/>
      <c r="S137"/>
    </row>
    <row r="138" spans="2:40" s="52" customFormat="1" outlineLevel="1" x14ac:dyDescent="0.35">
      <c r="B138" s="48" t="s">
        <v>76</v>
      </c>
      <c r="C138" s="63" t="s">
        <v>175</v>
      </c>
      <c r="D138" s="87">
        <v>146522.7733</v>
      </c>
      <c r="E138" s="87">
        <v>146522.7733</v>
      </c>
      <c r="F138" s="87">
        <v>146522.7733</v>
      </c>
      <c r="G138" s="87">
        <v>146522.7733</v>
      </c>
      <c r="H138" s="87">
        <v>146522.7733</v>
      </c>
      <c r="I138" s="87">
        <v>146522.7733</v>
      </c>
      <c r="J138" s="87">
        <v>146522.7733</v>
      </c>
      <c r="K138" s="87">
        <v>146522.7733</v>
      </c>
      <c r="L138" s="87">
        <v>146522.7733</v>
      </c>
      <c r="M138" s="87">
        <v>146522.7733</v>
      </c>
      <c r="O138"/>
      <c r="P138"/>
      <c r="Q138"/>
      <c r="R138"/>
      <c r="S138"/>
    </row>
    <row r="139" spans="2:40" outlineLevel="1" x14ac:dyDescent="0.35">
      <c r="B139" s="48" t="s">
        <v>77</v>
      </c>
      <c r="C139" s="62" t="s">
        <v>175</v>
      </c>
      <c r="D139" s="80">
        <v>153257.50709999999</v>
      </c>
      <c r="E139" s="80">
        <v>153257.50709999999</v>
      </c>
      <c r="F139" s="80">
        <v>153257.50709999999</v>
      </c>
      <c r="G139" s="80">
        <v>153257.50709999999</v>
      </c>
      <c r="H139" s="80">
        <v>153257.50709999999</v>
      </c>
      <c r="I139" s="86">
        <v>153257.50709999999</v>
      </c>
      <c r="J139" s="86">
        <v>153257.50709999999</v>
      </c>
      <c r="K139" s="86">
        <v>153257.50709999999</v>
      </c>
      <c r="L139" s="86">
        <v>153257.50709999999</v>
      </c>
      <c r="M139" s="86">
        <v>153257.50709999999</v>
      </c>
    </row>
    <row r="140" spans="2:40" s="52" customFormat="1" outlineLevel="1" x14ac:dyDescent="0.35">
      <c r="B140" s="48" t="s">
        <v>78</v>
      </c>
      <c r="C140" s="63" t="s">
        <v>175</v>
      </c>
      <c r="D140" s="87">
        <v>826173.49120000005</v>
      </c>
      <c r="E140" s="87">
        <v>826173.49120000005</v>
      </c>
      <c r="F140" s="87">
        <v>826173.49120000005</v>
      </c>
      <c r="G140" s="87">
        <v>826173.49120000005</v>
      </c>
      <c r="H140" s="87">
        <v>826173.49120000005</v>
      </c>
      <c r="I140" s="87">
        <v>826173.49120000005</v>
      </c>
      <c r="J140" s="87">
        <v>826173.49120000005</v>
      </c>
      <c r="K140" s="87">
        <v>826173.49120000005</v>
      </c>
      <c r="L140" s="87">
        <v>826173.49120000005</v>
      </c>
      <c r="M140" s="87">
        <v>826173.49120000005</v>
      </c>
      <c r="O140"/>
      <c r="P140"/>
      <c r="Q140"/>
      <c r="R140"/>
      <c r="S140"/>
    </row>
    <row r="141" spans="2:40" outlineLevel="1" x14ac:dyDescent="0.35">
      <c r="B141" s="48" t="s">
        <v>79</v>
      </c>
      <c r="C141" s="62" t="s">
        <v>175</v>
      </c>
      <c r="D141" s="80">
        <v>142090.70319999999</v>
      </c>
      <c r="E141" s="80">
        <v>142090.70319999999</v>
      </c>
      <c r="F141" s="80">
        <v>142090.70319999999</v>
      </c>
      <c r="G141" s="80">
        <v>142090.70319999999</v>
      </c>
      <c r="H141" s="80">
        <v>142090.70319999999</v>
      </c>
      <c r="I141" s="86">
        <v>142090.70319999999</v>
      </c>
      <c r="J141" s="86">
        <v>142090.70319999999</v>
      </c>
      <c r="K141" s="86">
        <v>142090.70319999999</v>
      </c>
      <c r="L141" s="86">
        <v>142090.70319999999</v>
      </c>
      <c r="M141" s="86">
        <v>142090.70319999999</v>
      </c>
    </row>
    <row r="142" spans="2:40" outlineLevel="1" x14ac:dyDescent="0.35">
      <c r="B142" s="48" t="s">
        <v>80</v>
      </c>
      <c r="C142" s="62" t="s">
        <v>175</v>
      </c>
      <c r="D142" s="83">
        <v>110545.3738</v>
      </c>
      <c r="E142" s="83">
        <v>110545.3738</v>
      </c>
      <c r="F142" s="83">
        <v>110545.3738</v>
      </c>
      <c r="G142" s="83">
        <v>110545.3738</v>
      </c>
      <c r="H142" s="83">
        <v>110545.3738</v>
      </c>
      <c r="I142" s="88">
        <v>110545.3738</v>
      </c>
      <c r="J142" s="88">
        <v>110545.3738</v>
      </c>
      <c r="K142" s="88">
        <v>110545.3738</v>
      </c>
      <c r="L142" s="88">
        <v>110545.3738</v>
      </c>
      <c r="M142" s="88">
        <v>110545.3738</v>
      </c>
    </row>
    <row r="143" spans="2:40" outlineLevel="1" x14ac:dyDescent="0.35">
      <c r="B143" s="48" t="s">
        <v>81</v>
      </c>
      <c r="C143" s="62" t="s">
        <v>175</v>
      </c>
      <c r="D143" s="83">
        <v>188869.11540000001</v>
      </c>
      <c r="E143" s="83">
        <v>188869.11540000001</v>
      </c>
      <c r="F143" s="83">
        <v>188869.11540000001</v>
      </c>
      <c r="G143" s="83">
        <v>188869.11540000001</v>
      </c>
      <c r="H143" s="83">
        <v>188869.11540000001</v>
      </c>
      <c r="I143" s="88">
        <v>188869.11540000001</v>
      </c>
      <c r="J143" s="88">
        <v>188869.11540000001</v>
      </c>
      <c r="K143" s="88">
        <v>188869.11540000001</v>
      </c>
      <c r="L143" s="88">
        <v>188869.11540000001</v>
      </c>
      <c r="M143" s="88">
        <v>188869.11540000001</v>
      </c>
    </row>
    <row r="144" spans="2:40" outlineLevel="1" x14ac:dyDescent="0.35">
      <c r="B144" s="48" t="s">
        <v>82</v>
      </c>
      <c r="C144" s="62" t="s">
        <v>175</v>
      </c>
      <c r="D144" s="83">
        <v>15558.96256</v>
      </c>
      <c r="E144" s="83">
        <v>15558.96256</v>
      </c>
      <c r="F144" s="83">
        <v>15558.96256</v>
      </c>
      <c r="G144" s="83">
        <v>15558.96256</v>
      </c>
      <c r="H144" s="83">
        <v>15558.96256</v>
      </c>
      <c r="I144" s="88">
        <v>15558.96256</v>
      </c>
      <c r="J144" s="88">
        <v>15558.96256</v>
      </c>
      <c r="K144" s="88">
        <v>15558.96256</v>
      </c>
      <c r="L144" s="88">
        <v>15558.96256</v>
      </c>
      <c r="M144" s="88">
        <v>15558.96256</v>
      </c>
    </row>
    <row r="145" spans="2:13" outlineLevel="1" x14ac:dyDescent="0.35">
      <c r="B145" s="48" t="s">
        <v>83</v>
      </c>
      <c r="C145" s="62" t="s">
        <v>175</v>
      </c>
      <c r="D145" s="83">
        <v>462446.01199999999</v>
      </c>
      <c r="E145" s="83">
        <v>462446.01199999999</v>
      </c>
      <c r="F145" s="83">
        <v>462446.01199999999</v>
      </c>
      <c r="G145" s="83">
        <v>462446.01199999999</v>
      </c>
      <c r="H145" s="83">
        <v>462446.01199999999</v>
      </c>
      <c r="I145" s="88">
        <v>462446.01199999999</v>
      </c>
      <c r="J145" s="88">
        <v>462446.01199999999</v>
      </c>
      <c r="K145" s="88">
        <v>462446.01199999999</v>
      </c>
      <c r="L145" s="88">
        <v>462446.01199999999</v>
      </c>
      <c r="M145" s="88">
        <v>462446.01199999999</v>
      </c>
    </row>
    <row r="146" spans="2:13" outlineLevel="1" x14ac:dyDescent="0.35">
      <c r="B146" s="48" t="s">
        <v>84</v>
      </c>
      <c r="C146" s="62" t="s">
        <v>175</v>
      </c>
      <c r="D146" s="83">
        <v>252831.70619999999</v>
      </c>
      <c r="E146" s="83">
        <v>252831.70619999999</v>
      </c>
      <c r="F146" s="83">
        <v>252831.70619999999</v>
      </c>
      <c r="G146" s="83">
        <v>252831.70619999999</v>
      </c>
      <c r="H146" s="83">
        <v>252831.70619999999</v>
      </c>
      <c r="I146" s="88">
        <v>252831.70619999999</v>
      </c>
      <c r="J146" s="88">
        <v>252831.70619999999</v>
      </c>
      <c r="K146" s="88">
        <v>252831.70619999999</v>
      </c>
      <c r="L146" s="88">
        <v>252831.70619999999</v>
      </c>
      <c r="M146" s="88">
        <v>252831.70619999999</v>
      </c>
    </row>
    <row r="147" spans="2:13" outlineLevel="1" x14ac:dyDescent="0.35">
      <c r="B147" s="48" t="s">
        <v>85</v>
      </c>
      <c r="C147" s="62" t="s">
        <v>175</v>
      </c>
      <c r="D147" s="83">
        <v>69970.72034</v>
      </c>
      <c r="E147" s="83">
        <v>69970.72034</v>
      </c>
      <c r="F147" s="83">
        <v>69970.72034</v>
      </c>
      <c r="G147" s="83">
        <v>69970.72034</v>
      </c>
      <c r="H147" s="83">
        <v>69970.72034</v>
      </c>
      <c r="I147" s="88">
        <v>69970.72034</v>
      </c>
      <c r="J147" s="88">
        <v>69970.72034</v>
      </c>
      <c r="K147" s="88">
        <v>69970.72034</v>
      </c>
      <c r="L147" s="88">
        <v>69970.72034</v>
      </c>
      <c r="M147" s="88">
        <v>69970.72034</v>
      </c>
    </row>
    <row r="148" spans="2:13" outlineLevel="1" x14ac:dyDescent="0.35">
      <c r="B148" s="48" t="s">
        <v>86</v>
      </c>
      <c r="C148" s="62" t="s">
        <v>175</v>
      </c>
      <c r="D148" s="83">
        <v>82324.105240000004</v>
      </c>
      <c r="E148" s="83">
        <v>82324.105240000004</v>
      </c>
      <c r="F148" s="83">
        <v>82324.105240000004</v>
      </c>
      <c r="G148" s="83">
        <v>82324.105240000004</v>
      </c>
      <c r="H148" s="83">
        <v>82324.105240000004</v>
      </c>
      <c r="I148" s="88">
        <v>82324.105240000004</v>
      </c>
      <c r="J148" s="88">
        <v>82324.105240000004</v>
      </c>
      <c r="K148" s="88">
        <v>82324.105240000004</v>
      </c>
      <c r="L148" s="88">
        <v>82324.105240000004</v>
      </c>
      <c r="M148" s="88">
        <v>82324.105240000004</v>
      </c>
    </row>
    <row r="149" spans="2:13" outlineLevel="1" x14ac:dyDescent="0.35">
      <c r="B149" s="48" t="s">
        <v>87</v>
      </c>
      <c r="C149" s="62" t="s">
        <v>175</v>
      </c>
      <c r="D149" s="83">
        <v>68343.032569999996</v>
      </c>
      <c r="E149" s="83">
        <v>68343.032569999996</v>
      </c>
      <c r="F149" s="83">
        <v>68343.032569999996</v>
      </c>
      <c r="G149" s="83">
        <v>68343.032569999996</v>
      </c>
      <c r="H149" s="83">
        <v>68343.032569999996</v>
      </c>
      <c r="I149" s="88">
        <v>68343.032569999996</v>
      </c>
      <c r="J149" s="88">
        <v>68343.032569999996</v>
      </c>
      <c r="K149" s="88">
        <v>68343.032569999996</v>
      </c>
      <c r="L149" s="88">
        <v>68343.032569999996</v>
      </c>
      <c r="M149" s="88">
        <v>68343.032569999996</v>
      </c>
    </row>
    <row r="150" spans="2:13" outlineLevel="1" x14ac:dyDescent="0.35">
      <c r="B150" s="48" t="s">
        <v>88</v>
      </c>
      <c r="C150" s="62" t="s">
        <v>175</v>
      </c>
      <c r="D150" s="83">
        <v>230799.19760000001</v>
      </c>
      <c r="E150" s="83">
        <v>230799.19760000001</v>
      </c>
      <c r="F150" s="83">
        <v>230799.19760000001</v>
      </c>
      <c r="G150" s="83">
        <v>230799.19760000001</v>
      </c>
      <c r="H150" s="83">
        <v>230799.19760000001</v>
      </c>
      <c r="I150" s="88">
        <v>230799.19760000001</v>
      </c>
      <c r="J150" s="88">
        <v>230799.19760000001</v>
      </c>
      <c r="K150" s="88">
        <v>230799.19760000001</v>
      </c>
      <c r="L150" s="88">
        <v>230799.19760000001</v>
      </c>
      <c r="M150" s="88">
        <v>230799.19760000001</v>
      </c>
    </row>
    <row r="151" spans="2:13" outlineLevel="1" x14ac:dyDescent="0.35">
      <c r="B151" s="48" t="s">
        <v>89</v>
      </c>
      <c r="C151" s="62" t="s">
        <v>175</v>
      </c>
      <c r="D151" s="83">
        <v>68896.712180000002</v>
      </c>
      <c r="E151" s="83">
        <v>68896.712180000002</v>
      </c>
      <c r="F151" s="83">
        <v>68896.712180000002</v>
      </c>
      <c r="G151" s="83">
        <v>68896.712180000002</v>
      </c>
      <c r="H151" s="83">
        <v>68896.712180000002</v>
      </c>
      <c r="I151" s="88">
        <v>68896.712180000002</v>
      </c>
      <c r="J151" s="88">
        <v>68896.712180000002</v>
      </c>
      <c r="K151" s="88">
        <v>68896.712180000002</v>
      </c>
      <c r="L151" s="88">
        <v>68896.712180000002</v>
      </c>
      <c r="M151" s="88">
        <v>68896.712180000002</v>
      </c>
    </row>
    <row r="152" spans="2:13" outlineLevel="1" x14ac:dyDescent="0.35">
      <c r="B152" s="48" t="s">
        <v>90</v>
      </c>
      <c r="C152" s="62" t="s">
        <v>175</v>
      </c>
      <c r="D152" s="83">
        <v>251346.4118</v>
      </c>
      <c r="E152" s="83">
        <v>251346.4118</v>
      </c>
      <c r="F152" s="83">
        <v>251346.4118</v>
      </c>
      <c r="G152" s="83">
        <v>251346.4118</v>
      </c>
      <c r="H152" s="83">
        <v>251346.4118</v>
      </c>
      <c r="I152" s="88">
        <v>251346.4118</v>
      </c>
      <c r="J152" s="88">
        <v>251346.4118</v>
      </c>
      <c r="K152" s="88">
        <v>251346.4118</v>
      </c>
      <c r="L152" s="88">
        <v>251346.4118</v>
      </c>
      <c r="M152" s="88">
        <v>251346.4118</v>
      </c>
    </row>
    <row r="153" spans="2:13" outlineLevel="1" x14ac:dyDescent="0.35">
      <c r="B153" s="294" t="s">
        <v>91</v>
      </c>
      <c r="C153" s="62" t="s">
        <v>175</v>
      </c>
      <c r="D153" s="83">
        <v>88290.687760000001</v>
      </c>
      <c r="E153" s="83">
        <v>88290.687760000001</v>
      </c>
      <c r="F153" s="83">
        <v>88290.687760000001</v>
      </c>
      <c r="G153" s="83">
        <v>88290.687760000001</v>
      </c>
      <c r="H153" s="83">
        <v>88290.687760000001</v>
      </c>
      <c r="I153" s="88">
        <v>88290.687760000001</v>
      </c>
      <c r="J153" s="88">
        <v>88290.687760000001</v>
      </c>
      <c r="K153" s="88">
        <v>88290.687760000001</v>
      </c>
      <c r="L153" s="88">
        <v>88290.687760000001</v>
      </c>
      <c r="M153" s="88">
        <v>88290.687760000001</v>
      </c>
    </row>
    <row r="154" spans="2:13" outlineLevel="1" x14ac:dyDescent="0.35">
      <c r="B154" s="294" t="s">
        <v>92</v>
      </c>
      <c r="C154" s="62" t="s">
        <v>175</v>
      </c>
      <c r="D154" s="83">
        <v>103597.2865</v>
      </c>
      <c r="E154" s="83">
        <v>103597.2865</v>
      </c>
      <c r="F154" s="83">
        <v>103597.2865</v>
      </c>
      <c r="G154" s="83">
        <v>103597.2865</v>
      </c>
      <c r="H154" s="83">
        <v>103597.2865</v>
      </c>
      <c r="I154" s="88">
        <v>103597.2865</v>
      </c>
      <c r="J154" s="88">
        <v>103597.2865</v>
      </c>
      <c r="K154" s="88">
        <v>103597.2865</v>
      </c>
      <c r="L154" s="88">
        <v>103597.2865</v>
      </c>
      <c r="M154" s="88">
        <v>103597.2865</v>
      </c>
    </row>
    <row r="155" spans="2:13" outlineLevel="1" x14ac:dyDescent="0.35">
      <c r="B155" s="294" t="s">
        <v>93</v>
      </c>
      <c r="C155" s="62" t="s">
        <v>175</v>
      </c>
      <c r="D155" s="83">
        <v>69733.817930000005</v>
      </c>
      <c r="E155" s="83">
        <v>69733.817930000005</v>
      </c>
      <c r="F155" s="83">
        <v>69733.817930000005</v>
      </c>
      <c r="G155" s="83">
        <v>69733.817930000005</v>
      </c>
      <c r="H155" s="83">
        <v>69733.817930000005</v>
      </c>
      <c r="I155" s="88">
        <v>69733.817930000005</v>
      </c>
      <c r="J155" s="88">
        <v>69733.817930000005</v>
      </c>
      <c r="K155" s="88">
        <v>69733.817930000005</v>
      </c>
      <c r="L155" s="88">
        <v>69733.817930000005</v>
      </c>
      <c r="M155" s="88">
        <v>69733.817930000005</v>
      </c>
    </row>
    <row r="156" spans="2:13" outlineLevel="1" x14ac:dyDescent="0.35">
      <c r="B156" s="294" t="s">
        <v>94</v>
      </c>
      <c r="C156" s="62" t="s">
        <v>175</v>
      </c>
      <c r="D156" s="83">
        <v>163032.45699999999</v>
      </c>
      <c r="E156" s="83">
        <v>163032.45699999999</v>
      </c>
      <c r="F156" s="83">
        <v>163032.45699999999</v>
      </c>
      <c r="G156" s="83">
        <v>163032.45699999999</v>
      </c>
      <c r="H156" s="83">
        <v>163032.45699999999</v>
      </c>
      <c r="I156" s="88">
        <v>163032.45699999999</v>
      </c>
      <c r="J156" s="88">
        <v>163032.45699999999</v>
      </c>
      <c r="K156" s="88">
        <v>163032.45699999999</v>
      </c>
      <c r="L156" s="88">
        <v>163032.45699999999</v>
      </c>
      <c r="M156" s="88">
        <v>163032.45699999999</v>
      </c>
    </row>
    <row r="157" spans="2:13" outlineLevel="1" x14ac:dyDescent="0.35">
      <c r="B157" s="294" t="s">
        <v>95</v>
      </c>
      <c r="C157" s="62" t="s">
        <v>175</v>
      </c>
      <c r="D157" s="83">
        <v>101592.6979</v>
      </c>
      <c r="E157" s="83">
        <v>101592.6979</v>
      </c>
      <c r="F157" s="83">
        <v>101592.6979</v>
      </c>
      <c r="G157" s="83">
        <v>101592.6979</v>
      </c>
      <c r="H157" s="83">
        <v>101592.6979</v>
      </c>
      <c r="I157" s="88">
        <v>101592.6979</v>
      </c>
      <c r="J157" s="88">
        <v>101592.6979</v>
      </c>
      <c r="K157" s="88">
        <v>101592.6979</v>
      </c>
      <c r="L157" s="88">
        <v>101592.6979</v>
      </c>
      <c r="M157" s="88">
        <v>101592.6979</v>
      </c>
    </row>
    <row r="158" spans="2:13" outlineLevel="1" x14ac:dyDescent="0.35">
      <c r="B158" s="294" t="s">
        <v>96</v>
      </c>
      <c r="C158" s="62" t="s">
        <v>175</v>
      </c>
      <c r="D158" s="83">
        <v>34356.229070000001</v>
      </c>
      <c r="E158" s="83">
        <v>34356.229070000001</v>
      </c>
      <c r="F158" s="83">
        <v>34356.229070000001</v>
      </c>
      <c r="G158" s="83">
        <v>34356.229070000001</v>
      </c>
      <c r="H158" s="83">
        <v>34356.229070000001</v>
      </c>
      <c r="I158" s="88">
        <v>34356.229070000001</v>
      </c>
      <c r="J158" s="88">
        <v>34356.229070000001</v>
      </c>
      <c r="K158" s="88">
        <v>34356.229070000001</v>
      </c>
      <c r="L158" s="88">
        <v>34356.229070000001</v>
      </c>
      <c r="M158" s="88">
        <v>34356.229070000001</v>
      </c>
    </row>
    <row r="159" spans="2:13" outlineLevel="1" x14ac:dyDescent="0.35">
      <c r="B159" s="294" t="s">
        <v>97</v>
      </c>
      <c r="C159" s="62" t="s">
        <v>175</v>
      </c>
      <c r="D159" s="83">
        <v>103437.5465</v>
      </c>
      <c r="E159" s="83">
        <v>103437.5465</v>
      </c>
      <c r="F159" s="83">
        <v>103437.5465</v>
      </c>
      <c r="G159" s="83">
        <v>103437.5465</v>
      </c>
      <c r="H159" s="83">
        <v>103437.5465</v>
      </c>
      <c r="I159" s="88">
        <v>103437.5465</v>
      </c>
      <c r="J159" s="88">
        <v>103437.5465</v>
      </c>
      <c r="K159" s="88">
        <v>103437.5465</v>
      </c>
      <c r="L159" s="88">
        <v>103437.5465</v>
      </c>
      <c r="M159" s="88">
        <v>103437.5465</v>
      </c>
    </row>
    <row r="160" spans="2:13" outlineLevel="1" x14ac:dyDescent="0.35">
      <c r="B160" s="294" t="s">
        <v>98</v>
      </c>
      <c r="C160" s="62" t="s">
        <v>175</v>
      </c>
      <c r="D160" s="83">
        <v>166121.78539999999</v>
      </c>
      <c r="E160" s="83">
        <v>166121.78539999999</v>
      </c>
      <c r="F160" s="83">
        <v>166121.78539999999</v>
      </c>
      <c r="G160" s="83">
        <v>166121.78539999999</v>
      </c>
      <c r="H160" s="83">
        <v>166121.78539999999</v>
      </c>
      <c r="I160" s="88">
        <v>166121.78539999999</v>
      </c>
      <c r="J160" s="88">
        <v>166121.78539999999</v>
      </c>
      <c r="K160" s="88">
        <v>166121.78539999999</v>
      </c>
      <c r="L160" s="88">
        <v>166121.78539999999</v>
      </c>
      <c r="M160" s="88">
        <v>166121.78539999999</v>
      </c>
    </row>
    <row r="161" spans="2:13" outlineLevel="1" x14ac:dyDescent="0.35">
      <c r="B161" s="294" t="s">
        <v>99</v>
      </c>
      <c r="C161" s="62" t="s">
        <v>175</v>
      </c>
      <c r="D161" s="83">
        <v>363131.26630000002</v>
      </c>
      <c r="E161" s="83">
        <v>363131.26630000002</v>
      </c>
      <c r="F161" s="83">
        <v>363131.26630000002</v>
      </c>
      <c r="G161" s="83">
        <v>363131.26630000002</v>
      </c>
      <c r="H161" s="83">
        <v>363131.26630000002</v>
      </c>
      <c r="I161" s="88">
        <v>363131.26630000002</v>
      </c>
      <c r="J161" s="88">
        <v>363131.26630000002</v>
      </c>
      <c r="K161" s="88">
        <v>363131.26630000002</v>
      </c>
      <c r="L161" s="88">
        <v>363131.26630000002</v>
      </c>
      <c r="M161" s="88">
        <v>363131.26630000002</v>
      </c>
    </row>
    <row r="162" spans="2:13" outlineLevel="1" x14ac:dyDescent="0.35">
      <c r="B162" s="294" t="s">
        <v>100</v>
      </c>
      <c r="C162" s="62" t="s">
        <v>175</v>
      </c>
      <c r="D162" s="83">
        <v>94985.6158</v>
      </c>
      <c r="E162" s="83">
        <v>94985.6158</v>
      </c>
      <c r="F162" s="83">
        <v>94985.6158</v>
      </c>
      <c r="G162" s="83">
        <v>94985.6158</v>
      </c>
      <c r="H162" s="83">
        <v>94985.6158</v>
      </c>
      <c r="I162" s="88">
        <v>94985.6158</v>
      </c>
      <c r="J162" s="88">
        <v>94985.6158</v>
      </c>
      <c r="K162" s="88">
        <v>94985.6158</v>
      </c>
      <c r="L162" s="88">
        <v>94985.6158</v>
      </c>
      <c r="M162" s="88">
        <v>94985.6158</v>
      </c>
    </row>
    <row r="163" spans="2:13" outlineLevel="1" x14ac:dyDescent="0.35">
      <c r="B163" s="294" t="s">
        <v>101</v>
      </c>
      <c r="C163" s="62" t="s">
        <v>175</v>
      </c>
      <c r="D163" s="83">
        <v>93987.590500000006</v>
      </c>
      <c r="E163" s="83">
        <v>93987.590500000006</v>
      </c>
      <c r="F163" s="83">
        <v>93987.590500000006</v>
      </c>
      <c r="G163" s="83">
        <v>93987.590500000006</v>
      </c>
      <c r="H163" s="83">
        <v>93987.590500000006</v>
      </c>
      <c r="I163" s="88">
        <v>93987.590500000006</v>
      </c>
      <c r="J163" s="88">
        <v>93987.590500000006</v>
      </c>
      <c r="K163" s="88">
        <v>93987.590500000006</v>
      </c>
      <c r="L163" s="88">
        <v>93987.590500000006</v>
      </c>
      <c r="M163" s="88">
        <v>93987.590500000006</v>
      </c>
    </row>
    <row r="164" spans="2:13" outlineLevel="1" x14ac:dyDescent="0.35">
      <c r="B164" s="294" t="s">
        <v>102</v>
      </c>
      <c r="C164" s="62" t="s">
        <v>175</v>
      </c>
      <c r="D164" s="83">
        <v>75008.903269999995</v>
      </c>
      <c r="E164" s="83">
        <v>75008.903269999995</v>
      </c>
      <c r="F164" s="83">
        <v>75008.903269999995</v>
      </c>
      <c r="G164" s="83">
        <v>75008.903269999995</v>
      </c>
      <c r="H164" s="83">
        <v>75008.903269999995</v>
      </c>
      <c r="I164" s="88">
        <v>75008.903269999995</v>
      </c>
      <c r="J164" s="88">
        <v>75008.903269999995</v>
      </c>
      <c r="K164" s="88">
        <v>75008.903269999995</v>
      </c>
      <c r="L164" s="88">
        <v>75008.903269999995</v>
      </c>
      <c r="M164" s="88">
        <v>75008.903269999995</v>
      </c>
    </row>
    <row r="165" spans="2:13" outlineLevel="1" x14ac:dyDescent="0.35">
      <c r="B165" s="294" t="s">
        <v>103</v>
      </c>
      <c r="C165" s="62" t="s">
        <v>175</v>
      </c>
      <c r="D165" s="83">
        <v>68016.081550000003</v>
      </c>
      <c r="E165" s="83">
        <v>68016.081550000003</v>
      </c>
      <c r="F165" s="83">
        <v>68016.081550000003</v>
      </c>
      <c r="G165" s="83">
        <v>68016.081550000003</v>
      </c>
      <c r="H165" s="83">
        <v>68016.081550000003</v>
      </c>
      <c r="I165" s="88">
        <v>68016.081550000003</v>
      </c>
      <c r="J165" s="88">
        <v>68016.081550000003</v>
      </c>
      <c r="K165" s="88">
        <v>68016.081550000003</v>
      </c>
      <c r="L165" s="88">
        <v>68016.081550000003</v>
      </c>
      <c r="M165" s="88">
        <v>68016.081550000003</v>
      </c>
    </row>
    <row r="166" spans="2:13" outlineLevel="1" x14ac:dyDescent="0.35">
      <c r="B166" s="294" t="s">
        <v>104</v>
      </c>
      <c r="C166" s="62" t="s">
        <v>175</v>
      </c>
      <c r="D166" s="83">
        <v>44313.543290000001</v>
      </c>
      <c r="E166" s="83">
        <v>44313.543290000001</v>
      </c>
      <c r="F166" s="83">
        <v>44313.543290000001</v>
      </c>
      <c r="G166" s="83">
        <v>44313.543290000001</v>
      </c>
      <c r="H166" s="83">
        <v>44313.543290000001</v>
      </c>
      <c r="I166" s="88">
        <v>44313.543290000001</v>
      </c>
      <c r="J166" s="88">
        <v>44313.543290000001</v>
      </c>
      <c r="K166" s="88">
        <v>44313.543290000001</v>
      </c>
      <c r="L166" s="88">
        <v>44313.543290000001</v>
      </c>
      <c r="M166" s="88">
        <v>44313.543290000001</v>
      </c>
    </row>
    <row r="167" spans="2:13" outlineLevel="1" x14ac:dyDescent="0.35">
      <c r="B167" s="294" t="s">
        <v>136</v>
      </c>
      <c r="C167" s="62" t="s">
        <v>175</v>
      </c>
      <c r="D167" s="83"/>
      <c r="E167" s="83"/>
      <c r="F167" s="83"/>
      <c r="G167" s="83"/>
      <c r="H167" s="83"/>
      <c r="I167" s="88"/>
      <c r="J167" s="88"/>
      <c r="K167" s="88"/>
      <c r="L167" s="88"/>
      <c r="M167" s="88"/>
    </row>
    <row r="168" spans="2:13" outlineLevel="1" x14ac:dyDescent="0.35">
      <c r="B168" s="294" t="s">
        <v>106</v>
      </c>
      <c r="C168" s="62" t="s">
        <v>175</v>
      </c>
      <c r="D168" s="83">
        <v>89645.907200000001</v>
      </c>
      <c r="E168" s="83">
        <v>89645.907200000001</v>
      </c>
      <c r="F168" s="83">
        <v>89645.907200000001</v>
      </c>
      <c r="G168" s="83">
        <v>89645.907200000001</v>
      </c>
      <c r="H168" s="83">
        <v>89645.907200000001</v>
      </c>
      <c r="I168" s="88">
        <v>89645.907200000001</v>
      </c>
      <c r="J168" s="88">
        <v>89645.907200000001</v>
      </c>
      <c r="K168" s="88">
        <v>89645.907200000001</v>
      </c>
      <c r="L168" s="88">
        <v>89645.907200000001</v>
      </c>
      <c r="M168" s="88">
        <v>89645.907200000001</v>
      </c>
    </row>
    <row r="169" spans="2:13" outlineLevel="1" x14ac:dyDescent="0.35">
      <c r="B169" s="294" t="s">
        <v>107</v>
      </c>
      <c r="C169" s="62" t="s">
        <v>175</v>
      </c>
      <c r="D169" s="83">
        <v>87268.193180000002</v>
      </c>
      <c r="E169" s="83">
        <v>87268.193180000002</v>
      </c>
      <c r="F169" s="83">
        <v>87268.193180000002</v>
      </c>
      <c r="G169" s="83">
        <v>87268.193180000002</v>
      </c>
      <c r="H169" s="83">
        <v>87268.193180000002</v>
      </c>
      <c r="I169" s="88">
        <v>87268.193180000002</v>
      </c>
      <c r="J169" s="88">
        <v>87268.193180000002</v>
      </c>
      <c r="K169" s="88">
        <v>87268.193180000002</v>
      </c>
      <c r="L169" s="88">
        <v>87268.193180000002</v>
      </c>
      <c r="M169" s="88">
        <v>87268.193180000002</v>
      </c>
    </row>
    <row r="170" spans="2:13" outlineLevel="1" x14ac:dyDescent="0.35">
      <c r="B170" s="294" t="s">
        <v>108</v>
      </c>
      <c r="C170" s="62" t="s">
        <v>175</v>
      </c>
      <c r="D170" s="83">
        <v>111528.4617</v>
      </c>
      <c r="E170" s="83">
        <v>111528.4617</v>
      </c>
      <c r="F170" s="83">
        <v>111528.4617</v>
      </c>
      <c r="G170" s="83">
        <v>111528.4617</v>
      </c>
      <c r="H170" s="83">
        <v>111528.4617</v>
      </c>
      <c r="I170" s="88">
        <v>111528.4617</v>
      </c>
      <c r="J170" s="88">
        <v>111528.4617</v>
      </c>
      <c r="K170" s="88">
        <v>111528.4617</v>
      </c>
      <c r="L170" s="88">
        <v>111528.4617</v>
      </c>
      <c r="M170" s="88">
        <v>111528.4617</v>
      </c>
    </row>
    <row r="171" spans="2:13" outlineLevel="1" x14ac:dyDescent="0.35">
      <c r="B171" s="294" t="s">
        <v>109</v>
      </c>
      <c r="C171" s="62" t="s">
        <v>175</v>
      </c>
      <c r="D171" s="83">
        <v>86931.497409999996</v>
      </c>
      <c r="E171" s="83">
        <v>86931.497409999996</v>
      </c>
      <c r="F171" s="83">
        <v>86931.497409999996</v>
      </c>
      <c r="G171" s="83">
        <v>86931.497409999996</v>
      </c>
      <c r="H171" s="83">
        <v>86931.497409999996</v>
      </c>
      <c r="I171" s="88">
        <v>86931.497409999996</v>
      </c>
      <c r="J171" s="88">
        <v>86931.497409999996</v>
      </c>
      <c r="K171" s="88">
        <v>86931.497409999996</v>
      </c>
      <c r="L171" s="88">
        <v>86931.497409999996</v>
      </c>
      <c r="M171" s="88">
        <v>86931.497409999996</v>
      </c>
    </row>
    <row r="172" spans="2:13" outlineLevel="1" x14ac:dyDescent="0.35">
      <c r="B172" s="294" t="s">
        <v>110</v>
      </c>
      <c r="C172" s="62" t="s">
        <v>175</v>
      </c>
      <c r="D172" s="83">
        <v>77551.015929999994</v>
      </c>
      <c r="E172" s="83">
        <v>77551.015929999994</v>
      </c>
      <c r="F172" s="83">
        <v>77551.015929999994</v>
      </c>
      <c r="G172" s="83">
        <v>77551.015929999994</v>
      </c>
      <c r="H172" s="83">
        <v>77551.015929999994</v>
      </c>
      <c r="I172" s="88">
        <v>77551.015929999994</v>
      </c>
      <c r="J172" s="88">
        <v>77551.015929999994</v>
      </c>
      <c r="K172" s="88">
        <v>77551.015929999994</v>
      </c>
      <c r="L172" s="88">
        <v>77551.015929999994</v>
      </c>
      <c r="M172" s="88">
        <v>77551.015929999994</v>
      </c>
    </row>
    <row r="173" spans="2:13" outlineLevel="1" x14ac:dyDescent="0.35">
      <c r="B173" s="294" t="s">
        <v>111</v>
      </c>
      <c r="C173" s="62" t="s">
        <v>175</v>
      </c>
      <c r="D173" s="83">
        <v>210039.90960000001</v>
      </c>
      <c r="E173" s="83">
        <v>210039.90960000001</v>
      </c>
      <c r="F173" s="83">
        <v>210039.90960000001</v>
      </c>
      <c r="G173" s="83">
        <v>210039.90960000001</v>
      </c>
      <c r="H173" s="83">
        <v>210039.90960000001</v>
      </c>
      <c r="I173" s="88">
        <v>210039.90960000001</v>
      </c>
      <c r="J173" s="88">
        <v>210039.90960000001</v>
      </c>
      <c r="K173" s="88">
        <v>210039.90960000001</v>
      </c>
      <c r="L173" s="88">
        <v>210039.90960000001</v>
      </c>
      <c r="M173" s="88">
        <v>210039.90960000001</v>
      </c>
    </row>
    <row r="174" spans="2:13" outlineLevel="1" x14ac:dyDescent="0.35">
      <c r="B174" s="294" t="s">
        <v>112</v>
      </c>
      <c r="C174" s="62" t="s">
        <v>175</v>
      </c>
      <c r="D174" s="83">
        <v>193367.5019</v>
      </c>
      <c r="E174" s="83">
        <v>193367.5019</v>
      </c>
      <c r="F174" s="83">
        <v>193367.5019</v>
      </c>
      <c r="G174" s="83">
        <v>193367.5019</v>
      </c>
      <c r="H174" s="83">
        <v>193367.5019</v>
      </c>
      <c r="I174" s="88">
        <v>193367.5019</v>
      </c>
      <c r="J174" s="88">
        <v>193367.5019</v>
      </c>
      <c r="K174" s="88">
        <v>193367.5019</v>
      </c>
      <c r="L174" s="88">
        <v>193367.5019</v>
      </c>
      <c r="M174" s="88">
        <v>193367.5019</v>
      </c>
    </row>
    <row r="175" spans="2:13" outlineLevel="1" x14ac:dyDescent="0.35">
      <c r="B175" s="294" t="s">
        <v>113</v>
      </c>
      <c r="C175" s="62" t="s">
        <v>175</v>
      </c>
      <c r="D175" s="83">
        <v>66646.959539999996</v>
      </c>
      <c r="E175" s="83">
        <v>66646.959539999996</v>
      </c>
      <c r="F175" s="83">
        <v>66646.959539999996</v>
      </c>
      <c r="G175" s="83">
        <v>66646.959539999996</v>
      </c>
      <c r="H175" s="83">
        <v>66646.959539999996</v>
      </c>
      <c r="I175" s="88">
        <v>66646.959539999996</v>
      </c>
      <c r="J175" s="88">
        <v>66646.959539999996</v>
      </c>
      <c r="K175" s="88">
        <v>66646.959539999996</v>
      </c>
      <c r="L175" s="88">
        <v>66646.959539999996</v>
      </c>
      <c r="M175" s="88">
        <v>66646.959539999996</v>
      </c>
    </row>
    <row r="176" spans="2:13" outlineLevel="1" x14ac:dyDescent="0.35">
      <c r="B176" s="294" t="s">
        <v>114</v>
      </c>
      <c r="C176" s="62" t="s">
        <v>175</v>
      </c>
      <c r="D176" s="83">
        <v>94181.011190000005</v>
      </c>
      <c r="E176" s="83">
        <v>94181.011190000005</v>
      </c>
      <c r="F176" s="83">
        <v>94181.011190000005</v>
      </c>
      <c r="G176" s="83">
        <v>94181.011190000005</v>
      </c>
      <c r="H176" s="83">
        <v>94181.011190000005</v>
      </c>
      <c r="I176" s="88">
        <v>94181.011190000005</v>
      </c>
      <c r="J176" s="88">
        <v>94181.011190000005</v>
      </c>
      <c r="K176" s="88">
        <v>94181.011190000005</v>
      </c>
      <c r="L176" s="88">
        <v>94181.011190000005</v>
      </c>
      <c r="M176" s="88">
        <v>94181.011190000005</v>
      </c>
    </row>
    <row r="177" spans="2:14" outlineLevel="1" x14ac:dyDescent="0.35">
      <c r="B177" s="294" t="s">
        <v>115</v>
      </c>
      <c r="C177" s="62" t="s">
        <v>175</v>
      </c>
      <c r="D177" s="83">
        <v>231090.57260000001</v>
      </c>
      <c r="E177" s="83">
        <v>231090.57260000001</v>
      </c>
      <c r="F177" s="83">
        <v>231090.57260000001</v>
      </c>
      <c r="G177" s="83">
        <v>231090.57260000001</v>
      </c>
      <c r="H177" s="83">
        <v>231090.57260000001</v>
      </c>
      <c r="I177" s="88">
        <v>231090.57260000001</v>
      </c>
      <c r="J177" s="88">
        <v>231090.57260000001</v>
      </c>
      <c r="K177" s="88">
        <v>231090.57260000001</v>
      </c>
      <c r="L177" s="88">
        <v>231090.57260000001</v>
      </c>
      <c r="M177" s="88">
        <v>231090.57260000001</v>
      </c>
    </row>
    <row r="178" spans="2:14" outlineLevel="1" x14ac:dyDescent="0.35">
      <c r="B178" s="294" t="s">
        <v>116</v>
      </c>
      <c r="C178" s="62" t="s">
        <v>175</v>
      </c>
      <c r="D178" s="83">
        <v>96587.650890000004</v>
      </c>
      <c r="E178" s="83">
        <v>96587.650890000004</v>
      </c>
      <c r="F178" s="83">
        <v>96587.650890000004</v>
      </c>
      <c r="G178" s="83">
        <v>96587.650890000004</v>
      </c>
      <c r="H178" s="83">
        <v>96587.650890000004</v>
      </c>
      <c r="I178" s="88">
        <v>96587.650890000004</v>
      </c>
      <c r="J178" s="88">
        <v>96587.650890000004</v>
      </c>
      <c r="K178" s="88">
        <v>96587.650890000004</v>
      </c>
      <c r="L178" s="88">
        <v>96587.650890000004</v>
      </c>
      <c r="M178" s="88">
        <v>96587.650890000004</v>
      </c>
    </row>
    <row r="179" spans="2:14" outlineLevel="1" x14ac:dyDescent="0.35">
      <c r="B179" s="294" t="s">
        <v>117</v>
      </c>
      <c r="C179" s="62" t="s">
        <v>175</v>
      </c>
      <c r="D179" s="83">
        <v>271543.23879999999</v>
      </c>
      <c r="E179" s="83">
        <v>271543.23879999999</v>
      </c>
      <c r="F179" s="83">
        <v>271543.23879999999</v>
      </c>
      <c r="G179" s="83">
        <v>271543.23879999999</v>
      </c>
      <c r="H179" s="83">
        <v>271543.23879999999</v>
      </c>
      <c r="I179" s="88">
        <v>271543.23879999999</v>
      </c>
      <c r="J179" s="88">
        <v>271543.23879999999</v>
      </c>
      <c r="K179" s="88">
        <v>271543.23879999999</v>
      </c>
      <c r="L179" s="88">
        <v>271543.23879999999</v>
      </c>
      <c r="M179" s="88">
        <v>271543.23879999999</v>
      </c>
    </row>
    <row r="180" spans="2:14" outlineLevel="1" x14ac:dyDescent="0.35">
      <c r="B180" s="294" t="s">
        <v>118</v>
      </c>
      <c r="C180" s="62" t="s">
        <v>175</v>
      </c>
      <c r="D180" s="83">
        <v>137282.56959999999</v>
      </c>
      <c r="E180" s="83">
        <v>137282.56959999999</v>
      </c>
      <c r="F180" s="83">
        <v>137282.56959999999</v>
      </c>
      <c r="G180" s="83">
        <v>137282.56959999999</v>
      </c>
      <c r="H180" s="83">
        <v>137282.56959999999</v>
      </c>
      <c r="I180" s="88">
        <v>137282.56959999999</v>
      </c>
      <c r="J180" s="88">
        <v>137282.56959999999</v>
      </c>
      <c r="K180" s="88">
        <v>137282.56959999999</v>
      </c>
      <c r="L180" s="88">
        <v>137282.56959999999</v>
      </c>
      <c r="M180" s="88">
        <v>137282.56959999999</v>
      </c>
    </row>
    <row r="181" spans="2:14" outlineLevel="1" x14ac:dyDescent="0.35">
      <c r="B181" s="294" t="s">
        <v>119</v>
      </c>
      <c r="C181" s="62" t="s">
        <v>175</v>
      </c>
      <c r="D181" s="83">
        <v>1229.404806</v>
      </c>
      <c r="E181" s="83">
        <v>1229.404806</v>
      </c>
      <c r="F181" s="83">
        <v>1229.404806</v>
      </c>
      <c r="G181" s="83">
        <v>1229.404806</v>
      </c>
      <c r="H181" s="83">
        <v>1229.404806</v>
      </c>
      <c r="I181" s="88">
        <v>1229.404806</v>
      </c>
      <c r="J181" s="88">
        <v>1229.404806</v>
      </c>
      <c r="K181" s="88">
        <v>1229.404806</v>
      </c>
      <c r="L181" s="88">
        <v>1229.404806</v>
      </c>
      <c r="M181" s="88">
        <v>1229.404806</v>
      </c>
    </row>
    <row r="182" spans="2:14" outlineLevel="1" x14ac:dyDescent="0.35">
      <c r="B182" s="294" t="s">
        <v>120</v>
      </c>
      <c r="C182" s="62" t="s">
        <v>175</v>
      </c>
      <c r="D182" s="83">
        <v>301695.44689999998</v>
      </c>
      <c r="E182" s="83">
        <v>301695.44689999998</v>
      </c>
      <c r="F182" s="83">
        <v>301695.44689999998</v>
      </c>
      <c r="G182" s="83">
        <v>301695.44689999998</v>
      </c>
      <c r="H182" s="83">
        <v>301695.44689999998</v>
      </c>
      <c r="I182" s="88">
        <v>301695.44689999998</v>
      </c>
      <c r="J182" s="88">
        <v>301695.44689999998</v>
      </c>
      <c r="K182" s="88">
        <v>301695.44689999998</v>
      </c>
      <c r="L182" s="88">
        <v>301695.44689999998</v>
      </c>
      <c r="M182" s="88">
        <v>301695.44689999998</v>
      </c>
    </row>
    <row r="183" spans="2:14" outlineLevel="1" x14ac:dyDescent="0.35">
      <c r="B183" s="294" t="s">
        <v>121</v>
      </c>
      <c r="C183" s="62" t="s">
        <v>175</v>
      </c>
      <c r="D183" s="83">
        <v>72731.648079999999</v>
      </c>
      <c r="E183" s="83">
        <v>72731.648079999999</v>
      </c>
      <c r="F183" s="83">
        <v>72731.648079999999</v>
      </c>
      <c r="G183" s="83">
        <v>72731.648079999999</v>
      </c>
      <c r="H183" s="83">
        <v>72731.648079999999</v>
      </c>
      <c r="I183" s="88">
        <v>72731.648079999999</v>
      </c>
      <c r="J183" s="88">
        <v>72731.648079999999</v>
      </c>
      <c r="K183" s="88">
        <v>72731.648079999999</v>
      </c>
      <c r="L183" s="88">
        <v>72731.648079999999</v>
      </c>
      <c r="M183" s="88">
        <v>72731.648079999999</v>
      </c>
    </row>
    <row r="184" spans="2:14" outlineLevel="1" x14ac:dyDescent="0.35">
      <c r="B184" s="294" t="s">
        <v>137</v>
      </c>
      <c r="C184" s="62" t="s">
        <v>175</v>
      </c>
      <c r="D184" s="83">
        <v>24916.505690000002</v>
      </c>
      <c r="E184" s="83">
        <v>24916.505690000002</v>
      </c>
      <c r="F184" s="83">
        <v>24916.505690000002</v>
      </c>
      <c r="G184" s="83">
        <v>24916.505690000002</v>
      </c>
      <c r="H184" s="83">
        <v>24916.505690000002</v>
      </c>
      <c r="I184" s="88">
        <v>24916.505690000002</v>
      </c>
      <c r="J184" s="88">
        <v>24916.505690000002</v>
      </c>
      <c r="K184" s="88">
        <v>24916.505690000002</v>
      </c>
      <c r="L184" s="88">
        <v>24916.505690000002</v>
      </c>
      <c r="M184" s="88">
        <v>24916.505690000002</v>
      </c>
    </row>
    <row r="185" spans="2:14" outlineLevel="1" x14ac:dyDescent="0.35">
      <c r="B185" s="294" t="s">
        <v>123</v>
      </c>
      <c r="C185" s="62" t="s">
        <v>175</v>
      </c>
      <c r="D185" s="83">
        <v>107898.215</v>
      </c>
      <c r="E185" s="83">
        <v>107898.215</v>
      </c>
      <c r="F185" s="83">
        <v>107898.215</v>
      </c>
      <c r="G185" s="83">
        <v>107898.215</v>
      </c>
      <c r="H185" s="83">
        <v>107898.215</v>
      </c>
      <c r="I185" s="88">
        <v>107898.215</v>
      </c>
      <c r="J185" s="88">
        <v>107898.215</v>
      </c>
      <c r="K185" s="88">
        <v>107898.215</v>
      </c>
      <c r="L185" s="88">
        <v>107898.215</v>
      </c>
      <c r="M185" s="88">
        <v>107898.215</v>
      </c>
    </row>
    <row r="186" spans="2:14" outlineLevel="1" x14ac:dyDescent="0.35">
      <c r="B186" s="294" t="s">
        <v>124</v>
      </c>
      <c r="C186" s="62" t="s">
        <v>175</v>
      </c>
      <c r="D186" s="83">
        <v>202302.5466</v>
      </c>
      <c r="E186" s="83">
        <v>202302.5466</v>
      </c>
      <c r="F186" s="83">
        <v>202302.5466</v>
      </c>
      <c r="G186" s="83">
        <v>202302.5466</v>
      </c>
      <c r="H186" s="83">
        <v>202302.5466</v>
      </c>
      <c r="I186" s="88">
        <v>202302.5466</v>
      </c>
      <c r="J186" s="88">
        <v>202302.5466</v>
      </c>
      <c r="K186" s="88">
        <v>202302.5466</v>
      </c>
      <c r="L186" s="88">
        <v>202302.5466</v>
      </c>
      <c r="M186" s="88">
        <v>202302.5466</v>
      </c>
    </row>
    <row r="187" spans="2:14" outlineLevel="1" x14ac:dyDescent="0.35">
      <c r="B187" s="294" t="s">
        <v>125</v>
      </c>
      <c r="C187" s="62" t="s">
        <v>175</v>
      </c>
      <c r="D187" s="83">
        <v>93018.639509999994</v>
      </c>
      <c r="E187" s="83">
        <v>93018.639509999994</v>
      </c>
      <c r="F187" s="83">
        <v>93018.639509999994</v>
      </c>
      <c r="G187" s="83">
        <v>93018.639509999994</v>
      </c>
      <c r="H187" s="83">
        <v>93018.639509999994</v>
      </c>
      <c r="I187" s="88">
        <v>93018.639509999994</v>
      </c>
      <c r="J187" s="88">
        <v>93018.639509999994</v>
      </c>
      <c r="K187" s="88">
        <v>93018.639509999994</v>
      </c>
      <c r="L187" s="88">
        <v>93018.639509999994</v>
      </c>
      <c r="M187" s="88">
        <v>93018.639509999994</v>
      </c>
    </row>
    <row r="188" spans="2:14" outlineLevel="1" x14ac:dyDescent="0.35">
      <c r="B188" s="294" t="s">
        <v>126</v>
      </c>
      <c r="C188" s="62" t="s">
        <v>175</v>
      </c>
      <c r="D188" s="83">
        <v>199581.7794</v>
      </c>
      <c r="E188" s="83">
        <v>199581.7794</v>
      </c>
      <c r="F188" s="83">
        <v>199581.7794</v>
      </c>
      <c r="G188" s="83">
        <v>199581.7794</v>
      </c>
      <c r="H188" s="83">
        <v>199581.7794</v>
      </c>
      <c r="I188" s="88">
        <v>199581.7794</v>
      </c>
      <c r="J188" s="88">
        <v>199581.7794</v>
      </c>
      <c r="K188" s="88">
        <v>199581.7794</v>
      </c>
      <c r="L188" s="88">
        <v>199581.7794</v>
      </c>
      <c r="M188" s="88">
        <v>199581.7794</v>
      </c>
    </row>
    <row r="189" spans="2:14" outlineLevel="1" x14ac:dyDescent="0.35">
      <c r="B189" s="294" t="s">
        <v>127</v>
      </c>
      <c r="C189" s="64" t="s">
        <v>175</v>
      </c>
      <c r="D189" s="83"/>
      <c r="E189" s="83"/>
      <c r="F189" s="83"/>
      <c r="G189" s="83"/>
      <c r="H189" s="83"/>
      <c r="I189" s="88"/>
      <c r="J189" s="88"/>
      <c r="K189" s="88"/>
      <c r="L189" s="88"/>
      <c r="M189" s="88"/>
    </row>
    <row r="190" spans="2:14" outlineLevel="1" x14ac:dyDescent="0.35">
      <c r="B190" s="333" t="s">
        <v>140</v>
      </c>
      <c r="C190" s="65" t="s">
        <v>175</v>
      </c>
      <c r="D190" s="158">
        <f t="shared" ref="D190:M190" si="12">SUM(D136:D189)</f>
        <v>7555829.2807559995</v>
      </c>
      <c r="E190" s="189">
        <f t="shared" si="12"/>
        <v>7555829.2807559995</v>
      </c>
      <c r="F190" s="189">
        <f t="shared" si="12"/>
        <v>7555829.2807559995</v>
      </c>
      <c r="G190" s="189">
        <f t="shared" si="12"/>
        <v>7555829.2807559995</v>
      </c>
      <c r="H190" s="189">
        <f t="shared" si="12"/>
        <v>7555829.2807559995</v>
      </c>
      <c r="I190" s="189">
        <f t="shared" si="12"/>
        <v>7555829.2807559995</v>
      </c>
      <c r="J190" s="189">
        <f t="shared" si="12"/>
        <v>7555829.2807559995</v>
      </c>
      <c r="K190" s="189">
        <f t="shared" si="12"/>
        <v>7555829.2807559995</v>
      </c>
      <c r="L190" s="189">
        <f t="shared" si="12"/>
        <v>7555829.2807559995</v>
      </c>
      <c r="M190" s="189">
        <f t="shared" si="12"/>
        <v>7555829.2807559995</v>
      </c>
    </row>
    <row r="191" spans="2:14" ht="33.75" customHeight="1" x14ac:dyDescent="0.35">
      <c r="B191" s="520" t="s">
        <v>245</v>
      </c>
      <c r="C191" s="520"/>
      <c r="D191" s="520"/>
      <c r="E191" s="520"/>
      <c r="F191" s="520"/>
      <c r="G191" s="520"/>
      <c r="H191" s="520"/>
      <c r="I191" s="520"/>
      <c r="J191" s="520"/>
      <c r="K191" s="520"/>
      <c r="L191" s="520"/>
      <c r="M191" s="520"/>
    </row>
    <row r="192" spans="2:14" ht="15.5" x14ac:dyDescent="0.35">
      <c r="B192" s="419" t="s">
        <v>246</v>
      </c>
      <c r="C192" s="419"/>
      <c r="D192" s="419"/>
      <c r="E192" s="419"/>
      <c r="F192" s="419"/>
      <c r="G192" s="419"/>
      <c r="H192" s="419"/>
      <c r="I192" s="419"/>
      <c r="J192" s="419"/>
      <c r="K192" s="419"/>
      <c r="L192" s="419"/>
      <c r="M192" s="419"/>
      <c r="N192" s="419"/>
    </row>
    <row r="193" spans="2:40" ht="5.9" customHeight="1" outlineLevel="1" x14ac:dyDescent="0.35">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row>
    <row r="194" spans="2:40" outlineLevel="1" x14ac:dyDescent="0.35">
      <c r="B194" s="459"/>
      <c r="C194" s="450" t="s">
        <v>134</v>
      </c>
      <c r="D194" s="435" t="s">
        <v>169</v>
      </c>
      <c r="E194" s="436"/>
      <c r="F194" s="436"/>
      <c r="G194" s="436"/>
      <c r="H194" s="437"/>
      <c r="I194" s="435" t="s">
        <v>170</v>
      </c>
      <c r="J194" s="436"/>
      <c r="K194" s="436"/>
      <c r="L194" s="436"/>
      <c r="M194" s="437"/>
    </row>
    <row r="195" spans="2:40" outlineLevel="1" x14ac:dyDescent="0.35">
      <c r="B195" s="460"/>
      <c r="C195" s="451"/>
      <c r="D195" s="79">
        <f>$C$3-5</f>
        <v>2019</v>
      </c>
      <c r="E195" s="79">
        <f>$C$3-4</f>
        <v>2020</v>
      </c>
      <c r="F195" s="79">
        <f>$C$3-3</f>
        <v>2021</v>
      </c>
      <c r="G195" s="79">
        <f>$C$3-2</f>
        <v>2022</v>
      </c>
      <c r="H195" s="79">
        <f>$C$3-1</f>
        <v>2023</v>
      </c>
      <c r="I195" s="79">
        <f>$C$3</f>
        <v>2024</v>
      </c>
      <c r="J195" s="79">
        <f>$C$3+1</f>
        <v>2025</v>
      </c>
      <c r="K195" s="79">
        <f>$C$3+2</f>
        <v>2026</v>
      </c>
      <c r="L195" s="79">
        <f>$C$3+3</f>
        <v>2027</v>
      </c>
      <c r="M195" s="79">
        <f>$C$3+4</f>
        <v>2028</v>
      </c>
    </row>
    <row r="196" spans="2:40" outlineLevel="1" x14ac:dyDescent="0.35">
      <c r="B196" s="48" t="s">
        <v>74</v>
      </c>
      <c r="C196" s="62" t="s">
        <v>175</v>
      </c>
      <c r="D196" s="86">
        <v>48815.020618026436</v>
      </c>
      <c r="E196" s="86">
        <v>48815.020618026436</v>
      </c>
      <c r="F196" s="86">
        <v>48815.020618026436</v>
      </c>
      <c r="G196" s="86">
        <v>48815.020618026436</v>
      </c>
      <c r="H196" s="86">
        <v>48815.020618026436</v>
      </c>
      <c r="I196" s="86">
        <v>48815.020618026436</v>
      </c>
      <c r="J196" s="86">
        <v>48815.020618026436</v>
      </c>
      <c r="K196" s="86">
        <v>48815.020618026436</v>
      </c>
      <c r="L196" s="86">
        <v>48815.020618026436</v>
      </c>
      <c r="M196" s="86">
        <v>48815.020618026436</v>
      </c>
    </row>
    <row r="197" spans="2:40" s="52" customFormat="1" outlineLevel="1" x14ac:dyDescent="0.3">
      <c r="B197" s="48" t="s">
        <v>75</v>
      </c>
      <c r="C197" s="63" t="s">
        <v>175</v>
      </c>
      <c r="D197" s="87">
        <v>112679.01216402992</v>
      </c>
      <c r="E197" s="87">
        <v>112679.01216402992</v>
      </c>
      <c r="F197" s="87">
        <v>112679.01216402992</v>
      </c>
      <c r="G197" s="87">
        <v>112679.01216402992</v>
      </c>
      <c r="H197" s="87">
        <v>112679.01216402992</v>
      </c>
      <c r="I197" s="87">
        <v>112679.01216402992</v>
      </c>
      <c r="J197" s="87">
        <v>112679.01216402992</v>
      </c>
      <c r="K197" s="87">
        <v>112679.01216402992</v>
      </c>
      <c r="L197" s="87">
        <v>112679.01216402992</v>
      </c>
      <c r="M197" s="87">
        <v>112679.01216402992</v>
      </c>
    </row>
    <row r="198" spans="2:40" s="52" customFormat="1" outlineLevel="1" x14ac:dyDescent="0.3">
      <c r="B198" s="48" t="s">
        <v>76</v>
      </c>
      <c r="C198" s="63" t="s">
        <v>175</v>
      </c>
      <c r="D198" s="87">
        <v>148437.90807810312</v>
      </c>
      <c r="E198" s="87">
        <v>148437.90807810312</v>
      </c>
      <c r="F198" s="87">
        <v>148437.90807810312</v>
      </c>
      <c r="G198" s="87">
        <v>148437.90807810312</v>
      </c>
      <c r="H198" s="87">
        <v>148437.90807810312</v>
      </c>
      <c r="I198" s="87">
        <v>148437.90807810312</v>
      </c>
      <c r="J198" s="87">
        <v>148437.90807810312</v>
      </c>
      <c r="K198" s="87">
        <v>148437.90807810312</v>
      </c>
      <c r="L198" s="87">
        <v>148437.90807810312</v>
      </c>
      <c r="M198" s="87">
        <v>148437.90807810312</v>
      </c>
    </row>
    <row r="199" spans="2:40" outlineLevel="1" x14ac:dyDescent="0.35">
      <c r="B199" s="48" t="s">
        <v>77</v>
      </c>
      <c r="C199" s="62" t="s">
        <v>175</v>
      </c>
      <c r="D199" s="86">
        <v>200000</v>
      </c>
      <c r="E199" s="86">
        <v>200000</v>
      </c>
      <c r="F199" s="86">
        <v>200000</v>
      </c>
      <c r="G199" s="86">
        <v>200000</v>
      </c>
      <c r="H199" s="86">
        <v>200000</v>
      </c>
      <c r="I199" s="86">
        <v>200000</v>
      </c>
      <c r="J199" s="86">
        <v>200000</v>
      </c>
      <c r="K199" s="86">
        <v>200000</v>
      </c>
      <c r="L199" s="86">
        <v>200000</v>
      </c>
      <c r="M199" s="86">
        <v>200000</v>
      </c>
      <c r="N199" t="s">
        <v>247</v>
      </c>
    </row>
    <row r="200" spans="2:40" s="52" customFormat="1" outlineLevel="1" x14ac:dyDescent="0.35">
      <c r="B200" s="48" t="s">
        <v>78</v>
      </c>
      <c r="C200" s="63" t="s">
        <v>175</v>
      </c>
      <c r="D200" s="87">
        <v>844836.72609817178</v>
      </c>
      <c r="E200" s="87">
        <v>844836.72609817178</v>
      </c>
      <c r="F200" s="87">
        <v>844836.72609817178</v>
      </c>
      <c r="G200" s="87">
        <v>844836.72609817178</v>
      </c>
      <c r="H200" s="87">
        <v>844836.72609817178</v>
      </c>
      <c r="I200" s="87">
        <v>844836.72609817178</v>
      </c>
      <c r="J200" s="87">
        <v>844836.72609817178</v>
      </c>
      <c r="K200" s="87">
        <v>844836.72609817178</v>
      </c>
      <c r="L200" s="87">
        <v>844836.72609817178</v>
      </c>
      <c r="M200" s="87">
        <v>844836.72609817178</v>
      </c>
      <c r="P200"/>
    </row>
    <row r="201" spans="2:40" outlineLevel="1" x14ac:dyDescent="0.35">
      <c r="B201" s="48" t="s">
        <v>79</v>
      </c>
      <c r="C201" s="62" t="s">
        <v>175</v>
      </c>
      <c r="D201" s="86">
        <v>145798.83025579824</v>
      </c>
      <c r="E201" s="86">
        <v>145798.83025579824</v>
      </c>
      <c r="F201" s="86">
        <v>145798.83025579824</v>
      </c>
      <c r="G201" s="86">
        <v>145798.83025579824</v>
      </c>
      <c r="H201" s="86">
        <v>145798.83025579824</v>
      </c>
      <c r="I201" s="86">
        <v>145798.83025579824</v>
      </c>
      <c r="J201" s="86">
        <v>145798.83025579824</v>
      </c>
      <c r="K201" s="86">
        <v>145798.83025579824</v>
      </c>
      <c r="L201" s="86">
        <v>145798.83025579824</v>
      </c>
      <c r="M201" s="86">
        <v>145798.83025579824</v>
      </c>
    </row>
    <row r="202" spans="2:40" outlineLevel="1" x14ac:dyDescent="0.35">
      <c r="B202" s="48" t="s">
        <v>80</v>
      </c>
      <c r="C202" s="62" t="s">
        <v>175</v>
      </c>
      <c r="D202" s="86">
        <v>114856.73860513572</v>
      </c>
      <c r="E202" s="86">
        <v>114856.73860513572</v>
      </c>
      <c r="F202" s="86">
        <v>114856.73860513572</v>
      </c>
      <c r="G202" s="86">
        <v>114856.73860513572</v>
      </c>
      <c r="H202" s="86">
        <v>114856.73860513572</v>
      </c>
      <c r="I202" s="86">
        <v>114856.73860513572</v>
      </c>
      <c r="J202" s="86">
        <v>114856.73860513572</v>
      </c>
      <c r="K202" s="86">
        <v>114856.73860513572</v>
      </c>
      <c r="L202" s="86">
        <v>114856.73860513572</v>
      </c>
      <c r="M202" s="86">
        <v>114856.73860513572</v>
      </c>
    </row>
    <row r="203" spans="2:40" outlineLevel="1" x14ac:dyDescent="0.35">
      <c r="B203" s="48" t="s">
        <v>81</v>
      </c>
      <c r="C203" s="62" t="s">
        <v>175</v>
      </c>
      <c r="D203" s="86">
        <v>193804.85991000396</v>
      </c>
      <c r="E203" s="86">
        <v>193804.85991000396</v>
      </c>
      <c r="F203" s="86">
        <v>193804.85991000396</v>
      </c>
      <c r="G203" s="86">
        <v>193804.85991000396</v>
      </c>
      <c r="H203" s="86">
        <v>193804.85991000396</v>
      </c>
      <c r="I203" s="86">
        <v>193804.85991000396</v>
      </c>
      <c r="J203" s="86">
        <v>193804.85991000396</v>
      </c>
      <c r="K203" s="86">
        <v>193804.85991000396</v>
      </c>
      <c r="L203" s="86">
        <v>193804.85991000396</v>
      </c>
      <c r="M203" s="86">
        <v>193804.85991000396</v>
      </c>
    </row>
    <row r="204" spans="2:40" outlineLevel="1" x14ac:dyDescent="0.35">
      <c r="B204" s="48" t="s">
        <v>82</v>
      </c>
      <c r="C204" s="62" t="s">
        <v>175</v>
      </c>
      <c r="D204" s="86">
        <v>65000</v>
      </c>
      <c r="E204" s="86">
        <v>65000</v>
      </c>
      <c r="F204" s="86">
        <v>65000</v>
      </c>
      <c r="G204" s="86">
        <v>65000</v>
      </c>
      <c r="H204" s="86">
        <v>65000</v>
      </c>
      <c r="I204" s="86">
        <v>65000</v>
      </c>
      <c r="J204" s="86">
        <v>65000</v>
      </c>
      <c r="K204" s="86">
        <v>65000</v>
      </c>
      <c r="L204" s="86">
        <v>65000</v>
      </c>
      <c r="M204" s="86">
        <v>65000</v>
      </c>
      <c r="N204" t="s">
        <v>247</v>
      </c>
    </row>
    <row r="205" spans="2:40" outlineLevel="1" x14ac:dyDescent="0.35">
      <c r="B205" s="48" t="s">
        <v>83</v>
      </c>
      <c r="C205" s="62" t="s">
        <v>175</v>
      </c>
      <c r="D205" s="86">
        <v>486200.47651621292</v>
      </c>
      <c r="E205" s="86">
        <v>486200.47651621292</v>
      </c>
      <c r="F205" s="86">
        <v>486200.47651621292</v>
      </c>
      <c r="G205" s="86">
        <v>486200.47651621292</v>
      </c>
      <c r="H205" s="86">
        <v>486200.47651621292</v>
      </c>
      <c r="I205" s="86">
        <v>486200.47651621292</v>
      </c>
      <c r="J205" s="86">
        <v>486200.47651621292</v>
      </c>
      <c r="K205" s="86">
        <v>486200.47651621292</v>
      </c>
      <c r="L205" s="86">
        <v>486200.47651621292</v>
      </c>
      <c r="M205" s="86">
        <v>486200.47651621292</v>
      </c>
    </row>
    <row r="206" spans="2:40" outlineLevel="1" x14ac:dyDescent="0.35">
      <c r="B206" s="48" t="s">
        <v>84</v>
      </c>
      <c r="C206" s="62" t="s">
        <v>175</v>
      </c>
      <c r="D206" s="86">
        <v>257871.94626177772</v>
      </c>
      <c r="E206" s="86">
        <v>257871.94626177772</v>
      </c>
      <c r="F206" s="86">
        <v>257871.94626177772</v>
      </c>
      <c r="G206" s="86">
        <v>257871.94626177772</v>
      </c>
      <c r="H206" s="86">
        <v>257871.94626177772</v>
      </c>
      <c r="I206" s="86">
        <v>257871.94626177772</v>
      </c>
      <c r="J206" s="86">
        <v>257871.94626177772</v>
      </c>
      <c r="K206" s="86">
        <v>257871.94626177772</v>
      </c>
      <c r="L206" s="86">
        <v>257871.94626177772</v>
      </c>
      <c r="M206" s="86">
        <v>257871.94626177772</v>
      </c>
    </row>
    <row r="207" spans="2:40" outlineLevel="1" x14ac:dyDescent="0.35">
      <c r="B207" s="48" t="s">
        <v>85</v>
      </c>
      <c r="C207" s="62" t="s">
        <v>175</v>
      </c>
      <c r="D207" s="86">
        <v>71723.496146752688</v>
      </c>
      <c r="E207" s="86">
        <v>71723.496146752688</v>
      </c>
      <c r="F207" s="86">
        <v>71723.496146752688</v>
      </c>
      <c r="G207" s="86">
        <v>71723.496146752688</v>
      </c>
      <c r="H207" s="86">
        <v>71723.496146752688</v>
      </c>
      <c r="I207" s="86">
        <v>71723.496146752688</v>
      </c>
      <c r="J207" s="86">
        <v>71723.496146752688</v>
      </c>
      <c r="K207" s="86">
        <v>71723.496146752688</v>
      </c>
      <c r="L207" s="86">
        <v>71723.496146752688</v>
      </c>
      <c r="M207" s="86">
        <v>71723.496146752688</v>
      </c>
    </row>
    <row r="208" spans="2:40" outlineLevel="1" x14ac:dyDescent="0.35">
      <c r="B208" s="48" t="s">
        <v>86</v>
      </c>
      <c r="C208" s="62" t="s">
        <v>175</v>
      </c>
      <c r="D208" s="86">
        <v>83555.0268637845</v>
      </c>
      <c r="E208" s="86">
        <v>83555.0268637845</v>
      </c>
      <c r="F208" s="86">
        <v>83555.0268637845</v>
      </c>
      <c r="G208" s="86">
        <v>83555.0268637845</v>
      </c>
      <c r="H208" s="86">
        <v>83555.0268637845</v>
      </c>
      <c r="I208" s="86">
        <v>83555.0268637845</v>
      </c>
      <c r="J208" s="86">
        <v>83555.0268637845</v>
      </c>
      <c r="K208" s="86">
        <v>83555.0268637845</v>
      </c>
      <c r="L208" s="86">
        <v>83555.0268637845</v>
      </c>
      <c r="M208" s="86">
        <v>83555.0268637845</v>
      </c>
    </row>
    <row r="209" spans="2:14" outlineLevel="1" x14ac:dyDescent="0.35">
      <c r="B209" s="48" t="s">
        <v>87</v>
      </c>
      <c r="C209" s="62" t="s">
        <v>175</v>
      </c>
      <c r="D209" s="86">
        <v>70376.235211834122</v>
      </c>
      <c r="E209" s="86">
        <v>70376.235211834122</v>
      </c>
      <c r="F209" s="86">
        <v>70376.235211834122</v>
      </c>
      <c r="G209" s="86">
        <v>70376.235211834122</v>
      </c>
      <c r="H209" s="86">
        <v>70376.235211834122</v>
      </c>
      <c r="I209" s="86">
        <v>70376.235211834122</v>
      </c>
      <c r="J209" s="86">
        <v>70376.235211834122</v>
      </c>
      <c r="K209" s="86">
        <v>70376.235211834122</v>
      </c>
      <c r="L209" s="86">
        <v>70376.235211834122</v>
      </c>
      <c r="M209" s="86">
        <v>70376.235211834122</v>
      </c>
    </row>
    <row r="210" spans="2:14" outlineLevel="1" x14ac:dyDescent="0.35">
      <c r="B210" s="48" t="s">
        <v>88</v>
      </c>
      <c r="C210" s="62" t="s">
        <v>175</v>
      </c>
      <c r="D210" s="86">
        <v>237287.97443214239</v>
      </c>
      <c r="E210" s="86">
        <v>237287.97443214239</v>
      </c>
      <c r="F210" s="86">
        <v>237287.97443214239</v>
      </c>
      <c r="G210" s="86">
        <v>237287.97443214239</v>
      </c>
      <c r="H210" s="86">
        <v>237287.97443214239</v>
      </c>
      <c r="I210" s="86">
        <v>237287.97443214239</v>
      </c>
      <c r="J210" s="86">
        <v>237287.97443214239</v>
      </c>
      <c r="K210" s="86">
        <v>237287.97443214239</v>
      </c>
      <c r="L210" s="86">
        <v>237287.97443214239</v>
      </c>
      <c r="M210" s="86">
        <v>237287.97443214239</v>
      </c>
    </row>
    <row r="211" spans="2:14" outlineLevel="1" x14ac:dyDescent="0.35">
      <c r="B211" s="48" t="s">
        <v>89</v>
      </c>
      <c r="C211" s="62" t="s">
        <v>175</v>
      </c>
      <c r="D211" s="86">
        <v>69319.640297005448</v>
      </c>
      <c r="E211" s="86">
        <v>69319.640297005448</v>
      </c>
      <c r="F211" s="86">
        <v>69319.640297005448</v>
      </c>
      <c r="G211" s="86">
        <v>69319.640297005448</v>
      </c>
      <c r="H211" s="86">
        <v>69319.640297005448</v>
      </c>
      <c r="I211" s="86">
        <v>69319.640297005448</v>
      </c>
      <c r="J211" s="86">
        <v>69319.640297005448</v>
      </c>
      <c r="K211" s="86">
        <v>69319.640297005448</v>
      </c>
      <c r="L211" s="86">
        <v>69319.640297005448</v>
      </c>
      <c r="M211" s="86">
        <v>69319.640297005448</v>
      </c>
    </row>
    <row r="212" spans="2:14" outlineLevel="1" x14ac:dyDescent="0.35">
      <c r="B212" s="48" t="s">
        <v>90</v>
      </c>
      <c r="C212" s="62" t="s">
        <v>175</v>
      </c>
      <c r="D212" s="86">
        <v>276994.32236840297</v>
      </c>
      <c r="E212" s="86">
        <v>276994.32236840297</v>
      </c>
      <c r="F212" s="86">
        <v>276994.32236840297</v>
      </c>
      <c r="G212" s="86">
        <v>276994.32236840297</v>
      </c>
      <c r="H212" s="86">
        <v>276994.32236840297</v>
      </c>
      <c r="I212" s="86">
        <v>276994.32236840297</v>
      </c>
      <c r="J212" s="86">
        <v>276994.32236840297</v>
      </c>
      <c r="K212" s="86">
        <v>276994.32236840297</v>
      </c>
      <c r="L212" s="86">
        <v>276994.32236840297</v>
      </c>
      <c r="M212" s="86">
        <v>276994.32236840297</v>
      </c>
      <c r="N212" t="s">
        <v>247</v>
      </c>
    </row>
    <row r="213" spans="2:14" outlineLevel="1" x14ac:dyDescent="0.35">
      <c r="B213" s="294" t="s">
        <v>91</v>
      </c>
      <c r="C213" s="62" t="s">
        <v>175</v>
      </c>
      <c r="D213" s="86">
        <v>89669.522979621208</v>
      </c>
      <c r="E213" s="86">
        <v>89669.522979621208</v>
      </c>
      <c r="F213" s="86">
        <v>89669.522979621208</v>
      </c>
      <c r="G213" s="86">
        <v>89669.522979621208</v>
      </c>
      <c r="H213" s="86">
        <v>89669.522979621208</v>
      </c>
      <c r="I213" s="86">
        <v>89669.522979621208</v>
      </c>
      <c r="J213" s="86">
        <v>89669.522979621208</v>
      </c>
      <c r="K213" s="86">
        <v>89669.522979621208</v>
      </c>
      <c r="L213" s="86">
        <v>89669.522979621208</v>
      </c>
      <c r="M213" s="86">
        <v>89669.522979621208</v>
      </c>
    </row>
    <row r="214" spans="2:14" outlineLevel="1" x14ac:dyDescent="0.35">
      <c r="B214" s="294" t="s">
        <v>92</v>
      </c>
      <c r="C214" s="62" t="s">
        <v>175</v>
      </c>
      <c r="D214" s="86">
        <v>107924.75493947427</v>
      </c>
      <c r="E214" s="86">
        <v>107924.75493947427</v>
      </c>
      <c r="F214" s="86">
        <v>107924.75493947427</v>
      </c>
      <c r="G214" s="86">
        <v>107924.75493947427</v>
      </c>
      <c r="H214" s="86">
        <v>107924.75493947427</v>
      </c>
      <c r="I214" s="86">
        <v>107924.75493947427</v>
      </c>
      <c r="J214" s="86">
        <v>107924.75493947427</v>
      </c>
      <c r="K214" s="86">
        <v>107924.75493947427</v>
      </c>
      <c r="L214" s="86">
        <v>107924.75493947427</v>
      </c>
      <c r="M214" s="86">
        <v>107924.75493947427</v>
      </c>
    </row>
    <row r="215" spans="2:14" outlineLevel="1" x14ac:dyDescent="0.35">
      <c r="B215" s="294" t="s">
        <v>93</v>
      </c>
      <c r="C215" s="62" t="s">
        <v>175</v>
      </c>
      <c r="D215" s="86">
        <v>70781.303651948838</v>
      </c>
      <c r="E215" s="86">
        <v>70781.303651948838</v>
      </c>
      <c r="F215" s="86">
        <v>70781.303651948838</v>
      </c>
      <c r="G215" s="86">
        <v>70781.303651948838</v>
      </c>
      <c r="H215" s="86">
        <v>70781.303651948838</v>
      </c>
      <c r="I215" s="86">
        <v>70781.303651948838</v>
      </c>
      <c r="J215" s="86">
        <v>70781.303651948838</v>
      </c>
      <c r="K215" s="86">
        <v>70781.303651948838</v>
      </c>
      <c r="L215" s="86">
        <v>70781.303651948838</v>
      </c>
      <c r="M215" s="86">
        <v>70781.303651948838</v>
      </c>
    </row>
    <row r="216" spans="2:14" outlineLevel="1" x14ac:dyDescent="0.35">
      <c r="B216" s="294" t="s">
        <v>94</v>
      </c>
      <c r="C216" s="62" t="s">
        <v>175</v>
      </c>
      <c r="D216" s="86">
        <v>171301.7338894378</v>
      </c>
      <c r="E216" s="86">
        <v>171301.7338894378</v>
      </c>
      <c r="F216" s="86">
        <v>171301.7338894378</v>
      </c>
      <c r="G216" s="86">
        <v>171301.7338894378</v>
      </c>
      <c r="H216" s="86">
        <v>171301.7338894378</v>
      </c>
      <c r="I216" s="86">
        <v>171301.7338894378</v>
      </c>
      <c r="J216" s="86">
        <v>171301.7338894378</v>
      </c>
      <c r="K216" s="86">
        <v>171301.7338894378</v>
      </c>
      <c r="L216" s="86">
        <v>171301.7338894378</v>
      </c>
      <c r="M216" s="86">
        <v>171301.7338894378</v>
      </c>
    </row>
    <row r="217" spans="2:14" outlineLevel="1" x14ac:dyDescent="0.35">
      <c r="B217" s="294" t="s">
        <v>95</v>
      </c>
      <c r="C217" s="62" t="s">
        <v>175</v>
      </c>
      <c r="D217" s="86">
        <v>102990.8054052165</v>
      </c>
      <c r="E217" s="86">
        <v>102990.8054052165</v>
      </c>
      <c r="F217" s="86">
        <v>102990.8054052165</v>
      </c>
      <c r="G217" s="86">
        <v>102990.8054052165</v>
      </c>
      <c r="H217" s="86">
        <v>102990.8054052165</v>
      </c>
      <c r="I217" s="86">
        <v>102990.8054052165</v>
      </c>
      <c r="J217" s="86">
        <v>102990.8054052165</v>
      </c>
      <c r="K217" s="86">
        <v>102990.8054052165</v>
      </c>
      <c r="L217" s="86">
        <v>102990.8054052165</v>
      </c>
      <c r="M217" s="86">
        <v>102990.8054052165</v>
      </c>
    </row>
    <row r="218" spans="2:14" outlineLevel="1" x14ac:dyDescent="0.35">
      <c r="B218" s="294" t="s">
        <v>96</v>
      </c>
      <c r="C218" s="62" t="s">
        <v>175</v>
      </c>
      <c r="D218" s="86">
        <v>34547.750005966838</v>
      </c>
      <c r="E218" s="86">
        <v>34547.750005966838</v>
      </c>
      <c r="F218" s="86">
        <v>34547.750005966838</v>
      </c>
      <c r="G218" s="86">
        <v>34547.750005966838</v>
      </c>
      <c r="H218" s="86">
        <v>34547.750005966838</v>
      </c>
      <c r="I218" s="86">
        <v>34547.750005966838</v>
      </c>
      <c r="J218" s="86">
        <v>34547.750005966838</v>
      </c>
      <c r="K218" s="86">
        <v>34547.750005966838</v>
      </c>
      <c r="L218" s="86">
        <v>34547.750005966838</v>
      </c>
      <c r="M218" s="86">
        <v>34547.750005966838</v>
      </c>
    </row>
    <row r="219" spans="2:14" outlineLevel="1" x14ac:dyDescent="0.35">
      <c r="B219" s="294" t="s">
        <v>97</v>
      </c>
      <c r="C219" s="62" t="s">
        <v>175</v>
      </c>
      <c r="D219" s="86">
        <v>109319.79344180095</v>
      </c>
      <c r="E219" s="86">
        <v>109319.79344180095</v>
      </c>
      <c r="F219" s="86">
        <v>109319.79344180095</v>
      </c>
      <c r="G219" s="86">
        <v>109319.79344180095</v>
      </c>
      <c r="H219" s="86">
        <v>109319.79344180095</v>
      </c>
      <c r="I219" s="86">
        <v>109319.79344180095</v>
      </c>
      <c r="J219" s="86">
        <v>109319.79344180095</v>
      </c>
      <c r="K219" s="86">
        <v>109319.79344180095</v>
      </c>
      <c r="L219" s="86">
        <v>109319.79344180095</v>
      </c>
      <c r="M219" s="86">
        <v>109319.79344180095</v>
      </c>
    </row>
    <row r="220" spans="2:14" outlineLevel="1" x14ac:dyDescent="0.35">
      <c r="B220" s="294" t="s">
        <v>98</v>
      </c>
      <c r="C220" s="62" t="s">
        <v>175</v>
      </c>
      <c r="D220" s="86">
        <v>170969.58086779845</v>
      </c>
      <c r="E220" s="86">
        <v>170969.58086779845</v>
      </c>
      <c r="F220" s="86">
        <v>170969.58086779845</v>
      </c>
      <c r="G220" s="86">
        <v>170969.58086779845</v>
      </c>
      <c r="H220" s="86">
        <v>170969.58086779845</v>
      </c>
      <c r="I220" s="86">
        <v>170969.58086779845</v>
      </c>
      <c r="J220" s="86">
        <v>170969.58086779845</v>
      </c>
      <c r="K220" s="86">
        <v>170969.58086779845</v>
      </c>
      <c r="L220" s="86">
        <v>170969.58086779845</v>
      </c>
      <c r="M220" s="86">
        <v>170969.58086779845</v>
      </c>
    </row>
    <row r="221" spans="2:14" outlineLevel="1" x14ac:dyDescent="0.35">
      <c r="B221" s="294" t="s">
        <v>99</v>
      </c>
      <c r="C221" s="62" t="s">
        <v>175</v>
      </c>
      <c r="D221" s="86">
        <v>369245.59016369516</v>
      </c>
      <c r="E221" s="86">
        <v>369245.59016369516</v>
      </c>
      <c r="F221" s="86">
        <v>369245.59016369516</v>
      </c>
      <c r="G221" s="86">
        <v>369245.59016369516</v>
      </c>
      <c r="H221" s="86">
        <v>369245.59016369516</v>
      </c>
      <c r="I221" s="86">
        <v>369245.59016369516</v>
      </c>
      <c r="J221" s="86">
        <v>369245.59016369516</v>
      </c>
      <c r="K221" s="86">
        <v>369245.59016369516</v>
      </c>
      <c r="L221" s="86">
        <v>369245.59016369516</v>
      </c>
      <c r="M221" s="86">
        <v>369245.59016369516</v>
      </c>
    </row>
    <row r="222" spans="2:14" outlineLevel="1" x14ac:dyDescent="0.35">
      <c r="B222" s="294" t="s">
        <v>100</v>
      </c>
      <c r="C222" s="62" t="s">
        <v>175</v>
      </c>
      <c r="D222" s="86">
        <v>97080.658174990924</v>
      </c>
      <c r="E222" s="86">
        <v>97080.658174990924</v>
      </c>
      <c r="F222" s="86">
        <v>97080.658174990924</v>
      </c>
      <c r="G222" s="86">
        <v>97080.658174990924</v>
      </c>
      <c r="H222" s="86">
        <v>97080.658174990924</v>
      </c>
      <c r="I222" s="86">
        <v>97080.658174990924</v>
      </c>
      <c r="J222" s="86">
        <v>97080.658174990924</v>
      </c>
      <c r="K222" s="86">
        <v>97080.658174990924</v>
      </c>
      <c r="L222" s="86">
        <v>97080.658174990924</v>
      </c>
      <c r="M222" s="86">
        <v>97080.658174990924</v>
      </c>
    </row>
    <row r="223" spans="2:14" outlineLevel="1" x14ac:dyDescent="0.35">
      <c r="B223" s="294" t="s">
        <v>101</v>
      </c>
      <c r="C223" s="62" t="s">
        <v>175</v>
      </c>
      <c r="D223" s="86">
        <v>96655.088207809531</v>
      </c>
      <c r="E223" s="86">
        <v>96655.088207809531</v>
      </c>
      <c r="F223" s="86">
        <v>96655.088207809531</v>
      </c>
      <c r="G223" s="86">
        <v>96655.088207809531</v>
      </c>
      <c r="H223" s="86">
        <v>96655.088207809531</v>
      </c>
      <c r="I223" s="86">
        <v>96655.088207809531</v>
      </c>
      <c r="J223" s="86">
        <v>96655.088207809531</v>
      </c>
      <c r="K223" s="86">
        <v>96655.088207809531</v>
      </c>
      <c r="L223" s="86">
        <v>96655.088207809531</v>
      </c>
      <c r="M223" s="86">
        <v>96655.088207809531</v>
      </c>
    </row>
    <row r="224" spans="2:14" outlineLevel="1" x14ac:dyDescent="0.35">
      <c r="B224" s="294" t="s">
        <v>102</v>
      </c>
      <c r="C224" s="62" t="s">
        <v>175</v>
      </c>
      <c r="D224" s="86">
        <v>75288.602457964953</v>
      </c>
      <c r="E224" s="86">
        <v>75288.602457964953</v>
      </c>
      <c r="F224" s="86">
        <v>75288.602457964953</v>
      </c>
      <c r="G224" s="86">
        <v>75288.602457964953</v>
      </c>
      <c r="H224" s="86">
        <v>75288.602457964953</v>
      </c>
      <c r="I224" s="86">
        <v>75288.602457964953</v>
      </c>
      <c r="J224" s="86">
        <v>75288.602457964953</v>
      </c>
      <c r="K224" s="86">
        <v>75288.602457964953</v>
      </c>
      <c r="L224" s="86">
        <v>75288.602457964953</v>
      </c>
      <c r="M224" s="86">
        <v>75288.602457964953</v>
      </c>
    </row>
    <row r="225" spans="2:15" outlineLevel="1" x14ac:dyDescent="0.35">
      <c r="B225" s="294" t="s">
        <v>103</v>
      </c>
      <c r="C225" s="62" t="s">
        <v>175</v>
      </c>
      <c r="D225" s="83">
        <v>79000</v>
      </c>
      <c r="E225" s="83">
        <v>79000</v>
      </c>
      <c r="F225" s="83">
        <v>79000</v>
      </c>
      <c r="G225" s="83">
        <v>79000</v>
      </c>
      <c r="H225" s="83">
        <v>79000</v>
      </c>
      <c r="I225" s="83">
        <v>79000</v>
      </c>
      <c r="J225" s="83">
        <v>79000</v>
      </c>
      <c r="K225" s="83">
        <v>79000</v>
      </c>
      <c r="L225" s="83">
        <v>79000</v>
      </c>
      <c r="M225" s="83">
        <v>79000</v>
      </c>
      <c r="N225" t="s">
        <v>247</v>
      </c>
    </row>
    <row r="226" spans="2:15" outlineLevel="1" x14ac:dyDescent="0.35">
      <c r="B226" s="294" t="s">
        <v>104</v>
      </c>
      <c r="C226" s="62" t="s">
        <v>175</v>
      </c>
      <c r="D226" s="86">
        <v>44459.131239934126</v>
      </c>
      <c r="E226" s="86">
        <v>44459.131239934126</v>
      </c>
      <c r="F226" s="86">
        <v>44459.131239934126</v>
      </c>
      <c r="G226" s="86">
        <v>44459.131239934126</v>
      </c>
      <c r="H226" s="86">
        <v>44459.131239934126</v>
      </c>
      <c r="I226" s="86">
        <v>44459.131239934126</v>
      </c>
      <c r="J226" s="86">
        <v>44459.131239934126</v>
      </c>
      <c r="K226" s="86">
        <v>44459.131239934126</v>
      </c>
      <c r="L226" s="86">
        <v>44459.131239934126</v>
      </c>
      <c r="M226" s="86">
        <v>44459.131239934126</v>
      </c>
    </row>
    <row r="227" spans="2:15" outlineLevel="1" x14ac:dyDescent="0.35">
      <c r="B227" s="294" t="s">
        <v>136</v>
      </c>
      <c r="C227" s="62" t="s">
        <v>175</v>
      </c>
      <c r="D227" s="86"/>
      <c r="E227" s="86"/>
      <c r="F227" s="86"/>
      <c r="G227" s="86"/>
      <c r="H227" s="86"/>
      <c r="I227" s="86"/>
      <c r="J227" s="86"/>
      <c r="K227" s="86"/>
      <c r="L227" s="86"/>
      <c r="M227" s="86"/>
    </row>
    <row r="228" spans="2:15" outlineLevel="1" x14ac:dyDescent="0.35">
      <c r="B228" s="294" t="s">
        <v>106</v>
      </c>
      <c r="C228" s="62" t="s">
        <v>175</v>
      </c>
      <c r="D228" s="86">
        <v>90423.379558718269</v>
      </c>
      <c r="E228" s="86">
        <v>90423.379558718269</v>
      </c>
      <c r="F228" s="86">
        <v>90423.379558718269</v>
      </c>
      <c r="G228" s="86">
        <v>90423.379558718269</v>
      </c>
      <c r="H228" s="86">
        <v>90423.379558718269</v>
      </c>
      <c r="I228" s="86">
        <v>90423.379558718269</v>
      </c>
      <c r="J228" s="86">
        <v>90423.379558718269</v>
      </c>
      <c r="K228" s="86">
        <v>90423.379558718269</v>
      </c>
      <c r="L228" s="86">
        <v>90423.379558718269</v>
      </c>
      <c r="M228" s="86">
        <v>90423.379558718269</v>
      </c>
    </row>
    <row r="229" spans="2:15" outlineLevel="1" x14ac:dyDescent="0.35">
      <c r="B229" s="294" t="s">
        <v>107</v>
      </c>
      <c r="C229" s="62" t="s">
        <v>175</v>
      </c>
      <c r="D229" s="86">
        <v>91778.087182171366</v>
      </c>
      <c r="E229" s="86">
        <v>91778.087182171366</v>
      </c>
      <c r="F229" s="86">
        <v>91778.087182171366</v>
      </c>
      <c r="G229" s="86">
        <v>91778.087182171366</v>
      </c>
      <c r="H229" s="86">
        <v>91778.087182171366</v>
      </c>
      <c r="I229" s="86">
        <v>91778.087182171366</v>
      </c>
      <c r="J229" s="86">
        <v>91778.087182171366</v>
      </c>
      <c r="K229" s="86">
        <v>91778.087182171366</v>
      </c>
      <c r="L229" s="86">
        <v>91778.087182171366</v>
      </c>
      <c r="M229" s="86">
        <v>91778.087182171366</v>
      </c>
    </row>
    <row r="230" spans="2:15" outlineLevel="1" x14ac:dyDescent="0.35">
      <c r="B230" s="294" t="s">
        <v>108</v>
      </c>
      <c r="C230" s="62" t="s">
        <v>175</v>
      </c>
      <c r="D230" s="86">
        <v>114931.29148064135</v>
      </c>
      <c r="E230" s="86">
        <v>114931.29148064135</v>
      </c>
      <c r="F230" s="86">
        <v>114931.29148064135</v>
      </c>
      <c r="G230" s="86">
        <v>114931.29148064135</v>
      </c>
      <c r="H230" s="86">
        <v>114931.29148064135</v>
      </c>
      <c r="I230" s="86">
        <v>114931.29148064135</v>
      </c>
      <c r="J230" s="86">
        <v>114931.29148064135</v>
      </c>
      <c r="K230" s="86">
        <v>114931.29148064135</v>
      </c>
      <c r="L230" s="86">
        <v>114931.29148064135</v>
      </c>
      <c r="M230" s="86">
        <v>114931.29148064135</v>
      </c>
    </row>
    <row r="231" spans="2:15" outlineLevel="1" x14ac:dyDescent="0.35">
      <c r="B231" s="294" t="s">
        <v>109</v>
      </c>
      <c r="C231" s="62" t="s">
        <v>175</v>
      </c>
      <c r="D231" s="86">
        <v>87412.811277436384</v>
      </c>
      <c r="E231" s="86">
        <v>87412.811277436384</v>
      </c>
      <c r="F231" s="86">
        <v>87412.811277436384</v>
      </c>
      <c r="G231" s="86">
        <v>87412.811277436384</v>
      </c>
      <c r="H231" s="86">
        <v>87412.811277436384</v>
      </c>
      <c r="I231" s="86">
        <v>87412.811277436384</v>
      </c>
      <c r="J231" s="86">
        <v>87412.811277436384</v>
      </c>
      <c r="K231" s="86">
        <v>87412.811277436384</v>
      </c>
      <c r="L231" s="86">
        <v>87412.811277436384</v>
      </c>
      <c r="M231" s="86">
        <v>87412.811277436384</v>
      </c>
    </row>
    <row r="232" spans="2:15" outlineLevel="1" x14ac:dyDescent="0.35">
      <c r="B232" s="294" t="s">
        <v>110</v>
      </c>
      <c r="C232" s="62" t="s">
        <v>175</v>
      </c>
      <c r="D232" s="86">
        <v>81532.457800738077</v>
      </c>
      <c r="E232" s="86">
        <v>81532.457800738077</v>
      </c>
      <c r="F232" s="86">
        <v>81532.457800738077</v>
      </c>
      <c r="G232" s="86">
        <v>81532.457800738077</v>
      </c>
      <c r="H232" s="86">
        <v>81532.457800738077</v>
      </c>
      <c r="I232" s="86">
        <v>81532.457800738077</v>
      </c>
      <c r="J232" s="86">
        <v>81532.457800738077</v>
      </c>
      <c r="K232" s="86">
        <v>81532.457800738077</v>
      </c>
      <c r="L232" s="86">
        <v>81532.457800738077</v>
      </c>
      <c r="M232" s="86">
        <v>81532.457800738077</v>
      </c>
    </row>
    <row r="233" spans="2:15" outlineLevel="1" x14ac:dyDescent="0.35">
      <c r="B233" s="294" t="s">
        <v>111</v>
      </c>
      <c r="C233" s="62" t="s">
        <v>175</v>
      </c>
      <c r="D233" s="86">
        <v>211599.82627197501</v>
      </c>
      <c r="E233" s="86">
        <v>211599.82627197501</v>
      </c>
      <c r="F233" s="86">
        <v>211599.82627197501</v>
      </c>
      <c r="G233" s="86">
        <v>211599.82627197501</v>
      </c>
      <c r="H233" s="86">
        <v>211599.82627197501</v>
      </c>
      <c r="I233" s="86">
        <v>211599.82627197501</v>
      </c>
      <c r="J233" s="86">
        <v>211599.82627197501</v>
      </c>
      <c r="K233" s="86">
        <v>211599.82627197501</v>
      </c>
      <c r="L233" s="86">
        <v>211599.82627197501</v>
      </c>
      <c r="M233" s="86">
        <v>211599.82627197501</v>
      </c>
    </row>
    <row r="234" spans="2:15" outlineLevel="1" x14ac:dyDescent="0.35">
      <c r="B234" s="294" t="s">
        <v>112</v>
      </c>
      <c r="C234" s="62" t="s">
        <v>175</v>
      </c>
      <c r="D234" s="86">
        <v>215000</v>
      </c>
      <c r="E234" s="86">
        <v>215000</v>
      </c>
      <c r="F234" s="86">
        <v>215000</v>
      </c>
      <c r="G234" s="86">
        <v>215000</v>
      </c>
      <c r="H234" s="86">
        <v>215000</v>
      </c>
      <c r="I234" s="86">
        <v>215000</v>
      </c>
      <c r="J234" s="86">
        <v>215000</v>
      </c>
      <c r="K234" s="86">
        <v>215000</v>
      </c>
      <c r="L234" s="86">
        <v>215000</v>
      </c>
      <c r="M234" s="86">
        <v>215000</v>
      </c>
      <c r="N234" t="s">
        <v>247</v>
      </c>
      <c r="O234" s="39"/>
    </row>
    <row r="235" spans="2:15" outlineLevel="1" x14ac:dyDescent="0.35">
      <c r="B235" s="294" t="s">
        <v>113</v>
      </c>
      <c r="C235" s="62" t="s">
        <v>175</v>
      </c>
      <c r="D235" s="86">
        <v>79020.999471941876</v>
      </c>
      <c r="E235" s="86">
        <v>79020.999471941876</v>
      </c>
      <c r="F235" s="86">
        <v>79020.999471941876</v>
      </c>
      <c r="G235" s="86">
        <v>79020.999471941876</v>
      </c>
      <c r="H235" s="86">
        <v>79020.999471941876</v>
      </c>
      <c r="I235" s="86">
        <v>79020.999471941876</v>
      </c>
      <c r="J235" s="86">
        <v>79020.999471941876</v>
      </c>
      <c r="K235" s="86">
        <v>79020.999471941876</v>
      </c>
      <c r="L235" s="86">
        <v>79020.999471941876</v>
      </c>
      <c r="M235" s="86">
        <v>79020.999471941876</v>
      </c>
    </row>
    <row r="236" spans="2:15" outlineLevel="1" x14ac:dyDescent="0.35">
      <c r="B236" s="294" t="s">
        <v>114</v>
      </c>
      <c r="C236" s="62" t="s">
        <v>175</v>
      </c>
      <c r="D236" s="86">
        <v>95737.934563622795</v>
      </c>
      <c r="E236" s="86">
        <v>95737.934563622795</v>
      </c>
      <c r="F236" s="86">
        <v>95737.934563622795</v>
      </c>
      <c r="G236" s="86">
        <v>95737.934563622795</v>
      </c>
      <c r="H236" s="86">
        <v>95737.934563622795</v>
      </c>
      <c r="I236" s="86">
        <v>95737.934563622795</v>
      </c>
      <c r="J236" s="86">
        <v>95737.934563622795</v>
      </c>
      <c r="K236" s="86">
        <v>95737.934563622795</v>
      </c>
      <c r="L236" s="86">
        <v>95737.934563622795</v>
      </c>
      <c r="M236" s="86">
        <v>95737.934563622795</v>
      </c>
    </row>
    <row r="237" spans="2:15" outlineLevel="1" x14ac:dyDescent="0.35">
      <c r="B237" s="294" t="s">
        <v>115</v>
      </c>
      <c r="C237" s="62" t="s">
        <v>175</v>
      </c>
      <c r="D237" s="86">
        <v>235399.39443913175</v>
      </c>
      <c r="E237" s="86">
        <v>235399.39443913175</v>
      </c>
      <c r="F237" s="86">
        <v>235399.39443913175</v>
      </c>
      <c r="G237" s="86">
        <v>235399.39443913175</v>
      </c>
      <c r="H237" s="86">
        <v>235399.39443913175</v>
      </c>
      <c r="I237" s="86">
        <v>235399.39443913175</v>
      </c>
      <c r="J237" s="86">
        <v>235399.39443913175</v>
      </c>
      <c r="K237" s="86">
        <v>235399.39443913175</v>
      </c>
      <c r="L237" s="86">
        <v>235399.39443913175</v>
      </c>
      <c r="M237" s="86">
        <v>235399.39443913175</v>
      </c>
    </row>
    <row r="238" spans="2:15" outlineLevel="1" x14ac:dyDescent="0.35">
      <c r="B238" s="294" t="s">
        <v>116</v>
      </c>
      <c r="C238" s="62" t="s">
        <v>175</v>
      </c>
      <c r="D238" s="86">
        <v>96688.110990424844</v>
      </c>
      <c r="E238" s="86">
        <v>96688.110990424844</v>
      </c>
      <c r="F238" s="86">
        <v>96688.110990424844</v>
      </c>
      <c r="G238" s="86">
        <v>96688.110990424844</v>
      </c>
      <c r="H238" s="86">
        <v>96688.110990424844</v>
      </c>
      <c r="I238" s="86">
        <v>96688.110990424844</v>
      </c>
      <c r="J238" s="86">
        <v>96688.110990424844</v>
      </c>
      <c r="K238" s="86">
        <v>96688.110990424844</v>
      </c>
      <c r="L238" s="86">
        <v>96688.110990424844</v>
      </c>
      <c r="M238" s="86">
        <v>96688.110990424844</v>
      </c>
    </row>
    <row r="239" spans="2:15" outlineLevel="1" x14ac:dyDescent="0.35">
      <c r="B239" s="294" t="s">
        <v>117</v>
      </c>
      <c r="C239" s="62" t="s">
        <v>175</v>
      </c>
      <c r="D239" s="86">
        <v>274685.56957152061</v>
      </c>
      <c r="E239" s="86">
        <v>274685.56957152061</v>
      </c>
      <c r="F239" s="86">
        <v>274685.56957152061</v>
      </c>
      <c r="G239" s="86">
        <v>274685.56957152061</v>
      </c>
      <c r="H239" s="86">
        <v>274685.56957152061</v>
      </c>
      <c r="I239" s="86">
        <v>274685.56957152061</v>
      </c>
      <c r="J239" s="86">
        <v>274685.56957152061</v>
      </c>
      <c r="K239" s="86">
        <v>274685.56957152061</v>
      </c>
      <c r="L239" s="86">
        <v>274685.56957152061</v>
      </c>
      <c r="M239" s="86">
        <v>274685.56957152061</v>
      </c>
    </row>
    <row r="240" spans="2:15" outlineLevel="1" x14ac:dyDescent="0.35">
      <c r="B240" s="294" t="s">
        <v>118</v>
      </c>
      <c r="C240" s="62" t="s">
        <v>175</v>
      </c>
      <c r="D240" s="86">
        <v>139020.60074503944</v>
      </c>
      <c r="E240" s="86">
        <v>139020.60074503944</v>
      </c>
      <c r="F240" s="86">
        <v>139020.60074503944</v>
      </c>
      <c r="G240" s="86">
        <v>139020.60074503944</v>
      </c>
      <c r="H240" s="86">
        <v>139020.60074503944</v>
      </c>
      <c r="I240" s="86">
        <v>139020.60074503944</v>
      </c>
      <c r="J240" s="86">
        <v>139020.60074503944</v>
      </c>
      <c r="K240" s="86">
        <v>139020.60074503944</v>
      </c>
      <c r="L240" s="86">
        <v>139020.60074503944</v>
      </c>
      <c r="M240" s="86">
        <v>139020.60074503944</v>
      </c>
    </row>
    <row r="241" spans="2:14" outlineLevel="1" x14ac:dyDescent="0.35">
      <c r="B241" s="294" t="s">
        <v>119</v>
      </c>
      <c r="C241" s="62" t="s">
        <v>175</v>
      </c>
      <c r="D241" s="86">
        <v>60000</v>
      </c>
      <c r="E241" s="86">
        <v>60000</v>
      </c>
      <c r="F241" s="86">
        <v>60000</v>
      </c>
      <c r="G241" s="86">
        <v>60000</v>
      </c>
      <c r="H241" s="86">
        <v>60000</v>
      </c>
      <c r="I241" s="86">
        <v>60000</v>
      </c>
      <c r="J241" s="86">
        <v>60000</v>
      </c>
      <c r="K241" s="86">
        <v>60000</v>
      </c>
      <c r="L241" s="86">
        <v>60000</v>
      </c>
      <c r="M241" s="86">
        <v>60000</v>
      </c>
      <c r="N241" t="s">
        <v>247</v>
      </c>
    </row>
    <row r="242" spans="2:14" outlineLevel="1" x14ac:dyDescent="0.35">
      <c r="B242" s="294" t="s">
        <v>120</v>
      </c>
      <c r="C242" s="62" t="s">
        <v>175</v>
      </c>
      <c r="D242" s="86">
        <v>307128.90438174934</v>
      </c>
      <c r="E242" s="86">
        <v>307128.90438174934</v>
      </c>
      <c r="F242" s="86">
        <v>307128.90438174934</v>
      </c>
      <c r="G242" s="86">
        <v>307128.90438174934</v>
      </c>
      <c r="H242" s="86">
        <v>307128.90438174934</v>
      </c>
      <c r="I242" s="86">
        <v>307128.90438174934</v>
      </c>
      <c r="J242" s="86">
        <v>307128.90438174934</v>
      </c>
      <c r="K242" s="86">
        <v>307128.90438174934</v>
      </c>
      <c r="L242" s="86">
        <v>307128.90438174934</v>
      </c>
      <c r="M242" s="86">
        <v>307128.90438174934</v>
      </c>
    </row>
    <row r="243" spans="2:14" outlineLevel="1" x14ac:dyDescent="0.35">
      <c r="B243" s="294" t="s">
        <v>121</v>
      </c>
      <c r="C243" s="62" t="s">
        <v>175</v>
      </c>
      <c r="D243" s="86">
        <v>73212.310343790887</v>
      </c>
      <c r="E243" s="86">
        <v>73212.310343790887</v>
      </c>
      <c r="F243" s="86">
        <v>73212.310343790887</v>
      </c>
      <c r="G243" s="86">
        <v>73212.310343790887</v>
      </c>
      <c r="H243" s="86">
        <v>73212.310343790887</v>
      </c>
      <c r="I243" s="86">
        <v>73212.310343790887</v>
      </c>
      <c r="J243" s="86">
        <v>73212.310343790887</v>
      </c>
      <c r="K243" s="86">
        <v>73212.310343790887</v>
      </c>
      <c r="L243" s="86">
        <v>73212.310343790887</v>
      </c>
      <c r="M243" s="86">
        <v>73212.310343790887</v>
      </c>
    </row>
    <row r="244" spans="2:14" outlineLevel="1" x14ac:dyDescent="0.35">
      <c r="B244" s="294" t="s">
        <v>137</v>
      </c>
      <c r="C244" s="62" t="s">
        <v>175</v>
      </c>
      <c r="D244" s="86">
        <v>24925.372076743373</v>
      </c>
      <c r="E244" s="86">
        <v>24925.372076743373</v>
      </c>
      <c r="F244" s="86">
        <v>24925.372076743373</v>
      </c>
      <c r="G244" s="86">
        <v>24925.372076743373</v>
      </c>
      <c r="H244" s="86">
        <v>24925.372076743373</v>
      </c>
      <c r="I244" s="86">
        <v>24925.372076743373</v>
      </c>
      <c r="J244" s="86">
        <v>24925.372076743373</v>
      </c>
      <c r="K244" s="86">
        <v>24925.372076743373</v>
      </c>
      <c r="L244" s="86">
        <v>24925.372076743373</v>
      </c>
      <c r="M244" s="86">
        <v>24925.372076743373</v>
      </c>
    </row>
    <row r="245" spans="2:14" outlineLevel="1" x14ac:dyDescent="0.35">
      <c r="B245" s="294" t="s">
        <v>123</v>
      </c>
      <c r="C245" s="62" t="s">
        <v>175</v>
      </c>
      <c r="D245" s="86">
        <v>109540.50848983206</v>
      </c>
      <c r="E245" s="86">
        <v>109540.50848983206</v>
      </c>
      <c r="F245" s="86">
        <v>109540.50848983206</v>
      </c>
      <c r="G245" s="86">
        <v>109540.50848983206</v>
      </c>
      <c r="H245" s="86">
        <v>109540.50848983206</v>
      </c>
      <c r="I245" s="86">
        <v>109540.50848983206</v>
      </c>
      <c r="J245" s="86">
        <v>109540.50848983206</v>
      </c>
      <c r="K245" s="86">
        <v>109540.50848983206</v>
      </c>
      <c r="L245" s="86">
        <v>109540.50848983206</v>
      </c>
      <c r="M245" s="86">
        <v>109540.50848983206</v>
      </c>
    </row>
    <row r="246" spans="2:14" outlineLevel="1" x14ac:dyDescent="0.35">
      <c r="B246" s="294" t="s">
        <v>124</v>
      </c>
      <c r="C246" s="62" t="s">
        <v>175</v>
      </c>
      <c r="D246" s="86">
        <v>280000</v>
      </c>
      <c r="E246" s="86">
        <v>280000</v>
      </c>
      <c r="F246" s="86">
        <v>280000</v>
      </c>
      <c r="G246" s="86">
        <v>280000</v>
      </c>
      <c r="H246" s="86">
        <v>280000</v>
      </c>
      <c r="I246" s="86">
        <v>280000</v>
      </c>
      <c r="J246" s="86">
        <v>280000</v>
      </c>
      <c r="K246" s="86">
        <v>280000</v>
      </c>
      <c r="L246" s="86">
        <v>280000</v>
      </c>
      <c r="M246" s="86">
        <v>280000</v>
      </c>
      <c r="N246" t="s">
        <v>247</v>
      </c>
    </row>
    <row r="247" spans="2:14" outlineLevel="1" x14ac:dyDescent="0.35">
      <c r="B247" s="294" t="s">
        <v>125</v>
      </c>
      <c r="C247" s="62" t="s">
        <v>175</v>
      </c>
      <c r="D247" s="86">
        <v>96217.864510819432</v>
      </c>
      <c r="E247" s="86">
        <v>96217.864510819432</v>
      </c>
      <c r="F247" s="86">
        <v>96217.864510819432</v>
      </c>
      <c r="G247" s="86">
        <v>96217.864510819432</v>
      </c>
      <c r="H247" s="86">
        <v>96217.864510819432</v>
      </c>
      <c r="I247" s="86">
        <v>96217.864510819432</v>
      </c>
      <c r="J247" s="86">
        <v>96217.864510819432</v>
      </c>
      <c r="K247" s="86">
        <v>96217.864510819432</v>
      </c>
      <c r="L247" s="86">
        <v>96217.864510819432</v>
      </c>
      <c r="M247" s="86">
        <v>96217.864510819432</v>
      </c>
    </row>
    <row r="248" spans="2:14" outlineLevel="1" x14ac:dyDescent="0.35">
      <c r="B248" s="294" t="s">
        <v>126</v>
      </c>
      <c r="C248" s="62" t="s">
        <v>175</v>
      </c>
      <c r="D248" s="86">
        <v>206574.38461456678</v>
      </c>
      <c r="E248" s="86">
        <v>206574.38461456678</v>
      </c>
      <c r="F248" s="86">
        <v>206574.38461456678</v>
      </c>
      <c r="G248" s="86">
        <v>206574.38461456678</v>
      </c>
      <c r="H248" s="86">
        <v>206574.38461456678</v>
      </c>
      <c r="I248" s="86">
        <v>206574.38461456678</v>
      </c>
      <c r="J248" s="86">
        <v>206574.38461456678</v>
      </c>
      <c r="K248" s="86">
        <v>206574.38461456678</v>
      </c>
      <c r="L248" s="86">
        <v>206574.38461456678</v>
      </c>
      <c r="M248" s="86">
        <v>206574.38461456678</v>
      </c>
    </row>
    <row r="249" spans="2:14" outlineLevel="1" x14ac:dyDescent="0.35">
      <c r="B249" s="294" t="s">
        <v>127</v>
      </c>
      <c r="C249" s="62" t="s">
        <v>175</v>
      </c>
      <c r="D249" s="86"/>
      <c r="E249" s="86"/>
      <c r="F249" s="86"/>
      <c r="G249" s="86"/>
      <c r="H249" s="86"/>
      <c r="I249" s="86"/>
      <c r="J249" s="86"/>
      <c r="K249" s="86"/>
      <c r="L249" s="86"/>
      <c r="M249" s="86"/>
    </row>
    <row r="250" spans="2:14" outlineLevel="1" x14ac:dyDescent="0.35">
      <c r="B250" s="48" t="s">
        <v>140</v>
      </c>
      <c r="C250" s="62" t="s">
        <v>175</v>
      </c>
      <c r="D250" s="158">
        <f>SUM(D196:D249)</f>
        <v>8017622.3370237015</v>
      </c>
      <c r="E250" s="189">
        <f t="shared" ref="E250:M250" si="13">SUM(E196:E249)</f>
        <v>8017622.3370237015</v>
      </c>
      <c r="F250" s="189">
        <f t="shared" si="13"/>
        <v>8017622.3370237015</v>
      </c>
      <c r="G250" s="189">
        <f t="shared" si="13"/>
        <v>8017622.3370237015</v>
      </c>
      <c r="H250" s="189">
        <f t="shared" si="13"/>
        <v>8017622.3370237015</v>
      </c>
      <c r="I250" s="189">
        <f t="shared" si="13"/>
        <v>8017622.3370237015</v>
      </c>
      <c r="J250" s="189">
        <f t="shared" si="13"/>
        <v>8017622.3370237015</v>
      </c>
      <c r="K250" s="189">
        <f t="shared" si="13"/>
        <v>8017622.3370237015</v>
      </c>
      <c r="L250" s="189">
        <f t="shared" si="13"/>
        <v>8017622.3370237015</v>
      </c>
      <c r="M250" s="189">
        <f t="shared" si="13"/>
        <v>8017622.3370237015</v>
      </c>
    </row>
    <row r="251" spans="2:14" ht="31.4" customHeight="1" outlineLevel="1" x14ac:dyDescent="0.35">
      <c r="B251" s="521" t="s">
        <v>248</v>
      </c>
      <c r="C251" s="521"/>
      <c r="D251" s="521"/>
      <c r="E251" s="521"/>
      <c r="F251" s="521"/>
      <c r="G251" s="521"/>
      <c r="H251" s="521"/>
      <c r="I251" s="521"/>
      <c r="J251" s="56"/>
    </row>
    <row r="252" spans="2:14" x14ac:dyDescent="0.35">
      <c r="B252" s="519" t="s">
        <v>249</v>
      </c>
      <c r="C252" s="519"/>
      <c r="D252" s="519"/>
      <c r="E252" s="519"/>
      <c r="F252" s="519"/>
      <c r="G252" s="519"/>
      <c r="H252" s="519"/>
      <c r="I252" s="519"/>
      <c r="J252" s="519"/>
      <c r="K252" s="519"/>
      <c r="L252" s="519"/>
      <c r="M252" s="519"/>
    </row>
    <row r="253" spans="2:14" x14ac:dyDescent="0.35">
      <c r="B253" s="519"/>
      <c r="C253" s="519"/>
      <c r="D253" s="519"/>
      <c r="E253" s="519"/>
      <c r="F253" s="519"/>
      <c r="G253" s="519"/>
      <c r="H253" s="519"/>
      <c r="I253" s="519"/>
      <c r="J253" s="519"/>
      <c r="K253" s="519"/>
      <c r="L253" s="519"/>
      <c r="M253" s="519"/>
    </row>
  </sheetData>
  <mergeCells count="37">
    <mergeCell ref="AN12:AQ12"/>
    <mergeCell ref="J2:L2"/>
    <mergeCell ref="AB12:AE12"/>
    <mergeCell ref="P12:S12"/>
    <mergeCell ref="T12:W12"/>
    <mergeCell ref="X12:AA12"/>
    <mergeCell ref="D11:S11"/>
    <mergeCell ref="T11:W11"/>
    <mergeCell ref="X11:AQ11"/>
    <mergeCell ref="AF12:AI12"/>
    <mergeCell ref="C2:F2"/>
    <mergeCell ref="D12:G12"/>
    <mergeCell ref="H12:K12"/>
    <mergeCell ref="B9:AQ9"/>
    <mergeCell ref="L12:O12"/>
    <mergeCell ref="B5:I5"/>
    <mergeCell ref="AJ12:AM12"/>
    <mergeCell ref="B72:N72"/>
    <mergeCell ref="B74:B75"/>
    <mergeCell ref="C74:C75"/>
    <mergeCell ref="I74:M74"/>
    <mergeCell ref="B11:B13"/>
    <mergeCell ref="C11:C13"/>
    <mergeCell ref="B252:M253"/>
    <mergeCell ref="B191:M191"/>
    <mergeCell ref="B251:I251"/>
    <mergeCell ref="D74:H74"/>
    <mergeCell ref="B192:N192"/>
    <mergeCell ref="B194:B195"/>
    <mergeCell ref="C194:C195"/>
    <mergeCell ref="D194:H194"/>
    <mergeCell ref="I194:M194"/>
    <mergeCell ref="B132:N132"/>
    <mergeCell ref="B134:B135"/>
    <mergeCell ref="C134:C135"/>
    <mergeCell ref="D134:H134"/>
    <mergeCell ref="I134:M134"/>
  </mergeCells>
  <hyperlinks>
    <hyperlink ref="J2" location="'Αρχική σελίδα'!A1" display="Πίσω στην αρχική σελίδα" xr:uid="{21EC8D3C-28FF-4F56-90FA-3341EBB4F653}"/>
  </hyperlinks>
  <pageMargins left="0.7" right="0.7" top="0.75" bottom="0.75" header="0.3" footer="0.3"/>
  <customProperties>
    <customPr name="_pios_id" r:id="rId1"/>
  </customPropertie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0CD8B-9A5F-40D3-B765-E3BCD7720B75}">
  <sheetPr codeName="Sheet14">
    <tabColor theme="4" tint="0.79998168889431442"/>
  </sheetPr>
  <dimension ref="A2:AG447"/>
  <sheetViews>
    <sheetView showGridLines="0" topLeftCell="A233" zoomScale="80" zoomScaleNormal="80" workbookViewId="0">
      <selection activeCell="D130" sqref="D130"/>
    </sheetView>
  </sheetViews>
  <sheetFormatPr defaultColWidth="8.54296875" defaultRowHeight="14.5" outlineLevelRow="1" x14ac:dyDescent="0.35"/>
  <cols>
    <col min="1" max="1" width="2.54296875" customWidth="1"/>
    <col min="2" max="2" width="37.1796875" customWidth="1"/>
    <col min="3" max="12" width="13.453125" customWidth="1"/>
    <col min="13" max="13" width="24.453125" customWidth="1"/>
    <col min="14" max="14" width="1.453125" customWidth="1"/>
    <col min="15" max="24" width="13.453125" customWidth="1"/>
    <col min="25" max="25" width="24.453125" customWidth="1"/>
    <col min="26" max="26" width="14.453125" customWidth="1"/>
  </cols>
  <sheetData>
    <row r="2" spans="1:33" ht="18.5" x14ac:dyDescent="0.45">
      <c r="B2" s="1" t="s">
        <v>0</v>
      </c>
      <c r="C2" s="420">
        <f>'[2]Αρχική σελίδα'!C3</f>
        <v>0</v>
      </c>
      <c r="D2" s="420"/>
      <c r="E2" s="420"/>
      <c r="F2" s="420"/>
      <c r="G2" s="420"/>
      <c r="H2" s="98"/>
      <c r="J2" s="421" t="s">
        <v>58</v>
      </c>
      <c r="K2" s="421"/>
      <c r="L2" s="421"/>
    </row>
    <row r="3" spans="1:33" ht="18.5" x14ac:dyDescent="0.45">
      <c r="B3" s="2" t="s">
        <v>1</v>
      </c>
      <c r="C3" s="99">
        <v>2024</v>
      </c>
      <c r="D3" s="46" t="s">
        <v>2</v>
      </c>
      <c r="E3" s="46">
        <f>C3+4</f>
        <v>2028</v>
      </c>
    </row>
    <row r="4" spans="1:33" ht="14.9" customHeight="1" x14ac:dyDescent="0.45">
      <c r="C4" s="2"/>
      <c r="D4" s="46"/>
      <c r="E4" s="46"/>
    </row>
    <row r="5" spans="1:33" ht="44.9" customHeight="1" x14ac:dyDescent="0.35">
      <c r="B5" s="422" t="s">
        <v>250</v>
      </c>
      <c r="C5" s="422"/>
      <c r="D5" s="422"/>
      <c r="E5" s="422"/>
      <c r="F5" s="422"/>
      <c r="G5" s="422"/>
      <c r="H5" s="422"/>
      <c r="I5" s="422"/>
    </row>
    <row r="6" spans="1:33" x14ac:dyDescent="0.35">
      <c r="B6" s="226"/>
      <c r="C6" s="226"/>
      <c r="D6" s="226"/>
      <c r="E6" s="226"/>
      <c r="F6" s="226"/>
      <c r="G6" s="226"/>
      <c r="H6" s="226"/>
    </row>
    <row r="7" spans="1:33" ht="18.5" x14ac:dyDescent="0.45">
      <c r="B7" s="100" t="str">
        <f>"Εξέλιξη δεικτών διείσδυσης αερίου και κάλυψης δικτύου στο υφιστάμενο δίκτυο διανομής ("&amp;(C3-5)&amp;" - "&amp;(C3-1)&amp;") και εξέλιξη σύμφωνα με το Πρόγραμμα Ανάπτυξης  "&amp;C3&amp;" - "&amp;E3</f>
        <v>Εξέλιξη δεικτών διείσδυσης αερίου και κάλυψης δικτύου στο υφιστάμενο δίκτυο διανομής (2019 - 2023) και εξέλιξη σύμφωνα με το Πρόγραμμα Ανάπτυξης  2024 - 2028</v>
      </c>
      <c r="C7" s="101"/>
      <c r="D7" s="101"/>
      <c r="E7" s="101"/>
      <c r="F7" s="101"/>
      <c r="G7" s="101"/>
      <c r="H7" s="101"/>
      <c r="I7" s="101"/>
      <c r="J7" s="102"/>
      <c r="K7" s="98"/>
      <c r="L7" s="98"/>
      <c r="M7" s="98"/>
    </row>
    <row r="8" spans="1:33" ht="18.5" x14ac:dyDescent="0.45">
      <c r="C8" s="2"/>
      <c r="D8" s="46"/>
      <c r="E8" s="46"/>
    </row>
    <row r="9" spans="1:33" ht="15.5" x14ac:dyDescent="0.35">
      <c r="B9" s="419" t="s">
        <v>251</v>
      </c>
      <c r="C9" s="419"/>
      <c r="D9" s="419"/>
      <c r="E9" s="419"/>
      <c r="F9" s="419"/>
      <c r="G9" s="419"/>
      <c r="H9" s="419"/>
      <c r="I9" s="419"/>
      <c r="J9" s="419"/>
      <c r="K9" s="419"/>
      <c r="L9" s="419"/>
      <c r="M9" s="419"/>
      <c r="N9" s="419"/>
      <c r="O9" s="419"/>
      <c r="P9" s="419"/>
      <c r="Q9" s="419"/>
      <c r="R9" s="419"/>
      <c r="S9" s="419"/>
      <c r="T9" s="419"/>
      <c r="U9" s="419"/>
      <c r="V9" s="419"/>
      <c r="W9" s="419"/>
      <c r="X9" s="419"/>
      <c r="Y9" s="419"/>
    </row>
    <row r="10" spans="1:33" ht="5.9" customHeight="1" outlineLevel="1" x14ac:dyDescent="0.3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row>
    <row r="11" spans="1:33" ht="14.25" customHeight="1" outlineLevel="1" x14ac:dyDescent="0.35">
      <c r="B11" s="447"/>
      <c r="C11" s="450" t="s">
        <v>134</v>
      </c>
      <c r="D11" s="435" t="s">
        <v>169</v>
      </c>
      <c r="E11" s="436"/>
      <c r="F11" s="436"/>
      <c r="G11" s="436"/>
      <c r="H11" s="436"/>
      <c r="I11" s="436"/>
      <c r="J11" s="437"/>
      <c r="K11" s="436"/>
      <c r="L11" s="437"/>
      <c r="M11" s="522" t="str">
        <f>"Ετήσιος ρυθμός ανάπτυξης (CAGR) "&amp;($C$3-5)&amp;" - "&amp;(($C$3-1))</f>
        <v>Ετήσιος ρυθμός ανάπτυξης (CAGR) 2019 - 2023</v>
      </c>
      <c r="N11" s="103"/>
      <c r="O11" s="525" t="s">
        <v>170</v>
      </c>
      <c r="P11" s="526"/>
      <c r="Q11" s="526"/>
      <c r="R11" s="526"/>
      <c r="S11" s="526"/>
      <c r="T11" s="526"/>
      <c r="U11" s="526"/>
      <c r="V11" s="526"/>
      <c r="W11" s="526"/>
      <c r="X11" s="527"/>
      <c r="Y11" s="522" t="str">
        <f>"Ετήσιος ρυθμός ανάπτυξης (CAGR) "&amp;$C$3&amp;" - "&amp;$E$3</f>
        <v>Ετήσιος ρυθμός ανάπτυξης (CAGR) 2024 - 2028</v>
      </c>
    </row>
    <row r="12" spans="1:33" ht="15.75" customHeight="1" outlineLevel="1" x14ac:dyDescent="0.35">
      <c r="B12" s="448"/>
      <c r="C12" s="451"/>
      <c r="D12" s="295">
        <f>$C$3-5</f>
        <v>2019</v>
      </c>
      <c r="E12" s="435">
        <f>$C$3-4</f>
        <v>2020</v>
      </c>
      <c r="F12" s="437"/>
      <c r="G12" s="435">
        <f>$C$3-3</f>
        <v>2021</v>
      </c>
      <c r="H12" s="437"/>
      <c r="I12" s="435">
        <f>$C$3+-2</f>
        <v>2022</v>
      </c>
      <c r="J12" s="437"/>
      <c r="K12" s="435">
        <f>$C$3-1</f>
        <v>2023</v>
      </c>
      <c r="L12" s="437"/>
      <c r="M12" s="523"/>
      <c r="N12" s="103"/>
      <c r="O12" s="435">
        <f>$C$3</f>
        <v>2024</v>
      </c>
      <c r="P12" s="437"/>
      <c r="Q12" s="435">
        <f>$C$3+1</f>
        <v>2025</v>
      </c>
      <c r="R12" s="437"/>
      <c r="S12" s="435">
        <f>$C$3+2</f>
        <v>2026</v>
      </c>
      <c r="T12" s="437"/>
      <c r="U12" s="435">
        <f>$C$3+3</f>
        <v>2027</v>
      </c>
      <c r="V12" s="437"/>
      <c r="W12" s="435">
        <f>$C$3+4</f>
        <v>2028</v>
      </c>
      <c r="X12" s="437"/>
      <c r="Y12" s="523"/>
    </row>
    <row r="13" spans="1:33" outlineLevel="1" x14ac:dyDescent="0.35">
      <c r="B13" s="449"/>
      <c r="C13" s="452"/>
      <c r="D13" s="295" t="s">
        <v>252</v>
      </c>
      <c r="E13" s="295" t="s">
        <v>252</v>
      </c>
      <c r="F13" s="67" t="s">
        <v>173</v>
      </c>
      <c r="G13" s="295" t="s">
        <v>252</v>
      </c>
      <c r="H13" s="67" t="s">
        <v>173</v>
      </c>
      <c r="I13" s="295" t="s">
        <v>252</v>
      </c>
      <c r="J13" s="67" t="s">
        <v>173</v>
      </c>
      <c r="K13" s="295" t="s">
        <v>252</v>
      </c>
      <c r="L13" s="67" t="s">
        <v>173</v>
      </c>
      <c r="M13" s="524"/>
      <c r="O13" s="295" t="s">
        <v>252</v>
      </c>
      <c r="P13" s="67" t="s">
        <v>173</v>
      </c>
      <c r="Q13" s="295" t="s">
        <v>252</v>
      </c>
      <c r="R13" s="67" t="s">
        <v>173</v>
      </c>
      <c r="S13" s="295" t="s">
        <v>252</v>
      </c>
      <c r="T13" s="67" t="s">
        <v>173</v>
      </c>
      <c r="U13" s="295" t="s">
        <v>252</v>
      </c>
      <c r="V13" s="67" t="s">
        <v>173</v>
      </c>
      <c r="W13" s="295" t="s">
        <v>252</v>
      </c>
      <c r="X13" s="67" t="s">
        <v>173</v>
      </c>
      <c r="Y13" s="524"/>
    </row>
    <row r="14" spans="1:33" outlineLevel="1" x14ac:dyDescent="0.35">
      <c r="B14" s="48" t="s">
        <v>74</v>
      </c>
      <c r="C14" s="62" t="s">
        <v>253</v>
      </c>
      <c r="D14" s="190">
        <f>('Ενεργοί πελάτες'!E14)/'Παραδοχές διείσδυσης - κάλυψης'!D14</f>
        <v>0.21589809350013636</v>
      </c>
      <c r="E14" s="191">
        <f>('Ενεργοί πελάτες'!G14)/'Παραδοχές διείσδυσης - κάλυψης'!H14</f>
        <v>0.2354381010987385</v>
      </c>
      <c r="F14" s="161">
        <f>IFERROR((E14-D14)/D14,0)</f>
        <v>9.0505697766107396E-2</v>
      </c>
      <c r="G14" s="191">
        <f>('Ενεργοί πελάτες'!J14)/'Παραδοχές διείσδυσης - κάλυψης'!L14</f>
        <v>0.2484486850353077</v>
      </c>
      <c r="H14" s="161">
        <f>IFERROR((G14-E14)/E14,0)</f>
        <v>5.5261165783497372E-2</v>
      </c>
      <c r="I14" s="191">
        <f>('Ενεργοί πελάτες'!M14)/'Παραδοχές διείσδυσης - κάλυψης'!P14</f>
        <v>0.23660293760830772</v>
      </c>
      <c r="J14" s="161">
        <f>IFERROR((I14-G14)/G14,0)</f>
        <v>-4.7678849358033633E-2</v>
      </c>
      <c r="K14" s="191">
        <f>('Ενεργοί πελάτες'!P14)/'Παραδοχές διείσδυσης - κάλυψης'!T14</f>
        <v>0.22352216748768472</v>
      </c>
      <c r="L14" s="161">
        <f>IFERROR((K14-I14)/I14,0)</f>
        <v>-5.5285746883996865E-2</v>
      </c>
      <c r="M14" s="192">
        <f t="shared" ref="M14:M67" si="0">IFERROR((K14/D14)^(1/4)-1,0)</f>
        <v>8.7137671355261848E-3</v>
      </c>
      <c r="O14" s="191">
        <f>('Ενεργοί πελάτες'!V14)/'Παραδοχές διείσδυσης - κάλυψης'!X14</f>
        <v>0.23014162561576354</v>
      </c>
      <c r="P14" s="161">
        <f>IFERROR((O14-K14)/K14,0)</f>
        <v>2.9614325068870535E-2</v>
      </c>
      <c r="Q14" s="191">
        <f>('Ενεργοί πελάτες'!Y14)/'Παραδοχές διείσδυσης - κάλυψης'!AB14</f>
        <v>0.22141964161689123</v>
      </c>
      <c r="R14" s="161">
        <f>IFERROR((Q14-O14)/O14,0)</f>
        <v>-3.7898333148277265E-2</v>
      </c>
      <c r="S14" s="191">
        <f>('Ενεργοί πελάτες'!AB14)/'Παραδοχές διείσδυσης - κάλυψης'!AF14</f>
        <v>0.22013673088875077</v>
      </c>
      <c r="T14" s="161">
        <f>IFERROR((S14-Q14)/Q14,0)</f>
        <v>-5.7940240476055159E-3</v>
      </c>
      <c r="U14" s="191">
        <f>('Ενεργοί πελάτες'!AE14)/'Παραδοχές διείσδυσης - κάλυψης'!AJ14</f>
        <v>0.24064636420136731</v>
      </c>
      <c r="V14" s="161">
        <f>IFERROR((U14-S14)/S14,0)</f>
        <v>9.3167701863354088E-2</v>
      </c>
      <c r="W14" s="191">
        <f>('Ενεργοί πελάτες'!AH14)/'Παραδοχές διείσδυσης - κάλυψης'!AN14</f>
        <v>0.24912619018922502</v>
      </c>
      <c r="X14" s="161">
        <f>IFERROR((W14-U14)/U14,0)</f>
        <v>3.5237706648923173E-2</v>
      </c>
      <c r="Y14" s="192">
        <f>IFERROR((W14/O14)^(1/4)-1,0)</f>
        <v>2.0013811875133181E-2</v>
      </c>
    </row>
    <row r="15" spans="1:33" s="52" customFormat="1" outlineLevel="1" x14ac:dyDescent="0.35">
      <c r="A15"/>
      <c r="B15" s="48" t="s">
        <v>75</v>
      </c>
      <c r="C15" s="62" t="s">
        <v>253</v>
      </c>
      <c r="D15" s="190">
        <f>('Ενεργοί πελάτες'!E15)/'Παραδοχές διείσδυσης - κάλυψης'!D15</f>
        <v>0.66533990660619335</v>
      </c>
      <c r="E15" s="191">
        <f>('Ενεργοί πελάτες'!G15)/'Παραδοχές διείσδυσης - κάλυψης'!H15</f>
        <v>0.66721419380218683</v>
      </c>
      <c r="F15" s="161">
        <f t="shared" ref="F15:F67" si="1">IFERROR((E15-D15)/D15,0)</f>
        <v>2.8170370924449021E-3</v>
      </c>
      <c r="G15" s="191">
        <f>('Ενεργοί πελάτες'!J15)/'Παραδοχές διείσδυσης - κάλυψης'!L15</f>
        <v>0.64105517834544923</v>
      </c>
      <c r="H15" s="161">
        <f t="shared" ref="H15:H67" si="2">IFERROR((G15-E15)/E15,0)</f>
        <v>-3.920632339619131E-2</v>
      </c>
      <c r="I15" s="191">
        <f>('Ενεργοί πελάτες'!M15)/'Παραδοχές διείσδυσης - κάλυψης'!P15</f>
        <v>0.63612317262114715</v>
      </c>
      <c r="J15" s="161">
        <f t="shared" ref="J15:J67" si="3">IFERROR((I15-G15)/G15,0)</f>
        <v>-7.6935744237048194E-3</v>
      </c>
      <c r="K15" s="191">
        <f>('Ενεργοί πελάτες'!P15)/'Παραδοχές διείσδυσης - κάλυψης'!T15</f>
        <v>0.63408642422777983</v>
      </c>
      <c r="L15" s="161">
        <f t="shared" ref="L15:L67" si="4">IFERROR((K15-I15)/I15,0)</f>
        <v>-3.2018144928990543E-3</v>
      </c>
      <c r="M15" s="192">
        <f t="shared" si="0"/>
        <v>-1.1956147121618299E-2</v>
      </c>
      <c r="N15"/>
      <c r="O15" s="191">
        <f>('Ενεργοί πελάτες'!V15)/'Παραδοχές διείσδυσης - κάλυψης'!X15</f>
        <v>0.6555819477434679</v>
      </c>
      <c r="P15" s="161">
        <f t="shared" ref="P15:P67" si="5">IFERROR((O15-K15)/K15,0)</f>
        <v>3.389999011864403E-2</v>
      </c>
      <c r="Q15" s="191">
        <f>('Ενεργοί πελάτες'!Y15)/'Παραδοχές διείσδυσης - κάλυψης'!AB15</f>
        <v>0.67188118811881192</v>
      </c>
      <c r="R15" s="161">
        <f t="shared" ref="R15:R67" si="6">IFERROR((Q15-O15)/O15,0)</f>
        <v>2.4862247094274766E-2</v>
      </c>
      <c r="S15" s="191">
        <f>('Ενεργοί πελάτες'!AB15)/'Παραδοχές διείσδυσης - κάλυψης'!AF15</f>
        <v>0.69855289617917271</v>
      </c>
      <c r="T15" s="161">
        <f t="shared" ref="T15:T67" si="7">IFERROR((S15-Q15)/Q15,0)</f>
        <v>3.9697060331512518E-2</v>
      </c>
      <c r="U15" s="191">
        <f>('Ενεργοί πελάτες'!AE15)/'Παραδοχές διείσδυσης - κάλυψης'!AJ15</f>
        <v>0.71977613400649676</v>
      </c>
      <c r="V15" s="161">
        <f t="shared" ref="V15:V67" si="8">IFERROR((U15-S15)/S15,0)</f>
        <v>3.0381719041474669E-2</v>
      </c>
      <c r="W15" s="191">
        <f>('Ενεργοί πελάτες'!AH15)/'Παραδοχές διείσδυσης - κάλυψης'!AN15</f>
        <v>0.73925098605849959</v>
      </c>
      <c r="X15" s="161">
        <f t="shared" ref="X15:X67" si="9">IFERROR((W15-U15)/U15,0)</f>
        <v>2.7056818268757787E-2</v>
      </c>
      <c r="Y15" s="192">
        <f t="shared" ref="Y15:Y67" si="10">IFERROR((W15/O15)^(1/4)-1,0)</f>
        <v>3.048394910457719E-2</v>
      </c>
    </row>
    <row r="16" spans="1:33" s="52" customFormat="1" outlineLevel="1" x14ac:dyDescent="0.35">
      <c r="A16"/>
      <c r="B16" s="48" t="s">
        <v>76</v>
      </c>
      <c r="C16" s="62" t="s">
        <v>253</v>
      </c>
      <c r="D16" s="190">
        <f>('Ενεργοί πελάτες'!E16)/'Παραδοχές διείσδυσης - κάλυψης'!D16</f>
        <v>0.29434304464177447</v>
      </c>
      <c r="E16" s="191">
        <f>('Ενεργοί πελάτες'!G16)/'Παραδοχές διείσδυσης - κάλυψης'!H16</f>
        <v>0.296585530802074</v>
      </c>
      <c r="F16" s="161">
        <f t="shared" si="1"/>
        <v>7.6186144062915491E-3</v>
      </c>
      <c r="G16" s="191">
        <f>('Ενεργοί πελάτες'!J16)/'Παραδοχές διείσδυσης - κάλυψης'!L16</f>
        <v>0.29289716737103405</v>
      </c>
      <c r="H16" s="161">
        <f t="shared" si="2"/>
        <v>-1.2436086888882583E-2</v>
      </c>
      <c r="I16" s="191">
        <f>('Ενεργοί πελάτες'!M16)/'Παραδοχές διείσδυσης - κάλυψης'!P16</f>
        <v>0.31315995781540124</v>
      </c>
      <c r="J16" s="161">
        <f t="shared" si="3"/>
        <v>6.918056130839545E-2</v>
      </c>
      <c r="K16" s="191">
        <f>('Ενεργοί πελάτες'!P16)/'Παραδοχές διείσδυσης - κάλυψης'!T16</f>
        <v>0.30048465266558966</v>
      </c>
      <c r="L16" s="161">
        <f t="shared" si="4"/>
        <v>-4.0475497692087775E-2</v>
      </c>
      <c r="M16" s="192">
        <f t="shared" si="0"/>
        <v>5.1760432576539728E-3</v>
      </c>
      <c r="N16"/>
      <c r="O16" s="191">
        <f>('Ενεργοί πελάτες'!V16)/'Παραδοχές διείσδυσης - κάλυψης'!X16</f>
        <v>0.3151248779126552</v>
      </c>
      <c r="P16" s="161">
        <f t="shared" si="5"/>
        <v>4.8722039935126721E-2</v>
      </c>
      <c r="Q16" s="191">
        <f>('Ενεργοί πελάτες'!Y16)/'Παραδοχές διείσδυσης - κάλυψης'!AB16</f>
        <v>0.32143804722738128</v>
      </c>
      <c r="R16" s="161">
        <f t="shared" si="6"/>
        <v>2.0033865166544991E-2</v>
      </c>
      <c r="S16" s="191">
        <f>('Ενεργοί πελάτες'!AB16)/'Παραδοχές διείσδυσης - κάλυψης'!AF16</f>
        <v>0.3202065073838396</v>
      </c>
      <c r="T16" s="161">
        <f t="shared" si="7"/>
        <v>-3.8313443419798671E-3</v>
      </c>
      <c r="U16" s="191">
        <f>('Ενεργοί πελάτες'!AE16)/'Παραδοχές διείσδυσης - κάλυψης'!AJ16</f>
        <v>0.33842224415162248</v>
      </c>
      <c r="V16" s="161">
        <f t="shared" si="8"/>
        <v>5.6887465893837107E-2</v>
      </c>
      <c r="W16" s="191">
        <f>('Ενεργοί πελάτες'!AH16)/'Παραδοχές διείσδυσης - κάλυψης'!AN16</f>
        <v>0.34776111141860849</v>
      </c>
      <c r="X16" s="161">
        <f t="shared" si="9"/>
        <v>2.7595311562327293E-2</v>
      </c>
      <c r="Y16" s="192">
        <f t="shared" si="10"/>
        <v>2.4942687232619498E-2</v>
      </c>
    </row>
    <row r="17" spans="1:25" outlineLevel="1" x14ac:dyDescent="0.35">
      <c r="B17" s="48" t="s">
        <v>77</v>
      </c>
      <c r="C17" s="62" t="s">
        <v>253</v>
      </c>
      <c r="D17" s="190">
        <f>('Ενεργοί πελάτες'!E17)/'Παραδοχές διείσδυσης - κάλυψης'!D17</f>
        <v>0.23935434100605865</v>
      </c>
      <c r="E17" s="191">
        <f>('Ενεργοί πελάτες'!G17)/'Παραδοχές διείσδυσης - κάλυψης'!H17</f>
        <v>0.25005041693548424</v>
      </c>
      <c r="F17" s="161">
        <f t="shared" si="1"/>
        <v>4.4687202598739775E-2</v>
      </c>
      <c r="G17" s="191">
        <f>('Ενεργοί πελάτες'!J17)/'Παραδοχές διείσδυσης - κάλυψης'!L17</f>
        <v>0.23901409990376676</v>
      </c>
      <c r="H17" s="161">
        <f t="shared" si="2"/>
        <v>-4.413636724535025E-2</v>
      </c>
      <c r="I17" s="191">
        <f>('Ενεργοί πελάτες'!M17)/'Παραδοχές διείσδυσης - κάλυψης'!P17</f>
        <v>0.2506484607537301</v>
      </c>
      <c r="J17" s="161">
        <f t="shared" si="3"/>
        <v>4.8676462412249426E-2</v>
      </c>
      <c r="K17" s="191">
        <f>('Ενεργοί πελάτες'!P17)/'Παραδοχές διείσδυσης - κάλυψης'!T17</f>
        <v>0.25239872068230279</v>
      </c>
      <c r="L17" s="161">
        <f t="shared" si="4"/>
        <v>6.9829270976149334E-3</v>
      </c>
      <c r="M17" s="192">
        <f t="shared" si="0"/>
        <v>1.3354639580390737E-2</v>
      </c>
      <c r="O17" s="191">
        <f>('Ενεργοί πελάτες'!V17)/'Παραδοχές διείσδυσης - κάλυψης'!X17</f>
        <v>0.26572494669509594</v>
      </c>
      <c r="P17" s="161">
        <f t="shared" si="5"/>
        <v>5.279831045406537E-2</v>
      </c>
      <c r="Q17" s="191">
        <f>('Ενεργοί πελάτες'!Y17)/'Παραδοχές διείσδυσης - κάλυψης'!AB17</f>
        <v>0.28038379530916846</v>
      </c>
      <c r="R17" s="161">
        <f t="shared" si="6"/>
        <v>5.5165496489468488E-2</v>
      </c>
      <c r="S17" s="191">
        <f>('Ενεργοί πελάτες'!AB17)/'Παραδοχές διείσδυσης - κάλυψης'!AF17</f>
        <v>0.2802690582959641</v>
      </c>
      <c r="T17" s="161">
        <f t="shared" si="7"/>
        <v>-4.0921413834862252E-4</v>
      </c>
      <c r="U17" s="191">
        <f>('Ενεργοί πελάτες'!AE17)/'Παραδοχές διείσδυσης - κάλυψης'!AJ17</f>
        <v>0.29097070927136287</v>
      </c>
      <c r="V17" s="161">
        <f t="shared" si="8"/>
        <v>3.8183490680222809E-2</v>
      </c>
      <c r="W17" s="191">
        <f>('Ενεργοί πελάτες'!AH17)/'Παραδοχές διείσδυσης - κάλυψης'!AN17</f>
        <v>0.30549503752118129</v>
      </c>
      <c r="X17" s="161">
        <f t="shared" si="9"/>
        <v>4.9916805324459142E-2</v>
      </c>
      <c r="Y17" s="192">
        <f t="shared" si="10"/>
        <v>3.5482963176353799E-2</v>
      </c>
    </row>
    <row r="18" spans="1:25" s="52" customFormat="1" outlineLevel="1" x14ac:dyDescent="0.35">
      <c r="A18"/>
      <c r="B18" s="48" t="s">
        <v>78</v>
      </c>
      <c r="C18" s="62" t="s">
        <v>253</v>
      </c>
      <c r="D18" s="190">
        <f>('Ενεργοί πελάτες'!E18)/'Παραδοχές διείσδυσης - κάλυψης'!D18</f>
        <v>0.43755916831756525</v>
      </c>
      <c r="E18" s="191">
        <f>('Ενεργοί πελάτες'!G18)/'Παραδοχές διείσδυσης - κάλυψης'!H18</f>
        <v>0.44677303352736636</v>
      </c>
      <c r="F18" s="161">
        <f t="shared" si="1"/>
        <v>2.1057415492466623E-2</v>
      </c>
      <c r="G18" s="191">
        <f>('Ενεργοί πελάτες'!J18)/'Παραδοχές διείσδυσης - κάλυψης'!L18</f>
        <v>0.44932092635220389</v>
      </c>
      <c r="H18" s="161">
        <f t="shared" si="2"/>
        <v>5.7028796136628524E-3</v>
      </c>
      <c r="I18" s="191">
        <f>('Ενεργοί πελάτες'!M18)/'Παραδοχές διείσδυσης - κάλυψης'!P18</f>
        <v>0.42651042548916895</v>
      </c>
      <c r="J18" s="161">
        <f t="shared" si="3"/>
        <v>-5.0766611402280282E-2</v>
      </c>
      <c r="K18" s="191">
        <f>('Ενεργοί πελάτες'!P18)/'Παραδοχές διείσδυσης - κάλυψης'!T18</f>
        <v>0.4232758484171853</v>
      </c>
      <c r="L18" s="161">
        <f t="shared" si="4"/>
        <v>-7.5838171324273951E-3</v>
      </c>
      <c r="M18" s="192">
        <f t="shared" si="0"/>
        <v>-8.2626372312991636E-3</v>
      </c>
      <c r="N18"/>
      <c r="O18" s="191">
        <f>('Ενεργοί πελάτες'!V18)/'Παραδοχές διείσδυσης - κάλυψης'!X18</f>
        <v>0.43029794139290906</v>
      </c>
      <c r="P18" s="161">
        <f t="shared" si="5"/>
        <v>1.6589873960403023E-2</v>
      </c>
      <c r="Q18" s="191">
        <f>('Ενεργοί πελάτες'!Y18)/'Παραδοχές διείσδυσης - κάλυψης'!AB18</f>
        <v>0.43613185641254576</v>
      </c>
      <c r="R18" s="161">
        <f t="shared" si="6"/>
        <v>1.3557850174118546E-2</v>
      </c>
      <c r="S18" s="191">
        <f>('Ενεργοί πελάτες'!AB18)/'Παραδοχές διείσδυσης - κάλυψης'!AF18</f>
        <v>0.44339942719333908</v>
      </c>
      <c r="T18" s="161">
        <f t="shared" si="7"/>
        <v>1.6663700837112848E-2</v>
      </c>
      <c r="U18" s="191">
        <f>('Ενεργοί πελάτες'!AE18)/'Παραδοχές διείσδυσης - κάλυψης'!AJ18</f>
        <v>0.44671241153632169</v>
      </c>
      <c r="V18" s="161">
        <f t="shared" si="8"/>
        <v>7.4717830917224387E-3</v>
      </c>
      <c r="W18" s="191">
        <f>('Ενεργοί πελάτες'!AH18)/'Παραδοχές διείσδυσης - κάλυψης'!AN18</f>
        <v>0.4527579894902754</v>
      </c>
      <c r="X18" s="161">
        <f t="shared" si="9"/>
        <v>1.3533489998994933E-2</v>
      </c>
      <c r="Y18" s="192">
        <f t="shared" si="10"/>
        <v>1.2801214815542084E-2</v>
      </c>
    </row>
    <row r="19" spans="1:25" outlineLevel="1" x14ac:dyDescent="0.35">
      <c r="B19" s="48" t="s">
        <v>79</v>
      </c>
      <c r="C19" s="62" t="s">
        <v>253</v>
      </c>
      <c r="D19" s="190">
        <f>('Ενεργοί πελάτες'!E19)/'Παραδοχές διείσδυσης - κάλυψης'!D19</f>
        <v>0.20173101585320483</v>
      </c>
      <c r="E19" s="191">
        <f>('Ενεργοί πελάτες'!G19)/'Παραδοχές διείσδυσης - κάλυψης'!H19</f>
        <v>0.21773901268647167</v>
      </c>
      <c r="F19" s="161">
        <f t="shared" si="1"/>
        <v>7.9353176136858911E-2</v>
      </c>
      <c r="G19" s="191">
        <f>('Ενεργοί πελάτες'!J19)/'Παραδοχές διείσδυσης - κάλυψης'!L19</f>
        <v>0.2291813050040058</v>
      </c>
      <c r="H19" s="161">
        <f t="shared" si="2"/>
        <v>5.2550492336484497E-2</v>
      </c>
      <c r="I19" s="191">
        <f>('Ενεργοί πελάτες'!M19)/'Παραδοχές διείσδυσης - κάλυψης'!P19</f>
        <v>0.23429651701195395</v>
      </c>
      <c r="J19" s="161">
        <f t="shared" si="3"/>
        <v>2.2319499436739582E-2</v>
      </c>
      <c r="K19" s="191">
        <f>('Ενεργοί πελάτες'!P19)/'Παραδοχές διείσδυσης - κάλυψης'!T19</f>
        <v>0.23259886645863848</v>
      </c>
      <c r="L19" s="161">
        <f t="shared" si="4"/>
        <v>-7.2457353398422764E-3</v>
      </c>
      <c r="M19" s="192">
        <f t="shared" si="0"/>
        <v>3.623612768763862E-2</v>
      </c>
      <c r="O19" s="191">
        <f>('Ενεργοί πελάτες'!V19)/'Παραδοχές διείσδυσης - κάλυψης'!X19</f>
        <v>0.24154604739939559</v>
      </c>
      <c r="P19" s="161">
        <f t="shared" si="5"/>
        <v>3.8466141632500728E-2</v>
      </c>
      <c r="Q19" s="191">
        <f>('Ενεργοί πελάτες'!Y19)/'Παραδοχές διείσδυσης - κάλυψης'!AB19</f>
        <v>0.25169397168760937</v>
      </c>
      <c r="R19" s="161">
        <f t="shared" si="6"/>
        <v>4.2012379823521726E-2</v>
      </c>
      <c r="S19" s="191">
        <f>('Ενεργοί πελάτες'!AB19)/'Παραδοχές διείσδυσης - κάλυψης'!AF19</f>
        <v>0.26231907109909336</v>
      </c>
      <c r="T19" s="161">
        <f t="shared" si="7"/>
        <v>4.2214357937310293E-2</v>
      </c>
      <c r="U19" s="191">
        <f>('Ενεργοί πελάτες'!AE19)/'Παραδοχές διείσδυσης - κάλυψης'!AJ19</f>
        <v>0.27160808016542071</v>
      </c>
      <c r="V19" s="161">
        <f t="shared" si="8"/>
        <v>3.5411108416201813E-2</v>
      </c>
      <c r="W19" s="191">
        <f>('Ενεργοί πελάτες'!AH19)/'Παραδοχές διείσδυσης - κάλυψης'!AN19</f>
        <v>0.27604557976458804</v>
      </c>
      <c r="X19" s="161">
        <f t="shared" si="9"/>
        <v>1.6337877711387359E-2</v>
      </c>
      <c r="Y19" s="192">
        <f t="shared" si="10"/>
        <v>3.3939710363866338E-2</v>
      </c>
    </row>
    <row r="20" spans="1:25" outlineLevel="1" x14ac:dyDescent="0.35">
      <c r="B20" s="48" t="s">
        <v>80</v>
      </c>
      <c r="C20" s="62" t="s">
        <v>253</v>
      </c>
      <c r="D20" s="190">
        <f>('Ενεργοί πελάτες'!E20)/'Παραδοχές διείσδυσης - κάλυψης'!D20</f>
        <v>0.41164052628684528</v>
      </c>
      <c r="E20" s="191">
        <f>('Ενεργοί πελάτες'!G20)/'Παραδοχές διείσδυσης - κάλυψης'!H20</f>
        <v>0.40383039799083231</v>
      </c>
      <c r="F20" s="161">
        <f t="shared" si="1"/>
        <v>-1.89731763450584E-2</v>
      </c>
      <c r="G20" s="191">
        <f>('Ενεργοί πελάτες'!J20)/'Παραδοχές διείσδυσης - κάλυψης'!L20</f>
        <v>0.35535252049206256</v>
      </c>
      <c r="H20" s="161">
        <f t="shared" si="2"/>
        <v>-0.12004514206944443</v>
      </c>
      <c r="I20" s="191">
        <f>('Ενεργοί πελάτες'!M20)/'Παραδοχές διείσδυσης - κάλυψης'!P20</f>
        <v>0.41258066212670996</v>
      </c>
      <c r="J20" s="161">
        <f t="shared" si="3"/>
        <v>0.16104611149346187</v>
      </c>
      <c r="K20" s="191">
        <f>('Ενεργοί πελάτες'!P20)/'Παραδοχές διείσδυσης - κάλυψης'!T20</f>
        <v>0.36000548057820098</v>
      </c>
      <c r="L20" s="161">
        <f t="shared" si="4"/>
        <v>-0.127430067317024</v>
      </c>
      <c r="M20" s="192">
        <f t="shared" si="0"/>
        <v>-3.2952632811140359E-2</v>
      </c>
      <c r="O20" s="191">
        <f>('Ενεργοί πελάτες'!V20)/'Παραδοχές διείσδυσης - κάλυψης'!X20</f>
        <v>0.37890943704106611</v>
      </c>
      <c r="P20" s="161">
        <f t="shared" si="5"/>
        <v>5.2510190768495224E-2</v>
      </c>
      <c r="Q20" s="191">
        <f>('Ενεργοί πελάτες'!Y20)/'Παραδοχές διείσδυσης - κάλυψης'!AB20</f>
        <v>0.39851186486124146</v>
      </c>
      <c r="R20" s="161">
        <f t="shared" si="6"/>
        <v>5.1733807353156115E-2</v>
      </c>
      <c r="S20" s="191">
        <f>('Ενεργοί πελάτες'!AB20)/'Παραδοχές διείσδυσης - κάλυψης'!AF20</f>
        <v>0.42312316323804433</v>
      </c>
      <c r="T20" s="161">
        <f t="shared" si="7"/>
        <v>6.175800659127758E-2</v>
      </c>
      <c r="U20" s="191">
        <f>('Ενεργοί πελάτες'!AE20)/'Παραδοχές διείσδυσης - κάλυψης'!AJ20</f>
        <v>0.4454982634250601</v>
      </c>
      <c r="V20" s="161">
        <f t="shared" si="8"/>
        <v>5.2880820836621968E-2</v>
      </c>
      <c r="W20" s="191">
        <f>('Ενεργοί πελάτες'!AH20)/'Παραδοχές διείσδυσης - κάλυψης'!AN20</f>
        <v>0.45686313161180103</v>
      </c>
      <c r="X20" s="161">
        <f t="shared" si="9"/>
        <v>2.5510465740912321E-2</v>
      </c>
      <c r="Y20" s="192">
        <f t="shared" si="10"/>
        <v>4.7882705266003134E-2</v>
      </c>
    </row>
    <row r="21" spans="1:25" outlineLevel="1" x14ac:dyDescent="0.35">
      <c r="B21" s="48" t="s">
        <v>81</v>
      </c>
      <c r="C21" s="62" t="s">
        <v>253</v>
      </c>
      <c r="D21" s="190">
        <f>('Ενεργοί πελάτες'!E21)/'Παραδοχές διείσδυσης - κάλυψης'!D21</f>
        <v>0.70431714164683046</v>
      </c>
      <c r="E21" s="191">
        <f>('Ενεργοί πελάτες'!G21)/'Παραδοχές διείσδυσης - κάλυψης'!H21</f>
        <v>0.71211077403105105</v>
      </c>
      <c r="F21" s="161">
        <f t="shared" si="1"/>
        <v>1.1065515693679648E-2</v>
      </c>
      <c r="G21" s="191">
        <f>('Ενεργοί πελάτες'!J21)/'Παραδοχές διείσδυσης - κάλυψης'!L21</f>
        <v>0.72163367614392393</v>
      </c>
      <c r="H21" s="161">
        <f t="shared" si="2"/>
        <v>1.3372781960545985E-2</v>
      </c>
      <c r="I21" s="191">
        <f>('Ενεργοί πελάτες'!M21)/'Παραδοχές διείσδυσης - κάλυψης'!P21</f>
        <v>0.68117357050087624</v>
      </c>
      <c r="J21" s="161">
        <f t="shared" si="3"/>
        <v>-5.6067374598214093E-2</v>
      </c>
      <c r="K21" s="191">
        <f>('Ενεργοί πελάτες'!P21)/'Παραδοχές διείσδυσης - κάλυψης'!T21</f>
        <v>0.67789487507797364</v>
      </c>
      <c r="L21" s="161">
        <f t="shared" si="4"/>
        <v>-4.8133039285298907E-3</v>
      </c>
      <c r="M21" s="192">
        <f t="shared" si="0"/>
        <v>-9.5135856613910441E-3</v>
      </c>
      <c r="O21" s="191">
        <f>('Ενεργοί πελάτες'!V21)/'Παραδοχές διείσδυσης - κάλυψης'!X21</f>
        <v>0.6895033749633156</v>
      </c>
      <c r="P21" s="161">
        <f t="shared" si="5"/>
        <v>1.7124336400989482E-2</v>
      </c>
      <c r="Q21" s="191">
        <f>('Ενεργοί πελάτες'!Y21)/'Παραδοχές διείσδυσης - κάλυψης'!AB21</f>
        <v>0.70606031033473216</v>
      </c>
      <c r="R21" s="161">
        <f t="shared" si="6"/>
        <v>2.4012841666362337E-2</v>
      </c>
      <c r="S21" s="191">
        <f>('Ενεργοί πελάτες'!AB21)/'Παραδοχές διείσδυσης - κάλυψης'!AF21</f>
        <v>0.7243339831059129</v>
      </c>
      <c r="T21" s="161">
        <f t="shared" si="7"/>
        <v>2.5881178284214115E-2</v>
      </c>
      <c r="U21" s="191">
        <f>('Ενεργοί πελάτες'!AE21)/'Παραδοχές διείσδυσης - κάλυψης'!AJ21</f>
        <v>0.74096816114359976</v>
      </c>
      <c r="V21" s="161">
        <f t="shared" si="8"/>
        <v>2.2964790311729148E-2</v>
      </c>
      <c r="W21" s="191">
        <f>('Ενεργοί πελάτες'!AH21)/'Παραδοχές διείσδυσης - κάλυψης'!AN21</f>
        <v>0.75287020821171435</v>
      </c>
      <c r="X21" s="161">
        <f t="shared" si="9"/>
        <v>1.606283197073562E-2</v>
      </c>
      <c r="Y21" s="192">
        <f t="shared" si="10"/>
        <v>2.2223660437717507E-2</v>
      </c>
    </row>
    <row r="22" spans="1:25" outlineLevel="1" x14ac:dyDescent="0.35">
      <c r="B22" s="48" t="s">
        <v>82</v>
      </c>
      <c r="C22" s="62" t="s">
        <v>253</v>
      </c>
      <c r="D22" s="190">
        <f>('Ενεργοί πελάτες'!E22)/'Παραδοχές διείσδυσης - κάλυψης'!D22</f>
        <v>5.0356012891497354E-2</v>
      </c>
      <c r="E22" s="191">
        <f>('Ενεργοί πελάτες'!G22)/'Παραδοχές διείσδυσης - κάλυψης'!H22</f>
        <v>5.3006329359470902E-2</v>
      </c>
      <c r="F22" s="161">
        <f t="shared" si="1"/>
        <v>5.2631578947368494E-2</v>
      </c>
      <c r="G22" s="191">
        <f>('Ενεργοί πελάτες'!J22)/'Παραδοχές διείσδυσης - κάλυψης'!L22</f>
        <v>5.3006329359470902E-2</v>
      </c>
      <c r="H22" s="161">
        <f t="shared" si="2"/>
        <v>0</v>
      </c>
      <c r="I22" s="191">
        <f>('Ενεργοί πελάτες'!M22)/'Παραδοχές διείσδυσης - κάλυψης'!P22</f>
        <v>5.0356012891497354E-2</v>
      </c>
      <c r="J22" s="161">
        <f t="shared" si="3"/>
        <v>-5.0000000000000065E-2</v>
      </c>
      <c r="K22" s="191">
        <f>('Ενεργοί πελάτες'!P22)/'Παραδοχές διείσδυσης - κάλυψης'!T22</f>
        <v>5.0397877984084884E-2</v>
      </c>
      <c r="L22" s="161">
        <f t="shared" si="4"/>
        <v>8.3138219615872151E-4</v>
      </c>
      <c r="M22" s="192">
        <f t="shared" si="0"/>
        <v>2.0778078078942386E-4</v>
      </c>
      <c r="O22" s="191">
        <f>('Ενεργοί πελάτες'!V22)/'Παραδοχές διείσδυσης - κάλυψης'!X22</f>
        <v>5.0397877984084884E-2</v>
      </c>
      <c r="P22" s="161">
        <f t="shared" si="5"/>
        <v>0</v>
      </c>
      <c r="Q22" s="191">
        <f>('Ενεργοί πελάτες'!Y22)/'Παραδοχές διείσδυσης - κάλυψης'!AB22</f>
        <v>5.0397877984084884E-2</v>
      </c>
      <c r="R22" s="161">
        <f t="shared" si="6"/>
        <v>0</v>
      </c>
      <c r="S22" s="191">
        <f>('Ενεργοί πελάτες'!AB22)/'Παραδοχές διείσδυσης - κάλυψης'!AF22</f>
        <v>5.0397877984084884E-2</v>
      </c>
      <c r="T22" s="161">
        <f t="shared" si="7"/>
        <v>0</v>
      </c>
      <c r="U22" s="191">
        <f>('Ενεργοί πελάτες'!AE22)/'Παραδοχές διείσδυσης - κάλυψης'!AJ22</f>
        <v>5.0397877984084884E-2</v>
      </c>
      <c r="V22" s="161">
        <f t="shared" si="8"/>
        <v>0</v>
      </c>
      <c r="W22" s="191">
        <f>('Ενεργοί πελάτες'!AH22)/'Παραδοχές διείσδυσης - κάλυψης'!AN22</f>
        <v>5.0397877984084884E-2</v>
      </c>
      <c r="X22" s="161">
        <f t="shared" si="9"/>
        <v>0</v>
      </c>
      <c r="Y22" s="192">
        <f t="shared" si="10"/>
        <v>0</v>
      </c>
    </row>
    <row r="23" spans="1:25" outlineLevel="1" x14ac:dyDescent="0.35">
      <c r="B23" s="48" t="s">
        <v>83</v>
      </c>
      <c r="C23" s="62" t="s">
        <v>253</v>
      </c>
      <c r="D23" s="190">
        <f>('Ενεργοί πελάτες'!E23)/'Παραδοχές διείσδυσης - κάλυψης'!D23</f>
        <v>0.6518784648219661</v>
      </c>
      <c r="E23" s="191">
        <f>('Ενεργοί πελάτες'!G23)/'Παραδοχές διείσδυσης - κάλυψης'!H23</f>
        <v>0.68645747965535131</v>
      </c>
      <c r="F23" s="161">
        <f t="shared" si="1"/>
        <v>5.3045186640471483E-2</v>
      </c>
      <c r="G23" s="191">
        <f>('Ενεργοί πελάτες'!J23)/'Παραδοχές διείσδυσης - κάλυψης'!L23</f>
        <v>0.6950313492080713</v>
      </c>
      <c r="H23" s="161">
        <f t="shared" si="2"/>
        <v>1.2490022771730395E-2</v>
      </c>
      <c r="I23" s="191">
        <f>('Ενεργοί πελάτες'!M23)/'Παραδοχές διείσδυσης - κάλυψης'!P23</f>
        <v>0.70262501493538254</v>
      </c>
      <c r="J23" s="161">
        <f t="shared" si="3"/>
        <v>1.0925644916540196E-2</v>
      </c>
      <c r="K23" s="191">
        <f>('Ενεργοί πελάτες'!P23)/'Παραδοχές διείσδυσης - κάλυψης'!T23</f>
        <v>0.61500275785990066</v>
      </c>
      <c r="L23" s="161">
        <f t="shared" si="4"/>
        <v>-0.12470699905772659</v>
      </c>
      <c r="M23" s="192">
        <f t="shared" si="0"/>
        <v>-1.4452394081784004E-2</v>
      </c>
      <c r="O23" s="191">
        <f>('Ενεργοί πελάτες'!V23)/'Παραδοχές διείσδυσης - κάλυψης'!X23</f>
        <v>0.62640191211619778</v>
      </c>
      <c r="P23" s="161">
        <f t="shared" si="5"/>
        <v>1.8535127055306435E-2</v>
      </c>
      <c r="Q23" s="191">
        <f>('Ενεργοί πελάτες'!Y23)/'Παραδοχές διείσδυσης - κάλυψης'!AB23</f>
        <v>0.57920710643197892</v>
      </c>
      <c r="R23" s="161">
        <f t="shared" si="6"/>
        <v>-7.5342690964621775E-2</v>
      </c>
      <c r="S23" s="191">
        <f>('Ενεργοί πελάτες'!AB23)/'Παραδοχές διείσδυσης - κάλυψης'!AF23</f>
        <v>0.58669871794871797</v>
      </c>
      <c r="T23" s="161">
        <f t="shared" si="7"/>
        <v>1.293425345363723E-2</v>
      </c>
      <c r="U23" s="191">
        <f>('Ενεργοί πελάτες'!AE23)/'Παραδοχές διείσδυσης - κάλυψης'!AJ23</f>
        <v>0.55758817503292846</v>
      </c>
      <c r="V23" s="161">
        <f t="shared" si="8"/>
        <v>-4.961753285837929E-2</v>
      </c>
      <c r="W23" s="191">
        <f>('Ενεργοί πελάτες'!AH23)/'Παραδοχές διείσδυσης - κάλυψης'!AN23</f>
        <v>0.5599829835507657</v>
      </c>
      <c r="X23" s="161">
        <f t="shared" si="9"/>
        <v>4.2949413654545633E-3</v>
      </c>
      <c r="Y23" s="192">
        <f t="shared" si="10"/>
        <v>-2.7632490819561983E-2</v>
      </c>
    </row>
    <row r="24" spans="1:25" outlineLevel="1" x14ac:dyDescent="0.35">
      <c r="B24" s="48" t="s">
        <v>84</v>
      </c>
      <c r="C24" s="62" t="s">
        <v>253</v>
      </c>
      <c r="D24" s="190">
        <f>('Ενεργοί πελάτες'!E24)/'Παραδοχές διείσδυσης - κάλυψης'!D24</f>
        <v>0.37556948240026178</v>
      </c>
      <c r="E24" s="191">
        <f>('Ενεργοί πελάτες'!G24)/'Παραδοχές διείσδυσης - κάλυψης'!H24</f>
        <v>0.40496393603025677</v>
      </c>
      <c r="F24" s="161">
        <f t="shared" si="1"/>
        <v>7.8266352852034871E-2</v>
      </c>
      <c r="G24" s="191">
        <f>('Ενεργοί πελάτες'!J24)/'Παραδοχές διείσδυσης - κάλυψης'!L24</f>
        <v>0.3913295182516725</v>
      </c>
      <c r="H24" s="161">
        <f t="shared" si="2"/>
        <v>-3.366822713212065E-2</v>
      </c>
      <c r="I24" s="191">
        <f>('Ενεργοί πελάτες'!M24)/'Παραδοχές διείσδυσης - κάλυψης'!P24</f>
        <v>0.38431243343128008</v>
      </c>
      <c r="J24" s="161">
        <f t="shared" si="3"/>
        <v>-1.7931396669850976E-2</v>
      </c>
      <c r="K24" s="191">
        <f>('Ενεργοί πελάτες'!P24)/'Παραδοχές διείσδυσης - κάλυψης'!T24</f>
        <v>0.37049066233615591</v>
      </c>
      <c r="L24" s="161">
        <f t="shared" si="4"/>
        <v>-3.5964933457183289E-2</v>
      </c>
      <c r="M24" s="192">
        <f t="shared" si="0"/>
        <v>-3.3980266505877488E-3</v>
      </c>
      <c r="O24" s="191">
        <f>('Ενεργοί πελάτες'!V24)/'Παραδοχές διείσδυσης - κάλυψης'!X24</f>
        <v>0.37056856187290971</v>
      </c>
      <c r="P24" s="161">
        <f t="shared" si="5"/>
        <v>2.1026045909659164E-4</v>
      </c>
      <c r="Q24" s="191">
        <f>('Ενεργοί πελάτες'!Y24)/'Παραδοχές διείσδυσης - κάλυψης'!AB24</f>
        <v>0.37417500532254633</v>
      </c>
      <c r="R24" s="161">
        <f t="shared" si="6"/>
        <v>9.7321894534417829E-3</v>
      </c>
      <c r="S24" s="191">
        <f>('Ενεργοί πελάτες'!AB24)/'Παραδοχές διείσδυσης - κάλυψης'!AF24</f>
        <v>0.37884672841350464</v>
      </c>
      <c r="T24" s="161">
        <f t="shared" si="7"/>
        <v>1.2485395936404662E-2</v>
      </c>
      <c r="U24" s="191">
        <f>('Ενεργοί πελάτες'!AE24)/'Παραδοχές διείσδυσης - κάλυψης'!AJ24</f>
        <v>0.38719655075452247</v>
      </c>
      <c r="V24" s="161">
        <f t="shared" si="8"/>
        <v>2.2040106762923253E-2</v>
      </c>
      <c r="W24" s="191">
        <f>('Ενεργοί πελάτες'!AH24)/'Παραδοχές διείσδυσης - κάλυψης'!AN24</f>
        <v>0.4085185185185185</v>
      </c>
      <c r="X24" s="161">
        <f t="shared" si="9"/>
        <v>5.5067556057630994E-2</v>
      </c>
      <c r="Y24" s="192">
        <f t="shared" si="10"/>
        <v>2.4674182763947616E-2</v>
      </c>
    </row>
    <row r="25" spans="1:25" outlineLevel="1" x14ac:dyDescent="0.35">
      <c r="B25" s="48" t="s">
        <v>85</v>
      </c>
      <c r="C25" s="62" t="s">
        <v>253</v>
      </c>
      <c r="D25" s="190">
        <f>('Ενεργοί πελάτες'!E25)/'Παραδοχές διείσδυσης - κάλυψης'!D25</f>
        <v>0.5746779619553376</v>
      </c>
      <c r="E25" s="191">
        <f>('Ενεργοί πελάτες'!G25)/'Παραδοχές διείσδυσης - κάλυψης'!H25</f>
        <v>0.57722523707014728</v>
      </c>
      <c r="F25" s="161">
        <f t="shared" si="1"/>
        <v>4.4325261858704171E-3</v>
      </c>
      <c r="G25" s="191">
        <f>('Ενεργοί πελάτες'!J25)/'Παραδοχές διείσδυσης - κάλυψης'!L25</f>
        <v>0.62716206958520127</v>
      </c>
      <c r="H25" s="161">
        <f t="shared" si="2"/>
        <v>8.6511866266487256E-2</v>
      </c>
      <c r="I25" s="191">
        <f>('Ενεργοί πελάτες'!M25)/'Παραδοχές διείσδυσης - κάλυψης'!P25</f>
        <v>0.65264547947612017</v>
      </c>
      <c r="J25" s="161">
        <f t="shared" si="3"/>
        <v>4.0632893994647E-2</v>
      </c>
      <c r="K25" s="191">
        <f>('Ενεργοί πελάτες'!P25)/'Παραδοχές διείσδυσης - κάλυψης'!T25</f>
        <v>0.65469930989155434</v>
      </c>
      <c r="L25" s="161">
        <f t="shared" si="4"/>
        <v>3.146931190089265E-3</v>
      </c>
      <c r="M25" s="192">
        <f t="shared" si="0"/>
        <v>3.3128482993959096E-2</v>
      </c>
      <c r="O25" s="191">
        <f>('Ενεργοί πελάτες'!V25)/'Παραδοχές διείσδυσης - κάλυψης'!X25</f>
        <v>0.67366521774788812</v>
      </c>
      <c r="P25" s="161">
        <f t="shared" si="5"/>
        <v>2.8968883225912269E-2</v>
      </c>
      <c r="Q25" s="191">
        <f>('Ενεργοί πελάτες'!Y25)/'Παραδοχές διείσδυσης - κάλυψης'!AB25</f>
        <v>0.68857627940819788</v>
      </c>
      <c r="R25" s="161">
        <f t="shared" si="6"/>
        <v>2.2134231169242371E-2</v>
      </c>
      <c r="S25" s="191">
        <f>('Ενεργοί πελάτες'!AB25)/'Παραδοχές διείσδυσης - κάλυψης'!AF25</f>
        <v>0.71452825612418147</v>
      </c>
      <c r="T25" s="161">
        <f t="shared" si="7"/>
        <v>3.7689327227897272E-2</v>
      </c>
      <c r="U25" s="191">
        <f>('Ενεργοί πελάτες'!AE25)/'Παραδοχές διείσδυσης - κάλυψης'!AJ25</f>
        <v>0.73499999999999999</v>
      </c>
      <c r="V25" s="161">
        <f t="shared" si="8"/>
        <v>2.8650712830957138E-2</v>
      </c>
      <c r="W25" s="191">
        <f>('Ενεργοί πελάτες'!AH25)/'Παραδοχές διείσδυσης - κάλυψης'!AN25</f>
        <v>0.74993975419712422</v>
      </c>
      <c r="X25" s="161">
        <f t="shared" si="9"/>
        <v>2.0326196186563582E-2</v>
      </c>
      <c r="Y25" s="192">
        <f t="shared" si="10"/>
        <v>2.7177653972932925E-2</v>
      </c>
    </row>
    <row r="26" spans="1:25" outlineLevel="1" x14ac:dyDescent="0.35">
      <c r="B26" s="48" t="s">
        <v>86</v>
      </c>
      <c r="C26" s="62" t="s">
        <v>253</v>
      </c>
      <c r="D26" s="190">
        <f>('Ενεργοί πελάτες'!E26)/'Παραδοχές διείσδυσης - κάλυψης'!D26</f>
        <v>0.34591370364968099</v>
      </c>
      <c r="E26" s="191">
        <f>('Ενεργοί πελάτες'!G26)/'Παραδοχές διείσδυσης - κάλυψης'!H26</f>
        <v>0.35142976633618966</v>
      </c>
      <c r="F26" s="161">
        <f t="shared" si="1"/>
        <v>1.5946354909648165E-2</v>
      </c>
      <c r="G26" s="191">
        <f>('Ενεργοί πελάτες'!J26)/'Παραδοχές διείσδυσης - κάλυψης'!L26</f>
        <v>0.25737759708486713</v>
      </c>
      <c r="H26" s="161">
        <f t="shared" si="2"/>
        <v>-0.26762721391491079</v>
      </c>
      <c r="I26" s="191">
        <f>('Ενεργοί πελάτες'!M26)/'Παραδοχές διείσδυσης - κάλυψης'!P26</f>
        <v>0.25891869903705139</v>
      </c>
      <c r="J26" s="161">
        <f t="shared" si="3"/>
        <v>5.987708214076245E-3</v>
      </c>
      <c r="K26" s="191">
        <f>('Ενεργοί πελάτες'!P26)/'Παραδοχές διείσδυσης - κάλυψης'!T26</f>
        <v>0.26504116529449018</v>
      </c>
      <c r="L26" s="161">
        <f t="shared" si="4"/>
        <v>2.3646288507585378E-2</v>
      </c>
      <c r="M26" s="192">
        <f t="shared" si="0"/>
        <v>-6.4408233428071227E-2</v>
      </c>
      <c r="O26" s="191">
        <f>('Ενεργοί πελάτες'!V26)/'Παραδοχές διείσδυσης - κάλυψης'!X26</f>
        <v>0.27786812149189527</v>
      </c>
      <c r="P26" s="161">
        <f t="shared" si="5"/>
        <v>4.8396090407891619E-2</v>
      </c>
      <c r="Q26" s="191">
        <f>('Ενεργοί πελάτες'!Y26)/'Παραδοχές διείσδυσης - κάλυψης'!AB26</f>
        <v>0.28416020293672861</v>
      </c>
      <c r="R26" s="161">
        <f t="shared" si="6"/>
        <v>2.2644128484587127E-2</v>
      </c>
      <c r="S26" s="191">
        <f>('Ενεργοί πελάτες'!AB26)/'Παραδοχές διείσδυσης - κάλυψης'!AF26</f>
        <v>0.30372756557754255</v>
      </c>
      <c r="T26" s="161">
        <f t="shared" si="7"/>
        <v>6.8860320476230877E-2</v>
      </c>
      <c r="U26" s="191">
        <f>('Ενεργοί πελάτες'!AE26)/'Παραδοχές διείσδυσης - κάλυψης'!AJ26</f>
        <v>0.32917449244253644</v>
      </c>
      <c r="V26" s="161">
        <f t="shared" si="8"/>
        <v>8.3782078905502613E-2</v>
      </c>
      <c r="W26" s="191">
        <f>('Ενεργοί πελάτες'!AH26)/'Παραδοχές διείσδυσης - κάλυψης'!AN26</f>
        <v>0.35123367198838895</v>
      </c>
      <c r="X26" s="161">
        <f t="shared" si="9"/>
        <v>6.7013635783773118E-2</v>
      </c>
      <c r="Y26" s="192">
        <f t="shared" si="10"/>
        <v>6.0325863236265542E-2</v>
      </c>
    </row>
    <row r="27" spans="1:25" outlineLevel="1" x14ac:dyDescent="0.35">
      <c r="B27" s="48" t="s">
        <v>87</v>
      </c>
      <c r="C27" s="62" t="s">
        <v>253</v>
      </c>
      <c r="D27" s="190">
        <f>('Ενεργοί πελάτες'!E27)/'Παραδοχές διείσδυσης - κάλυψης'!D27</f>
        <v>0.37686512361305702</v>
      </c>
      <c r="E27" s="191">
        <f>('Ενεργοί πελάτες'!G27)/'Παραδοχές διείσδυσης - κάλυψης'!H27</f>
        <v>0.40592758731270423</v>
      </c>
      <c r="F27" s="161">
        <f t="shared" si="1"/>
        <v>7.7116352452626644E-2</v>
      </c>
      <c r="G27" s="191">
        <f>('Ενεργοί πελάτες'!J27)/'Παραδοχές διείσδυσης - κάλυψης'!L27</f>
        <v>0.42077807469251538</v>
      </c>
      <c r="H27" s="161">
        <f t="shared" si="2"/>
        <v>3.658408012651565E-2</v>
      </c>
      <c r="I27" s="191">
        <f>('Ενεργοί πελάτες'!M27)/'Παραδοχές διείσδυσης - κάλυψης'!P27</f>
        <v>0.43135326434504329</v>
      </c>
      <c r="J27" s="161">
        <f t="shared" si="3"/>
        <v>2.5132463615780722E-2</v>
      </c>
      <c r="K27" s="191">
        <f>('Ενεργοί πελάτες'!P27)/'Παραδοχές διείσδυσης - κάλυψης'!T27</f>
        <v>0.43092286209960651</v>
      </c>
      <c r="L27" s="161">
        <f t="shared" si="4"/>
        <v>-9.9779526669466884E-4</v>
      </c>
      <c r="M27" s="192">
        <f t="shared" si="0"/>
        <v>3.4078233941018832E-2</v>
      </c>
      <c r="O27" s="191">
        <f>('Ενεργοί πελάτες'!V27)/'Παραδοχές διείσδυσης - κάλυψης'!X27</f>
        <v>0.43967771872099892</v>
      </c>
      <c r="P27" s="161">
        <f t="shared" si="5"/>
        <v>2.0316528528413879E-2</v>
      </c>
      <c r="Q27" s="191">
        <f>('Ενεργοί πελάτες'!Y27)/'Παραδοχές διείσδυσης - κάλυψης'!AB27</f>
        <v>0.43402582818641211</v>
      </c>
      <c r="R27" s="161">
        <f t="shared" si="6"/>
        <v>-1.2854621223535926E-2</v>
      </c>
      <c r="S27" s="191">
        <f>('Ενεργοί πελάτες'!AB27)/'Παραδοχές διείσδυσης - κάλυψης'!AF27</f>
        <v>0.45167241517606482</v>
      </c>
      <c r="T27" s="161">
        <f t="shared" si="7"/>
        <v>4.0657919053779405E-2</v>
      </c>
      <c r="U27" s="191">
        <f>('Ενεργοί πελάτες'!AE27)/'Παραδοχές διείσδυσης - κάλυψης'!AJ27</f>
        <v>0.46558915537017725</v>
      </c>
      <c r="V27" s="161">
        <f t="shared" si="8"/>
        <v>3.0811578760433257E-2</v>
      </c>
      <c r="W27" s="191">
        <f>('Ενεργοί πελάτες'!AH27)/'Παραδοχές διείσδυσης - κάλυψης'!AN27</f>
        <v>0.46153253160653718</v>
      </c>
      <c r="X27" s="161">
        <f t="shared" si="9"/>
        <v>-8.7128828428462129E-3</v>
      </c>
      <c r="Y27" s="192">
        <f t="shared" si="10"/>
        <v>1.2201473310529343E-2</v>
      </c>
    </row>
    <row r="28" spans="1:25" outlineLevel="1" x14ac:dyDescent="0.35">
      <c r="B28" s="48" t="s">
        <v>88</v>
      </c>
      <c r="C28" s="62" t="s">
        <v>253</v>
      </c>
      <c r="D28" s="190">
        <f>('Ενεργοί πελάτες'!E28)/'Παραδοχές διείσδυσης - κάλυψης'!D28</f>
        <v>0.33707651926436061</v>
      </c>
      <c r="E28" s="191">
        <f>('Ενεργοί πελάτες'!G28)/'Παραδοχές διείσδυσης - κάλυψης'!H28</f>
        <v>0.36790320371068919</v>
      </c>
      <c r="F28" s="161">
        <f t="shared" si="1"/>
        <v>9.1453075739612671E-2</v>
      </c>
      <c r="G28" s="191">
        <f>('Ενεργοί πελάτες'!J28)/'Παραδοχές διείσδυσης - κάλυψης'!L28</f>
        <v>0.38352562136322133</v>
      </c>
      <c r="H28" s="161">
        <f t="shared" si="2"/>
        <v>4.2463391171818271E-2</v>
      </c>
      <c r="I28" s="191">
        <f>('Ενεργοί πελάτες'!M28)/'Παραδοχές διείσδυσης - κάλυψης'!P28</f>
        <v>0.36096775905801265</v>
      </c>
      <c r="J28" s="161">
        <f t="shared" si="3"/>
        <v>-5.8817093431797231E-2</v>
      </c>
      <c r="K28" s="191">
        <f>('Ενεργοί πελάτες'!P28)/'Παραδοχές διείσδυσης - κάλυψης'!T28</f>
        <v>0.35500919117647056</v>
      </c>
      <c r="L28" s="161">
        <f t="shared" si="4"/>
        <v>-1.6507202463432367E-2</v>
      </c>
      <c r="M28" s="192">
        <f t="shared" si="0"/>
        <v>1.3042753048233546E-2</v>
      </c>
      <c r="O28" s="191">
        <f>('Ενεργοί πελάτες'!V28)/'Παραδοχές διείσδυσης - κάλυψης'!X28</f>
        <v>0.37167538076835643</v>
      </c>
      <c r="P28" s="161">
        <f t="shared" si="5"/>
        <v>4.6945797478244219E-2</v>
      </c>
      <c r="Q28" s="191">
        <f>('Ενεργοί πελάτες'!Y28)/'Παραδοχές διείσδυσης - κάλυψης'!AB28</f>
        <v>0.37544833475661826</v>
      </c>
      <c r="R28" s="161">
        <f t="shared" si="6"/>
        <v>1.0151207702974794E-2</v>
      </c>
      <c r="S28" s="191">
        <f>('Ενεργοί πελάτες'!AB28)/'Παραδοχές διείσδυσης - κάλυψης'!AF28</f>
        <v>0.38495895702559152</v>
      </c>
      <c r="T28" s="161">
        <f t="shared" si="7"/>
        <v>2.5331374222603627E-2</v>
      </c>
      <c r="U28" s="191">
        <f>('Ενεργοί πελάτες'!AE28)/'Παραδοχές διείσδυσης - κάλυψης'!AJ28</f>
        <v>0.41240141638499922</v>
      </c>
      <c r="V28" s="161">
        <f t="shared" si="8"/>
        <v>7.1286714748615046E-2</v>
      </c>
      <c r="W28" s="191">
        <f>('Ενεργοί πελάτες'!AH28)/'Παραδοχές διείσδυσης - κάλυψης'!AN28</f>
        <v>0.41235980600181871</v>
      </c>
      <c r="X28" s="161">
        <f t="shared" si="9"/>
        <v>-1.0089776981189369E-4</v>
      </c>
      <c r="Y28" s="192">
        <f t="shared" si="10"/>
        <v>2.6308989433624586E-2</v>
      </c>
    </row>
    <row r="29" spans="1:25" outlineLevel="1" x14ac:dyDescent="0.35">
      <c r="B29" s="48" t="s">
        <v>89</v>
      </c>
      <c r="C29" s="62" t="s">
        <v>253</v>
      </c>
      <c r="D29" s="190">
        <f>('Ενεργοί πελάτες'!E29)/'Παραδοχές διείσδυσης - κάλυψης'!D29</f>
        <v>0.3121155368593444</v>
      </c>
      <c r="E29" s="191">
        <f>('Ενεργοί πελάτες'!G29)/'Παραδοχές διείσδυσης - κάλυψης'!H29</f>
        <v>0.34066706913003314</v>
      </c>
      <c r="F29" s="161">
        <f t="shared" si="1"/>
        <v>9.1477446326408141E-2</v>
      </c>
      <c r="G29" s="191">
        <f>('Ενεργοί πελάτες'!J29)/'Παραδοχές διείσδυσης - κάλυψης'!L29</f>
        <v>0.35797146778291306</v>
      </c>
      <c r="H29" s="161">
        <f t="shared" si="2"/>
        <v>5.0795630751955069E-2</v>
      </c>
      <c r="I29" s="191">
        <f>('Ενεργοί πελάτες'!M29)/'Παραδοχές διείσδυσης - κάλυψης'!P29</f>
        <v>0.35782313498826207</v>
      </c>
      <c r="J29" s="161">
        <f t="shared" si="3"/>
        <v>-4.1437044010708511E-4</v>
      </c>
      <c r="K29" s="191">
        <f>('Ενεργοί πελάτες'!P29)/'Παραδοχές διείσδυσης - κάλυψης'!T29</f>
        <v>0.35972098304809796</v>
      </c>
      <c r="L29" s="161">
        <f t="shared" si="4"/>
        <v>5.3038718692634285E-3</v>
      </c>
      <c r="M29" s="192">
        <f t="shared" si="0"/>
        <v>3.6126057477730011E-2</v>
      </c>
      <c r="O29" s="191">
        <f>('Ενεργοί πελάτες'!V29)/'Παραδοχές διείσδυσης - κάλυψης'!X29</f>
        <v>0.36788682864450128</v>
      </c>
      <c r="P29" s="161">
        <f t="shared" si="5"/>
        <v>2.2700498389640708E-2</v>
      </c>
      <c r="Q29" s="191">
        <f>('Ενεργοί πελάτες'!Y29)/'Παραδοχές διείσδυσης - κάλυψης'!AB29</f>
        <v>0.37859952793076318</v>
      </c>
      <c r="R29" s="161">
        <f t="shared" si="6"/>
        <v>2.911955104707991E-2</v>
      </c>
      <c r="S29" s="191">
        <f>('Ενεργοί πελάτες'!AB29)/'Παραδοχές διείσδυσης - κάλυψης'!AF29</f>
        <v>0.38514077559383775</v>
      </c>
      <c r="T29" s="161">
        <f t="shared" si="7"/>
        <v>1.727748499536113E-2</v>
      </c>
      <c r="U29" s="191">
        <f>('Ενεργοί πελάτες'!AE29)/'Παραδοχές διείσδυσης - κάλυψης'!AJ29</f>
        <v>0.38614643960623696</v>
      </c>
      <c r="V29" s="161">
        <f t="shared" si="8"/>
        <v>2.6111595451003724E-3</v>
      </c>
      <c r="W29" s="191">
        <f>('Ενεργοί πελάτες'!AH29)/'Παραδοχές διείσδυσης - κάλυψης'!AN29</f>
        <v>0.39973110670818002</v>
      </c>
      <c r="X29" s="161">
        <f t="shared" si="9"/>
        <v>3.5180091562661255E-2</v>
      </c>
      <c r="Y29" s="192">
        <f t="shared" si="10"/>
        <v>2.0971047679687382E-2</v>
      </c>
    </row>
    <row r="30" spans="1:25" outlineLevel="1" x14ac:dyDescent="0.35">
      <c r="B30" s="48" t="s">
        <v>90</v>
      </c>
      <c r="C30" s="62" t="s">
        <v>253</v>
      </c>
      <c r="D30" s="190">
        <f>('Ενεργοί πελάτες'!E30)/'Παραδοχές διείσδυσης - κάλυψης'!D30</f>
        <v>0.13282057930863336</v>
      </c>
      <c r="E30" s="191">
        <f>('Ενεργοί πελάτες'!G30)/'Παραδοχές διείσδυσης - κάλυψης'!H30</f>
        <v>0.13773986002376792</v>
      </c>
      <c r="F30" s="161">
        <f t="shared" si="1"/>
        <v>3.7037037037036973E-2</v>
      </c>
      <c r="G30" s="191">
        <f>('Ενεργοί πελάτες'!J30)/'Παραδοχές διείσδυσης - κάλυψης'!L30</f>
        <v>0.13773986002376792</v>
      </c>
      <c r="H30" s="161">
        <f t="shared" si="2"/>
        <v>0</v>
      </c>
      <c r="I30" s="191">
        <f>('Ενεργοί πελάτες'!M30)/'Παραδοχές διείσδυσης - κάλυψης'!P30</f>
        <v>0.13773986002376792</v>
      </c>
      <c r="J30" s="161">
        <f t="shared" si="3"/>
        <v>0</v>
      </c>
      <c r="K30" s="191">
        <f>('Ενεργοί πελάτες'!P30)/'Παραδοχές διείσδυσης - κάλυψης'!T30</f>
        <v>0.13300492610837439</v>
      </c>
      <c r="L30" s="161">
        <f t="shared" si="4"/>
        <v>-3.4375916416471537E-2</v>
      </c>
      <c r="M30" s="192">
        <f t="shared" si="0"/>
        <v>3.4680418134147573E-4</v>
      </c>
      <c r="O30" s="191">
        <f>('Ενεργοί πελάτες'!V30)/'Παραδοχές διείσδυσης - κάλυψης'!X30</f>
        <v>0.13425925925925927</v>
      </c>
      <c r="P30" s="161">
        <f t="shared" si="5"/>
        <v>9.4307270233196846E-3</v>
      </c>
      <c r="Q30" s="191">
        <f>('Ενεργοί πελάτες'!Y30)/'Παραδοχές διείσδυσης - κάλυψης'!AB30</f>
        <v>0.11708860759493671</v>
      </c>
      <c r="R30" s="161">
        <f t="shared" si="6"/>
        <v>-0.12789175032736805</v>
      </c>
      <c r="S30" s="191">
        <f>('Ενεργοί πελάτες'!AB30)/'Παραδοχές διείσδυσης - κάλυψης'!AF30</f>
        <v>0.14873417721518986</v>
      </c>
      <c r="T30" s="161">
        <f t="shared" si="7"/>
        <v>0.27027027027027017</v>
      </c>
      <c r="U30" s="191">
        <f>('Ενεργοί πελάτες'!AE30)/'Παραδοχές διείσδυσης - κάλυψης'!AJ30</f>
        <v>0.12380952380952381</v>
      </c>
      <c r="V30" s="161">
        <f t="shared" si="8"/>
        <v>-0.16757852077001004</v>
      </c>
      <c r="W30" s="191">
        <f>('Ενεργοί πελάτες'!AH30)/'Παραδοχές διείσδυσης - κάλυψης'!AN30</f>
        <v>0.16</v>
      </c>
      <c r="X30" s="161">
        <f t="shared" si="9"/>
        <v>0.29230769230769227</v>
      </c>
      <c r="Y30" s="192">
        <f t="shared" si="10"/>
        <v>4.4825910261427682E-2</v>
      </c>
    </row>
    <row r="31" spans="1:25" outlineLevel="1" x14ac:dyDescent="0.35">
      <c r="B31" s="294" t="s">
        <v>91</v>
      </c>
      <c r="C31" s="62" t="s">
        <v>253</v>
      </c>
      <c r="D31" s="190">
        <f>('Ενεργοί πελάτες'!E31)/'Παραδοχές διείσδυσης - κάλυψης'!D31</f>
        <v>0.11765843233163246</v>
      </c>
      <c r="E31" s="191">
        <f>('Ενεργοί πελάτες'!G31)/'Παραδοχές διείσδυσης - κάλυψης'!H31</f>
        <v>0.12608878729620426</v>
      </c>
      <c r="F31" s="161">
        <f t="shared" si="1"/>
        <v>7.165109034267915E-2</v>
      </c>
      <c r="G31" s="191">
        <f>('Ενεργοί πελάτες'!J31)/'Παραδοχές διείσδυσης - κάλυψης'!L31</f>
        <v>0.13903298177634724</v>
      </c>
      <c r="H31" s="161">
        <f t="shared" si="2"/>
        <v>0.10265936216623951</v>
      </c>
      <c r="I31" s="191">
        <f>('Ενεργοί πελάτες'!M31)/'Παραδοχές διείσδυσης - κάλυψης'!P31</f>
        <v>0.20322933305573204</v>
      </c>
      <c r="J31" s="161">
        <f t="shared" si="3"/>
        <v>0.46173469387755089</v>
      </c>
      <c r="K31" s="191">
        <f>('Ενεργοί πελάτες'!P31)/'Παραδοχές διείσδυσης - κάλυψης'!T31</f>
        <v>0.20598591549295775</v>
      </c>
      <c r="L31" s="161">
        <f t="shared" si="4"/>
        <v>1.3563900426075618E-2</v>
      </c>
      <c r="M31" s="192">
        <f t="shared" si="0"/>
        <v>0.15028012809135793</v>
      </c>
      <c r="O31" s="191">
        <f>('Ενεργοί πελάτες'!V31)/'Παραδοχές διείσδυσης - κάλυψης'!X31</f>
        <v>0.19400065210303227</v>
      </c>
      <c r="P31" s="161">
        <f t="shared" si="5"/>
        <v>-5.8184868422886074E-2</v>
      </c>
      <c r="Q31" s="191">
        <f>('Ενεργοί πελάτες'!Y31)/'Παραδοχές διείσδυσης - κάλυψης'!AB31</f>
        <v>0.19396825396825396</v>
      </c>
      <c r="R31" s="161">
        <f t="shared" si="6"/>
        <v>-1.6700013338671681E-4</v>
      </c>
      <c r="S31" s="191">
        <f>('Ενεργοί πελάτες'!AB31)/'Παραδοχές διείσδυσης - κάλυψης'!AF31</f>
        <v>0.19628482972136224</v>
      </c>
      <c r="T31" s="161">
        <f t="shared" si="7"/>
        <v>1.194306648492815E-2</v>
      </c>
      <c r="U31" s="191">
        <f>('Ενεργοί πελάτες'!AE31)/'Παραδοχές διείσδυσης - κάλυψης'!AJ31</f>
        <v>0.20278637770897834</v>
      </c>
      <c r="V31" s="161">
        <f t="shared" si="8"/>
        <v>3.3123028391167174E-2</v>
      </c>
      <c r="W31" s="191">
        <f>('Ενεργοί πελάτες'!AH31)/'Παραδοχές διείσδυσης - κάλυψης'!AN31</f>
        <v>0.20386590154032014</v>
      </c>
      <c r="X31" s="161">
        <f t="shared" si="9"/>
        <v>5.3234533973038371E-3</v>
      </c>
      <c r="Y31" s="192">
        <f t="shared" si="10"/>
        <v>1.2477429576176924E-2</v>
      </c>
    </row>
    <row r="32" spans="1:25" outlineLevel="1" x14ac:dyDescent="0.35">
      <c r="B32" s="294" t="s">
        <v>92</v>
      </c>
      <c r="C32" s="62" t="s">
        <v>253</v>
      </c>
      <c r="D32" s="190">
        <f>('Ενεργοί πελάτες'!E32)/'Παραδοχές διείσδυσης - κάλυψης'!D32</f>
        <v>0.26847253644621671</v>
      </c>
      <c r="E32" s="191">
        <f>('Ενεργοί πελάτες'!G32)/'Παραδοχές διείσδυσης - κάλυψης'!H32</f>
        <v>0.21662779103804339</v>
      </c>
      <c r="F32" s="161">
        <f t="shared" si="1"/>
        <v>-0.19311005175592483</v>
      </c>
      <c r="G32" s="191">
        <f>('Ενεργοί πελάτες'!J32)/'Παραδοχές διείσδυσης - κάλυψης'!L32</f>
        <v>0.20899534265102188</v>
      </c>
      <c r="H32" s="161">
        <f t="shared" si="2"/>
        <v>-3.5233006579848888E-2</v>
      </c>
      <c r="I32" s="191">
        <f>('Ενεργοί πελάτες'!M32)/'Παραδοχές διείσδυσης - κάλυψης'!P32</f>
        <v>0.24472580567610031</v>
      </c>
      <c r="J32" s="161">
        <f t="shared" si="3"/>
        <v>0.17096296296296307</v>
      </c>
      <c r="K32" s="191">
        <f>('Ενεργοί πελάτες'!P32)/'Παραδοχές διείσδυσης - κάλυψης'!T32</f>
        <v>0.2353737658674189</v>
      </c>
      <c r="L32" s="161">
        <f t="shared" si="4"/>
        <v>-3.8214359057250485E-2</v>
      </c>
      <c r="M32" s="192">
        <f t="shared" si="0"/>
        <v>-3.2358363013331837E-2</v>
      </c>
      <c r="O32" s="191">
        <f>('Ενεργοί πελάτες'!V32)/'Παραδοχές διείσδυσης - κάλυψης'!X32</f>
        <v>0.25232224286438104</v>
      </c>
      <c r="P32" s="161">
        <f t="shared" si="5"/>
        <v>7.2006652629710927E-2</v>
      </c>
      <c r="Q32" s="191">
        <f>('Ενεργοί πελάτες'!Y32)/'Παραδοχές διείσδυσης - κάλυψης'!AB32</f>
        <v>0.26903133274492497</v>
      </c>
      <c r="R32" s="161">
        <f t="shared" si="6"/>
        <v>6.622123238467241E-2</v>
      </c>
      <c r="S32" s="191">
        <f>('Ενεργοί πελάτες'!AB32)/'Παραδοχές διείσδυσης - κάλυψης'!AF32</f>
        <v>0.28914100486223665</v>
      </c>
      <c r="T32" s="161">
        <f t="shared" si="7"/>
        <v>7.474843882358545E-2</v>
      </c>
      <c r="U32" s="191">
        <f>('Ενεργοί πελάτες'!AE32)/'Παραδοχές διείσδυσης - κάλυψης'!AJ32</f>
        <v>0.31183144246353323</v>
      </c>
      <c r="V32" s="161">
        <f t="shared" si="8"/>
        <v>7.8475336322869876E-2</v>
      </c>
      <c r="W32" s="191">
        <f>('Ενεργοί πελάτες'!AH32)/'Παραδοχές διείσδυσης - κάλυψης'!AN32</f>
        <v>0.32753996352322712</v>
      </c>
      <c r="X32" s="161">
        <f t="shared" si="9"/>
        <v>5.0375038949226257E-2</v>
      </c>
      <c r="Y32" s="192">
        <f t="shared" si="10"/>
        <v>6.7399979143512478E-2</v>
      </c>
    </row>
    <row r="33" spans="2:25" outlineLevel="1" x14ac:dyDescent="0.35">
      <c r="B33" s="294" t="s">
        <v>93</v>
      </c>
      <c r="C33" s="62" t="s">
        <v>253</v>
      </c>
      <c r="D33" s="190">
        <f>('Ενεργοί πελάτες'!E33)/'Παραδοχές διείσδυσης - κάλυψης'!D33</f>
        <v>0.28396724078039215</v>
      </c>
      <c r="E33" s="191">
        <f>('Ενεργοί πελάτες'!G33)/'Παραδοχές διείσδυσης - κάλυψης'!H33</f>
        <v>0.22385611338087286</v>
      </c>
      <c r="F33" s="161">
        <f t="shared" si="1"/>
        <v>-0.2116833168302206</v>
      </c>
      <c r="G33" s="191">
        <f>('Ενεργοί πελάτες'!J33)/'Παραδοχές διείσδυσης - κάλυψης'!L33</f>
        <v>0.18538557345183732</v>
      </c>
      <c r="H33" s="161">
        <f t="shared" si="2"/>
        <v>-0.17185387232905749</v>
      </c>
      <c r="I33" s="191">
        <f>('Ενεργοί πελάτες'!M33)/'Παραδοχές διείσδυσης - κάλυψης'!P33</f>
        <v>0.21662494872342911</v>
      </c>
      <c r="J33" s="161">
        <f t="shared" si="3"/>
        <v>0.16851028205659002</v>
      </c>
      <c r="K33" s="191">
        <f>('Ενεργοί πελάτες'!P33)/'Παραδοχές διείσδυσης - κάλυψης'!T33</f>
        <v>0.22056940202935671</v>
      </c>
      <c r="L33" s="161">
        <f t="shared" si="4"/>
        <v>1.8208675081851228E-2</v>
      </c>
      <c r="M33" s="192">
        <f t="shared" si="0"/>
        <v>-6.1208268051610726E-2</v>
      </c>
      <c r="O33" s="191">
        <f>('Ενεργοί πελάτες'!V33)/'Παραδοχές διείσδυσης - κάλυψης'!X33</f>
        <v>0.23211344035660067</v>
      </c>
      <c r="P33" s="161">
        <f t="shared" si="5"/>
        <v>5.2337442188411541E-2</v>
      </c>
      <c r="Q33" s="191">
        <f>('Ενεργοί πελάτες'!Y33)/'Παραδοχές διείσδυσης - κάλυψης'!AB33</f>
        <v>0.24337177136107915</v>
      </c>
      <c r="R33" s="161">
        <f t="shared" si="6"/>
        <v>4.8503572163602751E-2</v>
      </c>
      <c r="S33" s="191">
        <f>('Ενεργοί πελάτες'!AB33)/'Παραδοχές διείσδυσης - κάλυψης'!AF33</f>
        <v>0.24646213377556661</v>
      </c>
      <c r="T33" s="161">
        <f t="shared" si="7"/>
        <v>1.2698113660447635E-2</v>
      </c>
      <c r="U33" s="191">
        <f>('Ενεργοί πελάτες'!AE33)/'Παραδοχές διείσδυσης - κάλυψης'!AJ33</f>
        <v>0.26969542739278346</v>
      </c>
      <c r="V33" s="161">
        <f t="shared" si="8"/>
        <v>9.4267193346518521E-2</v>
      </c>
      <c r="W33" s="191">
        <f>('Ενεργοί πελάτες'!AH33)/'Παραδοχές διείσδυσης - κάλυψης'!AN33</f>
        <v>0.28740536462262922</v>
      </c>
      <c r="X33" s="161">
        <f t="shared" si="9"/>
        <v>6.5666434915313085E-2</v>
      </c>
      <c r="Y33" s="192">
        <f t="shared" si="10"/>
        <v>5.4869281095360378E-2</v>
      </c>
    </row>
    <row r="34" spans="2:25" outlineLevel="1" x14ac:dyDescent="0.35">
      <c r="B34" s="294" t="s">
        <v>94</v>
      </c>
      <c r="C34" s="62" t="s">
        <v>253</v>
      </c>
      <c r="D34" s="190">
        <f>('Ενεργοί πελάτες'!E34)/'Παραδοχές διείσδυσης - κάλυψης'!D34</f>
        <v>0.32825603856658886</v>
      </c>
      <c r="E34" s="191">
        <f>('Ενεργοί πελάτες'!G34)/'Παραδοχές διείσδυσης - κάλυψης'!H34</f>
        <v>0.35512857008872351</v>
      </c>
      <c r="F34" s="161">
        <f t="shared" si="1"/>
        <v>8.1864545857191842E-2</v>
      </c>
      <c r="G34" s="191">
        <f>('Ενεργοί πελάτες'!J34)/'Παραδοχές διείσδυσης - κάλυψης'!L34</f>
        <v>0.36584190922734933</v>
      </c>
      <c r="H34" s="161">
        <f t="shared" si="2"/>
        <v>3.0167494369572282E-2</v>
      </c>
      <c r="I34" s="191">
        <f>('Ενεργοί πελάτες'!M34)/'Παραδοχές διείσδυσης - κάλυψης'!P34</f>
        <v>0.37334513586329732</v>
      </c>
      <c r="J34" s="161">
        <f t="shared" si="3"/>
        <v>2.0509478128940044E-2</v>
      </c>
      <c r="K34" s="191">
        <f>('Ενεργοί πελάτες'!P34)/'Παραδοχές διείσδυσης - κάλυψης'!T34</f>
        <v>0.35160796324655436</v>
      </c>
      <c r="L34" s="161">
        <f t="shared" si="4"/>
        <v>-5.8222728860466963E-2</v>
      </c>
      <c r="M34" s="192">
        <f t="shared" si="0"/>
        <v>1.732916377032323E-2</v>
      </c>
      <c r="O34" s="191">
        <f>('Ενεργοί πελάτες'!V34)/'Παραδοχές διείσδυσης - κάλυψης'!X34</f>
        <v>0.36719506600744178</v>
      </c>
      <c r="P34" s="161">
        <f t="shared" si="5"/>
        <v>4.433091508214064E-2</v>
      </c>
      <c r="Q34" s="191">
        <f>('Ενεργοί πελάτες'!Y34)/'Παραδοχές διείσδυσης - κάλυψης'!AB34</f>
        <v>0.37113552401322186</v>
      </c>
      <c r="R34" s="161">
        <f t="shared" si="6"/>
        <v>1.0731238980482977E-2</v>
      </c>
      <c r="S34" s="191">
        <f>('Ενεργοί πελάτες'!AB34)/'Παραδοχές διείσδυσης - κάλυψης'!AF34</f>
        <v>0.3842313489073097</v>
      </c>
      <c r="T34" s="161">
        <f t="shared" si="7"/>
        <v>3.5285829694980349E-2</v>
      </c>
      <c r="U34" s="191">
        <f>('Ενεργοί πελάτες'!AE34)/'Παραδοχές διείσδυσης - κάλυψης'!AJ34</f>
        <v>0.39284905061857073</v>
      </c>
      <c r="V34" s="161">
        <f t="shared" si="8"/>
        <v>2.2428419065150054E-2</v>
      </c>
      <c r="W34" s="191">
        <f>('Ενεργοί πελάτες'!AH34)/'Παραδοχές διείσδυσης - κάλυψης'!AN34</f>
        <v>0.40295805739514351</v>
      </c>
      <c r="X34" s="161">
        <f t="shared" si="9"/>
        <v>2.5732547299415338E-2</v>
      </c>
      <c r="Y34" s="192">
        <f t="shared" si="10"/>
        <v>2.3506845767598206E-2</v>
      </c>
    </row>
    <row r="35" spans="2:25" outlineLevel="1" x14ac:dyDescent="0.35">
      <c r="B35" s="294" t="s">
        <v>95</v>
      </c>
      <c r="C35" s="62" t="s">
        <v>253</v>
      </c>
      <c r="D35" s="190">
        <f>('Ενεργοί πελάτες'!E35)/'Παραδοχές διείσδυσης - κάλυψης'!D35</f>
        <v>0.56895903363830291</v>
      </c>
      <c r="E35" s="191">
        <f>('Ενεργοί πελάτες'!G35)/'Παραδοχές διείσδυσης - κάλυψης'!H35</f>
        <v>0.59416444534321866</v>
      </c>
      <c r="F35" s="161">
        <f t="shared" si="1"/>
        <v>4.4300925400086476E-2</v>
      </c>
      <c r="G35" s="191">
        <f>('Ενεργοί πελάτες'!J35)/'Παραδοχές διείσδυσης - κάλυψης'!L35</f>
        <v>0.58673425173026439</v>
      </c>
      <c r="H35" s="161">
        <f t="shared" si="2"/>
        <v>-1.2505281443863956E-2</v>
      </c>
      <c r="I35" s="191">
        <f>('Ενεργοί πελάτες'!M35)/'Παραδοχές διείσδυσης - κάλυψης'!P35</f>
        <v>0.57564740181377716</v>
      </c>
      <c r="J35" s="161">
        <f t="shared" si="3"/>
        <v>-1.8895862792724968E-2</v>
      </c>
      <c r="K35" s="191">
        <f>('Ενεργοί πελάτες'!P35)/'Παραδοχές διείσδυσης - κάλυψης'!T35</f>
        <v>0.57904632972322501</v>
      </c>
      <c r="L35" s="161">
        <f t="shared" si="4"/>
        <v>5.9045309658974279E-3</v>
      </c>
      <c r="M35" s="192">
        <f t="shared" si="0"/>
        <v>4.4031798214603235E-3</v>
      </c>
      <c r="O35" s="191">
        <f>('Ενεργοί πελάτες'!V35)/'Παραδοχές διείσδυσης - κάλυψης'!X35</f>
        <v>0.58924956893320335</v>
      </c>
      <c r="P35" s="161">
        <f t="shared" si="5"/>
        <v>1.7620764844248869E-2</v>
      </c>
      <c r="Q35" s="191">
        <f>('Ενεργοί πελάτες'!Y35)/'Παραδοχές διείσδυσης - κάλυψης'!AB35</f>
        <v>0.5917589266075225</v>
      </c>
      <c r="R35" s="161">
        <f t="shared" si="6"/>
        <v>4.2585651422064998E-3</v>
      </c>
      <c r="S35" s="191">
        <f>('Ενεργοί πελάτες'!AB35)/'Παραδοχές διείσδυσης - κάλυψης'!AF35</f>
        <v>0.59080297134771842</v>
      </c>
      <c r="T35" s="161">
        <f t="shared" si="7"/>
        <v>-1.6154471302772626E-3</v>
      </c>
      <c r="U35" s="191">
        <f>('Ενεργοί πελάτες'!AE35)/'Παραδοχές διείσδυσης - κάλυψης'!AJ35</f>
        <v>0.59150594993844896</v>
      </c>
      <c r="V35" s="161">
        <f t="shared" si="8"/>
        <v>1.1898697617023343E-3</v>
      </c>
      <c r="W35" s="191">
        <f>('Ενεργοί πελάτες'!AH35)/'Παραδοχές διείσδυσης - κάλυψης'!AN35</f>
        <v>0.60778279305156613</v>
      </c>
      <c r="X35" s="161">
        <f t="shared" si="9"/>
        <v>2.7517632096195999E-2</v>
      </c>
      <c r="Y35" s="192">
        <f t="shared" si="10"/>
        <v>7.7719862063112544E-3</v>
      </c>
    </row>
    <row r="36" spans="2:25" outlineLevel="1" x14ac:dyDescent="0.35">
      <c r="B36" s="294" t="s">
        <v>96</v>
      </c>
      <c r="C36" s="62" t="s">
        <v>253</v>
      </c>
      <c r="D36" s="190">
        <f>('Ενεργοί πελάτες'!E36)/'Παραδοχές διείσδυσης - κάλυψης'!D36</f>
        <v>0.43676489941401547</v>
      </c>
      <c r="E36" s="191">
        <f>('Ενεργοί πελάτες'!G36)/'Παραδοχές διείσδυσης - κάλυψης'!H36</f>
        <v>0.4553006966649068</v>
      </c>
      <c r="F36" s="161">
        <f t="shared" si="1"/>
        <v>4.2438843587842875E-2</v>
      </c>
      <c r="G36" s="191">
        <f>('Ενεργοί πελάτες'!J36)/'Παραδοχές διείσδυσης - κάλυψης'!L36</f>
        <v>0.46773777825930091</v>
      </c>
      <c r="H36" s="161">
        <f t="shared" si="2"/>
        <v>2.7316192761171143E-2</v>
      </c>
      <c r="I36" s="191">
        <f>('Ενεργοί πελάτες'!M36)/'Παραδοχές διείσδυσης - κάλυψης'!P36</f>
        <v>0.43108116876405855</v>
      </c>
      <c r="J36" s="161">
        <f t="shared" si="3"/>
        <v>-7.836999960033364E-2</v>
      </c>
      <c r="K36" s="191">
        <f>('Ενεργοί πελάτες'!P36)/'Παραδοχές διείσδυσης - κάλυψης'!T36</f>
        <v>0.43037786373103243</v>
      </c>
      <c r="L36" s="161">
        <f t="shared" si="4"/>
        <v>-1.6314909673334887E-3</v>
      </c>
      <c r="M36" s="192">
        <f t="shared" si="0"/>
        <v>-3.6760983066421726E-3</v>
      </c>
      <c r="O36" s="191">
        <f>('Ενεργοί πελάτες'!V36)/'Παραδοχές διείσδυσης - κάλυψης'!X36</f>
        <v>0.44369235346623032</v>
      </c>
      <c r="P36" s="161">
        <f t="shared" si="5"/>
        <v>3.0936743864500588E-2</v>
      </c>
      <c r="Q36" s="191">
        <f>('Ενεργοί πελάτες'!Y36)/'Παραδοχές διείσδυσης - κάλυψης'!AB36</f>
        <v>0.44828084368679572</v>
      </c>
      <c r="R36" s="161">
        <f t="shared" si="6"/>
        <v>1.0341603105663242E-2</v>
      </c>
      <c r="S36" s="191">
        <f>('Ενεργοί πελάτες'!AB36)/'Παραδοχές διείσδυσης - κάλυψης'!AF36</f>
        <v>0.45174892852205173</v>
      </c>
      <c r="T36" s="161">
        <f t="shared" si="7"/>
        <v>7.7364109666909842E-3</v>
      </c>
      <c r="U36" s="191">
        <f>('Ενεργοί πελάτες'!AE36)/'Παραδοχές διείσδυσης - κάλυψης'!AJ36</f>
        <v>0.47255633900179733</v>
      </c>
      <c r="V36" s="161">
        <f t="shared" si="8"/>
        <v>4.6059678653404726E-2</v>
      </c>
      <c r="W36" s="191">
        <f>('Ενεργοί πελάτες'!AH36)/'Παραδοχές διείσδυσης - κάλυψης'!AN36</f>
        <v>0.47858925079236631</v>
      </c>
      <c r="X36" s="161">
        <f t="shared" si="9"/>
        <v>1.2766545050083494E-2</v>
      </c>
      <c r="Y36" s="192">
        <f t="shared" si="10"/>
        <v>1.9108089508506509E-2</v>
      </c>
    </row>
    <row r="37" spans="2:25" outlineLevel="1" x14ac:dyDescent="0.35">
      <c r="B37" s="294" t="s">
        <v>97</v>
      </c>
      <c r="C37" s="62" t="s">
        <v>253</v>
      </c>
      <c r="D37" s="190">
        <f>('Ενεργοί πελάτες'!E37)/'Παραδοχές διείσδυσης - κάλυψης'!D37</f>
        <v>0.23029926671904971</v>
      </c>
      <c r="E37" s="191">
        <f>('Ενεργοί πελάτες'!G37)/'Παραδοχές διείσδυσης - κάλυψης'!H37</f>
        <v>0.25016331000030978</v>
      </c>
      <c r="F37" s="161">
        <f t="shared" si="1"/>
        <v>8.6253176418025351E-2</v>
      </c>
      <c r="G37" s="191">
        <f>('Ενεργοί πελάτες'!J37)/'Παραδοχές διείσδυσης - κάλυψης'!L37</f>
        <v>0.23462775873249989</v>
      </c>
      <c r="H37" s="161">
        <f t="shared" si="2"/>
        <v>-6.2101637797287924E-2</v>
      </c>
      <c r="I37" s="191">
        <f>('Ενεργοί πελάτες'!M37)/'Παραδοχές διείσδυσης - κάλυψης'!P37</f>
        <v>0.24808792150507636</v>
      </c>
      <c r="J37" s="161">
        <f t="shared" si="3"/>
        <v>5.7368159868596204E-2</v>
      </c>
      <c r="K37" s="191">
        <f>('Ενεργοί πελάτες'!P37)/'Παραδοχές διείσδυσης - κάλυψης'!T37</f>
        <v>0.24022986022597162</v>
      </c>
      <c r="L37" s="161">
        <f t="shared" si="4"/>
        <v>-3.1674501650189965E-2</v>
      </c>
      <c r="M37" s="192">
        <f t="shared" si="0"/>
        <v>1.0610039762961598E-2</v>
      </c>
      <c r="O37" s="191">
        <f>('Ενεργοί πελάτες'!V37)/'Παραδοχές διείσδυσης - κάλυψης'!X37</f>
        <v>0.24653875737116485</v>
      </c>
      <c r="P37" s="161">
        <f t="shared" si="5"/>
        <v>2.6261919060597955E-2</v>
      </c>
      <c r="Q37" s="191">
        <f>('Ενεργοί πελάτες'!Y37)/'Παραδοχές διείσδυσης - κάλυψης'!AB37</f>
        <v>0.25049640744304108</v>
      </c>
      <c r="R37" s="161">
        <f t="shared" si="6"/>
        <v>1.6052851543816211E-2</v>
      </c>
      <c r="S37" s="191">
        <f>('Ενεργοί πελάτες'!AB37)/'Παραδοχές διείσδυσης - κάλυψης'!AF37</f>
        <v>0.26541664121826586</v>
      </c>
      <c r="T37" s="161">
        <f t="shared" si="7"/>
        <v>5.9562665698578543E-2</v>
      </c>
      <c r="U37" s="191">
        <f>('Ενεργοί πελάτες'!AE37)/'Παραδοχές διείσδυσης - κάλυψης'!AJ37</f>
        <v>0.27854801604267188</v>
      </c>
      <c r="V37" s="161">
        <f t="shared" si="8"/>
        <v>4.9474572370944166E-2</v>
      </c>
      <c r="W37" s="191">
        <f>('Ενεργοί πελάτες'!AH37)/'Παραδοχές διείσδυσης - κάλυψης'!AN37</f>
        <v>0.28210112911143836</v>
      </c>
      <c r="X37" s="161">
        <f t="shared" si="9"/>
        <v>1.2755836926234556E-2</v>
      </c>
      <c r="Y37" s="192">
        <f t="shared" si="10"/>
        <v>3.4260420960643412E-2</v>
      </c>
    </row>
    <row r="38" spans="2:25" outlineLevel="1" x14ac:dyDescent="0.35">
      <c r="B38" s="294" t="s">
        <v>98</v>
      </c>
      <c r="C38" s="62" t="s">
        <v>253</v>
      </c>
      <c r="D38" s="190">
        <f>('Ενεργοί πελάτες'!E38)/'Παραδοχές διείσδυσης - κάλυψης'!D38</f>
        <v>0.16012631350239906</v>
      </c>
      <c r="E38" s="191">
        <f>('Ενεργοί πελάτες'!G38)/'Παραδοχές διείσδυσης - κάλυψης'!H38</f>
        <v>0.17293278554087796</v>
      </c>
      <c r="F38" s="161">
        <f t="shared" si="1"/>
        <v>7.9977311401021101E-2</v>
      </c>
      <c r="G38" s="191">
        <f>('Ενεργοί πελάτες'!J38)/'Παραδοχές διείσδυσης - κάλυψης'!L38</f>
        <v>0.18041043735709827</v>
      </c>
      <c r="H38" s="161">
        <f t="shared" si="2"/>
        <v>4.3240220718313377E-2</v>
      </c>
      <c r="I38" s="191">
        <f>('Ενεργοί πελάτες'!M38)/'Παραδοχές διείσδυσης - κάλυψης'!P38</f>
        <v>0.19467779877119357</v>
      </c>
      <c r="J38" s="161">
        <f t="shared" si="3"/>
        <v>7.9082793784568922E-2</v>
      </c>
      <c r="K38" s="191">
        <f>('Ενεργοί πελάτες'!P38)/'Παραδοχές διείσδυσης - κάλυψης'!T38</f>
        <v>0.17529107373868047</v>
      </c>
      <c r="L38" s="161">
        <f t="shared" si="4"/>
        <v>-9.9583646182986055E-2</v>
      </c>
      <c r="M38" s="192">
        <f t="shared" si="0"/>
        <v>2.2879027089348192E-2</v>
      </c>
      <c r="O38" s="191">
        <f>('Ενεργοί πελάτες'!V38)/'Παραδοχές διείσδυσης - κάλυψης'!X38</f>
        <v>0.18073931521129019</v>
      </c>
      <c r="P38" s="161">
        <f t="shared" si="5"/>
        <v>3.1081111869574279E-2</v>
      </c>
      <c r="Q38" s="191">
        <f>('Ενεργοί πελάτες'!Y38)/'Παραδοχές διείσδυσης - κάλυψης'!AB38</f>
        <v>0.17798853109836787</v>
      </c>
      <c r="R38" s="161">
        <f t="shared" si="6"/>
        <v>-1.5219622303573295E-2</v>
      </c>
      <c r="S38" s="191">
        <f>('Ενεργοί πελάτες'!AB38)/'Παραδοχές διείσδυσης - κάλυψης'!AF38</f>
        <v>0.18344704017641789</v>
      </c>
      <c r="T38" s="161">
        <f t="shared" si="7"/>
        <v>3.0667757323269828E-2</v>
      </c>
      <c r="U38" s="191">
        <f>('Ενεργοί πελάτες'!AE38)/'Παραδοχές διείσδυσης - κάλυψης'!AJ38</f>
        <v>0.19060103559022087</v>
      </c>
      <c r="V38" s="161">
        <f t="shared" si="8"/>
        <v>3.8997606104318246E-2</v>
      </c>
      <c r="W38" s="191">
        <f>('Ενεργοί πελάτες'!AH38)/'Παραδοχές διείσδυσης - κάλυψης'!AN38</f>
        <v>0.19487084643363542</v>
      </c>
      <c r="X38" s="161">
        <f t="shared" si="9"/>
        <v>2.2401823947034293E-2</v>
      </c>
      <c r="Y38" s="192">
        <f t="shared" si="10"/>
        <v>1.8998535322086951E-2</v>
      </c>
    </row>
    <row r="39" spans="2:25" outlineLevel="1" x14ac:dyDescent="0.35">
      <c r="B39" s="294" t="s">
        <v>99</v>
      </c>
      <c r="C39" s="62" t="s">
        <v>253</v>
      </c>
      <c r="D39" s="190">
        <f>('Ενεργοί πελάτες'!E39)/'Παραδοχές διείσδυσης - κάλυψης'!D39</f>
        <v>0.55231649448142239</v>
      </c>
      <c r="E39" s="191">
        <f>('Ενεργοί πελάτες'!G39)/'Παραδοχές διείσδυσης - κάλυψης'!H39</f>
        <v>0.54854746210350502</v>
      </c>
      <c r="F39" s="161">
        <f t="shared" si="1"/>
        <v>-6.8240445751238448E-3</v>
      </c>
      <c r="G39" s="191">
        <f>('Ενεργοί πελάτες'!J39)/'Παραδοχές διείσδυσης - κάλυψης'!L39</f>
        <v>0.54227510081956665</v>
      </c>
      <c r="H39" s="161">
        <f t="shared" si="2"/>
        <v>-1.1434491483901623E-2</v>
      </c>
      <c r="I39" s="191">
        <f>('Ενεργοί πελάτες'!M39)/'Παραδοχές διείσδυσης - κάλυψης'!P39</f>
        <v>0.53284380106991525</v>
      </c>
      <c r="J39" s="161">
        <f t="shared" si="3"/>
        <v>-1.7392094410009645E-2</v>
      </c>
      <c r="K39" s="191">
        <f>('Ενεργοί πελάτες'!P39)/'Παραδοχές διείσδυσης - κάλυψης'!T39</f>
        <v>0.53263718263718263</v>
      </c>
      <c r="L39" s="161">
        <f t="shared" si="4"/>
        <v>-3.8776548083649105E-4</v>
      </c>
      <c r="M39" s="192">
        <f t="shared" si="0"/>
        <v>-9.0291792055099407E-3</v>
      </c>
      <c r="O39" s="191">
        <f>('Ενεργοί πελάτες'!V39)/'Παραδοχές διείσδυσης - κάλυψης'!X39</f>
        <v>0.54347120843471208</v>
      </c>
      <c r="P39" s="161">
        <f t="shared" si="5"/>
        <v>2.0340348272135721E-2</v>
      </c>
      <c r="Q39" s="191">
        <f>('Ενεργοί πελάτες'!Y39)/'Παραδοχές διείσδυσης - κάλυψης'!AB39</f>
        <v>0.55580017612681132</v>
      </c>
      <c r="R39" s="161">
        <f t="shared" si="6"/>
        <v>2.268559493263447E-2</v>
      </c>
      <c r="S39" s="191">
        <f>('Ενεργοί πελάτες'!AB39)/'Παραδοχές διείσδυσης - κάλυψης'!AF39</f>
        <v>0.57210795386993218</v>
      </c>
      <c r="T39" s="161">
        <f t="shared" si="7"/>
        <v>2.9341080560219335E-2</v>
      </c>
      <c r="U39" s="191">
        <f>('Ενεργοί πελάτες'!AE39)/'Παραδοχές διείσδυσης - κάλυψης'!AJ39</f>
        <v>0.58140346793902009</v>
      </c>
      <c r="V39" s="161">
        <f t="shared" si="8"/>
        <v>1.6247832259995508E-2</v>
      </c>
      <c r="W39" s="191">
        <f>('Ενεργοί πελάτες'!AH39)/'Παραδοχές διείσδυσης - κάλυψης'!AN39</f>
        <v>0.59745582492363614</v>
      </c>
      <c r="X39" s="161">
        <f t="shared" si="9"/>
        <v>2.7609668448519954E-2</v>
      </c>
      <c r="Y39" s="192">
        <f t="shared" si="10"/>
        <v>2.3958403564645625E-2</v>
      </c>
    </row>
    <row r="40" spans="2:25" outlineLevel="1" x14ac:dyDescent="0.35">
      <c r="B40" s="294" t="s">
        <v>100</v>
      </c>
      <c r="C40" s="62" t="s">
        <v>253</v>
      </c>
      <c r="D40" s="190">
        <f>('Ενεργοί πελάτες'!E40)/'Παραδοχές διείσδυσης - κάλυψης'!D40</f>
        <v>0.17263953545838814</v>
      </c>
      <c r="E40" s="191">
        <f>('Ενεργοί πελάτες'!G40)/'Παραδοχές διείσδυσης - κάλυψης'!H40</f>
        <v>0.1861773744204244</v>
      </c>
      <c r="F40" s="161">
        <f t="shared" si="1"/>
        <v>7.8416794427133535E-2</v>
      </c>
      <c r="G40" s="191">
        <f>('Ενεργοί πελάτες'!J40)/'Παραδοχές διείσδυσης - κάλυψης'!L40</f>
        <v>0.1980281482534588</v>
      </c>
      <c r="H40" s="161">
        <f t="shared" si="2"/>
        <v>6.365313653136534E-2</v>
      </c>
      <c r="I40" s="191">
        <f>('Ενεργοί πελάτες'!M40)/'Παραδοχές διείσδυσης - κάλυψης'!P40</f>
        <v>0.1913571863649722</v>
      </c>
      <c r="J40" s="161">
        <f t="shared" si="3"/>
        <v>-3.3686937676902083E-2</v>
      </c>
      <c r="K40" s="191">
        <f>('Ενεργοί πελάτες'!P40)/'Παραδοχές διείσδυσης - κάλυψης'!T40</f>
        <v>0.181188735024117</v>
      </c>
      <c r="L40" s="161">
        <f t="shared" si="4"/>
        <v>-5.3138591416478559E-2</v>
      </c>
      <c r="M40" s="192">
        <f t="shared" si="0"/>
        <v>1.215665170420932E-2</v>
      </c>
      <c r="O40" s="191">
        <f>('Ενεργοί πελάτες'!V40)/'Παραδοχές διείσδυσης - κάλυψης'!X40</f>
        <v>0.18856569709127383</v>
      </c>
      <c r="P40" s="161">
        <f t="shared" si="5"/>
        <v>4.0714242340589867E-2</v>
      </c>
      <c r="Q40" s="191">
        <f>('Ενεργοί πελάτες'!Y40)/'Παραδοχές διείσδυσης - κάλυψης'!AB40</f>
        <v>0.19045587084844606</v>
      </c>
      <c r="R40" s="161">
        <f t="shared" si="6"/>
        <v>1.0023953382450638E-2</v>
      </c>
      <c r="S40" s="191">
        <f>('Ενεργοί πελάτες'!AB40)/'Παραδοχές διείσδυσης - κάλυψης'!AF40</f>
        <v>0.20388481390926377</v>
      </c>
      <c r="T40" s="161">
        <f t="shared" si="7"/>
        <v>7.0509472882060428E-2</v>
      </c>
      <c r="U40" s="191">
        <f>('Ενεργοί πελάτες'!AE40)/'Παραδοχές διείσδυσης - κάλυψης'!AJ40</f>
        <v>0.21784259624228092</v>
      </c>
      <c r="V40" s="161">
        <f t="shared" si="8"/>
        <v>6.8459156252946185E-2</v>
      </c>
      <c r="W40" s="191">
        <f>('Ενεργοί πελάτες'!AH40)/'Παραδοχές διείσδυσης - κάλυψης'!AN40</f>
        <v>0.21990699864618282</v>
      </c>
      <c r="X40" s="161">
        <f t="shared" si="9"/>
        <v>9.4765782244254516E-3</v>
      </c>
      <c r="Y40" s="192">
        <f t="shared" si="10"/>
        <v>3.9187920981400781E-2</v>
      </c>
    </row>
    <row r="41" spans="2:25" outlineLevel="1" x14ac:dyDescent="0.35">
      <c r="B41" s="294" t="s">
        <v>101</v>
      </c>
      <c r="C41" s="62" t="s">
        <v>253</v>
      </c>
      <c r="D41" s="190">
        <f>('Ενεργοί πελάτες'!E41)/'Παραδοχές διείσδυσης - κάλυψης'!D41</f>
        <v>0.1064012325113448</v>
      </c>
      <c r="E41" s="191">
        <f>('Ενεργοί πελάτες'!G41)/'Παραδοχές διείσδυσης - κάλυψης'!H41</f>
        <v>0.12481683044600063</v>
      </c>
      <c r="F41" s="161">
        <f t="shared" si="1"/>
        <v>0.17307692307692307</v>
      </c>
      <c r="G41" s="191">
        <f>('Ενεργοί πελάτες'!J41)/'Παραδοχές διείσδυσης - κάλυψης'!L41</f>
        <v>0.13914007328406627</v>
      </c>
      <c r="H41" s="161">
        <f t="shared" si="2"/>
        <v>0.11475409836065573</v>
      </c>
      <c r="I41" s="191">
        <f>('Ενεργοί πελάτες'!M41)/'Παραδοχές διείσδυσης - κάλυψης'!P41</f>
        <v>0.14323242838065647</v>
      </c>
      <c r="J41" s="161">
        <f t="shared" si="3"/>
        <v>2.9411764705882464E-2</v>
      </c>
      <c r="K41" s="191">
        <f>('Ενεργοί πελάτες'!P41)/'Παραδοχές διείσδυσης - κάλυψης'!T41</f>
        <v>0.14693877551020409</v>
      </c>
      <c r="L41" s="161">
        <f t="shared" si="4"/>
        <v>2.5876452500669625E-2</v>
      </c>
      <c r="M41" s="192">
        <f t="shared" si="0"/>
        <v>8.4045321423737551E-2</v>
      </c>
      <c r="O41" s="191">
        <f>('Ενεργοί πελάτες'!V41)/'Παραδοχές διείσδυσης - κάλυψης'!X41</f>
        <v>0.15918367346938775</v>
      </c>
      <c r="P41" s="161">
        <f t="shared" si="5"/>
        <v>8.333333333333319E-2</v>
      </c>
      <c r="Q41" s="191">
        <f>('Ενεργοί πελάτες'!Y41)/'Παραδοχές διείσδυσης - κάλυψης'!AB41</f>
        <v>0.16734693877551021</v>
      </c>
      <c r="R41" s="161">
        <f t="shared" si="6"/>
        <v>5.1282051282051377E-2</v>
      </c>
      <c r="S41" s="191">
        <f>('Ενεργοί πελάτες'!AB41)/'Παραδοχές διείσδυσης - κάλυψης'!AF41</f>
        <v>0.17755102040816326</v>
      </c>
      <c r="T41" s="161">
        <f t="shared" si="7"/>
        <v>6.0975609756097462E-2</v>
      </c>
      <c r="U41" s="191">
        <f>('Ενεργοί πελάτες'!AE41)/'Παραδοχές διείσδυσης - κάλυψης'!AJ41</f>
        <v>0.18571428571428572</v>
      </c>
      <c r="V41" s="161">
        <f t="shared" si="8"/>
        <v>4.5977011494252956E-2</v>
      </c>
      <c r="W41" s="191">
        <f>('Ενεργοί πελάτες'!AH41)/'Παραδοχές διείσδυσης - κάλυψης'!AN41</f>
        <v>0.19183673469387755</v>
      </c>
      <c r="X41" s="161">
        <f t="shared" si="9"/>
        <v>3.2967032967032912E-2</v>
      </c>
      <c r="Y41" s="192">
        <f t="shared" si="10"/>
        <v>4.7751551794399161E-2</v>
      </c>
    </row>
    <row r="42" spans="2:25" outlineLevel="1" x14ac:dyDescent="0.35">
      <c r="B42" s="294" t="s">
        <v>102</v>
      </c>
      <c r="C42" s="62" t="s">
        <v>253</v>
      </c>
      <c r="D42" s="190">
        <f>('Ενεργοί πελάτες'!E42)/'Παραδοχές διείσδυσης - κάλυψης'!D42</f>
        <v>0.61943660405498446</v>
      </c>
      <c r="E42" s="191">
        <f>('Ενεργοί πελάτες'!G42)/'Παραδοχές διείσδυσης - κάλυψης'!H42</f>
        <v>0.6310162462947263</v>
      </c>
      <c r="F42" s="161">
        <f t="shared" si="1"/>
        <v>1.8693829463642689E-2</v>
      </c>
      <c r="G42" s="191">
        <f>('Ενεργοί πελάτες'!J42)/'Παραδοχές διείσδυσης - κάλυψης'!L42</f>
        <v>0.65531214021518769</v>
      </c>
      <c r="H42" s="161">
        <f t="shared" si="2"/>
        <v>3.8502802523904589E-2</v>
      </c>
      <c r="I42" s="191">
        <f>('Ενεργοί πελάτες'!M42)/'Παραδοχές διείσδυσης - κάλυψης'!P42</f>
        <v>0.63772447532364274</v>
      </c>
      <c r="J42" s="161">
        <f t="shared" si="3"/>
        <v>-2.6838606844319431E-2</v>
      </c>
      <c r="K42" s="191">
        <f>('Ενεργοί πελάτες'!P42)/'Παραδοχές διείσδυσης - κάλυψης'!T42</f>
        <v>0.63608439091423485</v>
      </c>
      <c r="L42" s="161">
        <f t="shared" si="4"/>
        <v>-2.5717758575528184E-3</v>
      </c>
      <c r="M42" s="192">
        <f t="shared" si="0"/>
        <v>6.6522492895531027E-3</v>
      </c>
      <c r="O42" s="191">
        <f>('Ενεργοί πελάτες'!V42)/'Παραδοχές διείσδυσης - κάλυψης'!X42</f>
        <v>0.64744778646883316</v>
      </c>
      <c r="P42" s="161">
        <f t="shared" si="5"/>
        <v>1.786460368610188E-2</v>
      </c>
      <c r="Q42" s="191">
        <f>('Ενεργοί πελάτες'!Y42)/'Παραδοχές διείσδυσης - κάλυψης'!AB42</f>
        <v>0.66172082896540596</v>
      </c>
      <c r="R42" s="161">
        <f t="shared" si="6"/>
        <v>2.20450865612155E-2</v>
      </c>
      <c r="S42" s="191">
        <f>('Ενεργοί πελάτες'!AB42)/'Παραδοχές διείσδυσης - κάλυψης'!AF42</f>
        <v>0.67256424625730526</v>
      </c>
      <c r="T42" s="161">
        <f t="shared" si="7"/>
        <v>1.6386694837538785E-2</v>
      </c>
      <c r="U42" s="191">
        <f>('Ενεργοί πελάτες'!AE42)/'Παραδοχές διείσδυσης - κάλυψης'!AJ42</f>
        <v>0.68649427587863265</v>
      </c>
      <c r="V42" s="161">
        <f t="shared" si="8"/>
        <v>2.0711820021426072E-2</v>
      </c>
      <c r="W42" s="191">
        <f>('Ενεργοί πελάτες'!AH42)/'Παραδοχές διείσδυσης - κάλυψης'!AN42</f>
        <v>0.69722199983988475</v>
      </c>
      <c r="X42" s="161">
        <f t="shared" si="9"/>
        <v>1.5626822157434401E-2</v>
      </c>
      <c r="Y42" s="192">
        <f t="shared" si="10"/>
        <v>1.8688921083821475E-2</v>
      </c>
    </row>
    <row r="43" spans="2:25" outlineLevel="1" x14ac:dyDescent="0.35">
      <c r="B43" s="294" t="s">
        <v>103</v>
      </c>
      <c r="C43" s="62" t="s">
        <v>253</v>
      </c>
      <c r="D43" s="190">
        <f>('Ενεργοί πελάτες'!E43)/'Παραδοχές διείσδυσης - κάλυψης'!D43</f>
        <v>0.31839806606888721</v>
      </c>
      <c r="E43" s="191">
        <f>('Ενεργοί πελάτες'!G43)/'Παραδοχές διείσδυσης - κάλυψης'!H43</f>
        <v>0.22711583250635148</v>
      </c>
      <c r="F43" s="161">
        <f t="shared" si="1"/>
        <v>-0.28669217338394987</v>
      </c>
      <c r="G43" s="191">
        <f>('Ενεργοί πελάτες'!J43)/'Παραδοχές διείσδυσης - κάλυψης'!L43</f>
        <v>0.22711583250635148</v>
      </c>
      <c r="H43" s="161">
        <f t="shared" si="2"/>
        <v>0</v>
      </c>
      <c r="I43" s="191">
        <f>('Ενεργοί πελάτες'!M43)/'Παραδοχές διείσδυσης - κάλυψης'!P43</f>
        <v>0.24047558735966626</v>
      </c>
      <c r="J43" s="161">
        <f t="shared" si="3"/>
        <v>5.8823529411764656E-2</v>
      </c>
      <c r="K43" s="191">
        <f>('Ενεργοί πελάτες'!P43)/'Παραδοχές διείσδυσης - κάλυψης'!T43</f>
        <v>0.24</v>
      </c>
      <c r="L43" s="161">
        <f t="shared" si="4"/>
        <v>-1.9776949705707899E-3</v>
      </c>
      <c r="M43" s="192">
        <f t="shared" si="0"/>
        <v>-6.8226821082778555E-2</v>
      </c>
      <c r="O43" s="191">
        <f>('Ενεργοί πελάτες'!V43)/'Παραδοχές διείσδυσης - κάλυψης'!X43</f>
        <v>0.24</v>
      </c>
      <c r="P43" s="161">
        <f t="shared" si="5"/>
        <v>0</v>
      </c>
      <c r="Q43" s="191">
        <f>('Ενεργοί πελάτες'!Y43)/'Παραδοχές διείσδυσης - κάλυψης'!AB43</f>
        <v>0.24</v>
      </c>
      <c r="R43" s="161">
        <f t="shared" si="6"/>
        <v>0</v>
      </c>
      <c r="S43" s="191">
        <f>('Ενεργοί πελάτες'!AB43)/'Παραδοχές διείσδυσης - κάλυψης'!AF43</f>
        <v>0.24</v>
      </c>
      <c r="T43" s="161">
        <f t="shared" si="7"/>
        <v>0</v>
      </c>
      <c r="U43" s="191">
        <f>('Ενεργοί πελάτες'!AE43)/'Παραδοχές διείσδυσης - κάλυψης'!AJ43</f>
        <v>0.24</v>
      </c>
      <c r="V43" s="161">
        <f t="shared" si="8"/>
        <v>0</v>
      </c>
      <c r="W43" s="191">
        <f>('Ενεργοί πελάτες'!AH43)/'Παραδοχές διείσδυσης - κάλυψης'!AN43</f>
        <v>0.24</v>
      </c>
      <c r="X43" s="161">
        <f t="shared" si="9"/>
        <v>0</v>
      </c>
      <c r="Y43" s="192">
        <f t="shared" si="10"/>
        <v>0</v>
      </c>
    </row>
    <row r="44" spans="2:25" outlineLevel="1" x14ac:dyDescent="0.35">
      <c r="B44" s="294" t="s">
        <v>104</v>
      </c>
      <c r="C44" s="62" t="s">
        <v>253</v>
      </c>
      <c r="D44" s="190" t="e">
        <f>('Ενεργοί πελάτες'!E44)/'Παραδοχές διείσδυσης - κάλυψης'!D44</f>
        <v>#DIV/0!</v>
      </c>
      <c r="E44" s="191" t="e">
        <f>('Ενεργοί πελάτες'!G44)/'Παραδοχές διείσδυσης - κάλυψης'!H44</f>
        <v>#DIV/0!</v>
      </c>
      <c r="F44" s="161">
        <f t="shared" si="1"/>
        <v>0</v>
      </c>
      <c r="G44" s="191" t="e">
        <f>('Ενεργοί πελάτες'!J44)/'Παραδοχές διείσδυσης - κάλυψης'!L44</f>
        <v>#DIV/0!</v>
      </c>
      <c r="H44" s="161">
        <f t="shared" si="2"/>
        <v>0</v>
      </c>
      <c r="I44" s="191" t="e">
        <f>('Ενεργοί πελάτες'!M44)/'Παραδοχές διείσδυσης - κάλυψης'!P44</f>
        <v>#DIV/0!</v>
      </c>
      <c r="J44" s="161">
        <f t="shared" si="3"/>
        <v>0</v>
      </c>
      <c r="K44" s="191" t="e">
        <f>('Ενεργοί πελάτες'!P44)/'Παραδοχές διείσδυσης - κάλυψης'!T44</f>
        <v>#DIV/0!</v>
      </c>
      <c r="L44" s="161">
        <f t="shared" si="4"/>
        <v>0</v>
      </c>
      <c r="M44" s="192">
        <f t="shared" si="0"/>
        <v>0</v>
      </c>
      <c r="O44" s="191" t="e">
        <f>('Ενεργοί πελάτες'!V44)/'Παραδοχές διείσδυσης - κάλυψης'!X44</f>
        <v>#DIV/0!</v>
      </c>
      <c r="P44" s="161">
        <f t="shared" si="5"/>
        <v>0</v>
      </c>
      <c r="Q44" s="191" t="e">
        <f>('Ενεργοί πελάτες'!Y44)/'Παραδοχές διείσδυσης - κάλυψης'!AB44</f>
        <v>#DIV/0!</v>
      </c>
      <c r="R44" s="161">
        <f t="shared" si="6"/>
        <v>0</v>
      </c>
      <c r="S44" s="191" t="e">
        <f>('Ενεργοί πελάτες'!AB44)/'Παραδοχές διείσδυσης - κάλυψης'!AF44</f>
        <v>#DIV/0!</v>
      </c>
      <c r="T44" s="161">
        <f t="shared" si="7"/>
        <v>0</v>
      </c>
      <c r="U44" s="191" t="e">
        <f>('Ενεργοί πελάτες'!AE44)/'Παραδοχές διείσδυσης - κάλυψης'!AJ44</f>
        <v>#DIV/0!</v>
      </c>
      <c r="V44" s="161">
        <f t="shared" si="8"/>
        <v>0</v>
      </c>
      <c r="W44" s="191" t="e">
        <f>('Ενεργοί πελάτες'!AH44)/'Παραδοχές διείσδυσης - κάλυψης'!AN44</f>
        <v>#DIV/0!</v>
      </c>
      <c r="X44" s="161">
        <f t="shared" si="9"/>
        <v>0</v>
      </c>
      <c r="Y44" s="192">
        <f t="shared" si="10"/>
        <v>0</v>
      </c>
    </row>
    <row r="45" spans="2:25" outlineLevel="1" x14ac:dyDescent="0.35">
      <c r="B45" s="294" t="s">
        <v>136</v>
      </c>
      <c r="C45" s="62" t="s">
        <v>253</v>
      </c>
      <c r="D45" s="190" t="e">
        <f>('Ενεργοί πελάτες'!E45)/'Παραδοχές διείσδυσης - κάλυψης'!D45</f>
        <v>#DIV/0!</v>
      </c>
      <c r="E45" s="191" t="e">
        <f>('Ενεργοί πελάτες'!G45)/'Παραδοχές διείσδυσης - κάλυψης'!H45</f>
        <v>#DIV/0!</v>
      </c>
      <c r="F45" s="161">
        <f t="shared" si="1"/>
        <v>0</v>
      </c>
      <c r="G45" s="191" t="e">
        <f>('Ενεργοί πελάτες'!J45)/'Παραδοχές διείσδυσης - κάλυψης'!L45</f>
        <v>#DIV/0!</v>
      </c>
      <c r="H45" s="161">
        <f t="shared" si="2"/>
        <v>0</v>
      </c>
      <c r="I45" s="191" t="e">
        <f>('Ενεργοί πελάτες'!M45)/'Παραδοχές διείσδυσης - κάλυψης'!P45</f>
        <v>#DIV/0!</v>
      </c>
      <c r="J45" s="161">
        <f t="shared" si="3"/>
        <v>0</v>
      </c>
      <c r="K45" s="191" t="e">
        <f>('Ενεργοί πελάτες'!P45)/'Παραδοχές διείσδυσης - κάλυψης'!T45</f>
        <v>#DIV/0!</v>
      </c>
      <c r="L45" s="161">
        <f t="shared" si="4"/>
        <v>0</v>
      </c>
      <c r="M45" s="192">
        <f t="shared" si="0"/>
        <v>0</v>
      </c>
      <c r="O45" s="191" t="e">
        <f>('Ενεργοί πελάτες'!V45)/'Παραδοχές διείσδυσης - κάλυψης'!X45</f>
        <v>#DIV/0!</v>
      </c>
      <c r="P45" s="161">
        <f t="shared" si="5"/>
        <v>0</v>
      </c>
      <c r="Q45" s="191" t="e">
        <f>('Ενεργοί πελάτες'!Y45)/'Παραδοχές διείσδυσης - κάλυψης'!AB45</f>
        <v>#DIV/0!</v>
      </c>
      <c r="R45" s="161">
        <f t="shared" si="6"/>
        <v>0</v>
      </c>
      <c r="S45" s="191" t="e">
        <f>('Ενεργοί πελάτες'!AB45)/'Παραδοχές διείσδυσης - κάλυψης'!AF45</f>
        <v>#DIV/0!</v>
      </c>
      <c r="T45" s="161">
        <f t="shared" si="7"/>
        <v>0</v>
      </c>
      <c r="U45" s="191" t="e">
        <f>('Ενεργοί πελάτες'!AE45)/'Παραδοχές διείσδυσης - κάλυψης'!AJ45</f>
        <v>#DIV/0!</v>
      </c>
      <c r="V45" s="161">
        <f t="shared" si="8"/>
        <v>0</v>
      </c>
      <c r="W45" s="191" t="e">
        <f>('Ενεργοί πελάτες'!AH45)/'Παραδοχές διείσδυσης - κάλυψης'!AN45</f>
        <v>#DIV/0!</v>
      </c>
      <c r="X45" s="161">
        <f t="shared" si="9"/>
        <v>0</v>
      </c>
      <c r="Y45" s="192">
        <f t="shared" si="10"/>
        <v>0</v>
      </c>
    </row>
    <row r="46" spans="2:25" outlineLevel="1" x14ac:dyDescent="0.35">
      <c r="B46" s="294" t="s">
        <v>106</v>
      </c>
      <c r="C46" s="62" t="s">
        <v>253</v>
      </c>
      <c r="D46" s="190">
        <f>('Ενεργοί πελάτες'!E46)/'Παραδοχές διείσδυσης - κάλυψης'!D46</f>
        <v>0.46127526460143431</v>
      </c>
      <c r="E46" s="191">
        <f>('Ενεργοί πελάτες'!G46)/'Παραδοχές διείσδυσης - κάλυψης'!H46</f>
        <v>0.50352669477809231</v>
      </c>
      <c r="F46" s="161">
        <f t="shared" si="1"/>
        <v>9.1596999490457007E-2</v>
      </c>
      <c r="G46" s="191">
        <f>('Ενεργοί πελάτες'!J46)/'Παραδοχές διείσδυσης - κάλυψης'!L46</f>
        <v>0.49529624577482773</v>
      </c>
      <c r="H46" s="161">
        <f t="shared" si="2"/>
        <v>-1.6345606079319785E-2</v>
      </c>
      <c r="I46" s="191">
        <f>('Ενεργοί πελάτες'!M46)/'Παραδοχές διείσδυσης - κάλυψης'!P46</f>
        <v>0.52004701646281282</v>
      </c>
      <c r="J46" s="161">
        <f t="shared" si="3"/>
        <v>4.9971650096530956E-2</v>
      </c>
      <c r="K46" s="191">
        <f>('Ενεργοί πελάτες'!P46)/'Παραδοχές διείσδυσης - κάλυψης'!T46</f>
        <v>0.45800524934383202</v>
      </c>
      <c r="L46" s="161">
        <f t="shared" si="4"/>
        <v>-0.11930030392438035</v>
      </c>
      <c r="M46" s="192">
        <f t="shared" si="0"/>
        <v>-1.7769999028530714E-3</v>
      </c>
      <c r="O46" s="191">
        <f>('Ενεργοί πελάτες'!V46)/'Παραδοχές διείσδυσης - κάλυψης'!X46</f>
        <v>0.46950122649223219</v>
      </c>
      <c r="P46" s="161">
        <f t="shared" si="5"/>
        <v>2.5100099103383757E-2</v>
      </c>
      <c r="Q46" s="191">
        <f>('Ενεργοί πελάτες'!Y46)/'Παραδοχές διείσδυσης - κάλυψης'!AB46</f>
        <v>0.4749441429939355</v>
      </c>
      <c r="R46" s="161">
        <f t="shared" si="6"/>
        <v>1.1592976108643589E-2</v>
      </c>
      <c r="S46" s="191">
        <f>('Ενεργοί πελάτες'!AB46)/'Παραδοχές διείσδυσης - κάλυψης'!AF46</f>
        <v>0.49265879348866903</v>
      </c>
      <c r="T46" s="161">
        <f t="shared" si="7"/>
        <v>3.7298387096774299E-2</v>
      </c>
      <c r="U46" s="191">
        <f>('Ενεργοί πελάτες'!AE46)/'Παραδοχές διείσδυσης - κάλυψης'!AJ46</f>
        <v>0.49968661861485431</v>
      </c>
      <c r="V46" s="161">
        <f t="shared" si="8"/>
        <v>1.4265096287877199E-2</v>
      </c>
      <c r="W46" s="191">
        <f>('Ενεργοί πελάτες'!AH46)/'Παραδοχές διείσδυσης - κάλυψης'!AN46</f>
        <v>0.48471170646476414</v>
      </c>
      <c r="X46" s="161">
        <f t="shared" si="9"/>
        <v>-2.9968607507643606E-2</v>
      </c>
      <c r="Y46" s="192">
        <f t="shared" si="10"/>
        <v>8.0026976538221106E-3</v>
      </c>
    </row>
    <row r="47" spans="2:25" outlineLevel="1" x14ac:dyDescent="0.35">
      <c r="B47" s="294" t="s">
        <v>107</v>
      </c>
      <c r="C47" s="62" t="s">
        <v>253</v>
      </c>
      <c r="D47" s="190">
        <f>('Ενεργοί πελάτες'!E47)/'Παραδοχές διείσδυσης - κάλυψης'!D47</f>
        <v>0.25479874469987773</v>
      </c>
      <c r="E47" s="191">
        <f>('Ενεργοί πελάτες'!G47)/'Παραδοχές διείσδυσης - κάλυψης'!H47</f>
        <v>0.25606387781993567</v>
      </c>
      <c r="F47" s="161">
        <f t="shared" si="1"/>
        <v>4.9652250898963891E-3</v>
      </c>
      <c r="G47" s="191">
        <f>('Ενεργοί πελάτες'!J47)/'Παραδοχές διείσδυσης - κάλυψης'!L47</f>
        <v>0.22571934099981047</v>
      </c>
      <c r="H47" s="161">
        <f t="shared" si="2"/>
        <v>-0.11850377756703152</v>
      </c>
      <c r="I47" s="191">
        <f>('Ενεργοί πελάτες'!M47)/'Παραδοχές διείσδυσης - κάλυψης'!P47</f>
        <v>0.23955053245715829</v>
      </c>
      <c r="J47" s="161">
        <f t="shared" si="3"/>
        <v>6.1276058117498367E-2</v>
      </c>
      <c r="K47" s="191">
        <f>('Ενεργοί πελάτες'!P47)/'Παραδοχές διείσδυσης - κάλυψης'!T47</f>
        <v>0.24286620164870007</v>
      </c>
      <c r="L47" s="161">
        <f t="shared" si="4"/>
        <v>1.384120985886248E-2</v>
      </c>
      <c r="M47" s="192">
        <f t="shared" si="0"/>
        <v>-1.1919225460342298E-2</v>
      </c>
      <c r="O47" s="191">
        <f>('Ενεργοί πελάτες'!V47)/'Παραδοχές διείσδυσης - κάλυψης'!X47</f>
        <v>0.25271948908695346</v>
      </c>
      <c r="P47" s="161">
        <f t="shared" si="5"/>
        <v>4.0570846710510713E-2</v>
      </c>
      <c r="Q47" s="191">
        <f>('Ενεργοί πελάτες'!Y47)/'Παραδοχές διείσδυσης - κάλυψης'!AB47</f>
        <v>0.26119351972110194</v>
      </c>
      <c r="R47" s="161">
        <f t="shared" si="6"/>
        <v>3.3531369760061554E-2</v>
      </c>
      <c r="S47" s="191">
        <f>('Ενεργοί πελάτες'!AB47)/'Παραδοχές διείσδυσης - κάλυψης'!AF47</f>
        <v>0.27691049151271391</v>
      </c>
      <c r="T47" s="161">
        <f t="shared" si="7"/>
        <v>6.0173666668278315E-2</v>
      </c>
      <c r="U47" s="191">
        <f>('Ενεργοί πελάτες'!AE47)/'Παραδοχές διείσδυσης - κάλυψης'!AJ47</f>
        <v>0.29054468607267026</v>
      </c>
      <c r="V47" s="161">
        <f t="shared" si="8"/>
        <v>4.9236829148202765E-2</v>
      </c>
      <c r="W47" s="191">
        <f>('Ενεργοί πελάτες'!AH47)/'Παραδοχές διείσδυσης - κάλυψης'!AN47</f>
        <v>0.29981681253816406</v>
      </c>
      <c r="X47" s="161">
        <f t="shared" si="9"/>
        <v>3.1912910164788498E-2</v>
      </c>
      <c r="Y47" s="192">
        <f t="shared" si="10"/>
        <v>4.3648641064684801E-2</v>
      </c>
    </row>
    <row r="48" spans="2:25" outlineLevel="1" x14ac:dyDescent="0.35">
      <c r="B48" s="294" t="s">
        <v>108</v>
      </c>
      <c r="C48" s="62" t="s">
        <v>253</v>
      </c>
      <c r="D48" s="190">
        <f>('Ενεργοί πελάτες'!E48)/'Παραδοχές διείσδυσης - κάλυψης'!D48</f>
        <v>0.36825941586488697</v>
      </c>
      <c r="E48" s="191">
        <f>('Ενεργοί πελάτες'!G48)/'Παραδοχές διείσδυσης - κάλυψης'!H48</f>
        <v>0.3654490884562156</v>
      </c>
      <c r="F48" s="161">
        <f t="shared" si="1"/>
        <v>-7.6313796405479408E-3</v>
      </c>
      <c r="G48" s="191">
        <f>('Ενεργοί πελάτες'!J48)/'Παραδοχές διείσδυσης - κάλυψης'!L48</f>
        <v>0.38685034018088232</v>
      </c>
      <c r="H48" s="161">
        <f t="shared" si="2"/>
        <v>5.8561513493091681E-2</v>
      </c>
      <c r="I48" s="191">
        <f>('Ενεργοί πελάτες'!M48)/'Παραδοχές διείσδυσης - κάλυψης'!P48</f>
        <v>0.40295655033954159</v>
      </c>
      <c r="J48" s="161">
        <f t="shared" si="3"/>
        <v>4.1634214800298143E-2</v>
      </c>
      <c r="K48" s="191">
        <f>('Ενεργοί πελάτες'!P48)/'Παραδοχές διείσδυσης - κάλυψης'!T48</f>
        <v>0.3834401182848694</v>
      </c>
      <c r="L48" s="161">
        <f t="shared" si="4"/>
        <v>-4.8433092943214684E-2</v>
      </c>
      <c r="M48" s="192">
        <f t="shared" si="0"/>
        <v>1.0150126367305612E-2</v>
      </c>
      <c r="O48" s="191">
        <f>('Ενεργοί πελάτες'!V48)/'Παραδοχές διείσδυσης - κάλυψης'!X48</f>
        <v>0.38647170708511652</v>
      </c>
      <c r="P48" s="161">
        <f t="shared" si="5"/>
        <v>7.906290071595639E-3</v>
      </c>
      <c r="Q48" s="191">
        <f>('Ενεργοί πελάτες'!Y48)/'Παραδοχές διείσδυσης - κάλυψης'!AB48</f>
        <v>0.40507608178792204</v>
      </c>
      <c r="R48" s="161">
        <f t="shared" si="6"/>
        <v>4.8139034143340503E-2</v>
      </c>
      <c r="S48" s="191">
        <f>('Ενεργοί πελάτες'!AB48)/'Παραδοχές διείσδυσης - κάλυψης'!AF48</f>
        <v>0.38392434988179669</v>
      </c>
      <c r="T48" s="161">
        <f t="shared" si="7"/>
        <v>-5.2216689301343044E-2</v>
      </c>
      <c r="U48" s="191">
        <f>('Ενεργοί πελάτες'!AE48)/'Παραδοχές διείσδυσης - κάλυψης'!AJ48</f>
        <v>0.37651745068285281</v>
      </c>
      <c r="V48" s="161">
        <f t="shared" si="8"/>
        <v>-1.929260074601763E-2</v>
      </c>
      <c r="W48" s="191">
        <f>('Ενεργοί πελάτες'!AH48)/'Παραδοχές διείσδυσης - κάλυψης'!AN48</f>
        <v>0.39480519480519483</v>
      </c>
      <c r="X48" s="161">
        <f t="shared" si="9"/>
        <v>4.8570774313847417E-2</v>
      </c>
      <c r="Y48" s="192">
        <f t="shared" si="10"/>
        <v>5.3476989372203132E-3</v>
      </c>
    </row>
    <row r="49" spans="2:25" outlineLevel="1" x14ac:dyDescent="0.35">
      <c r="B49" s="294" t="s">
        <v>109</v>
      </c>
      <c r="C49" s="62" t="s">
        <v>253</v>
      </c>
      <c r="D49" s="190">
        <f>('Ενεργοί πελάτες'!E49)/'Παραδοχές διείσδυσης - κάλυψης'!D49</f>
        <v>0.45463289806272178</v>
      </c>
      <c r="E49" s="191">
        <f>('Ενεργοί πελάτες'!G49)/'Παραδοχές διείσδυσης - κάλυψης'!H49</f>
        <v>0.47592939965742992</v>
      </c>
      <c r="F49" s="161">
        <f t="shared" si="1"/>
        <v>4.6843291995490491E-2</v>
      </c>
      <c r="G49" s="191">
        <f>('Ενεργοί πελάτες'!J49)/'Παραδοχές διείσδυσης - κάλυψης'!L49</f>
        <v>0.49126073123439268</v>
      </c>
      <c r="H49" s="161">
        <f t="shared" si="2"/>
        <v>3.22134576851065E-2</v>
      </c>
      <c r="I49" s="191">
        <f>('Ενεργοί πελάτες'!M49)/'Παραδοχές διείσδυσης - κάλυψης'!P49</f>
        <v>0.49233654075062627</v>
      </c>
      <c r="J49" s="161">
        <f t="shared" si="3"/>
        <v>2.1898951978726326E-3</v>
      </c>
      <c r="K49" s="191">
        <f>('Ενεργοί πελάτες'!P49)/'Παραδοχές διείσδυσης - κάλυψης'!T49</f>
        <v>0.49437546024732737</v>
      </c>
      <c r="L49" s="161">
        <f t="shared" si="4"/>
        <v>4.1413125533857776E-3</v>
      </c>
      <c r="M49" s="192">
        <f t="shared" si="0"/>
        <v>2.117226665118177E-2</v>
      </c>
      <c r="O49" s="191">
        <f>('Ενεργοί πελάτες'!V49)/'Παραδοχές διείσδυσης - κάλυψης'!X49</f>
        <v>0.50976359157969575</v>
      </c>
      <c r="P49" s="161">
        <f t="shared" si="5"/>
        <v>3.1126406081462801E-2</v>
      </c>
      <c r="Q49" s="191">
        <f>('Ενεργοί πελάτες'!Y49)/'Παραδοχές διείσδυσης - κάλυψης'!AB49</f>
        <v>0.52672608618369265</v>
      </c>
      <c r="R49" s="161">
        <f t="shared" si="6"/>
        <v>3.3275217932752281E-2</v>
      </c>
      <c r="S49" s="191">
        <f>('Ενεργοί πελάτες'!AB49)/'Παραδοχές διείσδυσης - κάλυψης'!AF49</f>
        <v>0.54278203281009074</v>
      </c>
      <c r="T49" s="161">
        <f t="shared" si="7"/>
        <v>3.0482535510494291E-2</v>
      </c>
      <c r="U49" s="191">
        <f>('Ενεργοί πελάτες'!AE49)/'Παραδοχές διείσδυσης - κάλυψης'!AJ49</f>
        <v>0.55921235560274007</v>
      </c>
      <c r="V49" s="161">
        <f t="shared" si="8"/>
        <v>3.0270572346667919E-2</v>
      </c>
      <c r="W49" s="191">
        <f>('Ενεργοί πελάτες'!AH49)/'Παραδοχές διείσδυσης - κάλυψης'!AN49</f>
        <v>0.57202800738100656</v>
      </c>
      <c r="X49" s="161">
        <f t="shared" si="9"/>
        <v>2.2917325859964772E-2</v>
      </c>
      <c r="Y49" s="192">
        <f t="shared" si="10"/>
        <v>2.9229249277823888E-2</v>
      </c>
    </row>
    <row r="50" spans="2:25" outlineLevel="1" x14ac:dyDescent="0.35">
      <c r="B50" s="294" t="s">
        <v>110</v>
      </c>
      <c r="C50" s="62" t="s">
        <v>253</v>
      </c>
      <c r="D50" s="190">
        <f>('Ενεργοί πελάτες'!E50)/'Παραδοχές διείσδυσης - κάλυψης'!D50</f>
        <v>0.32858013100109751</v>
      </c>
      <c r="E50" s="191">
        <f>('Ενεργοί πελάτες'!G50)/'Παραδοχές διείσδυσης - κάλυψης'!H50</f>
        <v>0.35752797428163396</v>
      </c>
      <c r="F50" s="161">
        <f t="shared" si="1"/>
        <v>8.8099798342462052E-2</v>
      </c>
      <c r="G50" s="191">
        <f>('Ενεργοί πελάτες'!J50)/'Παραδοχές διείσδυσης - κάλυψης'!L50</f>
        <v>0.35616394370347737</v>
      </c>
      <c r="H50" s="161">
        <f t="shared" si="2"/>
        <v>-3.8151716125074796E-3</v>
      </c>
      <c r="I50" s="191">
        <f>('Ενεργοί πελάτες'!M50)/'Παραδοχές διείσδυσης - κάλυψης'!P50</f>
        <v>0.3840287545680327</v>
      </c>
      <c r="J50" s="161">
        <f t="shared" si="3"/>
        <v>7.8235911739999303E-2</v>
      </c>
      <c r="K50" s="191">
        <f>('Ενεργοί πελάτες'!P50)/'Παραδοχές διείσδυσης - κάλυψης'!T50</f>
        <v>0.36789345553487041</v>
      </c>
      <c r="L50" s="161">
        <f t="shared" si="4"/>
        <v>-4.2015861680232192E-2</v>
      </c>
      <c r="M50" s="192">
        <f t="shared" si="0"/>
        <v>2.8656064765175016E-2</v>
      </c>
      <c r="O50" s="191">
        <f>('Ενεργοί πελάτες'!V50)/'Παραδοχές διείσδυσης - κάλυψης'!X50</f>
        <v>0.37539162631728851</v>
      </c>
      <c r="P50" s="161">
        <f t="shared" si="5"/>
        <v>2.0381364956646789E-2</v>
      </c>
      <c r="Q50" s="191">
        <f>('Ενεργοί πελάτες'!Y50)/'Παραδοχές διείσδυσης - κάλυψης'!AB50</f>
        <v>0.38592993449159785</v>
      </c>
      <c r="R50" s="161">
        <f t="shared" si="6"/>
        <v>2.8072837632777008E-2</v>
      </c>
      <c r="S50" s="191">
        <f>('Ενεργοί πελάτες'!AB50)/'Παραδοχές διείσδυσης - κάλυψης'!AF50</f>
        <v>0.39108565041218385</v>
      </c>
      <c r="T50" s="161">
        <f t="shared" si="7"/>
        <v>1.3359201916736126E-2</v>
      </c>
      <c r="U50" s="191">
        <f>('Ενεργοί πελάτες'!AE50)/'Παραδοχές διείσδυσης - κάλυψης'!AJ50</f>
        <v>0.4026826882772111</v>
      </c>
      <c r="V50" s="161">
        <f t="shared" si="8"/>
        <v>2.9653447659878537E-2</v>
      </c>
      <c r="W50" s="191">
        <f>('Ενεργοί πελάτες'!AH50)/'Παραδοχές διείσδυσης - κάλυψης'!AN50</f>
        <v>0.40069920666935593</v>
      </c>
      <c r="X50" s="161">
        <f t="shared" si="9"/>
        <v>-4.9256689338721066E-3</v>
      </c>
      <c r="Y50" s="192">
        <f t="shared" si="10"/>
        <v>1.6444044119116041E-2</v>
      </c>
    </row>
    <row r="51" spans="2:25" outlineLevel="1" x14ac:dyDescent="0.35">
      <c r="B51" s="294" t="s">
        <v>111</v>
      </c>
      <c r="C51" s="62" t="s">
        <v>253</v>
      </c>
      <c r="D51" s="190">
        <f>('Ενεργοί πελάτες'!E51)/'Παραδοχές διείσδυσης - κάλυψης'!D51</f>
        <v>0.1947762436274155</v>
      </c>
      <c r="E51" s="191">
        <f>('Ενεργοί πελάτες'!G51)/'Παραδοχές διείσδυσης - κάλυψης'!H51</f>
        <v>0.22105170302397881</v>
      </c>
      <c r="F51" s="161">
        <f t="shared" si="1"/>
        <v>0.13490073998359489</v>
      </c>
      <c r="G51" s="191">
        <f>('Ενεργοί πελάτες'!J51)/'Παραδοχές διείσδυσης - κάλυψης'!L51</f>
        <v>0.23548913445820854</v>
      </c>
      <c r="H51" s="161">
        <f t="shared" si="2"/>
        <v>6.531246417343195E-2</v>
      </c>
      <c r="I51" s="191">
        <f>('Ενεργοί πελάτες'!M51)/'Παραδοχές διείσδυσης - κάλυψης'!P51</f>
        <v>0.24653784269865808</v>
      </c>
      <c r="J51" s="161">
        <f t="shared" si="3"/>
        <v>4.691812327506905E-2</v>
      </c>
      <c r="K51" s="191">
        <f>('Ενεργοί πελάτες'!P51)/'Παραδοχές διείσδυσης - κάλυψης'!T51</f>
        <v>0.24354704412989175</v>
      </c>
      <c r="L51" s="161">
        <f t="shared" si="4"/>
        <v>-1.2131194692175376E-2</v>
      </c>
      <c r="M51" s="192">
        <f t="shared" si="0"/>
        <v>5.7454572013209804E-2</v>
      </c>
      <c r="O51" s="191">
        <f>('Ενεργοί πελάτες'!V51)/'Παραδοχές διείσδυσης - κάλυψης'!X51</f>
        <v>0.25311332503113326</v>
      </c>
      <c r="P51" s="161">
        <f t="shared" si="5"/>
        <v>3.9278985854328381E-2</v>
      </c>
      <c r="Q51" s="191">
        <f>('Ενεργοί πελάτες'!Y51)/'Παραδοχές διείσδυσης - κάλυψης'!AB51</f>
        <v>0.25388550068856974</v>
      </c>
      <c r="R51" s="161">
        <f t="shared" si="6"/>
        <v>3.050711207485823E-3</v>
      </c>
      <c r="S51" s="191">
        <f>('Ενεργοί πελάτες'!AB51)/'Παραδοχές διείσδυσης - κάλυψης'!AF51</f>
        <v>0.25283292539207686</v>
      </c>
      <c r="T51" s="161">
        <f t="shared" si="7"/>
        <v>-4.1458661232648885E-3</v>
      </c>
      <c r="U51" s="191">
        <f>('Ενεργοί πελάτες'!AE51)/'Παραδοχές διείσδυσης - κάλυψης'!AJ51</f>
        <v>0.27032907261354366</v>
      </c>
      <c r="V51" s="161">
        <f t="shared" si="8"/>
        <v>6.920043026174269E-2</v>
      </c>
      <c r="W51" s="191">
        <f>('Ενεργοί πελάτες'!AH51)/'Παραδοχές διείσδυσης - κάλυψης'!AN51</f>
        <v>0.27912361952262199</v>
      </c>
      <c r="X51" s="161">
        <f t="shared" si="9"/>
        <v>3.2532745457425558E-2</v>
      </c>
      <c r="Y51" s="192">
        <f t="shared" si="10"/>
        <v>2.4755822990307541E-2</v>
      </c>
    </row>
    <row r="52" spans="2:25" outlineLevel="1" x14ac:dyDescent="0.35">
      <c r="B52" s="294" t="s">
        <v>112</v>
      </c>
      <c r="C52" s="62" t="s">
        <v>253</v>
      </c>
      <c r="D52" s="190">
        <f>('Ενεργοί πελάτες'!E52)/'Παραδοχές διείσδυσης - κάλυψης'!D52</f>
        <v>0.15018862221188861</v>
      </c>
      <c r="E52" s="191">
        <f>('Ενεργοί πελάτες'!G52)/'Παραδοχές διείσδυσης - κάλυψης'!H52</f>
        <v>0.16153745318835694</v>
      </c>
      <c r="F52" s="161">
        <f t="shared" si="1"/>
        <v>7.5563853035799253E-2</v>
      </c>
      <c r="G52" s="191">
        <f>('Ενεργοί πελάτες'!J52)/'Παραδοχές διείσδυσης - κάλυψης'!L52</f>
        <v>0.17217573870193451</v>
      </c>
      <c r="H52" s="161">
        <f t="shared" si="2"/>
        <v>6.5856464266358369E-2</v>
      </c>
      <c r="I52" s="191">
        <f>('Ενεργοί πελάτες'!M52)/'Παραδοχές διείσδυσης - κάλυψης'!P52</f>
        <v>0.17172327072376598</v>
      </c>
      <c r="J52" s="161">
        <f t="shared" si="3"/>
        <v>-2.6279427146923958E-3</v>
      </c>
      <c r="K52" s="191">
        <f>('Ενεργοί πελάτες'!P52)/'Παραδοχές διείσδυσης - κάλυψης'!T52</f>
        <v>0.16586398737856015</v>
      </c>
      <c r="L52" s="161">
        <f t="shared" si="4"/>
        <v>-3.4120497009581606E-2</v>
      </c>
      <c r="M52" s="192">
        <f t="shared" si="0"/>
        <v>2.5129584452045828E-2</v>
      </c>
      <c r="O52" s="191">
        <f>('Ενεργοί πελάτες'!V52)/'Παραδοχές διείσδυσης - κάλυψης'!X52</f>
        <v>0.17172425166982766</v>
      </c>
      <c r="P52" s="161">
        <f t="shared" si="5"/>
        <v>3.5331746112507972E-2</v>
      </c>
      <c r="Q52" s="191">
        <f>('Ενεργοί πελάτες'!Y52)/'Παραδοχές διείσδυσης - κάλυψης'!AB52</f>
        <v>0.17624536353846768</v>
      </c>
      <c r="R52" s="161">
        <f t="shared" si="6"/>
        <v>2.6327742439854727E-2</v>
      </c>
      <c r="S52" s="191">
        <f>('Ενεργοί πελάτες'!AB52)/'Παραδοχές διείσδυσης - κάλυψης'!AF52</f>
        <v>0.18405645380171379</v>
      </c>
      <c r="T52" s="161">
        <f t="shared" si="7"/>
        <v>4.431940850200719E-2</v>
      </c>
      <c r="U52" s="191">
        <f>('Ενεργοί πελάτες'!AE52)/'Παραδοχές διείσδυσης - κάλυψης'!AJ52</f>
        <v>0.19170475578891702</v>
      </c>
      <c r="V52" s="161">
        <f t="shared" si="8"/>
        <v>4.1554109237825688E-2</v>
      </c>
      <c r="W52" s="191">
        <f>('Ενεργοί πελάτες'!AH52)/'Παραδοχές διείσδυσης - κάλυψης'!AN52</f>
        <v>0.19752319719441805</v>
      </c>
      <c r="X52" s="161">
        <f t="shared" si="9"/>
        <v>3.0351054054744579E-2</v>
      </c>
      <c r="Y52" s="192">
        <f t="shared" si="10"/>
        <v>3.5610913636353381E-2</v>
      </c>
    </row>
    <row r="53" spans="2:25" outlineLevel="1" x14ac:dyDescent="0.35">
      <c r="B53" s="294" t="s">
        <v>113</v>
      </c>
      <c r="C53" s="62" t="s">
        <v>253</v>
      </c>
      <c r="D53" s="190">
        <f>('Ενεργοί πελάτες'!E53)/'Παραδοχές διείσδυσης - κάλυψης'!D53</f>
        <v>0</v>
      </c>
      <c r="E53" s="191">
        <f>('Ενεργοί πελάτες'!G53)/'Παραδοχές διείσδυσης - κάλυψης'!H53</f>
        <v>0</v>
      </c>
      <c r="F53" s="161">
        <f t="shared" si="1"/>
        <v>0</v>
      </c>
      <c r="G53" s="191">
        <f>('Ενεργοί πελάτες'!J53)/'Παραδοχές διείσδυσης - κάλυψης'!L53</f>
        <v>0</v>
      </c>
      <c r="H53" s="161">
        <f t="shared" si="2"/>
        <v>0</v>
      </c>
      <c r="I53" s="191">
        <f>('Ενεργοί πελάτες'!M53)/'Παραδοχές διείσδυσης - κάλυψης'!P53</f>
        <v>0</v>
      </c>
      <c r="J53" s="161">
        <f t="shared" si="3"/>
        <v>0</v>
      </c>
      <c r="K53" s="191">
        <f>('Ενεργοί πελάτες'!P53)/'Παραδοχές διείσδυσης - κάλυψης'!T53</f>
        <v>9.0090090090090089E-3</v>
      </c>
      <c r="L53" s="161">
        <f t="shared" si="4"/>
        <v>0</v>
      </c>
      <c r="M53" s="192">
        <f t="shared" si="0"/>
        <v>0</v>
      </c>
      <c r="O53" s="191">
        <f>('Ενεργοί πελάτες'!V53)/'Παραδοχές διείσδυσης - κάλυψης'!X53</f>
        <v>9.0090090090090089E-3</v>
      </c>
      <c r="P53" s="161">
        <f t="shared" si="5"/>
        <v>0</v>
      </c>
      <c r="Q53" s="191">
        <f>('Ενεργοί πελάτες'!Y53)/'Παραδοχές διείσδυσης - κάλυψης'!AB53</f>
        <v>9.0090090090090089E-3</v>
      </c>
      <c r="R53" s="161">
        <f t="shared" si="6"/>
        <v>0</v>
      </c>
      <c r="S53" s="191">
        <f>('Ενεργοί πελάτες'!AB53)/'Παραδοχές διείσδυσης - κάλυψης'!AF53</f>
        <v>1.8018018018018018E-2</v>
      </c>
      <c r="T53" s="161">
        <f t="shared" si="7"/>
        <v>1</v>
      </c>
      <c r="U53" s="191">
        <f>('Ενεργοί πελάτες'!AE53)/'Παραδοχές διείσδυσης - κάλυψης'!AJ53</f>
        <v>1.8018018018018018E-2</v>
      </c>
      <c r="V53" s="161">
        <f t="shared" si="8"/>
        <v>0</v>
      </c>
      <c r="W53" s="191">
        <f>('Ενεργοί πελάτες'!AH53)/'Παραδοχές διείσδυσης - κάλυψης'!AN53</f>
        <v>1.8018018018018018E-2</v>
      </c>
      <c r="X53" s="161">
        <f t="shared" si="9"/>
        <v>0</v>
      </c>
      <c r="Y53" s="192">
        <f t="shared" si="10"/>
        <v>0.18920711500272103</v>
      </c>
    </row>
    <row r="54" spans="2:25" outlineLevel="1" x14ac:dyDescent="0.35">
      <c r="B54" s="294" t="s">
        <v>114</v>
      </c>
      <c r="C54" s="62" t="s">
        <v>253</v>
      </c>
      <c r="D54" s="190">
        <f>('Ενεργοί πελάτες'!E54)/'Παραδοχές διείσδυσης - κάλυψης'!D54</f>
        <v>0.52585406739618956</v>
      </c>
      <c r="E54" s="191">
        <f>('Ενεργοί πελάτες'!G54)/'Παραδοχές διείσδυσης - κάλυψης'!H54</f>
        <v>0.54375245501676317</v>
      </c>
      <c r="F54" s="161">
        <f t="shared" si="1"/>
        <v>3.4036796005399314E-2</v>
      </c>
      <c r="G54" s="191">
        <f>('Ενεργοί πελάτες'!J54)/'Παραδοχές διείσδυσης - κάλυψης'!L54</f>
        <v>0.55263170113306403</v>
      </c>
      <c r="H54" s="161">
        <f t="shared" si="2"/>
        <v>1.6329574302385685E-2</v>
      </c>
      <c r="I54" s="191">
        <f>('Ενεργοί πελάτες'!M54)/'Παραδοχές διείσδυσης - κάλυψης'!P54</f>
        <v>0.52359808251148854</v>
      </c>
      <c r="J54" s="161">
        <f t="shared" si="3"/>
        <v>-5.2537012556550224E-2</v>
      </c>
      <c r="K54" s="191">
        <f>('Ενεργοί πελάτες'!P54)/'Παραδοχές διείσδυσης - κάλυψης'!T54</f>
        <v>0.51812191103789129</v>
      </c>
      <c r="L54" s="161">
        <f t="shared" si="4"/>
        <v>-1.0458730955106374E-2</v>
      </c>
      <c r="M54" s="192">
        <f t="shared" si="0"/>
        <v>-3.6964442103694095E-3</v>
      </c>
      <c r="O54" s="191">
        <f>('Ενεργοί πελάτες'!V54)/'Παραδοχές διείσδυσης - κάλυψης'!X54</f>
        <v>0.53553777359378674</v>
      </c>
      <c r="P54" s="161">
        <f t="shared" si="5"/>
        <v>3.3613445378151141E-2</v>
      </c>
      <c r="Q54" s="191">
        <f>('Ενεργοί πελάτες'!Y54)/'Παραδοχές διείσδυσης - κάλυψης'!AB54</f>
        <v>0.55474817604142146</v>
      </c>
      <c r="R54" s="161">
        <f t="shared" si="6"/>
        <v>3.5871237090749263E-2</v>
      </c>
      <c r="S54" s="191">
        <f>('Ενεργοί πελάτες'!AB54)/'Παραδοχές διείσδυσης - κάλυψης'!AF54</f>
        <v>0.57492939515180042</v>
      </c>
      <c r="T54" s="161">
        <f t="shared" si="7"/>
        <v>3.6379063477753701E-2</v>
      </c>
      <c r="U54" s="191">
        <f>('Ενεργοί πελάτες'!AE54)/'Παραδοχές διείσδυσης - κάλυψης'!AJ54</f>
        <v>0.59261002588844436</v>
      </c>
      <c r="V54" s="161">
        <f t="shared" si="8"/>
        <v>3.0752699176175659E-2</v>
      </c>
      <c r="W54" s="191">
        <f>('Ενεργοί πελάτες'!AH54)/'Παραδοχές διείσδυσης - κάλυψης'!AN54</f>
        <v>0.6065250647211109</v>
      </c>
      <c r="X54" s="161">
        <f t="shared" si="9"/>
        <v>2.3480937251787178E-2</v>
      </c>
      <c r="Y54" s="192">
        <f t="shared" si="10"/>
        <v>3.1607904132413989E-2</v>
      </c>
    </row>
    <row r="55" spans="2:25" outlineLevel="1" x14ac:dyDescent="0.35">
      <c r="B55" s="294" t="s">
        <v>115</v>
      </c>
      <c r="C55" s="62" t="s">
        <v>253</v>
      </c>
      <c r="D55" s="190">
        <f>('Ενεργοί πελάτες'!E55)/'Παραδοχές διείσδυσης - κάλυψης'!D55</f>
        <v>0.14564821414085954</v>
      </c>
      <c r="E55" s="191">
        <f>('Ενεργοί πελάτες'!G55)/'Παραδοχές διείσδυσης - κάλυψης'!H55</f>
        <v>0.29510476916204331</v>
      </c>
      <c r="F55" s="161">
        <f t="shared" si="1"/>
        <v>1.0261475288439932</v>
      </c>
      <c r="G55" s="191">
        <f>('Ενεργοί πελάτες'!J55)/'Παραδοχές διείσδυσης - κάλυψης'!L55</f>
        <v>0.32933372168036917</v>
      </c>
      <c r="H55" s="161">
        <f t="shared" si="2"/>
        <v>0.11598915400628647</v>
      </c>
      <c r="I55" s="191">
        <f>('Ενεργοί πελάτες'!M55)/'Παραδοχές διείσδυσης - κάλυψης'!P55</f>
        <v>0.36334992881502848</v>
      </c>
      <c r="J55" s="161">
        <f t="shared" si="3"/>
        <v>0.10328795654783667</v>
      </c>
      <c r="K55" s="191">
        <f>('Ενεργοί πελάτες'!P55)/'Παραδοχές διείσδυσης - κάλυψης'!T55</f>
        <v>0.3714347920748966</v>
      </c>
      <c r="L55" s="161">
        <f t="shared" si="4"/>
        <v>2.2250900904906761E-2</v>
      </c>
      <c r="M55" s="192">
        <f t="shared" si="0"/>
        <v>0.2637010733724392</v>
      </c>
      <c r="O55" s="191">
        <f>('Ενεργοί πελάτες'!V55)/'Παραδοχές διείσδυσης - κάλυψης'!X55</f>
        <v>0.39033018867924529</v>
      </c>
      <c r="P55" s="161">
        <f t="shared" si="5"/>
        <v>5.0871369638788709E-2</v>
      </c>
      <c r="Q55" s="191">
        <f>('Ενεργοί πελάτες'!Y55)/'Παραδοχές διείσδυσης - κάλυψης'!AB55</f>
        <v>0.40833678971381171</v>
      </c>
      <c r="R55" s="161">
        <f t="shared" si="6"/>
        <v>4.6131715037197346E-2</v>
      </c>
      <c r="S55" s="191">
        <f>('Ενεργοί πελάτες'!AB55)/'Παραδοχές διείσδυσης - κάλυψης'!AF55</f>
        <v>0.43681683522320974</v>
      </c>
      <c r="T55" s="161">
        <f t="shared" si="7"/>
        <v>6.9746459850846779E-2</v>
      </c>
      <c r="U55" s="191">
        <f>('Ενεργοί πελάτες'!AE55)/'Παραδοχές διείσδυσης - κάλυψης'!AJ55</f>
        <v>0.45490467252790673</v>
      </c>
      <c r="V55" s="161">
        <f t="shared" si="8"/>
        <v>4.1408287973732173E-2</v>
      </c>
      <c r="W55" s="191">
        <f>('Ενεργοί πελάτες'!AH55)/'Παραδοχές διείσδυσης - κάλυψης'!AN55</f>
        <v>0.47437137330754353</v>
      </c>
      <c r="X55" s="161">
        <f t="shared" si="9"/>
        <v>4.2792923342511044E-2</v>
      </c>
      <c r="Y55" s="192">
        <f t="shared" si="10"/>
        <v>4.9957168138093699E-2</v>
      </c>
    </row>
    <row r="56" spans="2:25" outlineLevel="1" x14ac:dyDescent="0.35">
      <c r="B56" s="294" t="s">
        <v>116</v>
      </c>
      <c r="C56" s="62" t="s">
        <v>253</v>
      </c>
      <c r="D56" s="190">
        <f>('Ενεργοί πελάτες'!E56)/'Παραδοχές διείσδυσης - κάλυψης'!D56</f>
        <v>0.71420537805556072</v>
      </c>
      <c r="E56" s="191">
        <f>('Ενεργοί πελάτες'!G56)/'Παραδοχές διείσδυσης - κάλυψης'!H56</f>
        <v>0.72329211611213262</v>
      </c>
      <c r="F56" s="161">
        <f t="shared" si="1"/>
        <v>1.2722864228929126E-2</v>
      </c>
      <c r="G56" s="191">
        <f>('Ενεργοί πελάτες'!J56)/'Παραδοχές διείσδυσης - κάλυψης'!L56</f>
        <v>0.7444752315406471</v>
      </c>
      <c r="H56" s="161">
        <f t="shared" si="2"/>
        <v>2.9287081881078376E-2</v>
      </c>
      <c r="I56" s="191">
        <f>('Ενεργοί πελάτες'!M56)/'Παραδοχές διείσδυσης - κάλυψης'!P56</f>
        <v>0.72588647657288463</v>
      </c>
      <c r="J56" s="161">
        <f t="shared" si="3"/>
        <v>-2.4968936749304803E-2</v>
      </c>
      <c r="K56" s="191">
        <f>('Ενεργοί πελάτες'!P56)/'Παραδοχές διείσδυσης - κάλυψης'!T56</f>
        <v>0.73113166006164687</v>
      </c>
      <c r="L56" s="161">
        <f t="shared" si="4"/>
        <v>7.225900547873869E-3</v>
      </c>
      <c r="M56" s="192">
        <f t="shared" si="0"/>
        <v>5.8729253360212397E-3</v>
      </c>
      <c r="O56" s="191">
        <f>('Ενεργοί πελάτες'!V56)/'Παραδοχές διείσδυσης - κάλυψης'!X56</f>
        <v>0.75059445178335538</v>
      </c>
      <c r="P56" s="161">
        <f t="shared" si="5"/>
        <v>2.6620091544206224E-2</v>
      </c>
      <c r="Q56" s="191">
        <f>('Ενεργοί πελάτες'!Y56)/'Παραδοχές διείσδυσης - κάλυψης'!AB56</f>
        <v>0.77199471598414793</v>
      </c>
      <c r="R56" s="161">
        <f t="shared" si="6"/>
        <v>2.8511087645195284E-2</v>
      </c>
      <c r="S56" s="191">
        <f>('Ενεργοί πελάτες'!AB56)/'Παραδοχές διείσδυσης - κάλυψης'!AF56</f>
        <v>0.79440774988991636</v>
      </c>
      <c r="T56" s="161">
        <f t="shared" si="7"/>
        <v>2.9032626055213385E-2</v>
      </c>
      <c r="U56" s="191">
        <f>('Ενεργοί πελάτες'!AE56)/'Παραδοχές διείσδυσης - κάλυψης'!AJ56</f>
        <v>0.81400264200792605</v>
      </c>
      <c r="V56" s="161">
        <f t="shared" si="8"/>
        <v>2.4666038467934151E-2</v>
      </c>
      <c r="W56" s="191">
        <f>('Ενεργοί πελάτες'!AH56)/'Παραδοχές διείσδυσης - κάλυψης'!AN56</f>
        <v>0.82941435490973137</v>
      </c>
      <c r="X56" s="161">
        <f t="shared" si="9"/>
        <v>1.893324678134798E-2</v>
      </c>
      <c r="Y56" s="192">
        <f t="shared" si="10"/>
        <v>2.5277789552583974E-2</v>
      </c>
    </row>
    <row r="57" spans="2:25" outlineLevel="1" x14ac:dyDescent="0.35">
      <c r="B57" s="294" t="s">
        <v>117</v>
      </c>
      <c r="C57" s="62" t="s">
        <v>253</v>
      </c>
      <c r="D57" s="190">
        <f>('Ενεργοί πελάτες'!E57)/'Παραδοχές διείσδυσης - κάλυψης'!D57</f>
        <v>0.22944881461971853</v>
      </c>
      <c r="E57" s="191">
        <f>('Ενεργοί πελάτες'!G57)/'Παραδοχές διείσδυσης - κάλυψης'!H57</f>
        <v>0.24397807635006868</v>
      </c>
      <c r="F57" s="161">
        <f t="shared" si="1"/>
        <v>6.3322452785081987E-2</v>
      </c>
      <c r="G57" s="191">
        <f>('Ενεργοί πελάτες'!J57)/'Παραδοχές διείσδυσης - κάλυψης'!L57</f>
        <v>0.24700818460510662</v>
      </c>
      <c r="H57" s="161">
        <f t="shared" si="2"/>
        <v>1.2419592368169296E-2</v>
      </c>
      <c r="I57" s="191">
        <f>('Ενεργοί πελάτες'!M57)/'Παραδοχές διείσδυσης - κάλυψης'!P57</f>
        <v>0.25396244211893537</v>
      </c>
      <c r="J57" s="161">
        <f t="shared" si="3"/>
        <v>2.8153955808980821E-2</v>
      </c>
      <c r="K57" s="191">
        <f>('Ενεργοί πελάτες'!P57)/'Παραδοχές διείσδυσης - κάλυψης'!T57</f>
        <v>0.24435663541973182</v>
      </c>
      <c r="L57" s="161">
        <f t="shared" si="4"/>
        <v>-3.7823729442265211E-2</v>
      </c>
      <c r="M57" s="192">
        <f t="shared" si="0"/>
        <v>1.5861682912583719E-2</v>
      </c>
      <c r="O57" s="191">
        <f>('Ενεργοί πελάτες'!V57)/'Παραδοχές διείσδυσης - κάλυψης'!X57</f>
        <v>0.25117992879026246</v>
      </c>
      <c r="P57" s="161">
        <f t="shared" si="5"/>
        <v>2.792350352512531E-2</v>
      </c>
      <c r="Q57" s="191">
        <f>('Ενεργοί πελάτες'!Y57)/'Παραδοχές διείσδυσης - κάλυψης'!AB57</f>
        <v>0.25385311001022254</v>
      </c>
      <c r="R57" s="161">
        <f t="shared" si="6"/>
        <v>1.0642495333264487E-2</v>
      </c>
      <c r="S57" s="191">
        <f>('Ενεργοί πελάτες'!AB57)/'Παραδοχές διείσδυσης - κάλυψης'!AF57</f>
        <v>0.26407478628410408</v>
      </c>
      <c r="T57" s="161">
        <f t="shared" si="7"/>
        <v>4.0266106148827245E-2</v>
      </c>
      <c r="U57" s="191">
        <f>('Ενεργοί πελάτες'!AE57)/'Παραδοχές διείσδυσης - κάλυψης'!AJ57</f>
        <v>0.26468555632342777</v>
      </c>
      <c r="V57" s="161">
        <f t="shared" si="8"/>
        <v>2.3128676838787576E-3</v>
      </c>
      <c r="W57" s="191">
        <f>('Ενεργοί πελάτες'!AH57)/'Παραδοχές διείσδυσης - κάλυψης'!AN57</f>
        <v>0.27689579022413885</v>
      </c>
      <c r="X57" s="161">
        <f t="shared" si="9"/>
        <v>4.6131092570049416E-2</v>
      </c>
      <c r="Y57" s="192">
        <f t="shared" si="10"/>
        <v>2.4667248406917253E-2</v>
      </c>
    </row>
    <row r="58" spans="2:25" outlineLevel="1" x14ac:dyDescent="0.35">
      <c r="B58" s="294" t="s">
        <v>118</v>
      </c>
      <c r="C58" s="62" t="s">
        <v>253</v>
      </c>
      <c r="D58" s="190">
        <f>('Ενεργοί πελάτες'!E58)/'Παραδοχές διείσδυσης - κάλυψης'!D58</f>
        <v>0.59003687882999933</v>
      </c>
      <c r="E58" s="191">
        <f>('Ενεργοί πελάτες'!G58)/'Παραδοχές διείσδυσης - κάλυψης'!H58</f>
        <v>0.62966184098134936</v>
      </c>
      <c r="F58" s="161">
        <f t="shared" si="1"/>
        <v>6.7156755065757037E-2</v>
      </c>
      <c r="G58" s="191">
        <f>('Ενεργοί πελάτες'!J58)/'Παραδοχές διείσδυσης - κάλυψης'!L58</f>
        <v>0.60748095938290603</v>
      </c>
      <c r="H58" s="161">
        <f t="shared" si="2"/>
        <v>-3.522665684150985E-2</v>
      </c>
      <c r="I58" s="191">
        <f>('Ενεργοί πελάτες'!M58)/'Παραδοχές διείσδυσης - κάλυψης'!P58</f>
        <v>0.60118697873985316</v>
      </c>
      <c r="J58" s="161">
        <f t="shared" si="3"/>
        <v>-1.0360786697654598E-2</v>
      </c>
      <c r="K58" s="191">
        <f>('Ενεργοί πελάτες'!P58)/'Παραδοχές διείσδυσης - κάλυψης'!T58</f>
        <v>0.60775148505209853</v>
      </c>
      <c r="L58" s="161">
        <f t="shared" si="4"/>
        <v>1.0919242339555017E-2</v>
      </c>
      <c r="M58" s="192">
        <f t="shared" si="0"/>
        <v>7.4226662418170886E-3</v>
      </c>
      <c r="O58" s="191">
        <f>('Ενεργοί πελάτες'!V58)/'Παραδοχές διείσδυσης - κάλυψης'!X58</f>
        <v>0.62751971954425945</v>
      </c>
      <c r="P58" s="161">
        <f t="shared" si="5"/>
        <v>3.2526838647652698E-2</v>
      </c>
      <c r="Q58" s="191">
        <f>('Ενεργοί πελάτες'!Y58)/'Παραδοχές διείσδυσης - κάλυψης'!AB58</f>
        <v>0.64933294381147144</v>
      </c>
      <c r="R58" s="161">
        <f t="shared" si="6"/>
        <v>3.4761018001241456E-2</v>
      </c>
      <c r="S58" s="191">
        <f>('Ενεργοί πελάτες'!AB58)/'Παραδοχές διείσδυσης - κάλυψης'!AF58</f>
        <v>0.67192521180251241</v>
      </c>
      <c r="T58" s="161">
        <f t="shared" si="7"/>
        <v>3.479304139172161E-2</v>
      </c>
      <c r="U58" s="191">
        <f>('Ενεργοί πελάτες'!AE58)/'Παραδοχές διείσδυσης - κάλυψης'!AJ58</f>
        <v>0.69169344629467333</v>
      </c>
      <c r="V58" s="161">
        <f t="shared" si="8"/>
        <v>2.9420289855072532E-2</v>
      </c>
      <c r="W58" s="191">
        <f>('Ενεργοί πελάτες'!AH58)/'Παραδοχές διείσδυσης - κάλυψης'!AN58</f>
        <v>0.70339228761959993</v>
      </c>
      <c r="X58" s="161">
        <f t="shared" si="9"/>
        <v>1.6913332615186717E-2</v>
      </c>
      <c r="Y58" s="192">
        <f t="shared" si="10"/>
        <v>2.8945935718010185E-2</v>
      </c>
    </row>
    <row r="59" spans="2:25" outlineLevel="1" x14ac:dyDescent="0.35">
      <c r="B59" s="294" t="s">
        <v>119</v>
      </c>
      <c r="C59" s="62" t="s">
        <v>253</v>
      </c>
      <c r="D59" s="190" t="e">
        <f>('Ενεργοί πελάτες'!E59)/'Παραδοχές διείσδυσης - κάλυψης'!D59</f>
        <v>#DIV/0!</v>
      </c>
      <c r="E59" s="191" t="e">
        <f>('Ενεργοί πελάτες'!G59)/'Παραδοχές διείσδυσης - κάλυψης'!H59</f>
        <v>#DIV/0!</v>
      </c>
      <c r="F59" s="161">
        <f t="shared" si="1"/>
        <v>0</v>
      </c>
      <c r="G59" s="191" t="e">
        <f>('Ενεργοί πελάτες'!J59)/'Παραδοχές διείσδυσης - κάλυψης'!L59</f>
        <v>#DIV/0!</v>
      </c>
      <c r="H59" s="161">
        <f t="shared" si="2"/>
        <v>0</v>
      </c>
      <c r="I59" s="191" t="e">
        <f>('Ενεργοί πελάτες'!M59)/'Παραδοχές διείσδυσης - κάλυψης'!P59</f>
        <v>#DIV/0!</v>
      </c>
      <c r="J59" s="161">
        <f t="shared" si="3"/>
        <v>0</v>
      </c>
      <c r="K59" s="191" t="e">
        <f>('Ενεργοί πελάτες'!P59)/'Παραδοχές διείσδυσης - κάλυψης'!T59</f>
        <v>#DIV/0!</v>
      </c>
      <c r="L59" s="161">
        <f t="shared" si="4"/>
        <v>0</v>
      </c>
      <c r="M59" s="192">
        <f t="shared" si="0"/>
        <v>0</v>
      </c>
      <c r="O59" s="191" t="e">
        <f>('Ενεργοί πελάτες'!V59)/'Παραδοχές διείσδυσης - κάλυψης'!X59</f>
        <v>#DIV/0!</v>
      </c>
      <c r="P59" s="161">
        <f t="shared" si="5"/>
        <v>0</v>
      </c>
      <c r="Q59" s="191" t="e">
        <f>('Ενεργοί πελάτες'!Y59)/'Παραδοχές διείσδυσης - κάλυψης'!AB59</f>
        <v>#DIV/0!</v>
      </c>
      <c r="R59" s="161">
        <f t="shared" si="6"/>
        <v>0</v>
      </c>
      <c r="S59" s="191" t="e">
        <f>('Ενεργοί πελάτες'!AB59)/'Παραδοχές διείσδυσης - κάλυψης'!AF59</f>
        <v>#DIV/0!</v>
      </c>
      <c r="T59" s="161">
        <f t="shared" si="7"/>
        <v>0</v>
      </c>
      <c r="U59" s="191" t="e">
        <f>('Ενεργοί πελάτες'!AE59)/'Παραδοχές διείσδυσης - κάλυψης'!AJ59</f>
        <v>#DIV/0!</v>
      </c>
      <c r="V59" s="161">
        <f t="shared" si="8"/>
        <v>0</v>
      </c>
      <c r="W59" s="191" t="e">
        <f>('Ενεργοί πελάτες'!AH59)/'Παραδοχές διείσδυσης - κάλυψης'!AN59</f>
        <v>#DIV/0!</v>
      </c>
      <c r="X59" s="161">
        <f t="shared" si="9"/>
        <v>0</v>
      </c>
      <c r="Y59" s="192">
        <f t="shared" si="10"/>
        <v>0</v>
      </c>
    </row>
    <row r="60" spans="2:25" outlineLevel="1" x14ac:dyDescent="0.35">
      <c r="B60" s="294" t="s">
        <v>120</v>
      </c>
      <c r="C60" s="62" t="s">
        <v>253</v>
      </c>
      <c r="D60" s="190">
        <f>('Ενεργοί πελάτες'!E60)/'Παραδοχές διείσδυσης - κάλυψης'!D60</f>
        <v>0.24359725963144219</v>
      </c>
      <c r="E60" s="191">
        <f>('Ενεργοί πελάτες'!G60)/'Παραδοχές διείσδυσης - κάλυψης'!H60</f>
        <v>0.26023047327231491</v>
      </c>
      <c r="F60" s="161">
        <f t="shared" si="1"/>
        <v>6.8281612305649275E-2</v>
      </c>
      <c r="G60" s="191">
        <f>('Ενεργοί πελάτες'!J60)/'Παραδοχές διείσδυσης - κάλυψης'!L60</f>
        <v>0.27583862637864465</v>
      </c>
      <c r="H60" s="161">
        <f t="shared" si="2"/>
        <v>5.9978191293518418E-2</v>
      </c>
      <c r="I60" s="191">
        <f>('Ενεργοί πελάτες'!M60)/'Παραδοχές διείσδυσης - κάλυψης'!P60</f>
        <v>0.2853427135790208</v>
      </c>
      <c r="J60" s="161">
        <f t="shared" si="3"/>
        <v>3.4455244086554655E-2</v>
      </c>
      <c r="K60" s="191">
        <f>('Ενεργοί πελάτες'!P60)/'Παραδοχές διείσδυσης - κάλυψης'!T60</f>
        <v>0.27937285917179538</v>
      </c>
      <c r="L60" s="161">
        <f t="shared" si="4"/>
        <v>-2.0921699146777644E-2</v>
      </c>
      <c r="M60" s="192">
        <f t="shared" si="0"/>
        <v>3.4851309446805256E-2</v>
      </c>
      <c r="O60" s="191">
        <f>('Ενεργοί πελάτες'!V60)/'Παραδοχές διείσδυσης - κάλυψης'!X60</f>
        <v>0.2906713741931925</v>
      </c>
      <c r="P60" s="161">
        <f t="shared" si="5"/>
        <v>4.0442421840445476E-2</v>
      </c>
      <c r="Q60" s="191">
        <f>('Ενεργοί πελάτες'!Y60)/'Παραδοχές διείσδυσης - κάλυψης'!AB60</f>
        <v>0.30053951982735366</v>
      </c>
      <c r="R60" s="161">
        <f t="shared" si="6"/>
        <v>3.3949492486323667E-2</v>
      </c>
      <c r="S60" s="191">
        <f>('Ενεργοί πελάτες'!AB60)/'Παραδοχές διείσδυσης - κάλυψης'!AF60</f>
        <v>0.31151295009475677</v>
      </c>
      <c r="T60" s="161">
        <f t="shared" si="7"/>
        <v>3.6512436945752909E-2</v>
      </c>
      <c r="U60" s="191">
        <f>('Ενεργοί πελάτες'!AE60)/'Παραδοχές διείσδυσης - κάλυψης'!AJ60</f>
        <v>0.32403076603263692</v>
      </c>
      <c r="V60" s="161">
        <f t="shared" si="8"/>
        <v>4.0183934356733647E-2</v>
      </c>
      <c r="W60" s="191">
        <f>('Ενεργοί πελάτες'!AH60)/'Παραδοχές διείσδυσης - κάλυψης'!AN60</f>
        <v>0.33004813782619713</v>
      </c>
      <c r="X60" s="161">
        <f t="shared" si="9"/>
        <v>1.8570371780542997E-2</v>
      </c>
      <c r="Y60" s="192">
        <f t="shared" si="10"/>
        <v>3.2271068994426999E-2</v>
      </c>
    </row>
    <row r="61" spans="2:25" outlineLevel="1" x14ac:dyDescent="0.35">
      <c r="B61" s="294" t="s">
        <v>121</v>
      </c>
      <c r="C61" s="62" t="s">
        <v>253</v>
      </c>
      <c r="D61" s="190">
        <f>('Ενεργοί πελάτες'!E61)/'Παραδοχές διείσδυσης - κάλυψης'!D61</f>
        <v>0.27039893114169267</v>
      </c>
      <c r="E61" s="191">
        <f>('Ενεργοί πελάτες'!G61)/'Παραδοχές διείσδυσης - κάλυψης'!H61</f>
        <v>0.20461718457190242</v>
      </c>
      <c r="F61" s="161">
        <f t="shared" si="1"/>
        <v>-0.24327665162004553</v>
      </c>
      <c r="G61" s="191">
        <f>('Ενεργοί πελάτες'!J61)/'Παραδοχές διείσδυσης - κάλυψης'!L61</f>
        <v>0.18746716148464759</v>
      </c>
      <c r="H61" s="161">
        <f t="shared" si="2"/>
        <v>-8.3815165002567596E-2</v>
      </c>
      <c r="I61" s="191">
        <f>('Ενεργοί πελάτες'!M61)/'Παραδοχές διείσδυσης - κάλυψης'!P61</f>
        <v>0.22605687789429899</v>
      </c>
      <c r="J61" s="161">
        <f t="shared" si="3"/>
        <v>0.20584787279030548</v>
      </c>
      <c r="K61" s="191">
        <f>('Ενεργοί πελάτες'!P61)/'Παραδοχές διείσδυσης - κάλυψης'!T61</f>
        <v>0.22111846946284033</v>
      </c>
      <c r="L61" s="161">
        <f t="shared" si="4"/>
        <v>-2.1845866745836339E-2</v>
      </c>
      <c r="M61" s="192">
        <f t="shared" si="0"/>
        <v>-4.9055847435031108E-2</v>
      </c>
      <c r="O61" s="191">
        <f>('Ενεργοί πελάτες'!V61)/'Παραδοχές διείσδυσης - κάλυψης'!X61</f>
        <v>0.23799153055051422</v>
      </c>
      <c r="P61" s="161">
        <f t="shared" si="5"/>
        <v>7.6307787082026013E-2</v>
      </c>
      <c r="Q61" s="191">
        <f>('Ενεργοί πελάτες'!Y61)/'Παραδοχές διείσδυσης - κάλυψης'!AB61</f>
        <v>0.24804443940596305</v>
      </c>
      <c r="R61" s="161">
        <f t="shared" si="6"/>
        <v>4.2240616009295635E-2</v>
      </c>
      <c r="S61" s="191">
        <f>('Ενεργοί πελάτες'!AB61)/'Παραδοχές διείσδυσης - κάλυψης'!AF61</f>
        <v>0.25869815066346252</v>
      </c>
      <c r="T61" s="161">
        <f t="shared" si="7"/>
        <v>4.295081672870333E-2</v>
      </c>
      <c r="U61" s="191">
        <f>('Ενεργοί πελάτες'!AE61)/'Παραδοχές διείσδυσης - κάλυψης'!AJ61</f>
        <v>0.27317651709824076</v>
      </c>
      <c r="V61" s="161">
        <f t="shared" si="8"/>
        <v>5.5966254098248173E-2</v>
      </c>
      <c r="W61" s="191">
        <f>('Ενεργοί πελάτες'!AH61)/'Παραδοχές διείσδυσης - κάλυψης'!AN61</f>
        <v>0.27219667492041033</v>
      </c>
      <c r="X61" s="161">
        <f t="shared" si="9"/>
        <v>-3.586846293519626E-3</v>
      </c>
      <c r="Y61" s="192">
        <f t="shared" si="10"/>
        <v>3.4142361382295983E-2</v>
      </c>
    </row>
    <row r="62" spans="2:25" outlineLevel="1" x14ac:dyDescent="0.35">
      <c r="B62" s="294" t="s">
        <v>137</v>
      </c>
      <c r="C62" s="62" t="s">
        <v>253</v>
      </c>
      <c r="D62" s="190" t="e">
        <f>('Ενεργοί πελάτες'!E62)/'Παραδοχές διείσδυσης - κάλυψης'!D62</f>
        <v>#DIV/0!</v>
      </c>
      <c r="E62" s="191" t="e">
        <f>('Ενεργοί πελάτες'!G62)/'Παραδοχές διείσδυσης - κάλυψης'!H62</f>
        <v>#DIV/0!</v>
      </c>
      <c r="F62" s="161">
        <f t="shared" si="1"/>
        <v>0</v>
      </c>
      <c r="G62" s="191" t="e">
        <f>('Ενεργοί πελάτες'!J62)/'Παραδοχές διείσδυσης - κάλυψης'!L62</f>
        <v>#DIV/0!</v>
      </c>
      <c r="H62" s="161">
        <f t="shared" si="2"/>
        <v>0</v>
      </c>
      <c r="I62" s="191" t="e">
        <f>('Ενεργοί πελάτες'!M62)/'Παραδοχές διείσδυσης - κάλυψης'!P62</f>
        <v>#DIV/0!</v>
      </c>
      <c r="J62" s="161">
        <f t="shared" si="3"/>
        <v>0</v>
      </c>
      <c r="K62" s="191" t="e">
        <f>('Ενεργοί πελάτες'!P62)/'Παραδοχές διείσδυσης - κάλυψης'!T62</f>
        <v>#DIV/0!</v>
      </c>
      <c r="L62" s="161">
        <f t="shared" si="4"/>
        <v>0</v>
      </c>
      <c r="M62" s="192">
        <f t="shared" si="0"/>
        <v>0</v>
      </c>
      <c r="O62" s="191" t="e">
        <f>('Ενεργοί πελάτες'!V62)/'Παραδοχές διείσδυσης - κάλυψης'!X62</f>
        <v>#DIV/0!</v>
      </c>
      <c r="P62" s="161">
        <f t="shared" si="5"/>
        <v>0</v>
      </c>
      <c r="Q62" s="191" t="e">
        <f>('Ενεργοί πελάτες'!Y62)/'Παραδοχές διείσδυσης - κάλυψης'!AB62</f>
        <v>#DIV/0!</v>
      </c>
      <c r="R62" s="161">
        <f t="shared" si="6"/>
        <v>0</v>
      </c>
      <c r="S62" s="191" t="e">
        <f>('Ενεργοί πελάτες'!AB62)/'Παραδοχές διείσδυσης - κάλυψης'!AF62</f>
        <v>#DIV/0!</v>
      </c>
      <c r="T62" s="161">
        <f t="shared" si="7"/>
        <v>0</v>
      </c>
      <c r="U62" s="191" t="e">
        <f>('Ενεργοί πελάτες'!AE62)/'Παραδοχές διείσδυσης - κάλυψης'!AJ62</f>
        <v>#DIV/0!</v>
      </c>
      <c r="V62" s="161">
        <f t="shared" si="8"/>
        <v>0</v>
      </c>
      <c r="W62" s="191" t="e">
        <f>('Ενεργοί πελάτες'!AH62)/'Παραδοχές διείσδυσης - κάλυψης'!AN62</f>
        <v>#DIV/0!</v>
      </c>
      <c r="X62" s="161">
        <f t="shared" si="9"/>
        <v>0</v>
      </c>
      <c r="Y62" s="192">
        <f t="shared" si="10"/>
        <v>0</v>
      </c>
    </row>
    <row r="63" spans="2:25" outlineLevel="1" x14ac:dyDescent="0.35">
      <c r="B63" s="294" t="s">
        <v>123</v>
      </c>
      <c r="C63" s="62" t="s">
        <v>253</v>
      </c>
      <c r="D63" s="190">
        <f>('Ενεργοί πελάτες'!E63)/'Παραδοχές διείσδυσης - κάλυψης'!D63</f>
        <v>0.5914930545806657</v>
      </c>
      <c r="E63" s="191">
        <f>('Ενεργοί πελάτες'!G63)/'Παραδοχές διείσδυσης - κάλυψης'!H63</f>
        <v>0.5906295787876964</v>
      </c>
      <c r="F63" s="161">
        <f t="shared" si="1"/>
        <v>-1.4598240609629103E-3</v>
      </c>
      <c r="G63" s="191">
        <f>('Ενεργοί πελάτες'!J63)/'Παραδοχές διείσδυσης - κάλυψης'!L63</f>
        <v>0.60748593276090868</v>
      </c>
      <c r="H63" s="161">
        <f t="shared" si="2"/>
        <v>2.853963732702142E-2</v>
      </c>
      <c r="I63" s="191">
        <f>('Ενεργοί πελάτες'!M63)/'Παραδοχές διείσδυσης - κάλυψης'!P63</f>
        <v>0.60708024822521101</v>
      </c>
      <c r="J63" s="161">
        <f t="shared" si="3"/>
        <v>-6.6780893814925174E-4</v>
      </c>
      <c r="K63" s="191">
        <f>('Ενεργοί πελάτες'!P63)/'Παραδοχές διείσδυσης - κάλυψης'!T63</f>
        <v>0.57720082530949102</v>
      </c>
      <c r="L63" s="161">
        <f t="shared" si="4"/>
        <v>-4.9218242568543423E-2</v>
      </c>
      <c r="M63" s="192">
        <f t="shared" si="0"/>
        <v>-6.0962630590406519E-3</v>
      </c>
      <c r="O63" s="191">
        <f>('Ενεργοί πελάτες'!V63)/'Παραδοχές διείσδυσης - κάλυψης'!X63</f>
        <v>0.59250106518960377</v>
      </c>
      <c r="P63" s="161">
        <f t="shared" si="5"/>
        <v>2.6507654198014829E-2</v>
      </c>
      <c r="Q63" s="191">
        <f>('Ενεργοί πελάτες'!Y63)/'Παραδοχές διείσδυσης - κάλυψης'!AB63</f>
        <v>0.60672649500964526</v>
      </c>
      <c r="R63" s="161">
        <f t="shared" si="6"/>
        <v>2.4009121089916135E-2</v>
      </c>
      <c r="S63" s="191">
        <f>('Ενεργοί πελάτες'!AB63)/'Παραδοχές διείσδυσης - κάλυψης'!AF63</f>
        <v>0.61038542170617638</v>
      </c>
      <c r="T63" s="161">
        <f t="shared" si="7"/>
        <v>6.0306031245148618E-3</v>
      </c>
      <c r="U63" s="191">
        <f>('Ενεργοί πελάτες'!AE63)/'Παραδοχές διείσδυσης - κάλυψης'!AJ63</f>
        <v>0.6348975971617481</v>
      </c>
      <c r="V63" s="161">
        <f t="shared" si="8"/>
        <v>4.0158520475561489E-2</v>
      </c>
      <c r="W63" s="191">
        <f>('Ενεργοί πελάτες'!AH63)/'Παραδοχές διείσδυσης - κάλυψης'!AN63</f>
        <v>0.636278342455043</v>
      </c>
      <c r="X63" s="161">
        <f t="shared" si="9"/>
        <v>2.1747527466908067E-3</v>
      </c>
      <c r="Y63" s="192">
        <f t="shared" si="10"/>
        <v>1.7980599563722333E-2</v>
      </c>
    </row>
    <row r="64" spans="2:25" outlineLevel="1" x14ac:dyDescent="0.35">
      <c r="B64" s="294" t="s">
        <v>124</v>
      </c>
      <c r="C64" s="62" t="s">
        <v>253</v>
      </c>
      <c r="D64" s="190">
        <f>('Ενεργοί πελάτες'!E64)/'Παραδοχές διείσδυσης - κάλυψης'!D64</f>
        <v>0.11869383823102636</v>
      </c>
      <c r="E64" s="191">
        <f>('Ενεργοί πελάτες'!G64)/'Παραδοχές διείσδυσης - κάλυψης'!H64</f>
        <v>0.17763991281116048</v>
      </c>
      <c r="F64" s="161">
        <f t="shared" si="1"/>
        <v>0.4966228698864818</v>
      </c>
      <c r="G64" s="191">
        <f>('Ενεργοί πελάτες'!J64)/'Παραδοχές διείσδυσης - κάλυψης'!L64</f>
        <v>0.21905707880031858</v>
      </c>
      <c r="H64" s="161">
        <f t="shared" si="2"/>
        <v>0.23315236611935558</v>
      </c>
      <c r="I64" s="191">
        <f>('Ενεργοί πελάτες'!M64)/'Παραδοχές διείσδυσης - κάλυψης'!P64</f>
        <v>0.25506646161680929</v>
      </c>
      <c r="J64" s="161">
        <f t="shared" si="3"/>
        <v>0.16438356164383558</v>
      </c>
      <c r="K64" s="191">
        <f>('Ενεργοί πελάτες'!P64)/'Παραδοχές διείσδυσης - κάλυψης'!T64</f>
        <v>0.26276276276276278</v>
      </c>
      <c r="L64" s="161">
        <f t="shared" si="4"/>
        <v>3.0173708833252145E-2</v>
      </c>
      <c r="M64" s="192">
        <f t="shared" si="0"/>
        <v>0.21978674969379131</v>
      </c>
      <c r="O64" s="191">
        <f>('Ενεργοί πελάτες'!V64)/'Παραδοχές διείσδυσης - κάλυψης'!X64</f>
        <v>0.27627627627627627</v>
      </c>
      <c r="P64" s="161">
        <f t="shared" si="5"/>
        <v>5.1428571428571324E-2</v>
      </c>
      <c r="Q64" s="191">
        <f>('Ενεργοί πελάτες'!Y64)/'Παραδοχές διείσδυσης - κάλυψης'!AB64</f>
        <v>0.28828828828828829</v>
      </c>
      <c r="R64" s="161">
        <f t="shared" si="6"/>
        <v>4.3478260869565244E-2</v>
      </c>
      <c r="S64" s="191">
        <f>('Ενεργοί πελάτες'!AB64)/'Παραδοχές διείσδυσης - κάλυψης'!AF64</f>
        <v>0.30180180180180183</v>
      </c>
      <c r="T64" s="161">
        <f t="shared" si="7"/>
        <v>4.6875000000000097E-2</v>
      </c>
      <c r="U64" s="191">
        <f>('Ενεργοί πελάτες'!AE64)/'Παραδοχές διείσδυσης - κάλυψης'!AJ64</f>
        <v>0.31381381381381379</v>
      </c>
      <c r="V64" s="161">
        <f t="shared" si="8"/>
        <v>3.9800995024875455E-2</v>
      </c>
      <c r="W64" s="191">
        <f>('Ενεργοί πελάτες'!AH64)/'Παραδοχές διείσδυσης - κάλυψης'!AN64</f>
        <v>0.32282282282282282</v>
      </c>
      <c r="X64" s="161">
        <f t="shared" si="9"/>
        <v>2.8708133971291929E-2</v>
      </c>
      <c r="Y64" s="192">
        <f t="shared" si="10"/>
        <v>3.9693093948645064E-2</v>
      </c>
    </row>
    <row r="65" spans="1:33" outlineLevel="1" x14ac:dyDescent="0.35">
      <c r="B65" s="294" t="s">
        <v>125</v>
      </c>
      <c r="C65" s="62" t="s">
        <v>253</v>
      </c>
      <c r="D65" s="190">
        <f>('Ενεργοί πελάτες'!E65)/'Παραδοχές διείσδυσης - κάλυψης'!D65</f>
        <v>0.32084781576244092</v>
      </c>
      <c r="E65" s="191">
        <f>('Ενεργοί πελάτες'!G65)/'Παραδοχές διείσδυσης - κάλυψης'!H65</f>
        <v>0.302054489136308</v>
      </c>
      <c r="F65" s="161">
        <f t="shared" si="1"/>
        <v>-5.8573958440308341E-2</v>
      </c>
      <c r="G65" s="191">
        <f>('Ενεργοί πελάτες'!J65)/'Παραδοχές διείσδυσης - κάλυψης'!L65</f>
        <v>0.32920744724024475</v>
      </c>
      <c r="H65" s="161">
        <f t="shared" si="2"/>
        <v>8.9894237895876625E-2</v>
      </c>
      <c r="I65" s="191">
        <f>('Ενεργοί πελάτες'!M65)/'Παραδοχές διείσδυσης - κάλυψης'!P65</f>
        <v>0.32663852169793461</v>
      </c>
      <c r="J65" s="161">
        <f t="shared" si="3"/>
        <v>-7.8033639999505345E-3</v>
      </c>
      <c r="K65" s="191">
        <f>('Ενεργοί πελάτες'!P65)/'Παραδοχές διείσδυσης - κάλυψης'!T65</f>
        <v>0.31739671134447978</v>
      </c>
      <c r="L65" s="161">
        <f t="shared" si="4"/>
        <v>-2.8293693914036824E-2</v>
      </c>
      <c r="M65" s="192">
        <f t="shared" si="0"/>
        <v>-2.6999659450613889E-3</v>
      </c>
      <c r="O65" s="191">
        <f>('Ενεργοί πελάτες'!V65)/'Παραδοχές διείσδυσης - κάλυψης'!X65</f>
        <v>0.32737445414847161</v>
      </c>
      <c r="P65" s="161">
        <f t="shared" si="5"/>
        <v>3.1436188364165812E-2</v>
      </c>
      <c r="Q65" s="191">
        <f>('Ενεργοί πελάτες'!Y65)/'Παραδοχές διείσδυσης - κάλυψης'!AB65</f>
        <v>0.33105353150072342</v>
      </c>
      <c r="R65" s="161">
        <f t="shared" si="6"/>
        <v>1.1238132070571611E-2</v>
      </c>
      <c r="S65" s="191">
        <f>('Ενεργοί πελάτες'!AB65)/'Παραδοχές διείσδυσης - κάλυψης'!AF65</f>
        <v>0.33858570330514987</v>
      </c>
      <c r="T65" s="161">
        <f t="shared" si="7"/>
        <v>2.275212643188489E-2</v>
      </c>
      <c r="U65" s="191">
        <f>('Ενεργοί πελάτες'!AE65)/'Παραδοχές διείσδυσης - κάλυψης'!AJ65</f>
        <v>0.34146643547188504</v>
      </c>
      <c r="V65" s="161">
        <f t="shared" si="8"/>
        <v>8.5081329146934545E-3</v>
      </c>
      <c r="W65" s="191">
        <f>('Ενεργοί πελάτες'!AH65)/'Παραδοχές διείσδυσης - κάλυψης'!AN65</f>
        <v>0.35261332672776813</v>
      </c>
      <c r="X65" s="161">
        <f t="shared" si="9"/>
        <v>3.2644178454842229E-2</v>
      </c>
      <c r="Y65" s="192">
        <f t="shared" si="10"/>
        <v>1.8740293163888477E-2</v>
      </c>
    </row>
    <row r="66" spans="1:33" outlineLevel="1" x14ac:dyDescent="0.35">
      <c r="B66" s="294" t="s">
        <v>126</v>
      </c>
      <c r="C66" s="62" t="s">
        <v>253</v>
      </c>
      <c r="D66" s="190">
        <f>('Ενεργοί πελάτες'!E66)/'Παραδοχές διείσδυσης - κάλυψης'!D66</f>
        <v>0.65061143517416331</v>
      </c>
      <c r="E66" s="191">
        <f>('Ενεργοί πελάτες'!G66)/'Παραδοχές διείσδυσης - κάλυψης'!H66</f>
        <v>0.56532415477096465</v>
      </c>
      <c r="F66" s="161">
        <f t="shared" si="1"/>
        <v>-0.13108789024030598</v>
      </c>
      <c r="G66" s="191">
        <f>('Ενεργοί πελάτες'!J66)/'Παραδοχές διείσδυσης - κάλυψης'!L66</f>
        <v>0.57779610295841843</v>
      </c>
      <c r="H66" s="161">
        <f t="shared" si="2"/>
        <v>2.2061587289696951E-2</v>
      </c>
      <c r="I66" s="191">
        <f>('Ενεργοί πελάτες'!M66)/'Παραδοχές διείσδυσης - κάλυψης'!P66</f>
        <v>0.58008976062699913</v>
      </c>
      <c r="J66" s="161">
        <f t="shared" si="3"/>
        <v>3.969666214148489E-3</v>
      </c>
      <c r="K66" s="191">
        <f>('Ενεργοί πελάτες'!P66)/'Παραδοχές διείσδυσης - κάλυψης'!T66</f>
        <v>0.56270823906873435</v>
      </c>
      <c r="L66" s="161">
        <f t="shared" si="4"/>
        <v>-2.9963503474837564E-2</v>
      </c>
      <c r="M66" s="192">
        <f t="shared" si="0"/>
        <v>-3.56373194305174E-2</v>
      </c>
      <c r="O66" s="191">
        <f>('Ενεργοί πελάτες'!V66)/'Παραδοχές διείσδυσης - κάλυψης'!X66</f>
        <v>0.58263110529329953</v>
      </c>
      <c r="P66" s="161">
        <f t="shared" si="5"/>
        <v>3.5405321694839481E-2</v>
      </c>
      <c r="Q66" s="191">
        <f>('Ενεργοί πελάτες'!Y66)/'Παραδοχές διείσδυσης - κάλυψης'!AB66</f>
        <v>0.59698327598623668</v>
      </c>
      <c r="R66" s="161">
        <f t="shared" si="6"/>
        <v>2.4633375325390828E-2</v>
      </c>
      <c r="S66" s="191">
        <f>('Ενεργοί πελάτες'!AB66)/'Παραδοχές διείσδυσης - κάλυψης'!AF66</f>
        <v>0.62055163668066893</v>
      </c>
      <c r="T66" s="161">
        <f t="shared" si="7"/>
        <v>3.9479097057612732E-2</v>
      </c>
      <c r="U66" s="191">
        <f>('Ενεργοί πελάτες'!AE66)/'Παραδοχές διείσδυσης - κάλυψης'!AJ66</f>
        <v>0.63621100308461209</v>
      </c>
      <c r="V66" s="161">
        <f t="shared" si="8"/>
        <v>2.5234590448758018E-2</v>
      </c>
      <c r="W66" s="191">
        <f>('Ενεργοί πελάτες'!AH66)/'Παραδοχές διείσδυσης - κάλυψης'!AN66</f>
        <v>0.64390579599327114</v>
      </c>
      <c r="X66" s="161">
        <f t="shared" si="9"/>
        <v>1.2094718373859503E-2</v>
      </c>
      <c r="Y66" s="192">
        <f t="shared" si="10"/>
        <v>2.5314659725204747E-2</v>
      </c>
    </row>
    <row r="67" spans="1:33" ht="15" customHeight="1" outlineLevel="1" x14ac:dyDescent="0.35">
      <c r="B67" s="294" t="s">
        <v>127</v>
      </c>
      <c r="C67" s="62" t="s">
        <v>253</v>
      </c>
      <c r="D67" s="190" t="e">
        <f>('Ενεργοί πελάτες'!E67)/'Παραδοχές διείσδυσης - κάλυψης'!D67</f>
        <v>#DIV/0!</v>
      </c>
      <c r="E67" s="191" t="e">
        <f>('Ενεργοί πελάτες'!G67)/'Παραδοχές διείσδυσης - κάλυψης'!H67</f>
        <v>#DIV/0!</v>
      </c>
      <c r="F67" s="161">
        <f t="shared" si="1"/>
        <v>0</v>
      </c>
      <c r="G67" s="191" t="e">
        <f>('Ενεργοί πελάτες'!J67)/'Παραδοχές διείσδυσης - κάλυψης'!L67</f>
        <v>#DIV/0!</v>
      </c>
      <c r="H67" s="161">
        <f t="shared" si="2"/>
        <v>0</v>
      </c>
      <c r="I67" s="191" t="e">
        <f>('Ενεργοί πελάτες'!M67)/'Παραδοχές διείσδυσης - κάλυψης'!P67</f>
        <v>#DIV/0!</v>
      </c>
      <c r="J67" s="161">
        <f t="shared" si="3"/>
        <v>0</v>
      </c>
      <c r="K67" s="191" t="e">
        <f>('Ενεργοί πελάτες'!P67)/'Παραδοχές διείσδυσης - κάλυψης'!T67</f>
        <v>#DIV/0!</v>
      </c>
      <c r="L67" s="161">
        <f t="shared" si="4"/>
        <v>0</v>
      </c>
      <c r="M67" s="192">
        <f t="shared" si="0"/>
        <v>0</v>
      </c>
      <c r="O67" s="191" t="e">
        <f>('Ενεργοί πελάτες'!V67)/'Παραδοχές διείσδυσης - κάλυψης'!X67</f>
        <v>#DIV/0!</v>
      </c>
      <c r="P67" s="161">
        <f t="shared" si="5"/>
        <v>0</v>
      </c>
      <c r="Q67" s="191" t="e">
        <f>('Ενεργοί πελάτες'!Y67)/'Παραδοχές διείσδυσης - κάλυψης'!AB67</f>
        <v>#DIV/0!</v>
      </c>
      <c r="R67" s="161">
        <f t="shared" si="6"/>
        <v>0</v>
      </c>
      <c r="S67" s="191" t="e">
        <f>('Ενεργοί πελάτες'!AB67)/'Παραδοχές διείσδυσης - κάλυψης'!AF67</f>
        <v>#DIV/0!</v>
      </c>
      <c r="T67" s="161">
        <f t="shared" si="7"/>
        <v>0</v>
      </c>
      <c r="U67" s="191" t="e">
        <f>('Ενεργοί πελάτες'!AE67)/'Παραδοχές διείσδυσης - κάλυψης'!AJ67</f>
        <v>#DIV/0!</v>
      </c>
      <c r="V67" s="161">
        <f t="shared" si="8"/>
        <v>0</v>
      </c>
      <c r="W67" s="191" t="e">
        <f>('Ενεργοί πελάτες'!AH67)/'Παραδοχές διείσδυσης - κάλυψης'!AN67</f>
        <v>#DIV/0!</v>
      </c>
      <c r="X67" s="161">
        <f t="shared" si="9"/>
        <v>0</v>
      </c>
      <c r="Y67" s="192">
        <f t="shared" si="10"/>
        <v>0</v>
      </c>
    </row>
    <row r="68" spans="1:33" ht="15" customHeight="1" outlineLevel="1" x14ac:dyDescent="0.35">
      <c r="B68" s="246" t="s">
        <v>138</v>
      </c>
      <c r="C68" s="59" t="s">
        <v>253</v>
      </c>
      <c r="D68" s="328">
        <f>('Ενεργοί πελάτες'!E68)/'Παραδοχές διείσδυσης - κάλυψης'!D68</f>
        <v>0.40373329855054058</v>
      </c>
      <c r="E68" s="329">
        <f>('Ενεργοί πελάτες'!G68)/'Παραδοχές διείσδυσης - κάλυψης'!H68</f>
        <v>0.41278577961008972</v>
      </c>
      <c r="F68" s="250">
        <f t="shared" ref="F68" si="11">IFERROR((E68-D68)/D68,0)</f>
        <v>2.2421933221878965E-2</v>
      </c>
      <c r="G68" s="329">
        <f>('Ενεργοί πελάτες'!J68)/'Παραδοχές διείσδυσης - κάλυψης'!L68</f>
        <v>0.41116384647884885</v>
      </c>
      <c r="H68" s="250">
        <f t="shared" ref="H68:L68" si="12">IFERROR((G68-E68)/E68,0)</f>
        <v>-3.9292369344043811E-3</v>
      </c>
      <c r="I68" s="329">
        <f>('Ενεργοί πελάτες'!M68)/'Παραδοχές διείσδυσης - κάλυψης'!P68</f>
        <v>0.4061551088908173</v>
      </c>
      <c r="J68" s="250">
        <f t="shared" si="12"/>
        <v>-1.218185312479611E-2</v>
      </c>
      <c r="K68" s="329">
        <f>('Ενεργοί πελάτες'!P68)/'Παραδοχές διείσδυσης - κάλυψης'!T68</f>
        <v>0.39893510593361642</v>
      </c>
      <c r="L68" s="250">
        <f t="shared" si="12"/>
        <v>-1.7776467165261635E-2</v>
      </c>
      <c r="M68" s="330">
        <f>IFERROR((K68/D68)^(1/4)-1,0)</f>
        <v>-2.9844740689735083E-3</v>
      </c>
      <c r="O68" s="329">
        <f>('Ενεργοί πελάτες'!V68)/'Παραδοχές διείσδυσης - κάλυψης'!X68</f>
        <v>0.40917775346395374</v>
      </c>
      <c r="P68" s="250">
        <f t="shared" ref="P68" si="13">IFERROR((O68-K68)/K68,0)</f>
        <v>2.5674971638223586E-2</v>
      </c>
      <c r="Q68" s="329">
        <f>('Ενεργοί πελάτες'!Y68)/'Παραδοχές διείσδυσης - κάλυψης'!AB68</f>
        <v>0.41568044683919386</v>
      </c>
      <c r="R68" s="250">
        <f t="shared" ref="R68:X68" si="14">IFERROR((Q68-O68)/O68,0)</f>
        <v>1.5892099021001568E-2</v>
      </c>
      <c r="S68" s="329">
        <f>('Ενεργοί πελάτες'!AB68)/'Παραδοχές διείσδυσης - κάλυψης'!AF68</f>
        <v>0.42472274282795758</v>
      </c>
      <c r="T68" s="250">
        <f t="shared" si="14"/>
        <v>2.1752998144417727E-2</v>
      </c>
      <c r="U68" s="329">
        <f>('Ενεργοί πελάτες'!AE68)/'Παραδοχές διείσδυσης - κάλυψης'!AJ68</f>
        <v>0.43422102025029535</v>
      </c>
      <c r="V68" s="250">
        <f t="shared" si="14"/>
        <v>2.2363477310150169E-2</v>
      </c>
      <c r="W68" s="329">
        <f>('Ενεργοί πελάτες'!AH68)/'Παραδοχές διείσδυσης - κάλυψης'!AN68</f>
        <v>0.44168154193144638</v>
      </c>
      <c r="X68" s="250">
        <f t="shared" si="14"/>
        <v>1.7181392270808539E-2</v>
      </c>
      <c r="Y68" s="330">
        <f t="shared" ref="Y68" si="15">IFERROR((W68/O68)^(1/4)-1,0)</f>
        <v>1.9293627760266885E-2</v>
      </c>
    </row>
    <row r="69" spans="1:33" ht="15" customHeight="1" x14ac:dyDescent="0.35">
      <c r="K69" s="52"/>
    </row>
    <row r="70" spans="1:33" ht="15" customHeight="1" x14ac:dyDescent="0.35">
      <c r="K70" s="52"/>
    </row>
    <row r="71" spans="1:33" ht="15.5" x14ac:dyDescent="0.35">
      <c r="B71" s="419" t="s">
        <v>34</v>
      </c>
      <c r="C71" s="419"/>
      <c r="D71" s="419"/>
      <c r="E71" s="419"/>
      <c r="F71" s="419"/>
      <c r="G71" s="419"/>
      <c r="H71" s="419"/>
      <c r="I71" s="419"/>
      <c r="J71" s="419"/>
      <c r="K71" s="419"/>
      <c r="L71" s="419"/>
      <c r="M71" s="419"/>
      <c r="N71" s="419"/>
      <c r="O71" s="419"/>
      <c r="P71" s="419"/>
      <c r="Q71" s="419"/>
      <c r="R71" s="419"/>
      <c r="S71" s="419"/>
      <c r="T71" s="419"/>
      <c r="U71" s="419"/>
      <c r="V71" s="419"/>
      <c r="W71" s="419"/>
      <c r="X71" s="419"/>
      <c r="Y71" s="419"/>
    </row>
    <row r="72" spans="1:33" ht="5.9" customHeight="1" outlineLevel="1" x14ac:dyDescent="0.35">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row>
    <row r="73" spans="1:33" ht="14.25" customHeight="1" outlineLevel="1" x14ac:dyDescent="0.35">
      <c r="B73" s="447"/>
      <c r="C73" s="481" t="s">
        <v>134</v>
      </c>
      <c r="D73" s="435" t="s">
        <v>169</v>
      </c>
      <c r="E73" s="436"/>
      <c r="F73" s="436"/>
      <c r="G73" s="436"/>
      <c r="H73" s="436"/>
      <c r="I73" s="436"/>
      <c r="J73" s="437"/>
      <c r="K73" s="436" t="s">
        <v>207</v>
      </c>
      <c r="L73" s="437"/>
      <c r="M73" s="522" t="str">
        <f>"Ετήσιος ρυθμός ανάπτυξης (CAGR) "&amp;($C$3-5)&amp;" - "&amp;(($C$3-1))</f>
        <v>Ετήσιος ρυθμός ανάπτυξης (CAGR) 2019 - 2023</v>
      </c>
      <c r="N73" s="103"/>
      <c r="O73" s="525" t="s">
        <v>170</v>
      </c>
      <c r="P73" s="526"/>
      <c r="Q73" s="526"/>
      <c r="R73" s="526"/>
      <c r="S73" s="526"/>
      <c r="T73" s="526"/>
      <c r="U73" s="526"/>
      <c r="V73" s="526"/>
      <c r="W73" s="526"/>
      <c r="X73" s="527"/>
      <c r="Y73" s="522" t="str">
        <f>"Ετήσιος ρυθμός ανάπτυξης (CAGR) "&amp;$C$3&amp;" - "&amp;$E$3</f>
        <v>Ετήσιος ρυθμός ανάπτυξης (CAGR) 2024 - 2028</v>
      </c>
    </row>
    <row r="74" spans="1:33" ht="15.75" customHeight="1" outlineLevel="1" x14ac:dyDescent="0.35">
      <c r="B74" s="448"/>
      <c r="C74" s="482"/>
      <c r="D74" s="295">
        <f>$C$3-5</f>
        <v>2019</v>
      </c>
      <c r="E74" s="435">
        <f>$C$3-4</f>
        <v>2020</v>
      </c>
      <c r="F74" s="437"/>
      <c r="G74" s="435">
        <f>$C$3-3</f>
        <v>2021</v>
      </c>
      <c r="H74" s="437"/>
      <c r="I74" s="435">
        <f>$C$3+-2</f>
        <v>2022</v>
      </c>
      <c r="J74" s="437"/>
      <c r="K74" s="435">
        <f>$C$3-1</f>
        <v>2023</v>
      </c>
      <c r="L74" s="437"/>
      <c r="M74" s="523"/>
      <c r="N74" s="103"/>
      <c r="O74" s="435">
        <f>$C$3</f>
        <v>2024</v>
      </c>
      <c r="P74" s="437"/>
      <c r="Q74" s="435">
        <f>$C$3+1</f>
        <v>2025</v>
      </c>
      <c r="R74" s="437"/>
      <c r="S74" s="435">
        <f>$C$3+2</f>
        <v>2026</v>
      </c>
      <c r="T74" s="437"/>
      <c r="U74" s="435">
        <f>$C$3+3</f>
        <v>2027</v>
      </c>
      <c r="V74" s="437"/>
      <c r="W74" s="435">
        <f>$C$3+4</f>
        <v>2028</v>
      </c>
      <c r="X74" s="437"/>
      <c r="Y74" s="523"/>
    </row>
    <row r="75" spans="1:33" ht="15" customHeight="1" outlineLevel="1" x14ac:dyDescent="0.35">
      <c r="B75" s="449"/>
      <c r="C75" s="483"/>
      <c r="D75" s="295" t="s">
        <v>252</v>
      </c>
      <c r="E75" s="295" t="s">
        <v>252</v>
      </c>
      <c r="F75" s="67" t="s">
        <v>173</v>
      </c>
      <c r="G75" s="295" t="s">
        <v>252</v>
      </c>
      <c r="H75" s="67" t="s">
        <v>173</v>
      </c>
      <c r="I75" s="295" t="s">
        <v>252</v>
      </c>
      <c r="J75" s="67" t="s">
        <v>173</v>
      </c>
      <c r="K75" s="295" t="s">
        <v>252</v>
      </c>
      <c r="L75" s="67" t="s">
        <v>173</v>
      </c>
      <c r="M75" s="524"/>
      <c r="O75" s="295" t="s">
        <v>252</v>
      </c>
      <c r="P75" s="67" t="s">
        <v>173</v>
      </c>
      <c r="Q75" s="295" t="s">
        <v>252</v>
      </c>
      <c r="R75" s="67" t="s">
        <v>173</v>
      </c>
      <c r="S75" s="295" t="s">
        <v>252</v>
      </c>
      <c r="T75" s="67" t="s">
        <v>173</v>
      </c>
      <c r="U75" s="295" t="s">
        <v>252</v>
      </c>
      <c r="V75" s="67" t="s">
        <v>173</v>
      </c>
      <c r="W75" s="295" t="s">
        <v>252</v>
      </c>
      <c r="X75" s="67" t="s">
        <v>173</v>
      </c>
      <c r="Y75" s="524"/>
    </row>
    <row r="76" spans="1:33" outlineLevel="1" x14ac:dyDescent="0.35">
      <c r="B76" s="48" t="s">
        <v>74</v>
      </c>
      <c r="C76" s="62" t="s">
        <v>253</v>
      </c>
      <c r="D76" s="190">
        <f>'Ανάπτυξη δικτύου'!E77/'Παραδοχές διείσδυσης - κάλυψης'!D196</f>
        <v>0.42656982904787438</v>
      </c>
      <c r="E76" s="191">
        <f>'Ανάπτυξη δικτύου'!G77/'Παραδοχές διείσδυσης - κάλυψης'!E196</f>
        <v>0.42656982904787438</v>
      </c>
      <c r="F76" s="161">
        <f>IFERROR((E76-D76)/D76,0)</f>
        <v>0</v>
      </c>
      <c r="G76" s="191">
        <f>'Ανάπτυξη δικτύου'!J77/'Παραδοχές διείσδυσης - κάλυψης'!F196</f>
        <v>0.42656982904787438</v>
      </c>
      <c r="H76" s="161">
        <f>IFERROR((G76-E76)/E76,0)</f>
        <v>0</v>
      </c>
      <c r="I76" s="191">
        <f>'Ανάπτυξη δικτύου'!M77/'Παραδοχές διείσδυσης - κάλυψης'!G196</f>
        <v>0.46985978310803178</v>
      </c>
      <c r="J76" s="161">
        <f>IFERROR((I76-G76)/G76,0)</f>
        <v>0.10148386292763083</v>
      </c>
      <c r="K76" s="191">
        <f>'Ανάπτυξη δικτύου'!P77/'Παραδοχές διείσδυσης - κάλυψης'!H196</f>
        <v>0.4937171939060912</v>
      </c>
      <c r="L76" s="161">
        <f>IFERROR((K76-I76)/I76,0)</f>
        <v>5.0775596583830289E-2</v>
      </c>
      <c r="M76" s="192">
        <f>IFERROR((K76/D76)^(1/4)-1,0)</f>
        <v>3.7222739106419267E-2</v>
      </c>
      <c r="O76" s="191">
        <f>'Ανάπτυξη δικτύου'!V77/'Παραδοχές διείσδυσης - κάλυψης'!I196</f>
        <v>0.4937171939060912</v>
      </c>
      <c r="P76" s="161">
        <f>IFERROR((O76-K76)/K76,0)</f>
        <v>0</v>
      </c>
      <c r="Q76" s="191">
        <f>'Ανάπτυξη δικτύου'!Y77/'Παραδοχές διείσδυσης - κάλυψης'!J197</f>
        <v>0.24022943119695783</v>
      </c>
      <c r="R76" s="161">
        <f>IFERROR((Q76-O76)/O76,0)</f>
        <v>-0.51342705062313199</v>
      </c>
      <c r="S76" s="191">
        <f>'Ανάπτυξη δικτύου'!AB77/'Παραδοχές διείσδυσης - κάλυψης'!K196</f>
        <v>0.62758992236678046</v>
      </c>
      <c r="T76" s="161">
        <f>IFERROR((S76-Q76)/Q76,0)</f>
        <v>1.6124605933576719</v>
      </c>
      <c r="U76" s="191">
        <f>'Ανάπτυξη δικτύου'!AE77/'Παραδοχές διείσδυσης - κάλυψης'!L196</f>
        <v>0.62758992236678046</v>
      </c>
      <c r="V76" s="161">
        <f>IFERROR((U76-S76)/S76,0)</f>
        <v>0</v>
      </c>
      <c r="W76" s="191">
        <f>'Ανάπτυξη δικτύου'!AH77/'Παραδοχές διείσδυσης - κάλυψης'!M196</f>
        <v>0.65188572281886581</v>
      </c>
      <c r="X76" s="161">
        <f>IFERROR((W76-U76)/U76,0)</f>
        <v>3.8712859442453298E-2</v>
      </c>
      <c r="Y76" s="192">
        <f>IFERROR((W76/O76)^(1/4)-1,0)</f>
        <v>7.1946978297607656E-2</v>
      </c>
    </row>
    <row r="77" spans="1:33" s="52" customFormat="1" outlineLevel="1" x14ac:dyDescent="0.35">
      <c r="A77"/>
      <c r="B77" s="48" t="s">
        <v>75</v>
      </c>
      <c r="C77" s="62" t="s">
        <v>253</v>
      </c>
      <c r="D77" s="190">
        <f>'Ανάπτυξη δικτύου'!E78/'Παραδοχές διείσδυσης - κάλυψης'!D197</f>
        <v>0.58579303041734532</v>
      </c>
      <c r="E77" s="191">
        <f>'Ανάπτυξη δικτύου'!G78/'Παραδοχές διείσδυσης - κάλυψης'!E197</f>
        <v>0.64184162259710598</v>
      </c>
      <c r="F77" s="161">
        <f t="shared" ref="F77:F125" si="16">IFERROR((E77-D77)/D77,0)</f>
        <v>9.5679854947794643E-2</v>
      </c>
      <c r="G77" s="191">
        <f>'Ανάπτυξη δικτύου'!J78/'Παραδοχές διείσδυσης - κάλυψης'!F197</f>
        <v>0.71892785039750196</v>
      </c>
      <c r="H77" s="161">
        <f t="shared" ref="H77:H125" si="17">IFERROR((G77-E77)/E77,0)</f>
        <v>0.12010163424503277</v>
      </c>
      <c r="I77" s="191">
        <f>'Ανάπτυξη δικτύου'!M78/'Παραδοχές διείσδυσης - κάλυψης'!G197</f>
        <v>0.74385707143034929</v>
      </c>
      <c r="J77" s="161">
        <f t="shared" ref="J77:J125" si="18">IFERROR((I77-G77)/G77,0)</f>
        <v>3.467555335220876E-2</v>
      </c>
      <c r="K77" s="191">
        <f>'Ανάπτυξη δικτύου'!P78/'Παραδοχές διείσδυσης - κάλυψης'!H197</f>
        <v>0.76330168634062645</v>
      </c>
      <c r="L77" s="161">
        <f t="shared" ref="L77:L125" si="19">IFERROR((K77-I77)/I77,0)</f>
        <v>2.6140256854569468E-2</v>
      </c>
      <c r="M77" s="192">
        <f t="shared" ref="M77:M125" si="20">IFERROR((K77/D77)^(1/4)-1,0)</f>
        <v>6.841015045911325E-2</v>
      </c>
      <c r="N77"/>
      <c r="O77" s="191">
        <f>'Ανάπτυξη δικτύου'!V78/'Παραδοχές διείσδυσης - κάλυψης'!I197</f>
        <v>0.76387854620788709</v>
      </c>
      <c r="P77" s="161">
        <f t="shared" ref="P77:P125" si="21">IFERROR((O77-K77)/K77,0)</f>
        <v>7.5574294880204323E-4</v>
      </c>
      <c r="Q77" s="191">
        <f>'Ανάπτυξη δικτύου'!Y78/'Παραδοχές διείσδυσης - κάλυψης'!J198</f>
        <v>0.60148435905619335</v>
      </c>
      <c r="R77" s="161">
        <f t="shared" ref="R77:R125" si="22">IFERROR((Q77-O77)/O77,0)</f>
        <v>-0.21259163247595472</v>
      </c>
      <c r="S77" s="191">
        <f>'Ανάπτυξη δικτύου'!AB78/'Παραδοχές διείσδυσης - κάλυψης'!K197</f>
        <v>0.80006097203591087</v>
      </c>
      <c r="T77" s="161">
        <f t="shared" ref="T77:T125" si="23">IFERROR((S77-Q77)/Q77,0)</f>
        <v>0.33014426724463769</v>
      </c>
      <c r="U77" s="191">
        <f>'Ανάπτυξη δικτύου'!AE78/'Παραδοχές διείσδυσης - κάλυψης'!L197</f>
        <v>0.81465996406119889</v>
      </c>
      <c r="V77" s="161">
        <f t="shared" ref="V77:V125" si="24">IFERROR((U77-S77)/S77,0)</f>
        <v>1.8247349309063344E-2</v>
      </c>
      <c r="W77" s="191">
        <f>'Ανάπτυξη δικτύου'!AH78/'Παραδοχές διείσδυσης - κάλυψης'!M197</f>
        <v>0.81897310091487052</v>
      </c>
      <c r="X77" s="161">
        <f t="shared" ref="X77:X125" si="25">IFERROR((W77-U77)/U77,0)</f>
        <v>5.2944013992905848E-3</v>
      </c>
      <c r="Y77" s="192">
        <f t="shared" ref="Y77:Y125" si="26">IFERROR((W77/O77)^(1/4)-1,0)</f>
        <v>1.7563056571812785E-2</v>
      </c>
    </row>
    <row r="78" spans="1:33" s="52" customFormat="1" outlineLevel="1" x14ac:dyDescent="0.35">
      <c r="A78"/>
      <c r="B78" s="48" t="s">
        <v>76</v>
      </c>
      <c r="C78" s="62" t="s">
        <v>253</v>
      </c>
      <c r="D78" s="190">
        <f>'Ανάπτυξη δικτύου'!E79/'Παραδοχές διείσδυσης - κάλυψης'!D198</f>
        <v>0.29454113552311323</v>
      </c>
      <c r="E78" s="191">
        <f>'Ανάπτυξη δικτύου'!G79/'Παραδοχές διείσδυσης - κάλυψης'!E198</f>
        <v>0.31959672979922688</v>
      </c>
      <c r="F78" s="161">
        <f t="shared" si="16"/>
        <v>8.506653656921033E-2</v>
      </c>
      <c r="G78" s="191">
        <f>'Ανάπτυξη δικτύου'!J79/'Παραδοχές διείσδυσης - κάλυψης'!F198</f>
        <v>0.359922008412359</v>
      </c>
      <c r="H78" s="161">
        <f t="shared" si="17"/>
        <v>0.126175504481741</v>
      </c>
      <c r="I78" s="191">
        <f>'Ανάπτυξη δικτύου'!M79/'Παραδοχές διείσδυσης - κάλυψης'!G198</f>
        <v>0.36431778580135771</v>
      </c>
      <c r="J78" s="161">
        <f t="shared" si="18"/>
        <v>1.2213138641865197E-2</v>
      </c>
      <c r="K78" s="191">
        <f>'Ανάπτυξη δικτύου'!P79/'Παραδοχές διείσδυσης - κάλυψης'!H198</f>
        <v>0.39107745960321422</v>
      </c>
      <c r="L78" s="161">
        <f t="shared" si="19"/>
        <v>7.3451461456913544E-2</v>
      </c>
      <c r="M78" s="192">
        <f t="shared" si="20"/>
        <v>7.3443540990321132E-2</v>
      </c>
      <c r="N78"/>
      <c r="O78" s="191">
        <f>'Ανάπτυξη δικτύου'!V79/'Παραδοχές διείσδυσης - κάλυψης'!I198</f>
        <v>0.39400124103896206</v>
      </c>
      <c r="P78" s="161">
        <f t="shared" si="21"/>
        <v>7.4762207945052598E-3</v>
      </c>
      <c r="Q78" s="191">
        <f>'Ανάπτυξη δικτύου'!Y79/'Παραδοχές διείσδυσης - κάλυψης'!J199</f>
        <v>0.30893860000000001</v>
      </c>
      <c r="R78" s="161">
        <f t="shared" si="22"/>
        <v>-0.2158943479839201</v>
      </c>
      <c r="S78" s="191">
        <f>'Ανάπτυξη δικτύου'!AB79/'Παραδοχές διείσδυσης - κάλυψης'!K198</f>
        <v>0.46363978643372072</v>
      </c>
      <c r="T78" s="161">
        <f t="shared" si="23"/>
        <v>0.50075059067957428</v>
      </c>
      <c r="U78" s="191">
        <f>'Ανάπτυξη δικτύου'!AE79/'Παραδοχές διείσδυσης - κάλυψης'!L198</f>
        <v>0.48250962929438812</v>
      </c>
      <c r="V78" s="161">
        <f t="shared" si="24"/>
        <v>4.069936060883101E-2</v>
      </c>
      <c r="W78" s="191">
        <f>'Ανάπτυξη δικτύου'!AH79/'Παραδοχές διείσδυσης - κάλυψης'!M198</f>
        <v>0.51053481540662538</v>
      </c>
      <c r="X78" s="161">
        <f t="shared" si="25"/>
        <v>5.8082128129174737E-2</v>
      </c>
      <c r="Y78" s="192">
        <f t="shared" si="26"/>
        <v>6.6920214191513061E-2</v>
      </c>
    </row>
    <row r="79" spans="1:33" outlineLevel="1" x14ac:dyDescent="0.35">
      <c r="B79" s="48" t="s">
        <v>77</v>
      </c>
      <c r="C79" s="62" t="s">
        <v>253</v>
      </c>
      <c r="D79" s="190">
        <f>'Ανάπτυξη δικτύου'!E80/'Παραδοχές διείσδυσης - κάλυψης'!D199</f>
        <v>8.727385E-2</v>
      </c>
      <c r="E79" s="191">
        <f>'Ανάπτυξη δικτύου'!G80/'Παραδοχές διείσδυσης - κάλυψης'!E199</f>
        <v>9.0546349999999998E-2</v>
      </c>
      <c r="F79" s="161">
        <f t="shared" si="16"/>
        <v>3.7496913451165473E-2</v>
      </c>
      <c r="G79" s="191">
        <f>'Ανάπτυξη δικτύου'!J80/'Παραδοχές διείσδυσης - κάλυψης'!F199</f>
        <v>0.1021001</v>
      </c>
      <c r="H79" s="161">
        <f t="shared" si="17"/>
        <v>0.12760039471497198</v>
      </c>
      <c r="I79" s="191">
        <f>'Ανάπτυξη δικτύου'!M80/'Παραδοχές διείσδυσης - κάλυψης'!G199</f>
        <v>0.10804760000000001</v>
      </c>
      <c r="J79" s="161">
        <f t="shared" si="18"/>
        <v>5.8251656952343911E-2</v>
      </c>
      <c r="K79" s="191">
        <f>'Ανάπτυξη δικτύου'!P80/'Παραδοχές διείσδυσης - κάλυψης'!H199</f>
        <v>0.10804760000000001</v>
      </c>
      <c r="L79" s="161">
        <f t="shared" si="19"/>
        <v>0</v>
      </c>
      <c r="M79" s="192">
        <f t="shared" si="20"/>
        <v>5.4830666808420192E-2</v>
      </c>
      <c r="O79" s="191">
        <f>'Ανάπτυξη δικτύου'!V80/'Παραδοχές διείσδυσης - κάλυψης'!I199</f>
        <v>0.10804760000000001</v>
      </c>
      <c r="P79" s="161">
        <f t="shared" si="21"/>
        <v>0</v>
      </c>
      <c r="Q79" s="191">
        <f>'Ανάπτυξη δικτύου'!Y80/'Παραδοχές διείσδυσης - κάλυψης'!J200</f>
        <v>2.5578338787190614E-2</v>
      </c>
      <c r="R79" s="161">
        <f t="shared" si="22"/>
        <v>-0.76326786724378326</v>
      </c>
      <c r="S79" s="191">
        <f>'Ανάπτυξη δικτύου'!AB80/'Παραδοχές διείσδυσης - κάλυψης'!K199</f>
        <v>0.1157176</v>
      </c>
      <c r="T79" s="161">
        <f t="shared" si="23"/>
        <v>3.5240467319930202</v>
      </c>
      <c r="U79" s="191">
        <f>'Ανάπτυξη δικτύου'!AE80/'Παραδοχές διείσδυσης - κάλυψης'!L199</f>
        <v>0.1195026</v>
      </c>
      <c r="V79" s="161">
        <f t="shared" si="24"/>
        <v>3.2708939694566744E-2</v>
      </c>
      <c r="W79" s="191">
        <f>'Ανάπτυξη δικτύου'!AH80/'Παραδοχές διείσδυσης - κάλυψης'!M199</f>
        <v>0.1195026</v>
      </c>
      <c r="X79" s="161">
        <f t="shared" si="25"/>
        <v>0</v>
      </c>
      <c r="Y79" s="192">
        <f t="shared" si="26"/>
        <v>2.5511553237471229E-2</v>
      </c>
    </row>
    <row r="80" spans="1:33" s="52" customFormat="1" outlineLevel="1" x14ac:dyDescent="0.35">
      <c r="A80"/>
      <c r="B80" s="48" t="s">
        <v>78</v>
      </c>
      <c r="C80" s="62" t="s">
        <v>253</v>
      </c>
      <c r="D80" s="190">
        <f>'Ανάπτυξη δικτύου'!E81/'Παραδοχές διείσδυσης - κάλυψης'!D200</f>
        <v>0.88112394028843211</v>
      </c>
      <c r="E80" s="191">
        <f>'Ανάπτυξη δικτύου'!G81/'Παραδοχές διείσδυσης - κάλυψης'!E200</f>
        <v>0.88905611202408807</v>
      </c>
      <c r="F80" s="161">
        <f t="shared" si="16"/>
        <v>9.0023336933274176E-3</v>
      </c>
      <c r="G80" s="191">
        <f>'Ανάπτυξη δικτύου'!J81/'Παραδοχές διείσδυσης - κάλυψης'!F200</f>
        <v>0.90039270488769774</v>
      </c>
      <c r="H80" s="161">
        <f t="shared" si="17"/>
        <v>1.2751268126147823E-2</v>
      </c>
      <c r="I80" s="191">
        <f>'Ανάπτυξη δικτύου'!M81/'Παραδοχές διείσδυσης - κάλυψης'!G200</f>
        <v>0.90520554016627153</v>
      </c>
      <c r="J80" s="161">
        <f t="shared" si="18"/>
        <v>5.3452624087775959E-3</v>
      </c>
      <c r="K80" s="191">
        <f>'Ανάπτυξη δικτύου'!P81/'Παραδοχές διείσδυσης - κάλυψης'!H200</f>
        <v>0.91937424239029042</v>
      </c>
      <c r="L80" s="161">
        <f t="shared" si="19"/>
        <v>1.5652469627413384E-2</v>
      </c>
      <c r="M80" s="192">
        <f t="shared" si="20"/>
        <v>1.068037479686712E-2</v>
      </c>
      <c r="N80"/>
      <c r="O80" s="191">
        <f>'Ανάπτυξη δικτύου'!V81/'Παραδοχές διείσδυσης - κάλυψης'!I200</f>
        <v>0.92455749243698782</v>
      </c>
      <c r="P80" s="161">
        <f t="shared" si="21"/>
        <v>5.6378021133389727E-3</v>
      </c>
      <c r="Q80" s="191">
        <f>'Ανάπτυξη δικτύου'!Y81/'Παραδοχές διείσδυσης - κάλυψης'!J201</f>
        <v>5.4185285548172777</v>
      </c>
      <c r="R80" s="161">
        <f t="shared" si="22"/>
        <v>4.860672374775624</v>
      </c>
      <c r="S80" s="191">
        <f>'Ανάπτυξη δικτύου'!AB81/'Παραδοχές διείσδυσης - κάλυψης'!K200</f>
        <v>0.94569175358879909</v>
      </c>
      <c r="T80" s="161">
        <f t="shared" si="23"/>
        <v>-0.8254707446825128</v>
      </c>
      <c r="U80" s="191">
        <f>'Ανάπτυξη δικτύου'!AE81/'Παραδοχές διείσδυσης - κάλυψης'!L200</f>
        <v>0.96391894415036394</v>
      </c>
      <c r="V80" s="161">
        <f t="shared" si="24"/>
        <v>1.927392355108799E-2</v>
      </c>
      <c r="W80" s="191">
        <f>'Ανάπτυξη δικτύου'!AH81/'Παραδοχές διείσδυσης - κάλυψης'!M200</f>
        <v>0.97378002114032425</v>
      </c>
      <c r="X80" s="161">
        <f t="shared" si="25"/>
        <v>1.0230193160745736E-2</v>
      </c>
      <c r="Y80" s="192">
        <f t="shared" si="26"/>
        <v>1.3051990922405166E-2</v>
      </c>
    </row>
    <row r="81" spans="2:25" outlineLevel="1" x14ac:dyDescent="0.35">
      <c r="B81" s="48" t="s">
        <v>79</v>
      </c>
      <c r="C81" s="62" t="s">
        <v>253</v>
      </c>
      <c r="D81" s="190">
        <f>'Ανάπτυξη δικτύου'!E82/'Παραδοχές διείσδυσης - κάλυψης'!D201</f>
        <v>0.72355086673135138</v>
      </c>
      <c r="E81" s="191">
        <f>'Ανάπτυξη δικτύου'!G82/'Παραδοχές διείσδυσης - κάλυψης'!E201</f>
        <v>0.74657299931026844</v>
      </c>
      <c r="F81" s="161">
        <f t="shared" si="16"/>
        <v>3.18182641158593E-2</v>
      </c>
      <c r="G81" s="191">
        <f>'Ανάπτυξη δικτύου'!J82/'Παραδοχές διείσδυσης - κάλυψης'!F201</f>
        <v>0.75065396483623381</v>
      </c>
      <c r="H81" s="161">
        <f t="shared" si="17"/>
        <v>5.4662645578337681E-3</v>
      </c>
      <c r="I81" s="191">
        <f>'Ανάπτυξη δικτύου'!M82/'Παραδοχές διείσδυσης - κάλυψης'!G201</f>
        <v>0.76457040021805556</v>
      </c>
      <c r="J81" s="161">
        <f t="shared" si="18"/>
        <v>1.8539081965493674E-2</v>
      </c>
      <c r="K81" s="191">
        <f>'Ανάπτυξη δικτύου'!P82/'Παραδοχές διείσδυσης - κάλυψης'!H201</f>
        <v>0.77887270975196254</v>
      </c>
      <c r="L81" s="161">
        <f t="shared" si="19"/>
        <v>1.8706334341256171E-2</v>
      </c>
      <c r="M81" s="192">
        <f t="shared" si="20"/>
        <v>1.8589874774046278E-2</v>
      </c>
      <c r="O81" s="191">
        <f>'Ανάπτυξη δικτύου'!V82/'Παραδοχές διείσδυσης - κάλυψης'!I201</f>
        <v>0.77994267718398036</v>
      </c>
      <c r="P81" s="161">
        <f t="shared" si="21"/>
        <v>1.3737385051769936E-3</v>
      </c>
      <c r="Q81" s="191">
        <f>'Ανάπτυξη δικτύου'!Y82/'Παραδοχές διείσδυσης - κάλυψης'!J202</f>
        <v>0.99005710401492575</v>
      </c>
      <c r="R81" s="161">
        <f t="shared" si="22"/>
        <v>0.2693972685141085</v>
      </c>
      <c r="S81" s="191">
        <f>'Ανάπτυξη δικτύου'!AB82/'Παραδοχές διείσδυσης - κάλυψης'!K201</f>
        <v>0.77994267718398036</v>
      </c>
      <c r="T81" s="161">
        <f t="shared" si="23"/>
        <v>-0.21222455349179312</v>
      </c>
      <c r="U81" s="191">
        <f>'Ανάπτυξη δικτύου'!AE82/'Παραδοχές διείσδυσης - κάλυψης'!L201</f>
        <v>0.77994267718398036</v>
      </c>
      <c r="V81" s="161">
        <f t="shared" si="24"/>
        <v>0</v>
      </c>
      <c r="W81" s="191">
        <f>'Ανάπτυξη δικτύου'!AH82/'Παραδοχές διείσδυσης - κάλυψης'!M201</f>
        <v>0.80029949345467855</v>
      </c>
      <c r="X81" s="161">
        <f t="shared" si="25"/>
        <v>2.6100400537379782E-2</v>
      </c>
      <c r="Y81" s="192">
        <f t="shared" si="26"/>
        <v>6.4621899887915557E-3</v>
      </c>
    </row>
    <row r="82" spans="2:25" outlineLevel="1" x14ac:dyDescent="0.35">
      <c r="B82" s="48" t="s">
        <v>80</v>
      </c>
      <c r="C82" s="62" t="s">
        <v>253</v>
      </c>
      <c r="D82" s="190">
        <f>'Ανάπτυξη δικτύου'!E83/'Παραδοχές διείσδυσης - κάλυψης'!D202</f>
        <v>0.3975077610114075</v>
      </c>
      <c r="E82" s="191">
        <f>'Ανάπτυξη δικτύου'!G83/'Παραδοχές διείσδυσης - κάλυψης'!E202</f>
        <v>0.46643014289458967</v>
      </c>
      <c r="F82" s="161">
        <f t="shared" si="16"/>
        <v>0.17338625466787871</v>
      </c>
      <c r="G82" s="191">
        <f>'Ανάπτυξη δικτύου'!J83/'Παραδοχές διείσδυσης - κάλυψης'!F202</f>
        <v>0.53764494578151634</v>
      </c>
      <c r="H82" s="161">
        <f t="shared" si="17"/>
        <v>0.15268053313402769</v>
      </c>
      <c r="I82" s="191">
        <f>'Ανάπτυξη δικτύου'!M83/'Παραδοχές διείσδυσης - κάλυψης'!G202</f>
        <v>0.54356101137986179</v>
      </c>
      <c r="J82" s="161">
        <f t="shared" si="18"/>
        <v>1.1003666350375358E-2</v>
      </c>
      <c r="K82" s="191">
        <f>'Ανάπτυξη δικτύου'!P83/'Παραδοχές διείσδυσης - κάλυψης'!H202</f>
        <v>0.61261285889284156</v>
      </c>
      <c r="L82" s="161">
        <f t="shared" si="19"/>
        <v>0.12703605679459526</v>
      </c>
      <c r="M82" s="192">
        <f t="shared" si="20"/>
        <v>0.11419222624898007</v>
      </c>
      <c r="O82" s="191">
        <f>'Ανάπτυξη δικτύου'!V83/'Παραδοχές διείσδυσης - κάλυψης'!I202</f>
        <v>0.61815889831321835</v>
      </c>
      <c r="P82" s="161">
        <f t="shared" si="21"/>
        <v>9.0530901202433081E-3</v>
      </c>
      <c r="Q82" s="191">
        <f>'Ανάπτυξη δικτύου'!Y83/'Παραδοχές διείσδυσης - κάλυψης'!J203</f>
        <v>0.37256400604984458</v>
      </c>
      <c r="R82" s="161">
        <f t="shared" si="22"/>
        <v>-0.39730058555095316</v>
      </c>
      <c r="S82" s="191">
        <f>'Ανάπτυξη δικτύου'!AB83/'Παραδοχές διείσδυσης - κάλυψης'!K202</f>
        <v>0.63139277573703756</v>
      </c>
      <c r="T82" s="161">
        <f t="shared" si="23"/>
        <v>0.69472296165015146</v>
      </c>
      <c r="U82" s="191">
        <f>'Ανάπτυξη δικτύου'!AE83/'Παραδοχές διείσδυσης - κάλυψης'!L202</f>
        <v>0.63139277573703756</v>
      </c>
      <c r="V82" s="161">
        <f t="shared" si="24"/>
        <v>0</v>
      </c>
      <c r="W82" s="191">
        <f>'Ανάπτυξη δικτύου'!AH83/'Παραδοχές διείσδυσης - κάλυψης'!M202</f>
        <v>0.64512292356424983</v>
      </c>
      <c r="X82" s="161">
        <f t="shared" si="25"/>
        <v>2.1745810777110634E-2</v>
      </c>
      <c r="Y82" s="192">
        <f t="shared" si="26"/>
        <v>1.073100268548477E-2</v>
      </c>
    </row>
    <row r="83" spans="2:25" outlineLevel="1" x14ac:dyDescent="0.35">
      <c r="B83" s="48" t="s">
        <v>81</v>
      </c>
      <c r="C83" s="62" t="s">
        <v>253</v>
      </c>
      <c r="D83" s="190">
        <f>'Ανάπτυξη δικτύου'!E84/'Παραδοχές διείσδυσης - κάλυψης'!D203</f>
        <v>0.7069125875564698</v>
      </c>
      <c r="E83" s="191">
        <f>'Ανάπτυξη δικτύου'!G84/'Παραδοχές διείσδυσης - κάλυψης'!E203</f>
        <v>0.71878535483933614</v>
      </c>
      <c r="F83" s="161">
        <f t="shared" si="16"/>
        <v>1.6795241012620848E-2</v>
      </c>
      <c r="G83" s="191">
        <f>'Ανάπτυξη δικτύου'!J84/'Παραδοχές διείσδυσης - κάλυψης'!F203</f>
        <v>0.73429064196885097</v>
      </c>
      <c r="H83" s="161">
        <f t="shared" si="17"/>
        <v>2.1571512309096205E-2</v>
      </c>
      <c r="I83" s="191">
        <f>'Ανάπτυξη δικτύου'!M84/'Παραδοχές διείσδυσης - κάλυψης'!G203</f>
        <v>0.74268207240436834</v>
      </c>
      <c r="J83" s="161">
        <f t="shared" si="18"/>
        <v>1.1427941411615248E-2</v>
      </c>
      <c r="K83" s="191">
        <f>'Ανάπτυξη δικτύου'!P84/'Παραδοχές διείσδυσης - κάλυψης'!H203</f>
        <v>0.75677356629811365</v>
      </c>
      <c r="L83" s="161">
        <f t="shared" si="19"/>
        <v>1.8973790289733707E-2</v>
      </c>
      <c r="M83" s="192">
        <f t="shared" si="20"/>
        <v>1.7185263648738625E-2</v>
      </c>
      <c r="O83" s="191">
        <f>'Ανάπτυξη δικτύου'!V84/'Παραδοχές διείσδυσης - κάλυψης'!I203</f>
        <v>0.76543175990986934</v>
      </c>
      <c r="P83" s="161">
        <f t="shared" si="21"/>
        <v>1.1440930282632236E-2</v>
      </c>
      <c r="Q83" s="191">
        <f>'Ανάπτυξη δικτύου'!Y84/'Παραδοχές διείσδυσης - κάλυψης'!J204</f>
        <v>2.2914830000000004</v>
      </c>
      <c r="R83" s="161">
        <f t="shared" si="22"/>
        <v>1.993712986602262</v>
      </c>
      <c r="S83" s="191">
        <f>'Ανάπτυξη δικτύου'!AB84/'Παραδοχές διείσδυσης - κάλυψης'!K203</f>
        <v>0.77016332340330196</v>
      </c>
      <c r="T83" s="161">
        <f t="shared" si="23"/>
        <v>-0.66390179486240919</v>
      </c>
      <c r="U83" s="191">
        <f>'Ανάπτυξη δικτύου'!AE84/'Παραδοχές διείσδυσης - κάλυψης'!L203</f>
        <v>0.77016332340330196</v>
      </c>
      <c r="V83" s="161">
        <f t="shared" si="24"/>
        <v>0</v>
      </c>
      <c r="W83" s="191">
        <f>'Ανάπτυξη δικτύου'!AH84/'Παραδοχές διείσδυσης - κάλυψης'!M203</f>
        <v>0.77267100045652803</v>
      </c>
      <c r="X83" s="161">
        <f t="shared" si="25"/>
        <v>3.2560328141111854E-3</v>
      </c>
      <c r="Y83" s="192">
        <f t="shared" si="26"/>
        <v>2.3560905877904048E-3</v>
      </c>
    </row>
    <row r="84" spans="2:25" outlineLevel="1" x14ac:dyDescent="0.35">
      <c r="B84" s="48" t="s">
        <v>82</v>
      </c>
      <c r="C84" s="62" t="s">
        <v>253</v>
      </c>
      <c r="D84" s="190">
        <f>'Ανάπτυξη δικτύου'!E85/'Παραδοχές διείσδυσης - κάλυψης'!D204</f>
        <v>0.1179773076923077</v>
      </c>
      <c r="E84" s="191">
        <f>'Ανάπτυξη δικτύου'!G85/'Παραδοχές διείσδυσης - κάλυψης'!E204</f>
        <v>0.1179773076923077</v>
      </c>
      <c r="F84" s="161">
        <f t="shared" si="16"/>
        <v>0</v>
      </c>
      <c r="G84" s="191">
        <f>'Ανάπτυξη δικτύου'!J85/'Παραδοχές διείσδυσης - κάλυψης'!F204</f>
        <v>0.1179773076923077</v>
      </c>
      <c r="H84" s="161">
        <f t="shared" si="17"/>
        <v>0</v>
      </c>
      <c r="I84" s="191">
        <f>'Ανάπτυξη δικτύου'!M85/'Παραδοχές διείσδυσης - κάλυψης'!G204</f>
        <v>0.1179773076923077</v>
      </c>
      <c r="J84" s="161">
        <f t="shared" si="18"/>
        <v>0</v>
      </c>
      <c r="K84" s="191">
        <f>'Ανάπτυξη δικτύου'!P85/'Παραδοχές διείσδυσης - κάλυψης'!H204</f>
        <v>0.1179773076923077</v>
      </c>
      <c r="L84" s="161">
        <f t="shared" si="19"/>
        <v>0</v>
      </c>
      <c r="M84" s="192">
        <f t="shared" si="20"/>
        <v>0</v>
      </c>
      <c r="O84" s="191">
        <f>'Ανάπτυξη δικτύου'!V85/'Παραδοχές διείσδυσης - κάλυψης'!I204</f>
        <v>0.1179773076923077</v>
      </c>
      <c r="P84" s="161">
        <f t="shared" si="21"/>
        <v>0</v>
      </c>
      <c r="Q84" s="191">
        <f>'Ανάπτυξη δικτύου'!Y85/'Παραδοχές διείσδυσης - κάλυψης'!J205</f>
        <v>1.5772351880334459E-2</v>
      </c>
      <c r="R84" s="161">
        <f t="shared" si="22"/>
        <v>-0.86631029145477911</v>
      </c>
      <c r="S84" s="191">
        <f>'Ανάπτυξη δικτύου'!AB85/'Παραδοχές διείσδυσης - κάλυψης'!K204</f>
        <v>0.1179773076923077</v>
      </c>
      <c r="T84" s="161">
        <f t="shared" si="23"/>
        <v>6.4800073310186601</v>
      </c>
      <c r="U84" s="191">
        <f>'Ανάπτυξη δικτύου'!AE85/'Παραδοχές διείσδυσης - κάλυψης'!L204</f>
        <v>0.1179773076923077</v>
      </c>
      <c r="V84" s="161">
        <f t="shared" si="24"/>
        <v>0</v>
      </c>
      <c r="W84" s="191">
        <f>'Ανάπτυξη δικτύου'!AH85/'Παραδοχές διείσδυσης - κάλυψης'!M204</f>
        <v>0.1179773076923077</v>
      </c>
      <c r="X84" s="161">
        <f t="shared" si="25"/>
        <v>0</v>
      </c>
      <c r="Y84" s="192">
        <f t="shared" si="26"/>
        <v>0</v>
      </c>
    </row>
    <row r="85" spans="2:25" outlineLevel="1" x14ac:dyDescent="0.35">
      <c r="B85" s="48" t="s">
        <v>83</v>
      </c>
      <c r="C85" s="62" t="s">
        <v>253</v>
      </c>
      <c r="D85" s="190">
        <f>'Ανάπτυξη δικτύου'!E86/'Παραδοχές διείσδυσης - κάλυψης'!D205</f>
        <v>0.14159477072767604</v>
      </c>
      <c r="E85" s="191">
        <f>'Ανάπτυξη δικτύου'!G86/'Παραδοχές διείσδυσης - κάλυψης'!E205</f>
        <v>0.14192282470479856</v>
      </c>
      <c r="F85" s="161">
        <f t="shared" si="16"/>
        <v>2.3168509362075994E-3</v>
      </c>
      <c r="G85" s="191">
        <f>'Ανάπτυξη δικτύου'!J86/'Παραδοχές διείσδυσης - κάλυψης'!F205</f>
        <v>0.14441665196035364</v>
      </c>
      <c r="H85" s="161">
        <f t="shared" si="17"/>
        <v>1.7571713786998507E-2</v>
      </c>
      <c r="I85" s="191">
        <f>'Ανάπτυξη δικτύου'!M86/'Παραδοχές διείσδυσης - κάλυψης'!G205</f>
        <v>0.144930843147066</v>
      </c>
      <c r="J85" s="161">
        <f t="shared" si="18"/>
        <v>3.5604702070888934E-3</v>
      </c>
      <c r="K85" s="191">
        <f>'Ανάπτυξη δικτύου'!P86/'Παραδοχές διείσδυσης - κάλυψης'!H205</f>
        <v>0.15975773112474492</v>
      </c>
      <c r="L85" s="161">
        <f t="shared" si="19"/>
        <v>0.10230319272091448</v>
      </c>
      <c r="M85" s="192">
        <f t="shared" si="20"/>
        <v>3.0632105982489E-2</v>
      </c>
      <c r="O85" s="191">
        <f>'Ανάπτυξη δικτύου'!V86/'Παραδοχές διείσδυσης - κάλυψης'!I205</f>
        <v>0.15975773112474492</v>
      </c>
      <c r="P85" s="161">
        <f t="shared" si="21"/>
        <v>0</v>
      </c>
      <c r="Q85" s="191">
        <f>'Ανάπτυξη δικτύου'!Y86/'Παραδοχές διείσδυσης - κάλυψης'!J206</f>
        <v>0.33066134659502755</v>
      </c>
      <c r="R85" s="161">
        <f t="shared" si="22"/>
        <v>1.0697674176208385</v>
      </c>
      <c r="S85" s="191">
        <f>'Ανάπτυξη δικτύου'!AB86/'Παραδοχές διείσδυσης - κάλυψης'!K205</f>
        <v>0.17931139357304363</v>
      </c>
      <c r="T85" s="161">
        <f t="shared" si="23"/>
        <v>-0.45771891568368733</v>
      </c>
      <c r="U85" s="191">
        <f>'Ανάπτυξη δικτύου'!AE86/'Παραδοχές διείσδυσης - κάλυψης'!L205</f>
        <v>0.19532125036252052</v>
      </c>
      <c r="V85" s="161">
        <f t="shared" si="24"/>
        <v>8.9285217578520315E-2</v>
      </c>
      <c r="W85" s="191">
        <f>'Ανάπτυξη δικτύου'!AH86/'Παραδοχές διείσδυσης - κάλυψης'!M205</f>
        <v>0.20126941401040943</v>
      </c>
      <c r="X85" s="161">
        <f t="shared" si="25"/>
        <v>3.0453233515805339E-2</v>
      </c>
      <c r="Y85" s="192">
        <f t="shared" si="26"/>
        <v>5.9446363280209802E-2</v>
      </c>
    </row>
    <row r="86" spans="2:25" outlineLevel="1" x14ac:dyDescent="0.35">
      <c r="B86" s="48" t="s">
        <v>84</v>
      </c>
      <c r="C86" s="62" t="s">
        <v>253</v>
      </c>
      <c r="D86" s="190">
        <f>'Ανάπτυξη δικτύου'!E87/'Παραδοχές διείσδυσης - κάλυψης'!D206</f>
        <v>0.16634256118909199</v>
      </c>
      <c r="E86" s="191">
        <f>'Ανάπτυξη δικτύου'!G87/'Παραδοχές διείσδυσης - κάλυψης'!E206</f>
        <v>0.16697077997112092</v>
      </c>
      <c r="F86" s="161">
        <f t="shared" si="16"/>
        <v>3.7766569033092618E-3</v>
      </c>
      <c r="G86" s="191">
        <f>'Ανάπτυξη δικτύου'!J87/'Παραδοχές διείσδυσης - κάλυψης'!F206</f>
        <v>0.18650295504101747</v>
      </c>
      <c r="H86" s="161">
        <f t="shared" si="17"/>
        <v>0.11697960010293304</v>
      </c>
      <c r="I86" s="191">
        <f>'Ανάπτυξη δικτύου'!M87/'Παραδοχές διείσδυσης - κάλυψης'!G206</f>
        <v>0.1927812649675904</v>
      </c>
      <c r="J86" s="161">
        <f t="shared" si="18"/>
        <v>3.3663326809980867E-2</v>
      </c>
      <c r="K86" s="191">
        <f>'Ανάπτυξη δικτύου'!P87/'Παραδοχές διείσδυσης - κάλυψης'!H206</f>
        <v>0.19641872927341214</v>
      </c>
      <c r="L86" s="161">
        <f t="shared" si="19"/>
        <v>1.8868349610805031E-2</v>
      </c>
      <c r="M86" s="192">
        <f t="shared" si="20"/>
        <v>4.2425143857368397E-2</v>
      </c>
      <c r="O86" s="191">
        <f>'Ανάπτυξη δικτύου'!V87/'Παραδοχές διείσδυσης - κάλυψης'!I206</f>
        <v>0.20997972359906103</v>
      </c>
      <c r="P86" s="161">
        <f t="shared" si="21"/>
        <v>6.9041248641682096E-2</v>
      </c>
      <c r="Q86" s="191">
        <f>'Ανάπτυξη δικτύου'!Y87/'Παραδοχές διείσδυσης - κάλυψης'!J207</f>
        <v>0.81405513028164755</v>
      </c>
      <c r="R86" s="161">
        <f t="shared" si="22"/>
        <v>2.8768273256517793</v>
      </c>
      <c r="S86" s="191">
        <f>'Ανάπτυξη δικτύου'!AB87/'Παραδοχές διείσδυσης - κάλυψης'!K206</f>
        <v>0.25146930846898308</v>
      </c>
      <c r="T86" s="161">
        <f t="shared" si="23"/>
        <v>-0.69109056731577934</v>
      </c>
      <c r="U86" s="191">
        <f>'Ανάπτυξη δικτύου'!AE87/'Παραδοχές διείσδυσης - κάλυψης'!L206</f>
        <v>0.27839352454075322</v>
      </c>
      <c r="V86" s="161">
        <f t="shared" si="24"/>
        <v>0.10706760294404298</v>
      </c>
      <c r="W86" s="191">
        <f>'Ανάπτυξη δικτύου'!AH87/'Παραδοχές διείσδυσης - κάλυψης'!M206</f>
        <v>0.28405912726016214</v>
      </c>
      <c r="X86" s="161">
        <f t="shared" si="25"/>
        <v>2.0351057837121288E-2</v>
      </c>
      <c r="Y86" s="192">
        <f t="shared" si="26"/>
        <v>7.8469449740510511E-2</v>
      </c>
    </row>
    <row r="87" spans="2:25" outlineLevel="1" x14ac:dyDescent="0.35">
      <c r="B87" s="48" t="s">
        <v>85</v>
      </c>
      <c r="C87" s="62" t="s">
        <v>253</v>
      </c>
      <c r="D87" s="190">
        <f>'Ανάπτυξη δικτύου'!E88/'Παραδοχές διείσδυσης - κάλυψης'!D207</f>
        <v>0.61175531530453098</v>
      </c>
      <c r="E87" s="191">
        <f>'Ανάπτυξη δικτύου'!G88/'Παραδοχές διείσδυσης - κάλυψης'!E207</f>
        <v>0.78551357681621892</v>
      </c>
      <c r="F87" s="161">
        <f t="shared" si="16"/>
        <v>0.28403228736180464</v>
      </c>
      <c r="G87" s="191">
        <f>'Ανάπτυξη δικτύου'!J88/'Παραδοχές διείσδυσης - κάλυψης'!F207</f>
        <v>0.78873427871183421</v>
      </c>
      <c r="H87" s="161">
        <f t="shared" si="17"/>
        <v>4.1001225066907045E-3</v>
      </c>
      <c r="I87" s="191">
        <f>'Ανάπτυξη δικτύου'!M88/'Παραδοχές διείσδυσης - κάλυψης'!G207</f>
        <v>0.78986570710503412</v>
      </c>
      <c r="J87" s="161">
        <f t="shared" si="18"/>
        <v>1.434486142846185E-3</v>
      </c>
      <c r="K87" s="191">
        <f>'Ανάπτυξη δικτύου'!P88/'Παραδοχές διείσδυσης - κάλυψης'!H207</f>
        <v>0.80327135590431575</v>
      </c>
      <c r="L87" s="161">
        <f t="shared" si="19"/>
        <v>1.6972060792986153E-2</v>
      </c>
      <c r="M87" s="192">
        <f t="shared" si="20"/>
        <v>7.0461697486287278E-2</v>
      </c>
      <c r="O87" s="191">
        <f>'Ανάπτυξη δικτύου'!V88/'Παραδοχές διείσδυσης - κάλυψης'!I207</f>
        <v>0.80594830293443753</v>
      </c>
      <c r="P87" s="161">
        <f t="shared" si="21"/>
        <v>3.3325563154285465E-3</v>
      </c>
      <c r="Q87" s="191">
        <f>'Ανάπτυξη δικτύου'!Y88/'Παραδοχές διείσδυσης - κάλυψης'!J208</f>
        <v>0.7103873007756405</v>
      </c>
      <c r="R87" s="161">
        <f t="shared" si="22"/>
        <v>-0.11856964250791499</v>
      </c>
      <c r="S87" s="191">
        <f>'Ανάπτυξη δικτύου'!AB88/'Παραδοχές διείσδυσης - κάλυψης'!K207</f>
        <v>0.82757301566214003</v>
      </c>
      <c r="T87" s="161">
        <f t="shared" si="23"/>
        <v>0.16496031778517103</v>
      </c>
      <c r="U87" s="191">
        <f>'Ανάπτυξη δικτύου'!AE88/'Παραδοχές διείσδυσης - κάλυψης'!L207</f>
        <v>0.83179757269405097</v>
      </c>
      <c r="V87" s="161">
        <f t="shared" si="24"/>
        <v>5.1047544469908484E-3</v>
      </c>
      <c r="W87" s="191">
        <f>'Ανάπτυξη δικτύου'!AH88/'Παραδοχές διείσδυσης - κάλυψης'!M207</f>
        <v>0.8385735948640467</v>
      </c>
      <c r="X87" s="161">
        <f t="shared" si="25"/>
        <v>8.1462394126125513E-3</v>
      </c>
      <c r="Y87" s="192">
        <f t="shared" si="26"/>
        <v>9.9700598760859016E-3</v>
      </c>
    </row>
    <row r="88" spans="2:25" outlineLevel="1" x14ac:dyDescent="0.35">
      <c r="B88" s="48" t="s">
        <v>86</v>
      </c>
      <c r="C88" s="62" t="s">
        <v>253</v>
      </c>
      <c r="D88" s="190">
        <f>'Ανάπτυξη δικτύου'!E89/'Παραδοχές διείσδυσης - κάλυψης'!D208</f>
        <v>0.2650972159474061</v>
      </c>
      <c r="E88" s="191">
        <f>'Ανάπτυξη δικτύου'!G89/'Παραδοχές διείσδυσης - κάλυψης'!E208</f>
        <v>0.28953021629014014</v>
      </c>
      <c r="F88" s="161">
        <f t="shared" si="16"/>
        <v>9.2166189884021366E-2</v>
      </c>
      <c r="G88" s="191">
        <f>'Ανάπτυξη δικτύου'!J89/'Παραδοχές διείσδυσης - κάλυψης'!F208</f>
        <v>0.39682477816749062</v>
      </c>
      <c r="H88" s="161">
        <f t="shared" si="17"/>
        <v>0.37058156917836133</v>
      </c>
      <c r="I88" s="191">
        <f>'Ανάπτυξη δικτύου'!M89/'Παραδοχές διείσδυσης - κάλυψης'!G208</f>
        <v>0.42684690961973082</v>
      </c>
      <c r="J88" s="161">
        <f t="shared" si="18"/>
        <v>7.5655889208532598E-2</v>
      </c>
      <c r="K88" s="191">
        <f>'Ανάπτυξη δικτύου'!P89/'Παραδοχές διείσδυσης - κάλυψης'!H208</f>
        <v>0.43863554804128019</v>
      </c>
      <c r="L88" s="161">
        <f t="shared" si="19"/>
        <v>2.7617954249807328E-2</v>
      </c>
      <c r="M88" s="192">
        <f t="shared" si="20"/>
        <v>0.13416088320825015</v>
      </c>
      <c r="O88" s="191">
        <f>'Ανάπτυξη δικτύου'!V89/'Παραδοχές διείσδυσης - κάλυψης'!I208</f>
        <v>0.44315951283655497</v>
      </c>
      <c r="P88" s="161">
        <f t="shared" si="21"/>
        <v>1.0313721301149603E-2</v>
      </c>
      <c r="Q88" s="191">
        <f>'Ανάπτυξη δικτύου'!Y89/'Παραδοχές διείσδυσης - κάλυψης'!J209</f>
        <v>0.59285929226552359</v>
      </c>
      <c r="R88" s="161">
        <f t="shared" si="22"/>
        <v>0.33780111921952699</v>
      </c>
      <c r="S88" s="191">
        <f>'Ανάπτυξη δικτύου'!AB89/'Παραδοχές διείσδυσης - κάλυψης'!K208</f>
        <v>0.54752187530956054</v>
      </c>
      <c r="T88" s="161">
        <f t="shared" si="23"/>
        <v>-7.6472474240410163E-2</v>
      </c>
      <c r="U88" s="191">
        <f>'Ανάπτυξη δικτύου'!AE89/'Παραδοχές διείσδυσης - κάλυψης'!L208</f>
        <v>0.57491699545872454</v>
      </c>
      <c r="V88" s="161">
        <f t="shared" si="24"/>
        <v>5.0034749997295042E-2</v>
      </c>
      <c r="W88" s="191">
        <f>'Ανάπτυξη δικτύου'!AH89/'Παραδοχές διείσδυσης - κάλυψης'!M208</f>
        <v>0.59128943947971901</v>
      </c>
      <c r="X88" s="161">
        <f t="shared" si="25"/>
        <v>2.8477926640403012E-2</v>
      </c>
      <c r="Y88" s="192">
        <f t="shared" si="26"/>
        <v>7.4756329731462179E-2</v>
      </c>
    </row>
    <row r="89" spans="2:25" outlineLevel="1" x14ac:dyDescent="0.35">
      <c r="B89" s="48" t="s">
        <v>87</v>
      </c>
      <c r="C89" s="62" t="s">
        <v>253</v>
      </c>
      <c r="D89" s="190">
        <f>'Ανάπτυξη δικτύου'!E90/'Παραδοχές διείσδυσης - κάλυψης'!D209</f>
        <v>0.73704006535543942</v>
      </c>
      <c r="E89" s="191">
        <f>'Ανάπτυξη δικτύου'!G90/'Παραδοχές διείσδυσης - κάλυψης'!E209</f>
        <v>0.73753739232802673</v>
      </c>
      <c r="F89" s="161">
        <f t="shared" si="16"/>
        <v>6.7476246674252568E-4</v>
      </c>
      <c r="G89" s="191">
        <f>'Ανάπτυξη δικτύου'!J90/'Παραδοχές διείσδυσης - κάλυψης'!F209</f>
        <v>0.73844679022075799</v>
      </c>
      <c r="H89" s="161">
        <f t="shared" si="17"/>
        <v>1.2330193725646292E-3</v>
      </c>
      <c r="I89" s="191">
        <f>'Ανάπτυξη δικτύου'!M90/'Παραδοχές διείσδυσης - κάλυψης'!G209</f>
        <v>0.73844679022075799</v>
      </c>
      <c r="J89" s="161">
        <f t="shared" si="18"/>
        <v>0</v>
      </c>
      <c r="K89" s="191">
        <f>'Ανάπτυξη δικτύου'!P90/'Παραδοχές διείσδυσης - κάλυψης'!H209</f>
        <v>0.74742851534568633</v>
      </c>
      <c r="L89" s="161">
        <f t="shared" si="19"/>
        <v>1.2162995687533916E-2</v>
      </c>
      <c r="M89" s="192">
        <f t="shared" si="20"/>
        <v>3.505232904063238E-3</v>
      </c>
      <c r="O89" s="191">
        <f>'Ανάπτυξη δικτύου'!V90/'Παραδοχές διείσδυσης - κάλυψης'!I209</f>
        <v>0.75011408099765831</v>
      </c>
      <c r="P89" s="161">
        <f t="shared" si="21"/>
        <v>3.5930735807288552E-3</v>
      </c>
      <c r="Q89" s="191">
        <f>'Ανάπτυξη δικτύου'!Y90/'Παραδοχές διείσδυσης - κάλυψης'!J210</f>
        <v>0.23582402409525582</v>
      </c>
      <c r="R89" s="161">
        <f t="shared" si="22"/>
        <v>-0.68561578822569524</v>
      </c>
      <c r="S89" s="191">
        <f>'Ανάπτυξη δικτύου'!AB90/'Παραδοχές διείσδυσης - κάλυψης'!K209</f>
        <v>0.79512927668785471</v>
      </c>
      <c r="T89" s="161">
        <f t="shared" si="23"/>
        <v>2.3717059987352269</v>
      </c>
      <c r="U89" s="191">
        <f>'Ανάπτυξη δικτύου'!AE90/'Παραδοχές διείσδυσης - κάλυψης'!L209</f>
        <v>0.79512927668785471</v>
      </c>
      <c r="V89" s="161">
        <f t="shared" si="24"/>
        <v>0</v>
      </c>
      <c r="W89" s="191">
        <f>'Ανάπτυξη δικτύου'!AH90/'Παραδοχές διείσδυσης - κάλυψης'!M209</f>
        <v>0.83630795001809111</v>
      </c>
      <c r="X89" s="161">
        <f t="shared" si="25"/>
        <v>5.1788651905471189E-2</v>
      </c>
      <c r="Y89" s="192">
        <f t="shared" si="26"/>
        <v>2.7566002043313054E-2</v>
      </c>
    </row>
    <row r="90" spans="2:25" outlineLevel="1" x14ac:dyDescent="0.35">
      <c r="B90" s="48" t="s">
        <v>88</v>
      </c>
      <c r="C90" s="62" t="s">
        <v>253</v>
      </c>
      <c r="D90" s="190">
        <f>'Ανάπτυξη δικτύου'!E91/'Παραδοχές διείσδυσης - κάλυψης'!D210</f>
        <v>0.39977643294826082</v>
      </c>
      <c r="E90" s="191">
        <f>'Ανάπτυξη δικτύου'!G91/'Παραδοχές διείσδυσης - κάλυψης'!E210</f>
        <v>0.40844219026243112</v>
      </c>
      <c r="F90" s="161">
        <f t="shared" si="16"/>
        <v>2.167650866826315E-2</v>
      </c>
      <c r="G90" s="191">
        <f>'Ανάπτυξη δικτύου'!J91/'Παραδοχές διείσδυσης - κάλυψης'!F210</f>
        <v>0.42048894487290328</v>
      </c>
      <c r="H90" s="161">
        <f t="shared" si="17"/>
        <v>2.9494393325850885E-2</v>
      </c>
      <c r="I90" s="191">
        <f>'Ανάπτυξη δικτύου'!M91/'Παραδοχές διείσδυσης - κάλυψης'!G210</f>
        <v>0.44325874605195587</v>
      </c>
      <c r="J90" s="161">
        <f t="shared" si="18"/>
        <v>5.4150772467834965E-2</v>
      </c>
      <c r="K90" s="191">
        <f>'Ανάπτυξη δικτύου'!P91/'Παραδοχές διείσδυσης - κάλυψης'!H210</f>
        <v>0.47421480279093992</v>
      </c>
      <c r="L90" s="161">
        <f t="shared" si="19"/>
        <v>6.983744148244192E-2</v>
      </c>
      <c r="M90" s="192">
        <f t="shared" si="20"/>
        <v>4.3612997895008609E-2</v>
      </c>
      <c r="O90" s="191">
        <f>'Ανάπτυξη δικτύου'!V91/'Παραδοχές διείσδυσης - κάλυψης'!I210</f>
        <v>0.47965966363183127</v>
      </c>
      <c r="P90" s="161">
        <f t="shared" si="21"/>
        <v>1.1481844954746695E-2</v>
      </c>
      <c r="Q90" s="191">
        <f>'Ανάπτυξη δικτύου'!Y91/'Παραδοχές διείσδυσης - κάλυψης'!J211</f>
        <v>1.754545601778809</v>
      </c>
      <c r="R90" s="161">
        <f t="shared" si="22"/>
        <v>2.657896910684431</v>
      </c>
      <c r="S90" s="191">
        <f>'Ανάπτυξη δικτύου'!AB91/'Παραδοχές διείσδυσης - κάλυψης'!K210</f>
        <v>0.54559220841181977</v>
      </c>
      <c r="T90" s="161">
        <f t="shared" si="23"/>
        <v>-0.68904073632587115</v>
      </c>
      <c r="U90" s="191">
        <f>'Ανάπτυξη δικτύου'!AE91/'Παραδοχές διείσδυσης - κάλυψης'!L210</f>
        <v>0.54559220841181977</v>
      </c>
      <c r="V90" s="161">
        <f t="shared" si="24"/>
        <v>0</v>
      </c>
      <c r="W90" s="191">
        <f>'Ανάπτυξη δικτύου'!AH91/'Παραδοχές διείσδυσης - κάλυψης'!M210</f>
        <v>0.58516859243411912</v>
      </c>
      <c r="X90" s="161">
        <f t="shared" si="25"/>
        <v>7.2538396648851339E-2</v>
      </c>
      <c r="Y90" s="192">
        <f t="shared" si="26"/>
        <v>5.0961852548017772E-2</v>
      </c>
    </row>
    <row r="91" spans="2:25" outlineLevel="1" x14ac:dyDescent="0.35">
      <c r="B91" s="48" t="s">
        <v>89</v>
      </c>
      <c r="C91" s="62" t="s">
        <v>253</v>
      </c>
      <c r="D91" s="190">
        <f>'Ανάπτυξη δικτύου'!E92/'Παραδοχές διείσδυσης - κάλυψης'!D211</f>
        <v>0.5988596424063285</v>
      </c>
      <c r="E91" s="191">
        <f>'Ανάπτυξη δικτύου'!G92/'Παραδοχές διείσδυσης - κάλυψης'!E211</f>
        <v>0.59981896648410893</v>
      </c>
      <c r="F91" s="161">
        <f t="shared" si="16"/>
        <v>1.6019180620114779E-3</v>
      </c>
      <c r="G91" s="191">
        <f>'Ανάπτυξη δικτύου'!J92/'Παραδοχές διείσδυσης - κάλυψης'!F211</f>
        <v>0.6011317257484402</v>
      </c>
      <c r="H91" s="161">
        <f t="shared" si="17"/>
        <v>2.1885924548637205E-3</v>
      </c>
      <c r="I91" s="191">
        <f>'Ανάπτυξη δικτύου'!M92/'Παραδοχές διείσδυσης - κάλυψης'!G211</f>
        <v>0.6081571517015093</v>
      </c>
      <c r="J91" s="161">
        <f t="shared" si="18"/>
        <v>1.1686999125394818E-2</v>
      </c>
      <c r="K91" s="191">
        <f>'Ανάπτυξη δικτύου'!P92/'Παραδοχές διείσδυσης - κάλυψης'!H211</f>
        <v>0.61410784616894465</v>
      </c>
      <c r="L91" s="161">
        <f t="shared" si="19"/>
        <v>9.7847973188943411E-3</v>
      </c>
      <c r="M91" s="192">
        <f t="shared" si="20"/>
        <v>6.3056240550014575E-3</v>
      </c>
      <c r="O91" s="191">
        <f>'Ανάπτυξη δικτύου'!V92/'Παραδοχές διείσδυσης - κάλυψης'!I211</f>
        <v>0.62484073509930083</v>
      </c>
      <c r="P91" s="161">
        <f t="shared" si="21"/>
        <v>1.7477205343185757E-2</v>
      </c>
      <c r="Q91" s="191">
        <f>'Ανάπτυξη δικτύου'!Y92/'Παραδοχές διείσδυσης - κάλυψης'!J212</f>
        <v>0.15927306604257155</v>
      </c>
      <c r="R91" s="161">
        <f t="shared" si="22"/>
        <v>-0.74509813926062363</v>
      </c>
      <c r="S91" s="191">
        <f>'Ανάπτυξη δικτύου'!AB92/'Παραδοχές διείσδυσης - κάλυψης'!K211</f>
        <v>0.66371860561987861</v>
      </c>
      <c r="T91" s="161">
        <f t="shared" si="23"/>
        <v>3.1671741626577061</v>
      </c>
      <c r="U91" s="191">
        <f>'Ανάπτυξη δικτύου'!AE92/'Παραδοχές διείσδυσης - κάλυψης'!L211</f>
        <v>0.71155497617506813</v>
      </c>
      <c r="V91" s="161">
        <f t="shared" si="24"/>
        <v>7.2073270434407727E-2</v>
      </c>
      <c r="W91" s="191">
        <f>'Ανάπτυξη δικτύου'!AH92/'Παραδοχές διείσδυσης - κάλυψης'!M211</f>
        <v>0.72559140215522466</v>
      </c>
      <c r="X91" s="161">
        <f t="shared" si="25"/>
        <v>1.9726411099826341E-2</v>
      </c>
      <c r="Y91" s="192">
        <f t="shared" si="26"/>
        <v>3.8079699932486166E-2</v>
      </c>
    </row>
    <row r="92" spans="2:25" outlineLevel="1" x14ac:dyDescent="0.35">
      <c r="B92" s="48" t="s">
        <v>90</v>
      </c>
      <c r="C92" s="62" t="s">
        <v>253</v>
      </c>
      <c r="D92" s="190">
        <f>'Ανάπτυξη δικτύου'!E93/'Παραδοχές διείσδυσης - κάλυψης'!D212</f>
        <v>3.338223657776597E-2</v>
      </c>
      <c r="E92" s="191">
        <f>'Ανάπτυξη δικτύου'!G93/'Παραδοχές διείσδυσης - κάλυψης'!E212</f>
        <v>3.338223657776597E-2</v>
      </c>
      <c r="F92" s="161">
        <f t="shared" si="16"/>
        <v>0</v>
      </c>
      <c r="G92" s="191">
        <f>'Ανάπτυξη δικτύου'!J93/'Παραδοχές διείσδυσης - κάλυψης'!F212</f>
        <v>3.338223657776597E-2</v>
      </c>
      <c r="H92" s="161">
        <f t="shared" si="17"/>
        <v>0</v>
      </c>
      <c r="I92" s="191">
        <f>'Ανάπτυξη δικτύου'!M93/'Παραδοχές διείσδυσης - κάλυψης'!G212</f>
        <v>3.338223657776597E-2</v>
      </c>
      <c r="J92" s="161">
        <f t="shared" si="18"/>
        <v>0</v>
      </c>
      <c r="K92" s="191">
        <f>'Ανάπτυξη δικτύου'!P93/'Παραδοχές διείσδυσης - κάλυψης'!H212</f>
        <v>3.338223657776597E-2</v>
      </c>
      <c r="L92" s="161">
        <f t="shared" si="19"/>
        <v>0</v>
      </c>
      <c r="M92" s="192">
        <f t="shared" si="20"/>
        <v>0</v>
      </c>
      <c r="O92" s="191">
        <f>'Ανάπτυξη δικτύου'!V93/'Παραδοχές διείσδυσης - κάλυψης'!I212</f>
        <v>3.423062941842301E-2</v>
      </c>
      <c r="P92" s="161">
        <f t="shared" si="21"/>
        <v>2.5414499675018992E-2</v>
      </c>
      <c r="Q92" s="191">
        <f>'Ανάπτυξη δικτύου'!Y93/'Παραδοχές διείσδυσης - κάλυψης'!J213</f>
        <v>0.12458736958530425</v>
      </c>
      <c r="R92" s="161">
        <f t="shared" si="22"/>
        <v>2.6396458873832751</v>
      </c>
      <c r="S92" s="191">
        <f>'Ανάπτυξη δικτύου'!AB93/'Παραδοχές διείσδυσης - κάλυψης'!K212</f>
        <v>4.0331837506552323E-2</v>
      </c>
      <c r="T92" s="161">
        <f t="shared" si="23"/>
        <v>-0.67627667522960788</v>
      </c>
      <c r="U92" s="191">
        <f>'Ανάπτυξη δικτύου'!AE93/'Παραδοχές διείσδυσης - κάλυψης'!L212</f>
        <v>5.4389887385354434E-2</v>
      </c>
      <c r="V92" s="161">
        <f t="shared" si="24"/>
        <v>0.34855961810612363</v>
      </c>
      <c r="W92" s="191">
        <f>'Ανάπτυξη δικτύου'!AH93/'Παραδοχές διείσδυσης - κάλυψης'!M212</f>
        <v>5.4389887385354434E-2</v>
      </c>
      <c r="X92" s="161">
        <f t="shared" si="25"/>
        <v>0</v>
      </c>
      <c r="Y92" s="192">
        <f t="shared" si="26"/>
        <v>0.12273127007481821</v>
      </c>
    </row>
    <row r="93" spans="2:25" outlineLevel="1" x14ac:dyDescent="0.35">
      <c r="B93" s="294" t="s">
        <v>91</v>
      </c>
      <c r="C93" s="62" t="s">
        <v>253</v>
      </c>
      <c r="D93" s="190">
        <f>'Ανάπτυξη δικτύου'!E94/'Παραδοχές διείσδυσης - κάλυψης'!D213</f>
        <v>0.13238935153806869</v>
      </c>
      <c r="E93" s="191">
        <f>'Ανάπτυξη δικτύου'!G94/'Παραδοχές διείσδυσης - κάλυψης'!E213</f>
        <v>0.13238935153806869</v>
      </c>
      <c r="F93" s="161">
        <f t="shared" si="16"/>
        <v>0</v>
      </c>
      <c r="G93" s="191">
        <f>'Ανάπτυξη δικτύου'!J94/'Παραδοχές διείσδυσης - κάλυψης'!F213</f>
        <v>0.13633260882605894</v>
      </c>
      <c r="H93" s="161">
        <f t="shared" si="17"/>
        <v>2.978530555651495E-2</v>
      </c>
      <c r="I93" s="191">
        <f>'Ανάπτυξη δικτύου'!M94/'Παραδοχές διείσδυσης - κάλυψης'!G213</f>
        <v>0.13633260882605894</v>
      </c>
      <c r="J93" s="161">
        <f t="shared" si="18"/>
        <v>0</v>
      </c>
      <c r="K93" s="191">
        <f>'Ανάπτυξη δικτύου'!P94/'Παραδοχές διείσδυσης - κάλυψης'!H213</f>
        <v>0.1370351886760077</v>
      </c>
      <c r="L93" s="161">
        <f t="shared" si="19"/>
        <v>5.1534248188938505E-3</v>
      </c>
      <c r="M93" s="192">
        <f t="shared" si="20"/>
        <v>8.6599146458432585E-3</v>
      </c>
      <c r="O93" s="191">
        <f>'Ανάπτυξη δικτύου'!V94/'Παραδοχές διείσδυσης - κάλυψης'!I213</f>
        <v>0.1591274217355079</v>
      </c>
      <c r="P93" s="161">
        <f t="shared" si="21"/>
        <v>0.16121576708105878</v>
      </c>
      <c r="Q93" s="191">
        <f>'Ανάπτυξη δικτύου'!Y94/'Παραδοχές διείσδυσης - κάλυψης'!J214</f>
        <v>0.13891048451680674</v>
      </c>
      <c r="R93" s="161">
        <f t="shared" si="22"/>
        <v>-0.12704873238193065</v>
      </c>
      <c r="S93" s="191">
        <f>'Ανάπτυξη δικτύου'!AB94/'Παραδοχές διείσδυσης - κάλυψης'!K213</f>
        <v>0.17495219645102067</v>
      </c>
      <c r="T93" s="161">
        <f t="shared" si="23"/>
        <v>0.25945998287734184</v>
      </c>
      <c r="U93" s="191">
        <f>'Ανάπτυξη δικτύου'!AE94/'Παραδοχές διείσδυσης - κάλυψης'!L213</f>
        <v>0.17495219645102067</v>
      </c>
      <c r="V93" s="161">
        <f t="shared" si="24"/>
        <v>0</v>
      </c>
      <c r="W93" s="191">
        <f>'Ανάπτυξη δικτύου'!AH94/'Παραδοχές διείσδυσης - κάλυψης'!M213</f>
        <v>0.18371771648371482</v>
      </c>
      <c r="X93" s="161">
        <f t="shared" si="25"/>
        <v>5.010237202222341E-2</v>
      </c>
      <c r="Y93" s="192">
        <f t="shared" si="26"/>
        <v>3.6576844459691005E-2</v>
      </c>
    </row>
    <row r="94" spans="2:25" outlineLevel="1" x14ac:dyDescent="0.35">
      <c r="B94" s="294" t="s">
        <v>92</v>
      </c>
      <c r="C94" s="62" t="s">
        <v>253</v>
      </c>
      <c r="D94" s="190">
        <f>'Ανάπτυξη δικτύου'!E95/'Παραδοχές διείσδυσης - κάλυψης'!D214</f>
        <v>0.32744637705982221</v>
      </c>
      <c r="E94" s="191">
        <f>'Ανάπτυξη δικτύου'!G95/'Παραδοχές διείσδυσης - κάλυψης'!E214</f>
        <v>0.44145173205831406</v>
      </c>
      <c r="F94" s="161">
        <f t="shared" si="16"/>
        <v>0.348164960694202</v>
      </c>
      <c r="G94" s="191">
        <f>'Ανάπτυξη δικτύου'!J95/'Παραδοχές διείσδυσης - κάλυψης'!F214</f>
        <v>0.54365256639132487</v>
      </c>
      <c r="H94" s="161">
        <f t="shared" si="17"/>
        <v>0.23151077889419283</v>
      </c>
      <c r="I94" s="191">
        <f>'Ανάπτυξη δικτύου'!M95/'Παραδοχές διείσδυσης - κάλυψης'!G214</f>
        <v>0.54365256639132487</v>
      </c>
      <c r="J94" s="161">
        <f t="shared" si="18"/>
        <v>0</v>
      </c>
      <c r="K94" s="191">
        <f>'Ανάπτυξη δικτύου'!P95/'Παραδοχές διείσδυσης - κάλυψης'!H214</f>
        <v>0.58913332752673586</v>
      </c>
      <c r="L94" s="161">
        <f t="shared" si="19"/>
        <v>8.3657769588589836E-2</v>
      </c>
      <c r="M94" s="192">
        <f t="shared" si="20"/>
        <v>0.15815943759882733</v>
      </c>
      <c r="O94" s="191">
        <f>'Ανάπτυξη δικτύου'!V95/'Παραδοχές διείσδυσης - κάλυψης'!I214</f>
        <v>0.59146828765836945</v>
      </c>
      <c r="P94" s="161">
        <f t="shared" si="21"/>
        <v>3.9633815004764357E-3</v>
      </c>
      <c r="Q94" s="191">
        <f>'Ανάπτυξη δικτύου'!Y95/'Παραδοχές διείσδυσης - κάλυψης'!J215</f>
        <v>0.93589785129898628</v>
      </c>
      <c r="R94" s="161">
        <f t="shared" si="22"/>
        <v>0.58232972219730983</v>
      </c>
      <c r="S94" s="191">
        <f>'Ανάπτυξη δικτύου'!AB95/'Παραδοχές διείσδυσης - κάλυψης'!K214</f>
        <v>0.63715752737696218</v>
      </c>
      <c r="T94" s="161">
        <f t="shared" si="23"/>
        <v>-0.31920184826515552</v>
      </c>
      <c r="U94" s="191">
        <f>'Ανάπτυξη δικτύου'!AE95/'Παραδοχές διείσδυσης - κάλυψης'!L214</f>
        <v>0.63715752737696218</v>
      </c>
      <c r="V94" s="161">
        <f t="shared" si="24"/>
        <v>0</v>
      </c>
      <c r="W94" s="191">
        <f>'Ανάπτυξη δικτύου'!AH95/'Παραδοχές διείσδυσης - κάλυψης'!M214</f>
        <v>0.64617306788521411</v>
      </c>
      <c r="X94" s="161">
        <f t="shared" si="25"/>
        <v>1.4149625674779254E-2</v>
      </c>
      <c r="Y94" s="192">
        <f t="shared" si="26"/>
        <v>2.2361171959958126E-2</v>
      </c>
    </row>
    <row r="95" spans="2:25" outlineLevel="1" x14ac:dyDescent="0.35">
      <c r="B95" s="294" t="s">
        <v>93</v>
      </c>
      <c r="C95" s="62" t="s">
        <v>253</v>
      </c>
      <c r="D95" s="190">
        <f>'Ανάπτυξη δικτύου'!E96/'Παραδοχές διείσδυσης - κάλυψης'!D215</f>
        <v>0.3646287037451223</v>
      </c>
      <c r="E95" s="191">
        <f>'Ανάπτυξη δικτύου'!G96/'Παραδοχές διείσδυσης - κάλυψης'!E215</f>
        <v>0.49808386086470885</v>
      </c>
      <c r="F95" s="161">
        <f t="shared" si="16"/>
        <v>0.36600288388944974</v>
      </c>
      <c r="G95" s="191">
        <f>'Ανάπτυξη δικτύου'!J96/'Παραδοχές διείσδυσης - κάλυψης'!F215</f>
        <v>0.64064156296097674</v>
      </c>
      <c r="H95" s="161">
        <f t="shared" si="17"/>
        <v>0.28621224917582677</v>
      </c>
      <c r="I95" s="191">
        <f>'Ανάπτυξη δικτύου'!M96/'Παραδοχές διείσδυσης - κάλυψης'!G215</f>
        <v>0.64064156296097674</v>
      </c>
      <c r="J95" s="161">
        <f t="shared" si="18"/>
        <v>0</v>
      </c>
      <c r="K95" s="191">
        <f>'Ανάπτυξη δικτύου'!P96/'Παραδοχές διείσδυσης - κάλυψης'!H215</f>
        <v>0.68119676400835061</v>
      </c>
      <c r="L95" s="161">
        <f t="shared" si="19"/>
        <v>6.3304042997042009E-2</v>
      </c>
      <c r="M95" s="192">
        <f t="shared" si="20"/>
        <v>0.16911014912022027</v>
      </c>
      <c r="O95" s="191">
        <f>'Ανάπτυξη δικτύου'!V96/'Παραδοχές διείσδυσης - κάλυψης'!I215</f>
        <v>0.6932903530754464</v>
      </c>
      <c r="P95" s="161">
        <f t="shared" si="21"/>
        <v>1.7753444681583276E-2</v>
      </c>
      <c r="Q95" s="191">
        <f>'Ανάπτυξη δικτύου'!Y96/'Παραδοχές διείσδυσης - κάλυψης'!J216</f>
        <v>0.29841493042325773</v>
      </c>
      <c r="R95" s="161">
        <f t="shared" si="22"/>
        <v>-0.56956716749413194</v>
      </c>
      <c r="S95" s="191">
        <f>'Ανάπτυξη δικτύου'!AB96/'Παραδοχές διείσδυσης - κάλυψης'!K215</f>
        <v>0.81758871360384511</v>
      </c>
      <c r="T95" s="161">
        <f t="shared" si="23"/>
        <v>1.739771473378412</v>
      </c>
      <c r="U95" s="191">
        <f>'Ανάπτυξη δικτύου'!AE96/'Παραδοχές διείσδυσης - κάλυψης'!L215</f>
        <v>0.8479215824438624</v>
      </c>
      <c r="V95" s="161">
        <f t="shared" si="24"/>
        <v>3.7100400648038781E-2</v>
      </c>
      <c r="W95" s="191">
        <f>'Ανάπτυξη δικτύου'!AH96/'Παραδοχές διείσδυσης - κάλυψης'!M215</f>
        <v>0.87723723351188099</v>
      </c>
      <c r="X95" s="161">
        <f t="shared" si="25"/>
        <v>3.4573540378021295E-2</v>
      </c>
      <c r="Y95" s="192">
        <f t="shared" si="26"/>
        <v>6.0597196645448381E-2</v>
      </c>
    </row>
    <row r="96" spans="2:25" outlineLevel="1" x14ac:dyDescent="0.35">
      <c r="B96" s="294" t="s">
        <v>94</v>
      </c>
      <c r="C96" s="62" t="s">
        <v>253</v>
      </c>
      <c r="D96" s="190">
        <f>'Ανάπτυξη δικτύου'!E97/'Παραδοχές διείσδυσης - κάλυψης'!D216</f>
        <v>0.44741526112903923</v>
      </c>
      <c r="E96" s="191">
        <f>'Ανάπτυξη δικτύου'!G97/'Παραδοχές διείσδυσης - κάλυψης'!E216</f>
        <v>0.4496685950050941</v>
      </c>
      <c r="F96" s="161">
        <f t="shared" si="16"/>
        <v>5.0363366470080658E-3</v>
      </c>
      <c r="G96" s="191">
        <f>'Ανάπτυξη δικτύου'!J97/'Παραδοχές διείσδυσης - κάλυψης'!F216</f>
        <v>0.45900592022465292</v>
      </c>
      <c r="H96" s="161">
        <f t="shared" si="17"/>
        <v>2.0764904027716333E-2</v>
      </c>
      <c r="I96" s="191">
        <f>'Ανάπτυξη δικτύου'!M97/'Παραδοχές διείσδυσης - κάλυψης'!G216</f>
        <v>0.45941397213640478</v>
      </c>
      <c r="J96" s="161">
        <f t="shared" si="18"/>
        <v>8.8899052010515847E-4</v>
      </c>
      <c r="K96" s="191">
        <f>'Ανάπτυξη δικτύου'!P97/'Παραδοχές διείσδυσης - κάλυψης'!H216</f>
        <v>0.48828641777780263</v>
      </c>
      <c r="L96" s="161">
        <f t="shared" si="19"/>
        <v>6.2846250642166618E-2</v>
      </c>
      <c r="M96" s="192">
        <f t="shared" si="20"/>
        <v>2.2094291272586553E-2</v>
      </c>
      <c r="O96" s="191">
        <f>'Ανάπτυξη δικτύου'!V97/'Παραδοχές διείσδυσης - κάλυψης'!I216</f>
        <v>0.48896942312365343</v>
      </c>
      <c r="P96" s="161">
        <f t="shared" si="21"/>
        <v>1.3987801441604137E-3</v>
      </c>
      <c r="Q96" s="191">
        <f>'Ανάπτυξη δικτύου'!Y97/'Παραδοχές διείσδυσης - κάλυψης'!J217</f>
        <v>0.85054495549719367</v>
      </c>
      <c r="R96" s="161">
        <f t="shared" si="22"/>
        <v>0.73946450488398519</v>
      </c>
      <c r="S96" s="191">
        <f>'Ανάπτυξη δικτύου'!AB97/'Παραδοχές διείσδυσης - κάλυψης'!K216</f>
        <v>0.52687913864463809</v>
      </c>
      <c r="T96" s="161">
        <f t="shared" si="23"/>
        <v>-0.38053934099621323</v>
      </c>
      <c r="U96" s="191">
        <f>'Ανάπτυξη δικτύου'!AE97/'Παραδοχές διείσδυσης - κάλυψης'!L216</f>
        <v>0.54857769309359095</v>
      </c>
      <c r="V96" s="161">
        <f t="shared" si="24"/>
        <v>4.118317249145783E-2</v>
      </c>
      <c r="W96" s="191">
        <f>'Ανάπτυξη δικτύου'!AH97/'Παραδοχές διείσδυσης - κάλυψης'!M216</f>
        <v>0.5638373168034545</v>
      </c>
      <c r="X96" s="161">
        <f t="shared" si="25"/>
        <v>2.7816704729297415E-2</v>
      </c>
      <c r="Y96" s="192">
        <f t="shared" si="26"/>
        <v>3.6258315037017264E-2</v>
      </c>
    </row>
    <row r="97" spans="2:25" outlineLevel="1" x14ac:dyDescent="0.35">
      <c r="B97" s="294" t="s">
        <v>95</v>
      </c>
      <c r="C97" s="62" t="s">
        <v>253</v>
      </c>
      <c r="D97" s="190">
        <f>'Ανάπτυξη δικτύου'!E98/'Παραδοχές διείσδυσης - κάλυψης'!D217</f>
        <v>0.39081372207582837</v>
      </c>
      <c r="E97" s="191">
        <f>'Ανάπτυξη δικτύου'!G98/'Παραδοχές διείσδυσης - κάλυψης'!E217</f>
        <v>0.40546551544770126</v>
      </c>
      <c r="F97" s="161">
        <f t="shared" si="16"/>
        <v>3.7490478312913605E-2</v>
      </c>
      <c r="G97" s="191">
        <f>'Ανάπτυξη δικτύου'!J98/'Παραδοχές διείσδυσης - κάλυψης'!F217</f>
        <v>0.45940528199426545</v>
      </c>
      <c r="H97" s="161">
        <f t="shared" si="17"/>
        <v>0.13303169934687473</v>
      </c>
      <c r="I97" s="191">
        <f>'Ανάπτυξη δικτύου'!M98/'Παραδοχές διείσδυσης - κάλυψης'!G217</f>
        <v>0.47025964899918044</v>
      </c>
      <c r="J97" s="161">
        <f t="shared" si="18"/>
        <v>2.3626996532988227E-2</v>
      </c>
      <c r="K97" s="191">
        <f>'Ανάπτυξη δικτύου'!P98/'Παραδοχές διείσδυσης - κάλυψης'!H217</f>
        <v>0.48582220328442755</v>
      </c>
      <c r="L97" s="161">
        <f t="shared" si="19"/>
        <v>3.3093535280706667E-2</v>
      </c>
      <c r="M97" s="192">
        <f t="shared" si="20"/>
        <v>5.5909965748813129E-2</v>
      </c>
      <c r="O97" s="191">
        <f>'Ανάπτυξη δικτύου'!V98/'Παραδοχές διείσδυσης - κάλυψης'!I217</f>
        <v>0.48775441460384616</v>
      </c>
      <c r="P97" s="161">
        <f t="shared" si="21"/>
        <v>3.9771984614037801E-3</v>
      </c>
      <c r="Q97" s="191">
        <f>'Ανάπτυξη δικτύου'!Y98/'Παραδοχές διείσδυσης - κάλυψης'!J218</f>
        <v>1.4941412969320638</v>
      </c>
      <c r="R97" s="161">
        <f t="shared" si="22"/>
        <v>2.0633065579644305</v>
      </c>
      <c r="S97" s="191">
        <f>'Ανάπτυξη δικτύου'!AB98/'Παραδοχές διείσδυσης - κάλυψης'!K217</f>
        <v>0.52340808276919881</v>
      </c>
      <c r="T97" s="161">
        <f t="shared" si="23"/>
        <v>-0.64969304854640042</v>
      </c>
      <c r="U97" s="191">
        <f>'Ανάπτυξη δικτύου'!AE98/'Παραδοχές διείσδυσης - κάλυψης'!L217</f>
        <v>0.54752674064576101</v>
      </c>
      <c r="V97" s="161">
        <f t="shared" si="24"/>
        <v>4.6080025644536185E-2</v>
      </c>
      <c r="W97" s="191">
        <f>'Ανάπτυξη δικτύου'!AH98/'Παραδοχές διείσδυσης - κάλυψης'!M217</f>
        <v>0.54752674064576101</v>
      </c>
      <c r="X97" s="161">
        <f t="shared" si="25"/>
        <v>0</v>
      </c>
      <c r="Y97" s="192">
        <f t="shared" si="26"/>
        <v>2.9321469682441981E-2</v>
      </c>
    </row>
    <row r="98" spans="2:25" outlineLevel="1" x14ac:dyDescent="0.35">
      <c r="B98" s="294" t="s">
        <v>96</v>
      </c>
      <c r="C98" s="62" t="s">
        <v>253</v>
      </c>
      <c r="D98" s="190">
        <f>'Ανάπτυξη δικτύου'!E99/'Παραδοχές διείσδυσης - κάλυψης'!D218</f>
        <v>0.76190287342746921</v>
      </c>
      <c r="E98" s="191">
        <f>'Ανάπτυξη δικτύου'!G99/'Παραδοχές διείσδυσης - κάλυψης'!E218</f>
        <v>0.76190287342746921</v>
      </c>
      <c r="F98" s="161">
        <f t="shared" si="16"/>
        <v>0</v>
      </c>
      <c r="G98" s="191">
        <f>'Ανάπτυξη δικτύου'!J99/'Παραδοχές διείσδυσης - κάλυψης'!F218</f>
        <v>0.77038388883221753</v>
      </c>
      <c r="H98" s="161">
        <f t="shared" si="17"/>
        <v>1.1131360309216229E-2</v>
      </c>
      <c r="I98" s="191">
        <f>'Ανάπτυξη δικτύου'!M99/'Παραδοχές διείσδυσης - κάλυψης'!G218</f>
        <v>0.77038388883221753</v>
      </c>
      <c r="J98" s="161">
        <f t="shared" si="18"/>
        <v>0</v>
      </c>
      <c r="K98" s="191">
        <f>'Ανάπτυξη δικτύου'!P99/'Παραδοχές διείσδυσης - κάλυψης'!H218</f>
        <v>0.80828794914797852</v>
      </c>
      <c r="L98" s="161">
        <f t="shared" si="19"/>
        <v>4.9201522598321293E-2</v>
      </c>
      <c r="M98" s="192">
        <f t="shared" si="20"/>
        <v>1.4884507919356471E-2</v>
      </c>
      <c r="O98" s="191">
        <f>'Ανάπτυξη δικτύου'!V99/'Παραδοχές διείσδυσης - κάλυψης'!I218</f>
        <v>0.80828794914797852</v>
      </c>
      <c r="P98" s="161">
        <f t="shared" si="21"/>
        <v>0</v>
      </c>
      <c r="Q98" s="191">
        <f>'Ανάπτυξη δικτύου'!Y99/'Παραδοχές διείσδυσης - κάλυψης'!J219</f>
        <v>0.26425708547811616</v>
      </c>
      <c r="R98" s="161">
        <f t="shared" si="22"/>
        <v>-0.67306566211129182</v>
      </c>
      <c r="S98" s="191">
        <f>'Ανάπτυξη δικτύου'!AB99/'Παραδοχές διείσδυσης - κάλυψης'!K218</f>
        <v>0.87949374401378388</v>
      </c>
      <c r="T98" s="161">
        <f t="shared" si="23"/>
        <v>2.3281746917874679</v>
      </c>
      <c r="U98" s="191">
        <f>'Ανάπτυξη δικτύου'!AE99/'Παραδοχές διείσδυσης - κάλυψης'!L218</f>
        <v>0.87949374401378388</v>
      </c>
      <c r="V98" s="161">
        <f t="shared" si="24"/>
        <v>0</v>
      </c>
      <c r="W98" s="191">
        <f>'Ανάπτυξη δικτύου'!AH99/'Παραδοχές διείσδυσης - κάλυψης'!M218</f>
        <v>0.9076576620643646</v>
      </c>
      <c r="X98" s="161">
        <f t="shared" si="25"/>
        <v>3.2022874798458278E-2</v>
      </c>
      <c r="Y98" s="192">
        <f t="shared" si="26"/>
        <v>2.9411447676780167E-2</v>
      </c>
    </row>
    <row r="99" spans="2:25" outlineLevel="1" x14ac:dyDescent="0.35">
      <c r="B99" s="294" t="s">
        <v>97</v>
      </c>
      <c r="C99" s="62" t="s">
        <v>253</v>
      </c>
      <c r="D99" s="190">
        <f>'Ανάπτυξη δικτύου'!E100/'Παραδοχές διείσδυσης - κάλυψης'!D219</f>
        <v>0.80223006501278316</v>
      </c>
      <c r="E99" s="191">
        <f>'Ανάπτυξη δικτύου'!G100/'Παραδοχές διείσδυσης - κάλυψης'!E219</f>
        <v>0.80609029916356079</v>
      </c>
      <c r="F99" s="161">
        <f t="shared" si="16"/>
        <v>4.8118791842039974E-3</v>
      </c>
      <c r="G99" s="191">
        <f>'Ανάπτυξη δικτύου'!J100/'Παραδοχές διείσδυσης - κάλυψης'!F219</f>
        <v>0.8649405750143383</v>
      </c>
      <c r="H99" s="161">
        <f t="shared" si="17"/>
        <v>7.3007051333880926E-2</v>
      </c>
      <c r="I99" s="191">
        <f>'Ανάπτυξη δικτύου'!M100/'Παραδοχές διείσδυσης - κάλυψης'!G219</f>
        <v>0.86692100319832721</v>
      </c>
      <c r="J99" s="161">
        <f t="shared" si="18"/>
        <v>2.2896696503757886E-3</v>
      </c>
      <c r="K99" s="191">
        <f>'Ανάπτυξη δικτύου'!P100/'Παραδοχές διείσδυσης - κάλυψης'!H219</f>
        <v>0.89435409564737745</v>
      </c>
      <c r="L99" s="161">
        <f t="shared" si="19"/>
        <v>3.1644281714067912E-2</v>
      </c>
      <c r="M99" s="192">
        <f t="shared" si="20"/>
        <v>2.7549238083055982E-2</v>
      </c>
      <c r="O99" s="191">
        <f>'Ανάπτυξη δικτύου'!V100/'Παραδοχές διείσδυσης - κάλυψης'!I219</f>
        <v>0.90543168701370857</v>
      </c>
      <c r="P99" s="161">
        <f t="shared" si="21"/>
        <v>1.2386135894321169E-2</v>
      </c>
      <c r="Q99" s="191">
        <f>'Ανάπτυξη δικτύου'!Y100/'Παραδοχές διείσδυσης - κάλυψης'!J220</f>
        <v>0.60705304694086692</v>
      </c>
      <c r="R99" s="161">
        <f t="shared" si="22"/>
        <v>-0.32954296205045902</v>
      </c>
      <c r="S99" s="191">
        <f>'Ανάπτυξη δικτύου'!AB100/'Παραδοχές διείσδυσης - κάλυψης'!K219</f>
        <v>0.95516650473356202</v>
      </c>
      <c r="T99" s="161">
        <f t="shared" si="23"/>
        <v>0.57344816823990807</v>
      </c>
      <c r="U99" s="191">
        <f>'Ανάπτυξη δικτύου'!AE100/'Παραδοχές διείσδυσης - κάλυψης'!L219</f>
        <v>0.95516650473356202</v>
      </c>
      <c r="V99" s="161">
        <f t="shared" si="24"/>
        <v>0</v>
      </c>
      <c r="W99" s="191">
        <f>'Ανάπτυξη δικτύου'!AH100/'Παραδοχές διείσδυσης - κάλυψης'!M219</f>
        <v>0.99833343591251889</v>
      </c>
      <c r="X99" s="161">
        <f t="shared" si="25"/>
        <v>4.5193095617395027E-2</v>
      </c>
      <c r="Y99" s="192">
        <f t="shared" si="26"/>
        <v>2.4719455431472248E-2</v>
      </c>
    </row>
    <row r="100" spans="2:25" outlineLevel="1" x14ac:dyDescent="0.35">
      <c r="B100" s="294" t="s">
        <v>98</v>
      </c>
      <c r="C100" s="62" t="s">
        <v>253</v>
      </c>
      <c r="D100" s="190">
        <f>'Ανάπτυξη δικτύου'!E101/'Παραδοχές διείσδυσης - κάλυψης'!D220</f>
        <v>0.24339633862808249</v>
      </c>
      <c r="E100" s="191">
        <f>'Ανάπτυξη δικτύου'!G101/'Παραδοχές διείσδυσης - κάλυψης'!E220</f>
        <v>0.24339633862808249</v>
      </c>
      <c r="F100" s="161">
        <f t="shared" si="16"/>
        <v>0</v>
      </c>
      <c r="G100" s="191">
        <f>'Ανάπτυξη δικτύου'!J101/'Παραδοχές διείσδυσης - κάλυψης'!F220</f>
        <v>0.24383501315497386</v>
      </c>
      <c r="H100" s="161">
        <f t="shared" si="17"/>
        <v>1.8023053648381819E-3</v>
      </c>
      <c r="I100" s="191">
        <f>'Ανάπτυξη δικτύου'!M101/'Παραδοχές διείσδυσης - κάλυψης'!G220</f>
        <v>0.24493462396904828</v>
      </c>
      <c r="J100" s="161">
        <f t="shared" si="18"/>
        <v>4.5096510129804118E-3</v>
      </c>
      <c r="K100" s="191">
        <f>'Ανάπτυξη δικτύου'!P101/'Παραδοχές διείσδυσης - κάλυψης'!H220</f>
        <v>0.26169959458809866</v>
      </c>
      <c r="L100" s="161">
        <f t="shared" si="19"/>
        <v>6.8446715892518842E-2</v>
      </c>
      <c r="M100" s="192">
        <f t="shared" si="20"/>
        <v>1.8291813353498387E-2</v>
      </c>
      <c r="O100" s="191">
        <f>'Ανάπτυξη δικτύου'!V101/'Παραδοχές διείσδυσης - κάλυψης'!I220</f>
        <v>0.26378183634240981</v>
      </c>
      <c r="P100" s="161">
        <f t="shared" si="21"/>
        <v>7.9566105464874415E-3</v>
      </c>
      <c r="Q100" s="191">
        <f>'Ανάπτυξη δικτύου'!Y101/'Παραδοχές διείσδυσης - κάλυψης'!J221</f>
        <v>0.13270211291698111</v>
      </c>
      <c r="R100" s="161">
        <f t="shared" si="22"/>
        <v>-0.49692475131334207</v>
      </c>
      <c r="S100" s="191">
        <f>'Ανάπτυξη δικτύου'!AB101/'Παραδοχές διείσδυσης - κάλυψης'!K220</f>
        <v>0.30492365797112991</v>
      </c>
      <c r="T100" s="161">
        <f t="shared" si="23"/>
        <v>1.2978055983320413</v>
      </c>
      <c r="U100" s="191">
        <f>'Ανάπτυξη δικτύου'!AE101/'Παραδοχές διείσδυσης - κάλυψης'!L220</f>
        <v>0.32157574301192687</v>
      </c>
      <c r="V100" s="161">
        <f t="shared" si="24"/>
        <v>5.4610669278975968E-2</v>
      </c>
      <c r="W100" s="191">
        <f>'Ανάπτυξη δικτύου'!AH101/'Παραδοχές διείσδυσης - κάλυψης'!M220</f>
        <v>0.34321701967190194</v>
      </c>
      <c r="X100" s="161">
        <f t="shared" si="25"/>
        <v>6.7297602913949928E-2</v>
      </c>
      <c r="Y100" s="192">
        <f t="shared" si="26"/>
        <v>6.8023926494041653E-2</v>
      </c>
    </row>
    <row r="101" spans="2:25" outlineLevel="1" x14ac:dyDescent="0.35">
      <c r="B101" s="294" t="s">
        <v>99</v>
      </c>
      <c r="C101" s="62" t="s">
        <v>253</v>
      </c>
      <c r="D101" s="190">
        <f>'Ανάπτυξη δικτύου'!E102/'Παραδοχές διείσδυσης - κάλυψης'!D221</f>
        <v>0.46943100911010593</v>
      </c>
      <c r="E101" s="191">
        <f>'Ανάπτυξη δικτύου'!G102/'Παραδοχές διείσδυσης - κάλυψης'!E221</f>
        <v>0.50706766712364926</v>
      </c>
      <c r="F101" s="161">
        <f t="shared" si="16"/>
        <v>8.0175057214244602E-2</v>
      </c>
      <c r="G101" s="191">
        <f>'Ανάπτυξη δικτύου'!J102/'Παραδοχές διείσδυσης - κάλυψης'!F221</f>
        <v>0.55155426476376668</v>
      </c>
      <c r="H101" s="161">
        <f t="shared" si="17"/>
        <v>8.773305916440792E-2</v>
      </c>
      <c r="I101" s="191">
        <f>'Ανάπτυξη δικτύου'!M102/'Παραδοχές διείσδυσης - κάλυψης'!G221</f>
        <v>0.56138864084498175</v>
      </c>
      <c r="J101" s="161">
        <f t="shared" si="18"/>
        <v>1.7830296508408248E-2</v>
      </c>
      <c r="K101" s="191">
        <f>'Ανάπτυξη δικτύου'!P102/'Παραδοχές διείσδυσης - κάλυψης'!H221</f>
        <v>0.58255894106856609</v>
      </c>
      <c r="L101" s="161">
        <f t="shared" si="19"/>
        <v>3.7710595981635078E-2</v>
      </c>
      <c r="M101" s="192">
        <f t="shared" si="20"/>
        <v>5.546059656709601E-2</v>
      </c>
      <c r="O101" s="191">
        <f>'Ανάπτυξη δικτύου'!V102/'Παραδοχές διείσδυσης - κάλυψης'!I221</f>
        <v>0.59246833497189721</v>
      </c>
      <c r="P101" s="161">
        <f t="shared" si="21"/>
        <v>1.7010113835270797E-2</v>
      </c>
      <c r="Q101" s="191">
        <f>'Ανάπτυξη δικτύου'!Y102/'Παραδοχές διείσδυσης - κάλυψης'!J222</f>
        <v>2.3038298689410479</v>
      </c>
      <c r="R101" s="161">
        <f t="shared" si="22"/>
        <v>2.8885282688573164</v>
      </c>
      <c r="S101" s="191">
        <f>'Ανάπτυξη δικτύου'!AB102/'Παραδοχές διείσδυσης - κάλυψης'!K221</f>
        <v>0.61604613855823231</v>
      </c>
      <c r="T101" s="161">
        <f t="shared" si="23"/>
        <v>-0.73259911816257639</v>
      </c>
      <c r="U101" s="191">
        <f>'Ανάπτυξη δικτύου'!AE102/'Παραδοχές διείσδυσης - κάλυψης'!L221</f>
        <v>0.64090493239225133</v>
      </c>
      <c r="V101" s="161">
        <f t="shared" si="24"/>
        <v>4.0352162408155749E-2</v>
      </c>
      <c r="W101" s="191">
        <f>'Ανάπτυξη δικτύου'!AH102/'Παραδοχές διείσδυσης - κάλυψης'!M221</f>
        <v>0.64475873603380374</v>
      </c>
      <c r="X101" s="161">
        <f t="shared" si="25"/>
        <v>6.0130659740246437E-3</v>
      </c>
      <c r="Y101" s="192">
        <f t="shared" si="26"/>
        <v>2.1369824392724945E-2</v>
      </c>
    </row>
    <row r="102" spans="2:25" outlineLevel="1" x14ac:dyDescent="0.35">
      <c r="B102" s="294" t="s">
        <v>100</v>
      </c>
      <c r="C102" s="62" t="s">
        <v>253</v>
      </c>
      <c r="D102" s="190">
        <f>'Ανάπτυξη δικτύου'!E103/'Παραδοχές διείσδυσης - κάλυψης'!D222</f>
        <v>0.28780681471726755</v>
      </c>
      <c r="E102" s="191">
        <f>'Ανάπτυξη δικτύου'!G103/'Παραδοχές διείσδυσης - κάλυψης'!E222</f>
        <v>0.28935192167080326</v>
      </c>
      <c r="F102" s="161">
        <f t="shared" si="16"/>
        <v>5.3685558316385875E-3</v>
      </c>
      <c r="G102" s="191">
        <f>'Ανάπτυξη δικτύου'!J103/'Παραδοχές διείσδυσης - κάλυψης'!F222</f>
        <v>0.28935192167080326</v>
      </c>
      <c r="H102" s="161">
        <f t="shared" si="17"/>
        <v>0</v>
      </c>
      <c r="I102" s="191">
        <f>'Ανάπτυξη δικτύου'!M103/'Παραδοχές διείσδυσης - κάλυψης'!G222</f>
        <v>0.29039229368618397</v>
      </c>
      <c r="J102" s="161">
        <f t="shared" si="18"/>
        <v>3.5955248175760981E-3</v>
      </c>
      <c r="K102" s="191">
        <f>'Ανάπτυξη δικτύου'!P103/'Παραδοχές διείσδυσης - κάλυψης'!H222</f>
        <v>0.31696813328699786</v>
      </c>
      <c r="L102" s="161">
        <f t="shared" si="19"/>
        <v>9.151702775395755E-2</v>
      </c>
      <c r="M102" s="192">
        <f t="shared" si="20"/>
        <v>2.4421376560580743E-2</v>
      </c>
      <c r="O102" s="191">
        <f>'Ανάπτυξη δικτύου'!V103/'Παραδοχές διείσδυσης - κάλυψης'!I222</f>
        <v>0.32102661421828493</v>
      </c>
      <c r="P102" s="161">
        <f t="shared" si="21"/>
        <v>1.2804066103428571E-2</v>
      </c>
      <c r="Q102" s="191">
        <f>'Ανάπτυξη δικτύου'!Y103/'Παραδοχές διείσδυσης - κάλυψης'!J223</f>
        <v>0.36425888851607613</v>
      </c>
      <c r="R102" s="161">
        <f t="shared" si="22"/>
        <v>0.13466881679908016</v>
      </c>
      <c r="S102" s="191">
        <f>'Ανάπτυξη δικτύου'!AB103/'Παραδοχές διείσδυσης - κάλυψης'!K222</f>
        <v>0.38774433247195605</v>
      </c>
      <c r="T102" s="161">
        <f t="shared" si="23"/>
        <v>6.4474594021728102E-2</v>
      </c>
      <c r="U102" s="191">
        <f>'Ανάπτυξη δικτύου'!AE103/'Παραδοχές διείσδυσης - κάλυψης'!L222</f>
        <v>0.40861357705771145</v>
      </c>
      <c r="V102" s="161">
        <f t="shared" si="24"/>
        <v>5.3822178270690219E-2</v>
      </c>
      <c r="W102" s="191">
        <f>'Ανάπτυξη δικτύου'!AH103/'Παραδοχές διείσδυσης - κάλυψης'!M222</f>
        <v>0.48303622865301388</v>
      </c>
      <c r="X102" s="161">
        <f t="shared" si="25"/>
        <v>0.18213455394995642</v>
      </c>
      <c r="Y102" s="192">
        <f t="shared" si="26"/>
        <v>0.10754062844790013</v>
      </c>
    </row>
    <row r="103" spans="2:25" outlineLevel="1" x14ac:dyDescent="0.35">
      <c r="B103" s="294" t="s">
        <v>101</v>
      </c>
      <c r="C103" s="62" t="s">
        <v>253</v>
      </c>
      <c r="D103" s="190">
        <f>'Ανάπτυξη δικτύου'!E104/'Παραδοχές διείσδυσης - κάλυψης'!D223</f>
        <v>0.18793806241162056</v>
      </c>
      <c r="E103" s="191">
        <f>'Ανάπτυξη δικτύου'!G104/'Παραδοχές διείσδυσης - κάλυψης'!E223</f>
        <v>0.18919510952887914</v>
      </c>
      <c r="F103" s="161">
        <f t="shared" si="16"/>
        <v>6.6886244389675557E-3</v>
      </c>
      <c r="G103" s="191">
        <f>'Ανάπτυξη δικτύου'!J104/'Παραδοχές διείσδυσης - κάλυψης'!F223</f>
        <v>0.18919510952887914</v>
      </c>
      <c r="H103" s="161">
        <f t="shared" si="17"/>
        <v>0</v>
      </c>
      <c r="I103" s="191">
        <f>'Ανάπτυξη δικτύου'!M104/'Παραδοχές διείσδυσης - κάλυψης'!G223</f>
        <v>0.18931967617325604</v>
      </c>
      <c r="J103" s="161">
        <f t="shared" si="18"/>
        <v>6.5840308815113136E-4</v>
      </c>
      <c r="K103" s="191">
        <f>'Ανάπτυξη δικτύου'!P104/'Παραδοχές διείσδυσης - κάλυψης'!H223</f>
        <v>0.19369813164670319</v>
      </c>
      <c r="L103" s="161">
        <f t="shared" si="19"/>
        <v>2.3127313346132067E-2</v>
      </c>
      <c r="M103" s="192">
        <f t="shared" si="20"/>
        <v>7.5756691437631751E-3</v>
      </c>
      <c r="O103" s="191">
        <f>'Ανάπτυξη δικτύου'!V104/'Παραδοχές διείσδυσης - κάλυψης'!I223</f>
        <v>0.19369813164670319</v>
      </c>
      <c r="P103" s="161">
        <f t="shared" si="21"/>
        <v>0</v>
      </c>
      <c r="Q103" s="191">
        <f>'Ανάπτυξη δικτύου'!Y104/'Παραδοχές διείσδυσης - κάλυψης'!J224</f>
        <v>0.24866858181426327</v>
      </c>
      <c r="R103" s="161">
        <f t="shared" si="22"/>
        <v>0.28379442641100816</v>
      </c>
      <c r="S103" s="191">
        <f>'Ανάπτυξη δικτύου'!AB104/'Παραδοχές διείσδυσης - κάλυψης'!K223</f>
        <v>0.19369813164670319</v>
      </c>
      <c r="T103" s="161">
        <f t="shared" si="23"/>
        <v>-0.22105908903529628</v>
      </c>
      <c r="U103" s="191">
        <f>'Ανάπτυξη δικτύου'!AE104/'Παραδοχές διείσδυσης - κάλυψης'!L223</f>
        <v>0.19369813164670319</v>
      </c>
      <c r="V103" s="161">
        <f t="shared" si="24"/>
        <v>0</v>
      </c>
      <c r="W103" s="191">
        <f>'Ανάπτυξη δικτύου'!AH104/'Παραδοχές διείσδυσης - κάλυψης'!M223</f>
        <v>0.19369813164670319</v>
      </c>
      <c r="X103" s="161">
        <f t="shared" si="25"/>
        <v>0</v>
      </c>
      <c r="Y103" s="192">
        <f t="shared" si="26"/>
        <v>0</v>
      </c>
    </row>
    <row r="104" spans="2:25" outlineLevel="1" x14ac:dyDescent="0.35">
      <c r="B104" s="294" t="s">
        <v>102</v>
      </c>
      <c r="C104" s="62" t="s">
        <v>253</v>
      </c>
      <c r="D104" s="190">
        <f>'Ανάπτυξη δικτύου'!E105/'Παραδοχές διείσδυσης - κάλυψης'!D224</f>
        <v>0.74834261974057248</v>
      </c>
      <c r="E104" s="191">
        <f>'Ανάπτυξη δικτύου'!G105/'Παραδοχές διείσδυσης - κάλυψης'!E224</f>
        <v>0.76490687992452633</v>
      </c>
      <c r="F104" s="161">
        <f t="shared" si="16"/>
        <v>2.2134594164496701E-2</v>
      </c>
      <c r="G104" s="191">
        <f>'Ανάπτυξη δικτύου'!J105/'Παραδοχές διείσδυσης - κάλυψης'!F224</f>
        <v>0.76490687992452633</v>
      </c>
      <c r="H104" s="161">
        <f t="shared" si="17"/>
        <v>0</v>
      </c>
      <c r="I104" s="191">
        <f>'Ανάπτυξη δικτύου'!M105/'Παραδοχές διείσδυσης - κάλυψης'!G224</f>
        <v>0.77191325250654519</v>
      </c>
      <c r="J104" s="161">
        <f t="shared" si="18"/>
        <v>9.1597719485935099E-3</v>
      </c>
      <c r="K104" s="191">
        <f>'Ανάπτυξη δικτύου'!P105/'Παραδοχές διείσδυσης - κάλυψης'!H224</f>
        <v>0.78521539874520263</v>
      </c>
      <c r="L104" s="161">
        <f t="shared" si="19"/>
        <v>1.7232695766607079E-2</v>
      </c>
      <c r="M104" s="192">
        <f t="shared" si="20"/>
        <v>1.2096870519384018E-2</v>
      </c>
      <c r="O104" s="191">
        <f>'Ανάπτυξη δικτύου'!V105/'Παραδοχές διείσδυσης - κάλυψης'!I224</f>
        <v>0.78804451222381877</v>
      </c>
      <c r="P104" s="161">
        <f t="shared" si="21"/>
        <v>3.6029775818675332E-3</v>
      </c>
      <c r="Q104" s="191">
        <f>'Ανάπτυξη δικτύου'!Y105/'Παραδοχές διείσδυσης - κάλυψης'!J225</f>
        <v>0.7510224050632911</v>
      </c>
      <c r="R104" s="161">
        <f t="shared" si="22"/>
        <v>-4.6979715721962585E-2</v>
      </c>
      <c r="S104" s="191">
        <f>'Ανάπτυξη δικτύου'!AB105/'Παραδοχές διείσδυσης - κάλυψης'!K224</f>
        <v>0.79642559487643283</v>
      </c>
      <c r="T104" s="161">
        <f t="shared" si="23"/>
        <v>6.0455173516847954E-2</v>
      </c>
      <c r="U104" s="191">
        <f>'Ανάπτυξη δικτύου'!AE105/'Παραδοχές διείσδυσης - κάλυψης'!L224</f>
        <v>0.79642559487643283</v>
      </c>
      <c r="V104" s="161">
        <f t="shared" si="24"/>
        <v>0</v>
      </c>
      <c r="W104" s="191">
        <f>'Ανάπτυξη δικτύου'!AH105/'Παραδοχές διείσδυσης - κάλυψης'!M224</f>
        <v>0.79642559487643283</v>
      </c>
      <c r="X104" s="161">
        <f t="shared" si="25"/>
        <v>0</v>
      </c>
      <c r="Y104" s="192">
        <f t="shared" si="26"/>
        <v>2.6482840340040781E-3</v>
      </c>
    </row>
    <row r="105" spans="2:25" outlineLevel="1" x14ac:dyDescent="0.35">
      <c r="B105" s="294" t="s">
        <v>103</v>
      </c>
      <c r="C105" s="62" t="s">
        <v>253</v>
      </c>
      <c r="D105" s="190">
        <f>'Ανάπτυξη δικτύου'!E106/'Παραδοχές διείσδυσης - κάλυψης'!D225</f>
        <v>8.8540189873417718E-2</v>
      </c>
      <c r="E105" s="191">
        <f>'Ανάπτυξη δικτύου'!G106/'Παραδοχές διείσδυσης - κάλυψης'!E225</f>
        <v>9.5456645569620246E-2</v>
      </c>
      <c r="F105" s="161">
        <f t="shared" si="16"/>
        <v>7.8116567245797658E-2</v>
      </c>
      <c r="G105" s="191">
        <f>'Ανάπτυξη δικτύου'!J106/'Παραδοχές διείσδυσης - κάλυψης'!F225</f>
        <v>9.5456645569620246E-2</v>
      </c>
      <c r="H105" s="161">
        <f t="shared" si="17"/>
        <v>0</v>
      </c>
      <c r="I105" s="191">
        <f>'Ανάπτυξη δικτύου'!M106/'Παραδοχές διείσδυσης - κάλυψης'!G225</f>
        <v>9.5456645569620246E-2</v>
      </c>
      <c r="J105" s="161">
        <f t="shared" si="18"/>
        <v>0</v>
      </c>
      <c r="K105" s="191">
        <f>'Ανάπτυξη δικτύου'!P106/'Παραδοχές διείσδυσης - κάλυψης'!H225</f>
        <v>9.5456645569620246E-2</v>
      </c>
      <c r="L105" s="161">
        <f t="shared" si="19"/>
        <v>0</v>
      </c>
      <c r="M105" s="192">
        <f t="shared" si="20"/>
        <v>1.8981806569472015E-2</v>
      </c>
      <c r="O105" s="191">
        <f>'Ανάπτυξη δικτύου'!V106/'Παραδοχές διείσδυσης - κάλυψης'!I225</f>
        <v>9.5456645569620246E-2</v>
      </c>
      <c r="P105" s="161">
        <f t="shared" si="21"/>
        <v>0</v>
      </c>
      <c r="Q105" s="191">
        <f>'Ανάπτυξη δικτύου'!Y106/'Παραδοχές διείσδυσης - κάλυψης'!J226</f>
        <v>0.16961813669508791</v>
      </c>
      <c r="R105" s="161">
        <f t="shared" si="22"/>
        <v>0.77691281401019685</v>
      </c>
      <c r="S105" s="191">
        <f>'Ανάπτυξη δικτύου'!AB106/'Παραδοχές διείσδυσης - κάλυψης'!K225</f>
        <v>9.5456645569620246E-2</v>
      </c>
      <c r="T105" s="161">
        <f t="shared" si="23"/>
        <v>-0.4372261868362769</v>
      </c>
      <c r="U105" s="191">
        <f>'Ανάπτυξη δικτύου'!AE106/'Παραδοχές διείσδυσης - κάλυψης'!L225</f>
        <v>9.5456645569620246E-2</v>
      </c>
      <c r="V105" s="161">
        <f t="shared" si="24"/>
        <v>0</v>
      </c>
      <c r="W105" s="191">
        <f>'Ανάπτυξη δικτύου'!AH106/'Παραδοχές διείσδυσης - κάλυψης'!M225</f>
        <v>9.5456645569620246E-2</v>
      </c>
      <c r="X105" s="161">
        <f t="shared" si="25"/>
        <v>0</v>
      </c>
      <c r="Y105" s="192">
        <f t="shared" si="26"/>
        <v>0</v>
      </c>
    </row>
    <row r="106" spans="2:25" outlineLevel="1" x14ac:dyDescent="0.35">
      <c r="B106" s="294" t="s">
        <v>104</v>
      </c>
      <c r="C106" s="62" t="s">
        <v>253</v>
      </c>
      <c r="D106" s="190">
        <f>'Ανάπτυξη δικτύου'!E107/'Παραδοχές διείσδυσης - κάλυψης'!D226</f>
        <v>0</v>
      </c>
      <c r="E106" s="191">
        <f>'Ανάπτυξη δικτύου'!G107/'Παραδοχές διείσδυσης - κάλυψης'!E226</f>
        <v>0</v>
      </c>
      <c r="F106" s="161">
        <f t="shared" si="16"/>
        <v>0</v>
      </c>
      <c r="G106" s="191">
        <f>'Ανάπτυξη δικτύου'!J107/'Παραδοχές διείσδυσης - κάλυψης'!F226</f>
        <v>0</v>
      </c>
      <c r="H106" s="161">
        <f t="shared" si="17"/>
        <v>0</v>
      </c>
      <c r="I106" s="191">
        <f>'Ανάπτυξη δικτύου'!M107/'Παραδοχές διείσδυσης - κάλυψης'!G226</f>
        <v>0</v>
      </c>
      <c r="J106" s="161">
        <f t="shared" si="18"/>
        <v>0</v>
      </c>
      <c r="K106" s="191">
        <f>'Ανάπτυξη δικτύου'!P107/'Παραδοχές διείσδυσης - κάλυψης'!H226</f>
        <v>0</v>
      </c>
      <c r="L106" s="161">
        <f t="shared" si="19"/>
        <v>0</v>
      </c>
      <c r="M106" s="192">
        <f t="shared" si="20"/>
        <v>0</v>
      </c>
      <c r="O106" s="191">
        <f>'Ανάπτυξη δικτύου'!V107/'Παραδοχές διείσδυσης - κάλυψης'!I226</f>
        <v>0</v>
      </c>
      <c r="P106" s="161">
        <f t="shared" si="21"/>
        <v>0</v>
      </c>
      <c r="Q106" s="191">
        <v>0</v>
      </c>
      <c r="R106" s="161">
        <f t="shared" si="22"/>
        <v>0</v>
      </c>
      <c r="S106" s="191">
        <f>'Ανάπτυξη δικτύου'!AB107/'Παραδοχές διείσδυσης - κάλυψης'!K226</f>
        <v>0</v>
      </c>
      <c r="T106" s="161">
        <f t="shared" si="23"/>
        <v>0</v>
      </c>
      <c r="U106" s="191">
        <f>'Ανάπτυξη δικτύου'!AE107/'Παραδοχές διείσδυσης - κάλυψης'!L226</f>
        <v>0.1124628363297593</v>
      </c>
      <c r="V106" s="161">
        <f t="shared" si="24"/>
        <v>0</v>
      </c>
      <c r="W106" s="191">
        <f>'Ανάπτυξη δικτύου'!AH107/'Παραδοχές διείσδυσης - κάλυψης'!M226</f>
        <v>0.2249256726595186</v>
      </c>
      <c r="X106" s="161">
        <f t="shared" si="25"/>
        <v>1</v>
      </c>
      <c r="Y106" s="192">
        <f t="shared" si="26"/>
        <v>0</v>
      </c>
    </row>
    <row r="107" spans="2:25" outlineLevel="1" x14ac:dyDescent="0.35">
      <c r="B107" s="294" t="s">
        <v>136</v>
      </c>
      <c r="C107" s="62" t="s">
        <v>253</v>
      </c>
      <c r="D107" s="190" t="e">
        <f>'Ανάπτυξη δικτύου'!E108/'Παραδοχές διείσδυσης - κάλυψης'!D227</f>
        <v>#DIV/0!</v>
      </c>
      <c r="E107" s="191" t="e">
        <f>'Ανάπτυξη δικτύου'!G108/'Παραδοχές διείσδυσης - κάλυψης'!E227</f>
        <v>#DIV/0!</v>
      </c>
      <c r="F107" s="161">
        <f t="shared" si="16"/>
        <v>0</v>
      </c>
      <c r="G107" s="191" t="e">
        <f>'Ανάπτυξη δικτύου'!J108/'Παραδοχές διείσδυσης - κάλυψης'!F227</f>
        <v>#DIV/0!</v>
      </c>
      <c r="H107" s="161">
        <f t="shared" si="17"/>
        <v>0</v>
      </c>
      <c r="I107" s="191" t="e">
        <f>'Ανάπτυξη δικτύου'!M108/'Παραδοχές διείσδυσης - κάλυψης'!G227</f>
        <v>#DIV/0!</v>
      </c>
      <c r="J107" s="161">
        <f t="shared" si="18"/>
        <v>0</v>
      </c>
      <c r="K107" s="191" t="e">
        <f>'Ανάπτυξη δικτύου'!P108/'Παραδοχές διείσδυσης - κάλυψης'!H227</f>
        <v>#DIV/0!</v>
      </c>
      <c r="L107" s="161">
        <f t="shared" si="19"/>
        <v>0</v>
      </c>
      <c r="M107" s="192">
        <f t="shared" si="20"/>
        <v>0</v>
      </c>
      <c r="O107" s="191" t="e">
        <f>'Ανάπτυξη δικτύου'!V108/'Παραδοχές διείσδυσης - κάλυψης'!I227</f>
        <v>#DIV/0!</v>
      </c>
      <c r="P107" s="161">
        <f t="shared" si="21"/>
        <v>0</v>
      </c>
      <c r="Q107" s="191">
        <f>'Ανάπτυξη δικτύου'!Y108/'Παραδοχές διείσδυσης - κάλυψης'!J228</f>
        <v>0</v>
      </c>
      <c r="R107" s="161">
        <f t="shared" si="22"/>
        <v>0</v>
      </c>
      <c r="S107" s="191" t="e">
        <f>'Ανάπτυξη δικτύου'!AB108/'Παραδοχές διείσδυσης - κάλυψης'!K227</f>
        <v>#DIV/0!</v>
      </c>
      <c r="T107" s="161">
        <f t="shared" si="23"/>
        <v>0</v>
      </c>
      <c r="U107" s="191" t="e">
        <f>'Ανάπτυξη δικτύου'!AE108/'Παραδοχές διείσδυσης - κάλυψης'!L227</f>
        <v>#DIV/0!</v>
      </c>
      <c r="V107" s="161">
        <f t="shared" si="24"/>
        <v>0</v>
      </c>
      <c r="W107" s="191" t="e">
        <f>'Ανάπτυξη δικτύου'!AH108/'Παραδοχές διείσδυσης - κάλυψης'!M227</f>
        <v>#DIV/0!</v>
      </c>
      <c r="X107" s="161">
        <f t="shared" si="25"/>
        <v>0</v>
      </c>
      <c r="Y107" s="192">
        <f t="shared" si="26"/>
        <v>0</v>
      </c>
    </row>
    <row r="108" spans="2:25" outlineLevel="1" x14ac:dyDescent="0.35">
      <c r="B108" s="294" t="s">
        <v>106</v>
      </c>
      <c r="C108" s="62" t="s">
        <v>253</v>
      </c>
      <c r="D108" s="190">
        <f>'Ανάπτυξη δικτύου'!E109/'Παραδοχές διείσδυσης - κάλυψης'!D228</f>
        <v>0.34450968490699896</v>
      </c>
      <c r="E108" s="191">
        <f>'Ανάπτυξη δικτύου'!G109/'Παραδοχές διείσδυσης - κάλυψης'!E228</f>
        <v>0.34878733966716885</v>
      </c>
      <c r="F108" s="161">
        <f t="shared" si="16"/>
        <v>1.2416645881304185E-2</v>
      </c>
      <c r="G108" s="191">
        <f>'Ανάπτυξη δικτύου'!J109/'Παραδοχές διείσδυσης - κάλυψης'!F228</f>
        <v>0.37630455935241885</v>
      </c>
      <c r="H108" s="161">
        <f t="shared" si="17"/>
        <v>7.8893975083810033E-2</v>
      </c>
      <c r="I108" s="191">
        <f>'Ανάπτυξη δικτύου'!M109/'Παραδοχές διείσδυσης - κάλυψης'!G228</f>
        <v>0.38932110447320467</v>
      </c>
      <c r="J108" s="161">
        <f t="shared" si="18"/>
        <v>3.4590452858678997E-2</v>
      </c>
      <c r="K108" s="191">
        <f>'Ανάπτυξη δικτύου'!P109/'Παραδοχές διείσδυσης - κάλυψης'!H228</f>
        <v>0.41802938780289711</v>
      </c>
      <c r="L108" s="161">
        <f t="shared" si="19"/>
        <v>7.3739345234155707E-2</v>
      </c>
      <c r="M108" s="192">
        <f t="shared" si="20"/>
        <v>4.954567830161305E-2</v>
      </c>
      <c r="O108" s="191">
        <f>'Ανάπτυξη δικτύου'!V109/'Παραδοχές διείσδυσης - κάλυψης'!I228</f>
        <v>0.41971036899096797</v>
      </c>
      <c r="P108" s="161">
        <f t="shared" si="21"/>
        <v>4.0212033821494225E-3</v>
      </c>
      <c r="Q108" s="191">
        <f>'Ανάπτυξη δικτύου'!Y109/'Παραδοχές διείσδυσης - κάλυψης'!J229</f>
        <v>0.42630688001090161</v>
      </c>
      <c r="R108" s="161">
        <f t="shared" si="22"/>
        <v>1.571681689873998E-2</v>
      </c>
      <c r="S108" s="191">
        <f>'Ανάπτυξη δικτύου'!AB109/'Παραδοχές διείσδυσης - κάλυψης'!K228</f>
        <v>0.43269373685146295</v>
      </c>
      <c r="T108" s="161">
        <f t="shared" si="23"/>
        <v>1.4981829147111145E-2</v>
      </c>
      <c r="U108" s="191">
        <f>'Ανάπτυξη δικτύου'!AE109/'Παραδοχές διείσδυσης - κάλυψης'!L228</f>
        <v>0.44371964635479644</v>
      </c>
      <c r="V108" s="161">
        <f t="shared" si="24"/>
        <v>2.5482017797540966E-2</v>
      </c>
      <c r="W108" s="191">
        <f>'Ανάπτυξη δικτύου'!AH109/'Παραδοχές διείσδυσης - κάλυψης'!M228</f>
        <v>0.4900793380679096</v>
      </c>
      <c r="X108" s="161">
        <f t="shared" si="25"/>
        <v>0.1044796913861329</v>
      </c>
      <c r="Y108" s="192">
        <f t="shared" si="26"/>
        <v>3.9511201557334896E-2</v>
      </c>
    </row>
    <row r="109" spans="2:25" outlineLevel="1" x14ac:dyDescent="0.35">
      <c r="B109" s="294" t="s">
        <v>107</v>
      </c>
      <c r="C109" s="62" t="s">
        <v>253</v>
      </c>
      <c r="D109" s="190">
        <f>'Ανάπτυξη δικτύου'!E110/'Παραδοχές διείσδυσης - κάλυψης'!D229</f>
        <v>0.48478619860191502</v>
      </c>
      <c r="E109" s="191">
        <f>'Ανάπτυξη δικτύου'!G110/'Παραδοχές διείσδυσης - κάλυψης'!E229</f>
        <v>0.50853151806661778</v>
      </c>
      <c r="F109" s="161">
        <f t="shared" si="16"/>
        <v>4.8981013760668893E-2</v>
      </c>
      <c r="G109" s="191">
        <f>'Ανάπτυξη δικτύου'!J110/'Παραδοχές διείσδυσης - κάλυψης'!F229</f>
        <v>0.59030158138362543</v>
      </c>
      <c r="H109" s="161">
        <f t="shared" si="17"/>
        <v>0.16079645098083328</v>
      </c>
      <c r="I109" s="191">
        <f>'Ανάπτυξη δικτύου'!M110/'Παραδοχές διείσδυσης - κάλυψης'!G229</f>
        <v>0.59030158138362543</v>
      </c>
      <c r="J109" s="161">
        <f t="shared" si="18"/>
        <v>0</v>
      </c>
      <c r="K109" s="191">
        <f>'Ανάπτυξη δικτύου'!P110/'Παραδοχές διείσδυσης - κάλυψης'!H229</f>
        <v>0.60162236646315836</v>
      </c>
      <c r="L109" s="161">
        <f t="shared" si="19"/>
        <v>1.9177968408957691E-2</v>
      </c>
      <c r="M109" s="192">
        <f t="shared" si="20"/>
        <v>5.5464016216215439E-2</v>
      </c>
      <c r="O109" s="191">
        <f>'Ανάπτυξη δικτύου'!V110/'Παραδοχές διείσδυσης - κάλυψης'!I229</f>
        <v>0.6054794963170127</v>
      </c>
      <c r="P109" s="161">
        <f t="shared" si="21"/>
        <v>6.4112141916029229E-3</v>
      </c>
      <c r="Q109" s="191">
        <f>'Ανάπτυξη δικτύου'!Y110/'Παραδοχές διείσδυσης - κάλυψης'!J230</f>
        <v>0.50411640949635561</v>
      </c>
      <c r="R109" s="161">
        <f t="shared" si="22"/>
        <v>-0.16740961079148767</v>
      </c>
      <c r="S109" s="191">
        <f>'Ανάπτυξη δικτύου'!AB110/'Παραδοχές διείσδυσης - κάλυψης'!K229</f>
        <v>0.63404840726844236</v>
      </c>
      <c r="T109" s="161">
        <f t="shared" si="23"/>
        <v>0.25774205188420091</v>
      </c>
      <c r="U109" s="191">
        <f>'Ανάπτυξη δικτύου'!AE110/'Παραδοχές διείσδυσης - κάλυψης'!L229</f>
        <v>0.63404840726844236</v>
      </c>
      <c r="V109" s="161">
        <f t="shared" si="24"/>
        <v>0</v>
      </c>
      <c r="W109" s="191">
        <f>'Ανάπτυξη δικτύου'!AH110/'Παραδοχές διείσδυσης - κάλυψης'!M229</f>
        <v>0.63934378893220845</v>
      </c>
      <c r="X109" s="161">
        <f t="shared" si="25"/>
        <v>8.3516993388237249E-3</v>
      </c>
      <c r="Y109" s="192">
        <f t="shared" si="26"/>
        <v>1.36983798312178E-2</v>
      </c>
    </row>
    <row r="110" spans="2:25" outlineLevel="1" x14ac:dyDescent="0.35">
      <c r="B110" s="294" t="s">
        <v>108</v>
      </c>
      <c r="C110" s="62" t="s">
        <v>253</v>
      </c>
      <c r="D110" s="190">
        <f>'Ανάπτυξη δικτύου'!E111/'Παραδοχές διείσδυσης - κάλυψης'!D230</f>
        <v>0.40447552969358302</v>
      </c>
      <c r="E110" s="191">
        <f>'Ανάπτυξη δικτύου'!G111/'Παραδοχές διείσδυσης - κάλυψης'!E230</f>
        <v>0.45485084459183428</v>
      </c>
      <c r="F110" s="161">
        <f t="shared" si="16"/>
        <v>0.12454477761958527</v>
      </c>
      <c r="G110" s="191">
        <f>'Ανάπτυξη δικτύου'!J111/'Παραδοχές διείσδυσης - κάλυψης'!F230</f>
        <v>0.45840949249990975</v>
      </c>
      <c r="H110" s="161">
        <f t="shared" si="17"/>
        <v>7.8237689352184635E-3</v>
      </c>
      <c r="I110" s="191">
        <f>'Ανάπτυξη δικτύου'!M111/'Παραδοχές διείσδυσης - κάλυψης'!G230</f>
        <v>0.47391092798408407</v>
      </c>
      <c r="J110" s="161">
        <f t="shared" si="18"/>
        <v>3.3815694783365269E-2</v>
      </c>
      <c r="K110" s="191">
        <f>'Ανάπτυξη δικτύου'!P111/'Παραδοχές διείσδυσης - κάλυψης'!H230</f>
        <v>0.49836858406526946</v>
      </c>
      <c r="L110" s="161">
        <f t="shared" si="19"/>
        <v>5.1608128525803432E-2</v>
      </c>
      <c r="M110" s="192">
        <f t="shared" si="20"/>
        <v>5.357292457907592E-2</v>
      </c>
      <c r="O110" s="191">
        <f>'Ανάπτυξη δικτύου'!V111/'Παραδοχές διείσδυσης - κάλυψης'!I230</f>
        <v>0.51593560148924122</v>
      </c>
      <c r="P110" s="161">
        <f t="shared" si="21"/>
        <v>3.5249046560429015E-2</v>
      </c>
      <c r="Q110" s="191">
        <f>'Ανάπτυξη δικτύου'!Y111/'Παραδοχές διείσδυσης - κάλυψης'!J231</f>
        <v>0.67835760151677216</v>
      </c>
      <c r="R110" s="161">
        <f t="shared" si="22"/>
        <v>0.31481060729033233</v>
      </c>
      <c r="S110" s="191">
        <f>'Ανάπτυξη δικτύου'!AB111/'Παραδοχές διείσδυσης - κάλυψης'!K230</f>
        <v>0.58141820333808281</v>
      </c>
      <c r="T110" s="161">
        <f t="shared" si="23"/>
        <v>-0.14290309117482861</v>
      </c>
      <c r="U110" s="191">
        <f>'Ανάπτυξη δικτύου'!AE111/'Παραδοχές διείσδυσης - κάλυψης'!L230</f>
        <v>0.64870188126753958</v>
      </c>
      <c r="V110" s="161">
        <f t="shared" si="24"/>
        <v>0.11572337698263067</v>
      </c>
      <c r="W110" s="191">
        <f>'Ανάπτυξη δικτύου'!AH111/'Παραδοχές διείσδυσης - κάλυψης'!M230</f>
        <v>0.66427640389701426</v>
      </c>
      <c r="X110" s="161">
        <f t="shared" si="25"/>
        <v>2.4008752061952757E-2</v>
      </c>
      <c r="Y110" s="192">
        <f t="shared" si="26"/>
        <v>6.5217597137730898E-2</v>
      </c>
    </row>
    <row r="111" spans="2:25" outlineLevel="1" x14ac:dyDescent="0.35">
      <c r="B111" s="294" t="s">
        <v>109</v>
      </c>
      <c r="C111" s="62" t="s">
        <v>253</v>
      </c>
      <c r="D111" s="190">
        <f>'Ανάπτυξη δικτύου'!E112/'Παραδοχές διείσδυσης - κάλυψης'!D231</f>
        <v>0.9701394310594591</v>
      </c>
      <c r="E111" s="191">
        <f>'Ανάπτυξη δικτύου'!G112/'Παραδοχές διείσδυσης - κάλυψης'!E231</f>
        <v>0.9701394310594591</v>
      </c>
      <c r="F111" s="161">
        <f t="shared" si="16"/>
        <v>0</v>
      </c>
      <c r="G111" s="191">
        <f>'Ανάπτυξη δικτύου'!J112/'Παραδοχές διείσδυσης - κάλυψης'!F231</f>
        <v>0.97096310895000859</v>
      </c>
      <c r="H111" s="161">
        <f t="shared" si="17"/>
        <v>8.4903042199818343E-4</v>
      </c>
      <c r="I111" s="191">
        <f>'Ανάπτυξη δικτύου'!M112/'Παραδοχές διείσδυσης - κάλυψης'!G231</f>
        <v>0.97096310895000859</v>
      </c>
      <c r="J111" s="161">
        <f t="shared" si="18"/>
        <v>0</v>
      </c>
      <c r="K111" s="191">
        <f>'Ανάπτυξη δικτύου'!P112/'Παραδοχές διείσδυσης - κάλυψης'!H231</f>
        <v>0.97862216933504875</v>
      </c>
      <c r="L111" s="161">
        <f t="shared" si="19"/>
        <v>7.8881064732959898E-3</v>
      </c>
      <c r="M111" s="192">
        <f t="shared" si="20"/>
        <v>2.1788272529630337E-3</v>
      </c>
      <c r="O111" s="191">
        <f>'Ανάπτυξη δικτύου'!V112/'Παραδοχές διείσδυσης - κάλυψης'!I231</f>
        <v>0.97862216933504875</v>
      </c>
      <c r="P111" s="161">
        <f t="shared" si="21"/>
        <v>0</v>
      </c>
      <c r="Q111" s="191">
        <f>'Ανάπτυξη δικτύου'!Y112/'Παραδοχές διείσδυσης - κάλυψης'!J232</f>
        <v>1.0492031922926481</v>
      </c>
      <c r="R111" s="161">
        <f t="shared" si="22"/>
        <v>7.2122853098205986E-2</v>
      </c>
      <c r="S111" s="191">
        <f>'Ανάπτυξη δικτύου'!AB112/'Παραδοχές διείσδυσης - κάλυψης'!K231</f>
        <v>0.98769406610179522</v>
      </c>
      <c r="T111" s="161">
        <f t="shared" si="23"/>
        <v>-5.8624608314855879E-2</v>
      </c>
      <c r="U111" s="191">
        <f>'Ανάπτυξη δικτύου'!AE112/'Παραδοχές διείσδυσης - κάλυψης'!L231</f>
        <v>0.98769406610179522</v>
      </c>
      <c r="V111" s="161">
        <f t="shared" si="24"/>
        <v>0</v>
      </c>
      <c r="W111" s="191">
        <f>'Ανάπτυξη δικτύου'!AH112/'Παραδοχές διείσδυσης - κάλυψης'!M231</f>
        <v>0.98769406610179522</v>
      </c>
      <c r="X111" s="161">
        <f t="shared" si="25"/>
        <v>0</v>
      </c>
      <c r="Y111" s="192">
        <f t="shared" si="26"/>
        <v>2.3095046493162297E-3</v>
      </c>
    </row>
    <row r="112" spans="2:25" outlineLevel="1" x14ac:dyDescent="0.35">
      <c r="B112" s="294" t="s">
        <v>110</v>
      </c>
      <c r="C112" s="62" t="s">
        <v>253</v>
      </c>
      <c r="D112" s="190">
        <f>'Ανάπτυξη δικτύου'!E113/'Παραδοχές διείσδυσης - κάλυψης'!D232</f>
        <v>0.27188724095840183</v>
      </c>
      <c r="E112" s="191">
        <f>'Ανάπτυξη δικτύου'!G113/'Παραδοχές διείσδυσης - κάλυψης'!E232</f>
        <v>0.28000057419823471</v>
      </c>
      <c r="F112" s="161">
        <f t="shared" si="16"/>
        <v>2.9840801691294511E-2</v>
      </c>
      <c r="G112" s="191">
        <f>'Ανάπτυξη δικτύου'!J113/'Παραδοχές διείσδυσης - κάλυψης'!F232</f>
        <v>0.28555296415692305</v>
      </c>
      <c r="H112" s="161">
        <f t="shared" si="17"/>
        <v>1.982992347279032E-2</v>
      </c>
      <c r="I112" s="191">
        <f>'Ανάπτυξη δικτύου'!M113/'Παραδοχές διείσδυσης - κάλυψης'!G232</f>
        <v>0.29088114892797096</v>
      </c>
      <c r="J112" s="161">
        <f t="shared" si="18"/>
        <v>1.8659182147798856E-2</v>
      </c>
      <c r="K112" s="191">
        <f>'Ανάπτυξη δικτύου'!P113/'Παραδοχές διείσδυσης - κάλυψης'!H232</f>
        <v>0.30728565869104957</v>
      </c>
      <c r="L112" s="161">
        <f t="shared" si="19"/>
        <v>5.6395919170206373E-2</v>
      </c>
      <c r="M112" s="192">
        <f t="shared" si="20"/>
        <v>3.1070510982167399E-2</v>
      </c>
      <c r="O112" s="191">
        <f>'Ανάπτυξη δικτύου'!V113/'Παραδοχές διείσδυσης - κάλυψης'!I232</f>
        <v>0.30956695874034496</v>
      </c>
      <c r="P112" s="161">
        <f t="shared" si="21"/>
        <v>7.424036835995157E-3</v>
      </c>
      <c r="Q112" s="191">
        <f>'Ανάπτυξη δικτύου'!Y113/'Παραδοχές διείσδυσης - κάλυψης'!J233</f>
        <v>0.11928060360294747</v>
      </c>
      <c r="R112" s="161">
        <f t="shared" si="22"/>
        <v>-0.61468561086651274</v>
      </c>
      <c r="S112" s="191">
        <f>'Ανάπτυξη δικτύου'!AB113/'Παραδοχές διείσδυσης - κάλυψης'!K232</f>
        <v>0.31730620783230951</v>
      </c>
      <c r="T112" s="161">
        <f t="shared" si="23"/>
        <v>1.6601660139861061</v>
      </c>
      <c r="U112" s="191">
        <f>'Ανάπτυξη δικτύου'!AE113/'Παραδοχές διείσδυσης - κάλυψης'!L232</f>
        <v>0.31730620783230951</v>
      </c>
      <c r="V112" s="161">
        <f t="shared" si="24"/>
        <v>0</v>
      </c>
      <c r="W112" s="191">
        <f>'Ανάπτυξη δικτύου'!AH113/'Παραδοχές διείσδυσης - κάλυψης'!M232</f>
        <v>0.33505374101150553</v>
      </c>
      <c r="X112" s="161">
        <f t="shared" si="25"/>
        <v>5.5931881384984672E-2</v>
      </c>
      <c r="Y112" s="192">
        <f t="shared" si="26"/>
        <v>1.9976034641719043E-2</v>
      </c>
    </row>
    <row r="113" spans="2:25" outlineLevel="1" x14ac:dyDescent="0.35">
      <c r="B113" s="294" t="s">
        <v>111</v>
      </c>
      <c r="C113" s="62" t="s">
        <v>253</v>
      </c>
      <c r="D113" s="190">
        <f>'Ανάπτυξη δικτύου'!E114/'Παραδοχές διείσδυσης - κάλυψης'!D233</f>
        <v>0.19649120574682941</v>
      </c>
      <c r="E113" s="191">
        <f>'Ανάπτυξη δικτύου'!G114/'Παραδοχές διείσδυσης - κάλυψης'!E233</f>
        <v>0.20206918764215917</v>
      </c>
      <c r="F113" s="161">
        <f t="shared" si="16"/>
        <v>2.8387946799597524E-2</v>
      </c>
      <c r="G113" s="191">
        <f>'Ανάπτυξη δικτύου'!J114/'Παραδοχές διείσδυσης - κάλυψης'!F233</f>
        <v>0.20718261339048316</v>
      </c>
      <c r="H113" s="161">
        <f t="shared" si="17"/>
        <v>2.530532144949911E-2</v>
      </c>
      <c r="I113" s="191">
        <f>'Ανάπτυξη δικτύου'!M114/'Παραδοχές διείσδυσης - κάλυψης'!G233</f>
        <v>0.20718261339048316</v>
      </c>
      <c r="J113" s="161">
        <f t="shared" si="18"/>
        <v>0</v>
      </c>
      <c r="K113" s="191">
        <f>'Ανάπτυξη δικτύου'!P114/'Παραδοχές διείσδυσης - κάλυψης'!H233</f>
        <v>0.21447467986891561</v>
      </c>
      <c r="L113" s="161">
        <f t="shared" si="19"/>
        <v>3.5196324436205823E-2</v>
      </c>
      <c r="M113" s="192">
        <f t="shared" si="20"/>
        <v>2.2134924624505725E-2</v>
      </c>
      <c r="O113" s="191">
        <f>'Ανάπτυξη δικτύου'!V114/'Παραδοχές διείσδυσης - κάλυψης'!I233</f>
        <v>0.21510795071020528</v>
      </c>
      <c r="P113" s="161">
        <f t="shared" si="21"/>
        <v>2.9526601539944753E-3</v>
      </c>
      <c r="Q113" s="191">
        <f>'Ανάπτυξη δικτύου'!Y114/'Παραδοχές διείσδυσης - κάλυψης'!J234</f>
        <v>0.22330141860465116</v>
      </c>
      <c r="R113" s="161">
        <f t="shared" si="22"/>
        <v>3.8090028134218884E-2</v>
      </c>
      <c r="S113" s="191">
        <f>'Ανάπτυξη δικτύου'!AB114/'Παραδοχές διείσδυσης - κάλυψης'!K233</f>
        <v>0.24608151111179072</v>
      </c>
      <c r="T113" s="161">
        <f t="shared" si="23"/>
        <v>0.10201499233406601</v>
      </c>
      <c r="U113" s="191">
        <f>'Ανάπτυξη δικτύου'!AE114/'Παραδοχές διείσδυσης - κάλυψης'!L233</f>
        <v>0.24608151111179072</v>
      </c>
      <c r="V113" s="161">
        <f t="shared" si="24"/>
        <v>0</v>
      </c>
      <c r="W113" s="191">
        <f>'Ανάπτυξη δικτύου'!AH114/'Παραδοχές διείσδυσης - κάλυψης'!M233</f>
        <v>0.25094918996647991</v>
      </c>
      <c r="X113" s="161">
        <f t="shared" si="25"/>
        <v>1.978075814268667E-2</v>
      </c>
      <c r="Y113" s="192">
        <f t="shared" si="26"/>
        <v>3.9279435400946028E-2</v>
      </c>
    </row>
    <row r="114" spans="2:25" outlineLevel="1" x14ac:dyDescent="0.35">
      <c r="B114" s="294" t="s">
        <v>112</v>
      </c>
      <c r="C114" s="62" t="s">
        <v>253</v>
      </c>
      <c r="D114" s="190">
        <f>'Ανάπτυξη δικτύου'!E115/'Παραδοχές διείσδυσης - κάλυψης'!D234</f>
        <v>0.3324857209302326</v>
      </c>
      <c r="E114" s="191">
        <f>'Ανάπτυξη δικτύου'!G115/'Παραδοχές διείσδυσης - κάλυψης'!E234</f>
        <v>0.33472162790697679</v>
      </c>
      <c r="F114" s="161">
        <f t="shared" si="16"/>
        <v>6.7248210554382527E-3</v>
      </c>
      <c r="G114" s="191">
        <f>'Ανάπτυξη δικτύου'!J115/'Παραδοχές διείσδυσης - κάλυψης'!F234</f>
        <v>0.33499604651162795</v>
      </c>
      <c r="H114" s="161">
        <f t="shared" si="17"/>
        <v>8.1984127039267751E-4</v>
      </c>
      <c r="I114" s="191">
        <f>'Ανάπτυξη δικτύου'!M115/'Παραδοχές διείσδυσης - κάλυψης'!G234</f>
        <v>0.34294720930232564</v>
      </c>
      <c r="J114" s="161">
        <f t="shared" si="18"/>
        <v>2.3735094409305799E-2</v>
      </c>
      <c r="K114" s="191">
        <f>'Ανάπτυξη δικτύου'!P115/'Παραδοχές διείσδυσης - κάλυψης'!H234</f>
        <v>0.35911418604651163</v>
      </c>
      <c r="L114" s="161">
        <f t="shared" si="19"/>
        <v>4.7141298443790419E-2</v>
      </c>
      <c r="M114" s="192">
        <f t="shared" si="20"/>
        <v>1.9447559840061857E-2</v>
      </c>
      <c r="O114" s="191">
        <f>'Ανάπτυξη δικτύου'!V115/'Παραδοχές διείσδυσης - κάλυψης'!I234</f>
        <v>0.36214209302325584</v>
      </c>
      <c r="P114" s="161">
        <f t="shared" si="21"/>
        <v>8.4315994588752968E-3</v>
      </c>
      <c r="Q114" s="191">
        <f>'Ανάπτυξη δικτύου'!Y115/'Παραδοχές διείσδυσης - κάλυψης'!J235</f>
        <v>1.0253420045486665</v>
      </c>
      <c r="R114" s="161">
        <f t="shared" si="22"/>
        <v>1.8313251187920363</v>
      </c>
      <c r="S114" s="191">
        <f>'Ανάπτυξη δικτύου'!AB115/'Παραδοχές διείσδυσης - κάλυψης'!K234</f>
        <v>0.38975604651162793</v>
      </c>
      <c r="T114" s="161">
        <f t="shared" si="23"/>
        <v>-0.61987703148551876</v>
      </c>
      <c r="U114" s="191">
        <f>'Ανάπτυξη δικτύου'!AE115/'Παραδοχές διείσδυσης - κάλυψης'!L234</f>
        <v>0.40332348837209303</v>
      </c>
      <c r="V114" s="161">
        <f t="shared" si="24"/>
        <v>3.4810086929749101E-2</v>
      </c>
      <c r="W114" s="191">
        <f>'Ανάπτυξη δικτύου'!AH115/'Παραδοχές διείσδυσης - κάλυψης'!M234</f>
        <v>0.42134674418604651</v>
      </c>
      <c r="X114" s="161">
        <f t="shared" si="25"/>
        <v>4.468684897747837E-2</v>
      </c>
      <c r="Y114" s="192">
        <f t="shared" si="26"/>
        <v>3.8580487071017799E-2</v>
      </c>
    </row>
    <row r="115" spans="2:25" outlineLevel="1" x14ac:dyDescent="0.35">
      <c r="B115" s="294" t="s">
        <v>113</v>
      </c>
      <c r="C115" s="62" t="s">
        <v>253</v>
      </c>
      <c r="D115" s="190">
        <f>'Ανάπτυξη δικτύου'!E116/'Παραδοχές διείσδυσης - κάλυψης'!D235</f>
        <v>7.8193771798520089E-3</v>
      </c>
      <c r="E115" s="191">
        <f>'Ανάπτυξη δικτύου'!G116/'Παραδοχές διείσδυσης - κάλυψης'!E235</f>
        <v>7.8193771798520089E-3</v>
      </c>
      <c r="F115" s="161">
        <f t="shared" si="16"/>
        <v>0</v>
      </c>
      <c r="G115" s="191">
        <f>'Ανάπτυξη δικτύου'!J116/'Παραδοχές διείσδυσης - κάλυψης'!F235</f>
        <v>7.8193771798520089E-3</v>
      </c>
      <c r="H115" s="161">
        <f t="shared" si="17"/>
        <v>0</v>
      </c>
      <c r="I115" s="191">
        <f>'Ανάπτυξη δικτύου'!M116/'Παραδοχές διείσδυσης - κάλυψης'!G235</f>
        <v>7.8193771798520089E-3</v>
      </c>
      <c r="J115" s="161">
        <f t="shared" si="18"/>
        <v>0</v>
      </c>
      <c r="K115" s="191">
        <f>'Ανάπτυξη δικτύου'!P116/'Παραδοχές διείσδυσης - κάλυψης'!H235</f>
        <v>1.6811923525109435E-2</v>
      </c>
      <c r="L115" s="161">
        <f t="shared" si="19"/>
        <v>1.1500335817574183</v>
      </c>
      <c r="M115" s="192">
        <f t="shared" si="20"/>
        <v>0.21090845281591664</v>
      </c>
      <c r="O115" s="191">
        <f>'Ανάπτυξη δικτύου'!V116/'Παραδοχές διείσδυσης - κάλυψης'!I235</f>
        <v>1.6811923525109435E-2</v>
      </c>
      <c r="P115" s="161">
        <f t="shared" si="21"/>
        <v>0</v>
      </c>
      <c r="Q115" s="191">
        <f>'Ανάπτυξη δικτύου'!Y116/'Παραδοχές διείσδυσης - κάλυψης'!J236</f>
        <v>1.3876369968240191E-2</v>
      </c>
      <c r="R115" s="161">
        <f t="shared" si="22"/>
        <v>-0.17461140317970458</v>
      </c>
      <c r="S115" s="191">
        <f>'Ανάπτυξη δικτύου'!AB116/'Παραδοχές διείσδυσης - κάλυψης'!K235</f>
        <v>1.6811923525109435E-2</v>
      </c>
      <c r="T115" s="161">
        <f t="shared" si="23"/>
        <v>0.21155053977286917</v>
      </c>
      <c r="U115" s="191">
        <f>'Ανάπτυξη δικτύου'!AE116/'Παραδοχές διείσδυσης - κάλυψης'!L235</f>
        <v>1.6811923525109435E-2</v>
      </c>
      <c r="V115" s="161">
        <f t="shared" si="24"/>
        <v>0</v>
      </c>
      <c r="W115" s="191">
        <f>'Ανάπτυξη δικτύου'!AH116/'Παραδοχές διείσδυσης - κάλυψης'!M235</f>
        <v>1.6811923525109435E-2</v>
      </c>
      <c r="X115" s="161">
        <f t="shared" si="25"/>
        <v>0</v>
      </c>
      <c r="Y115" s="192">
        <f t="shared" si="26"/>
        <v>0</v>
      </c>
    </row>
    <row r="116" spans="2:25" outlineLevel="1" x14ac:dyDescent="0.35">
      <c r="B116" s="294" t="s">
        <v>114</v>
      </c>
      <c r="C116" s="62" t="s">
        <v>253</v>
      </c>
      <c r="D116" s="190">
        <f>'Ανάπτυξη δικτύου'!E117/'Παραδοχές διείσδυσης - κάλυψης'!D236</f>
        <v>0.93645831622176801</v>
      </c>
      <c r="E116" s="191">
        <f>'Ανάπτυξη δικτύου'!G117/'Παραδοχές διείσδυσης - κάλυψης'!E236</f>
        <v>0.93810865472886207</v>
      </c>
      <c r="F116" s="161">
        <f t="shared" si="16"/>
        <v>1.7623192388877631E-3</v>
      </c>
      <c r="G116" s="191">
        <f>'Ανάπτυξη δικτύου'!J117/'Παραδοχές διείσδυσης - κάλυψης'!F236</f>
        <v>0.96633717263368502</v>
      </c>
      <c r="H116" s="161">
        <f t="shared" si="17"/>
        <v>3.0090883142935853E-2</v>
      </c>
      <c r="I116" s="191">
        <f>'Ανάπτυξη δικτύου'!M117/'Παραδοχές διείσδυσης - κάλυψης'!G236</f>
        <v>0.96780994307356005</v>
      </c>
      <c r="J116" s="161">
        <f t="shared" si="18"/>
        <v>1.5240751174469503E-3</v>
      </c>
      <c r="K116" s="191">
        <f>'Ανάπτυξη δικτύου'!P117/'Παραδοχές διείσδυσης - κάλυψης'!H236</f>
        <v>0.98223264820391143</v>
      </c>
      <c r="L116" s="161">
        <f t="shared" si="19"/>
        <v>1.4902414708148079E-2</v>
      </c>
      <c r="M116" s="192">
        <f t="shared" si="20"/>
        <v>1.2002251385253349E-2</v>
      </c>
      <c r="O116" s="191">
        <f>'Ανάπτυξη δικτύου'!V117/'Παραδοχές διείσδυσης - κάλυψης'!I236</f>
        <v>0.98223264820391143</v>
      </c>
      <c r="P116" s="161">
        <f t="shared" si="21"/>
        <v>0</v>
      </c>
      <c r="Q116" s="191">
        <f>'Ανάπτυξη δικτύου'!Y117/'Παραδοχές διείσδυσης - κάλυψης'!J237</f>
        <v>0.39947819417316105</v>
      </c>
      <c r="R116" s="161">
        <f t="shared" si="22"/>
        <v>-0.59329574831009946</v>
      </c>
      <c r="S116" s="191">
        <f>'Ανάπτυξη δικτύου'!AB117/'Παραδοχές διείσδυσης - κάλυψης'!K236</f>
        <v>0.98223264820391143</v>
      </c>
      <c r="T116" s="161">
        <f t="shared" si="23"/>
        <v>1.4587891467691598</v>
      </c>
      <c r="U116" s="191">
        <f>'Ανάπτυξη δικτύου'!AE117/'Παραδοχές διείσδυσης - κάλυψης'!L236</f>
        <v>0.98223264820391143</v>
      </c>
      <c r="V116" s="161">
        <f t="shared" si="24"/>
        <v>0</v>
      </c>
      <c r="W116" s="191">
        <f>'Ανάπτυξη δικτύου'!AH117/'Παραδοχές διείσδυσης - κάλυψης'!M236</f>
        <v>0.98223264820391143</v>
      </c>
      <c r="X116" s="161">
        <f t="shared" si="25"/>
        <v>0</v>
      </c>
      <c r="Y116" s="192">
        <f t="shared" si="26"/>
        <v>0</v>
      </c>
    </row>
    <row r="117" spans="2:25" outlineLevel="1" x14ac:dyDescent="0.35">
      <c r="B117" s="294" t="s">
        <v>115</v>
      </c>
      <c r="C117" s="62" t="s">
        <v>253</v>
      </c>
      <c r="D117" s="190">
        <f>'Ανάπτυξη δικτύου'!E118/'Παραδοχές διείσδυσης - κάλυψης'!D237</f>
        <v>0.14040322864358984</v>
      </c>
      <c r="E117" s="191">
        <f>'Ανάπτυξη δικτύου'!G118/'Παραδοχές διείσδυσης - κάλυψης'!E237</f>
        <v>0.18677611769034835</v>
      </c>
      <c r="F117" s="161">
        <f t="shared" si="16"/>
        <v>0.33028363731203758</v>
      </c>
      <c r="G117" s="191">
        <f>'Ανάπτυξη δικτύου'!J118/'Παραδοχές διείσδυσης - κάλυψης'!F237</f>
        <v>0.21707989148295484</v>
      </c>
      <c r="H117" s="161">
        <f t="shared" si="17"/>
        <v>0.16224651292327633</v>
      </c>
      <c r="I117" s="191">
        <f>'Ανάπτυξη δικτύου'!M118/'Παραδοχές διείσδυσης - κάλυψης'!G237</f>
        <v>0.23682879530268017</v>
      </c>
      <c r="J117" s="161">
        <f t="shared" si="18"/>
        <v>9.0975279583995997E-2</v>
      </c>
      <c r="K117" s="191">
        <f>'Ανάπτυξη δικτύου'!P118/'Παραδοχές διείσδυσης - κάλυψης'!H237</f>
        <v>0.25484328514494914</v>
      </c>
      <c r="L117" s="161">
        <f t="shared" si="19"/>
        <v>7.6065454030813551E-2</v>
      </c>
      <c r="M117" s="192">
        <f t="shared" si="20"/>
        <v>0.16071079898279717</v>
      </c>
      <c r="O117" s="191">
        <f>'Ανάπτυξη δικτύου'!V118/'Παραδοχές διείσδυσης - κάλυψης'!I237</f>
        <v>0.26272350932487859</v>
      </c>
      <c r="P117" s="161">
        <f t="shared" si="21"/>
        <v>3.0921843498632334E-2</v>
      </c>
      <c r="Q117" s="191">
        <f>'Ανάπτυξη δικτύου'!Y118/'Παραδοχές διείσδυσης - κάλυψης'!J238</f>
        <v>0.68218268331389786</v>
      </c>
      <c r="R117" s="161">
        <f t="shared" si="22"/>
        <v>1.5965802796518089</v>
      </c>
      <c r="S117" s="191">
        <f>'Ανάπτυξη δικτύου'!AB118/'Παραδοχές διείσδυσης - κάλυψης'!K237</f>
        <v>0.2882333455515505</v>
      </c>
      <c r="T117" s="161">
        <f t="shared" si="23"/>
        <v>-0.57748363803171543</v>
      </c>
      <c r="U117" s="191">
        <f>'Ανάπτυξη δικτύου'!AE118/'Παραδοχές διείσδυσης - κάλυψης'!L237</f>
        <v>0.30869219172434853</v>
      </c>
      <c r="V117" s="161">
        <f t="shared" si="24"/>
        <v>7.098015024475704E-2</v>
      </c>
      <c r="W117" s="191">
        <f>'Ανάπτυξη δικτύου'!AH118/'Παραδοχές διείσδυσης - κάλυψης'!M237</f>
        <v>0.32210768927702632</v>
      </c>
      <c r="X117" s="161">
        <f t="shared" si="25"/>
        <v>4.3459141216818882E-2</v>
      </c>
      <c r="Y117" s="192">
        <f t="shared" si="26"/>
        <v>5.2266002179367277E-2</v>
      </c>
    </row>
    <row r="118" spans="2:25" outlineLevel="1" x14ac:dyDescent="0.35">
      <c r="B118" s="294" t="s">
        <v>116</v>
      </c>
      <c r="C118" s="62" t="s">
        <v>253</v>
      </c>
      <c r="D118" s="190">
        <f>'Ανάπτυξη δικτύου'!E119/'Παραδοχές διείσδυσης - κάλυψης'!D238</f>
        <v>0.99754482750781692</v>
      </c>
      <c r="E118" s="191">
        <f>'Ανάπτυξη δικτύου'!G119/'Παραδοχές διείσδυσης - κάλυψης'!E238</f>
        <v>1.0138684476906159</v>
      </c>
      <c r="F118" s="161">
        <f t="shared" si="16"/>
        <v>1.6363796124912559E-2</v>
      </c>
      <c r="G118" s="191">
        <f>'Ανάπτυξη δικτύου'!J119/'Παραδοχές διείσδυσης - κάλυψης'!F238</f>
        <v>1.0158593853356699</v>
      </c>
      <c r="H118" s="161">
        <f t="shared" si="17"/>
        <v>1.963704117224407E-3</v>
      </c>
      <c r="I118" s="191">
        <f>'Ανάπτυξη δικτύου'!M119/'Παραδοχές διείσδυσης - κάλυψης'!G238</f>
        <v>1.0158593853356699</v>
      </c>
      <c r="J118" s="161">
        <f t="shared" si="18"/>
        <v>0</v>
      </c>
      <c r="K118" s="191">
        <f>'Ανάπτυξη δικτύου'!P119/'Παραδοχές διείσδυσης - κάλυψης'!H238</f>
        <v>1.0159110980017751</v>
      </c>
      <c r="L118" s="161">
        <f t="shared" si="19"/>
        <v>5.090533872281566E-5</v>
      </c>
      <c r="M118" s="192">
        <f t="shared" si="20"/>
        <v>4.5714259146349967E-3</v>
      </c>
      <c r="O118" s="191">
        <f>'Ανάπτυξη δικτύου'!V119/'Παραδοχές διείσδυσης - κάλυψης'!I238</f>
        <v>1.0159110980017751</v>
      </c>
      <c r="P118" s="161">
        <f t="shared" si="21"/>
        <v>0</v>
      </c>
      <c r="Q118" s="191">
        <f>'Ανάπτυξη δικτύου'!Y119/'Παραδοχές διείσδυσης - κάλυψης'!J239</f>
        <v>0.3575962332248564</v>
      </c>
      <c r="R118" s="161">
        <f t="shared" si="22"/>
        <v>-0.6480044032118335</v>
      </c>
      <c r="S118" s="191">
        <f>'Ανάπτυξη δικτύου'!AB119/'Παραδοχές διείσδυσης - κάλυψης'!K238</f>
        <v>1.0159110980017751</v>
      </c>
      <c r="T118" s="161">
        <f t="shared" si="23"/>
        <v>1.8409446286392246</v>
      </c>
      <c r="U118" s="191">
        <f>'Ανάπτυξη δικτύου'!AE119/'Παραδοχές διείσδυσης - κάλυψης'!L238</f>
        <v>1.0159110980017751</v>
      </c>
      <c r="V118" s="161">
        <f t="shared" si="24"/>
        <v>0</v>
      </c>
      <c r="W118" s="191">
        <f>'Ανάπτυξη δικτύου'!AH119/'Παραδοχές διείσδυσης - κάλυψης'!M238</f>
        <v>1.0159110980017751</v>
      </c>
      <c r="X118" s="161">
        <f t="shared" si="25"/>
        <v>0</v>
      </c>
      <c r="Y118" s="192">
        <f t="shared" si="26"/>
        <v>0</v>
      </c>
    </row>
    <row r="119" spans="2:25" outlineLevel="1" x14ac:dyDescent="0.35">
      <c r="B119" s="294" t="s">
        <v>117</v>
      </c>
      <c r="C119" s="62" t="s">
        <v>253</v>
      </c>
      <c r="D119" s="190">
        <f>'Ανάπτυξη δικτύου'!E120/'Παραδοχές διείσδυσης - κάλυψης'!D239</f>
        <v>0.41392664047608702</v>
      </c>
      <c r="E119" s="191">
        <f>'Ανάπτυξη δικτύου'!G120/'Παραδοχές διείσδυσης - κάλυψης'!E239</f>
        <v>0.41472027517753879</v>
      </c>
      <c r="F119" s="161">
        <f t="shared" si="16"/>
        <v>1.9173317777733665E-3</v>
      </c>
      <c r="G119" s="191">
        <f>'Ανάπτυξη δικτύου'!J120/'Παραδοχές διείσδυσης - κάλυψης'!F239</f>
        <v>0.42406550581344093</v>
      </c>
      <c r="H119" s="161">
        <f t="shared" si="17"/>
        <v>2.2533816635566032E-2</v>
      </c>
      <c r="I119" s="191">
        <f>'Ανάπτυξη δικτύου'!M120/'Παραδοχές διείσδυσης - κάλυψης'!G239</f>
        <v>0.42406550581344093</v>
      </c>
      <c r="J119" s="161">
        <f t="shared" si="18"/>
        <v>0</v>
      </c>
      <c r="K119" s="191">
        <f>'Ανάπτυξη δικτύου'!P120/'Παραδοχές διείσδυσης - κάλυψης'!H239</f>
        <v>0.43843284227802515</v>
      </c>
      <c r="L119" s="161">
        <f t="shared" si="19"/>
        <v>3.3879993226576727E-2</v>
      </c>
      <c r="M119" s="192">
        <f t="shared" si="20"/>
        <v>1.4483353318152536E-2</v>
      </c>
      <c r="O119" s="191">
        <f>'Ανάπτυξη δικτύου'!V120/'Παραδοχές διείσδυσης - κάλυψης'!I239</f>
        <v>0.44690798716325314</v>
      </c>
      <c r="P119" s="161">
        <f t="shared" si="21"/>
        <v>1.9330542942888423E-2</v>
      </c>
      <c r="Q119" s="191">
        <f>'Ανάπτυξη δικτύου'!Y120/'Παραδοχές διείσδυσης - κάλυψης'!J240</f>
        <v>0.94165306651267033</v>
      </c>
      <c r="R119" s="161">
        <f t="shared" si="22"/>
        <v>1.1070401370309129</v>
      </c>
      <c r="S119" s="191">
        <f>'Ανάπτυξη δικτύου'!AB120/'Παραδοχές διείσδυσης - κάλυψης'!K239</f>
        <v>0.49576020761637757</v>
      </c>
      <c r="T119" s="161">
        <f t="shared" si="23"/>
        <v>-0.47352137932032434</v>
      </c>
      <c r="U119" s="191">
        <f>'Ανάπτυξη δικτύου'!AE120/'Παραδοχές διείσδυσης - κάλυψης'!L239</f>
        <v>0.54588661222320911</v>
      </c>
      <c r="V119" s="161">
        <f t="shared" si="24"/>
        <v>0.10111018156910988</v>
      </c>
      <c r="W119" s="191">
        <f>'Ανάπτυξη δικτύου'!AH120/'Παραδοχές διείσδυσης - κάλυψης'!M239</f>
        <v>0.5597679384463079</v>
      </c>
      <c r="X119" s="161">
        <f t="shared" si="25"/>
        <v>2.5428955230400143E-2</v>
      </c>
      <c r="Y119" s="192">
        <f t="shared" si="26"/>
        <v>5.790696365429171E-2</v>
      </c>
    </row>
    <row r="120" spans="2:25" outlineLevel="1" x14ac:dyDescent="0.35">
      <c r="B120" s="294" t="s">
        <v>118</v>
      </c>
      <c r="C120" s="62" t="s">
        <v>253</v>
      </c>
      <c r="D120" s="190">
        <f>'Ανάπτυξη δικτύου'!E121/'Παραδοχές διείσδυσης - κάλυψης'!D240</f>
        <v>0.34781755179349111</v>
      </c>
      <c r="E120" s="191">
        <f>'Ανάπτυξη δικτύου'!G121/'Παραδοχές διείσδυσης - κάλυψης'!E240</f>
        <v>0.40601856629521205</v>
      </c>
      <c r="F120" s="161">
        <f t="shared" si="16"/>
        <v>0.16733202278497</v>
      </c>
      <c r="G120" s="191">
        <f>'Ανάπτυξη δικτύου'!J121/'Παραδοχές διείσδυσης - κάλυψης'!F240</f>
        <v>0.45685275894095317</v>
      </c>
      <c r="H120" s="161">
        <f t="shared" si="17"/>
        <v>0.12520164560351679</v>
      </c>
      <c r="I120" s="191">
        <f>'Ανάπτυξη δικτύου'!M121/'Παραδοχές διείσδυσης - κάλυψης'!G240</f>
        <v>0.4769886235897749</v>
      </c>
      <c r="J120" s="161">
        <f t="shared" si="18"/>
        <v>4.4075173575616342E-2</v>
      </c>
      <c r="K120" s="191">
        <f>'Ανάπτυξη δικτύου'!P121/'Παραδοχές διείσδυσης - κάλυψης'!H240</f>
        <v>0.48672818731445772</v>
      </c>
      <c r="L120" s="161">
        <f t="shared" si="19"/>
        <v>2.0418859576531848E-2</v>
      </c>
      <c r="M120" s="192">
        <f t="shared" si="20"/>
        <v>8.763644320227848E-2</v>
      </c>
      <c r="O120" s="191">
        <f>'Ανάπτυξη δικτύου'!V121/'Παραδοχές διείσδυσης - κάλυψης'!I240</f>
        <v>0.48672818731445772</v>
      </c>
      <c r="P120" s="161">
        <f t="shared" si="21"/>
        <v>0</v>
      </c>
      <c r="Q120" s="191">
        <f>'Ανάπτυξη δικτύου'!Y121/'Παραδοχές διείσδυσης - κάλυψης'!J241</f>
        <v>1.1277540833333333</v>
      </c>
      <c r="R120" s="161">
        <f t="shared" si="22"/>
        <v>1.3170100124173238</v>
      </c>
      <c r="S120" s="191">
        <f>'Ανάπτυξη δικτύου'!AB121/'Παραδοχές διείσδυσης - κάλυψης'!K240</f>
        <v>0.48672818731445772</v>
      </c>
      <c r="T120" s="161">
        <f t="shared" si="23"/>
        <v>-0.5684092884187818</v>
      </c>
      <c r="U120" s="191">
        <f>'Ανάπτυξη δικτύου'!AE121/'Παραδοχές διείσδυσης - κάλυψης'!L240</f>
        <v>0.48672818731445772</v>
      </c>
      <c r="V120" s="161">
        <f t="shared" si="24"/>
        <v>0</v>
      </c>
      <c r="W120" s="191">
        <f>'Ανάπτυξη δικτύου'!AH121/'Παραδοχές διείσδυσης - κάλυψης'!M240</f>
        <v>0.49567650140124164</v>
      </c>
      <c r="X120" s="161">
        <f t="shared" si="25"/>
        <v>1.8384622711408203E-2</v>
      </c>
      <c r="Y120" s="192">
        <f t="shared" si="26"/>
        <v>4.5648042931230037E-3</v>
      </c>
    </row>
    <row r="121" spans="2:25" outlineLevel="1" x14ac:dyDescent="0.35">
      <c r="B121" s="294" t="s">
        <v>119</v>
      </c>
      <c r="C121" s="62" t="s">
        <v>253</v>
      </c>
      <c r="D121" s="190">
        <f>'Ανάπτυξη δικτύου'!E122/'Παραδοχές διείσδυσης - κάλυψης'!D241</f>
        <v>4.1814000000000004E-2</v>
      </c>
      <c r="E121" s="191">
        <f>'Ανάπτυξη δικτύου'!G122/'Παραδοχές διείσδυσης - κάλυψης'!E241</f>
        <v>4.1814000000000004E-2</v>
      </c>
      <c r="F121" s="161">
        <f t="shared" si="16"/>
        <v>0</v>
      </c>
      <c r="G121" s="191">
        <f>'Ανάπτυξη δικτύου'!J122/'Παραδοχές διείσδυσης - κάλυψης'!F241</f>
        <v>4.1814000000000004E-2</v>
      </c>
      <c r="H121" s="161">
        <f t="shared" si="17"/>
        <v>0</v>
      </c>
      <c r="I121" s="191">
        <f>'Ανάπτυξη δικτύου'!M122/'Παραδοχές διείσδυσης - κάλυψης'!G241</f>
        <v>4.1814000000000004E-2</v>
      </c>
      <c r="J121" s="161">
        <f t="shared" si="18"/>
        <v>0</v>
      </c>
      <c r="K121" s="191">
        <f>'Ανάπτυξη δικτύου'!P122/'Παραδοχές διείσδυσης - κάλυψης'!H241</f>
        <v>4.1814000000000004E-2</v>
      </c>
      <c r="L121" s="161">
        <f t="shared" si="19"/>
        <v>0</v>
      </c>
      <c r="M121" s="192">
        <f t="shared" si="20"/>
        <v>0</v>
      </c>
      <c r="O121" s="191">
        <f>'Ανάπτυξη δικτύου'!V122/'Παραδοχές διείσδυσης - κάλυψης'!I241</f>
        <v>4.1814000000000004E-2</v>
      </c>
      <c r="P121" s="161">
        <f t="shared" si="21"/>
        <v>0</v>
      </c>
      <c r="Q121" s="191">
        <f>'Ανάπτυξη δικτύου'!Y122/'Παραδοχές διείσδυσης - κάλυψης'!J242</f>
        <v>8.1686873628852887E-3</v>
      </c>
      <c r="R121" s="161">
        <f t="shared" si="22"/>
        <v>-0.80464228815982008</v>
      </c>
      <c r="S121" s="191">
        <f>'Ανάπτυξη δικτύου'!AB122/'Παραδοχές διείσδυσης - κάλυψης'!K241</f>
        <v>4.1814000000000004E-2</v>
      </c>
      <c r="T121" s="161">
        <f t="shared" si="23"/>
        <v>4.1188150730291566</v>
      </c>
      <c r="U121" s="191">
        <f>'Ανάπτυξη δικτύου'!AE122/'Παραδοχές διείσδυσης - κάλυψης'!L241</f>
        <v>4.1814000000000004E-2</v>
      </c>
      <c r="V121" s="161">
        <f t="shared" si="24"/>
        <v>0</v>
      </c>
      <c r="W121" s="191">
        <f>'Ανάπτυξη δικτύου'!AH122/'Παραδοχές διείσδυσης - κάλυψης'!M241</f>
        <v>4.1814000000000004E-2</v>
      </c>
      <c r="X121" s="161">
        <f t="shared" si="25"/>
        <v>0</v>
      </c>
      <c r="Y121" s="192">
        <f t="shared" si="26"/>
        <v>0</v>
      </c>
    </row>
    <row r="122" spans="2:25" outlineLevel="1" x14ac:dyDescent="0.35">
      <c r="B122" s="294" t="s">
        <v>120</v>
      </c>
      <c r="C122" s="62" t="s">
        <v>253</v>
      </c>
      <c r="D122" s="190">
        <f>'Ανάπτυξη δικτύου'!E123/'Παραδοχές διείσδυσης - κάλυψης'!D242</f>
        <v>0.49536088212295482</v>
      </c>
      <c r="E122" s="191">
        <f>'Ανάπτυξη δικτύου'!G123/'Παραδοχές διείσδυσης - κάλυψης'!E242</f>
        <v>0.51155147808789614</v>
      </c>
      <c r="F122" s="161">
        <f t="shared" si="16"/>
        <v>3.2684445924663491E-2</v>
      </c>
      <c r="G122" s="191">
        <f>'Ανάπτυξη δικτύου'!J123/'Παραδοχές διείσδυσης - κάλυψης'!F242</f>
        <v>0.51568440072034971</v>
      </c>
      <c r="H122" s="161">
        <f t="shared" si="17"/>
        <v>8.0791920451521847E-3</v>
      </c>
      <c r="I122" s="191">
        <f>'Ανάπτυξη δικτύου'!M123/'Παραδοχές διείσδυσης - κάλυψης'!G242</f>
        <v>0.52138721792515097</v>
      </c>
      <c r="J122" s="161">
        <f t="shared" si="18"/>
        <v>1.1058735142725089E-2</v>
      </c>
      <c r="K122" s="191">
        <f>'Ανάπτυξη δικτύου'!P123/'Παραδοχές διείσδυσης - κάλυψης'!H242</f>
        <v>0.54179200533067129</v>
      </c>
      <c r="L122" s="161">
        <f t="shared" si="19"/>
        <v>3.9135572764366425E-2</v>
      </c>
      <c r="M122" s="192">
        <f t="shared" si="20"/>
        <v>2.2651644495498502E-2</v>
      </c>
      <c r="O122" s="191">
        <f>'Ανάπτυξη δικτύου'!V123/'Παραδοχές διείσδυσης - κάλυψης'!I242</f>
        <v>0.54648710233856368</v>
      </c>
      <c r="P122" s="161">
        <f t="shared" si="21"/>
        <v>8.6658661657933421E-3</v>
      </c>
      <c r="Q122" s="191">
        <f>'Ανάπτυξη δικτύου'!Y123/'Παραδοχές διείσδυσης - κάλυψης'!J243</f>
        <v>2.3390190009831211</v>
      </c>
      <c r="R122" s="161">
        <f t="shared" si="22"/>
        <v>3.2800991843610516</v>
      </c>
      <c r="S122" s="191">
        <f>'Ανάπτυξη δικτύου'!AB123/'Παραδοχές διείσδυσης - κάλυψης'!K242</f>
        <v>0.5700732900814014</v>
      </c>
      <c r="T122" s="161">
        <f t="shared" si="23"/>
        <v>-0.75627675968352892</v>
      </c>
      <c r="U122" s="191">
        <f>'Ανάπτυξη δικτύου'!AE123/'Παραδοχές διείσδυσης - κάλυψης'!L242</f>
        <v>0.57746757947455218</v>
      </c>
      <c r="V122" s="161">
        <f t="shared" si="24"/>
        <v>1.2970769762068575E-2</v>
      </c>
      <c r="W122" s="191">
        <f>'Ανάπτυξη δικτύου'!AH123/'Παραδοχές διείσδυσης - κάλυψης'!M242</f>
        <v>0.59237011692609398</v>
      </c>
      <c r="X122" s="161">
        <f t="shared" si="25"/>
        <v>2.5806708430457473E-2</v>
      </c>
      <c r="Y122" s="192">
        <f t="shared" si="26"/>
        <v>2.0359720769795864E-2</v>
      </c>
    </row>
    <row r="123" spans="2:25" outlineLevel="1" x14ac:dyDescent="0.35">
      <c r="B123" s="294" t="s">
        <v>121</v>
      </c>
      <c r="C123" s="62" t="s">
        <v>253</v>
      </c>
      <c r="D123" s="190">
        <f>'Ανάπτυξη δικτύου'!E124/'Παραδοχές διείσδυσης - κάλυψης'!D243</f>
        <v>0.14239114912570333</v>
      </c>
      <c r="E123" s="191">
        <f>'Ανάπτυξη δικτύου'!G124/'Παραδοχές διείσδυσης - κάλυψης'!E243</f>
        <v>0.23210283789987174</v>
      </c>
      <c r="F123" s="161">
        <f t="shared" si="16"/>
        <v>0.63003697438364414</v>
      </c>
      <c r="G123" s="191">
        <f>'Ανάπτυξη δικτύου'!J124/'Παραδοχές διείσδυσης - κάλυψης'!F243</f>
        <v>0.30813103553305937</v>
      </c>
      <c r="H123" s="161">
        <f t="shared" si="17"/>
        <v>0.32756255081200647</v>
      </c>
      <c r="I123" s="191">
        <f>'Ανάπτυξη δικτύου'!M124/'Παραδοχές διείσδυσης - κάλυψης'!G243</f>
        <v>0.30854080268641276</v>
      </c>
      <c r="J123" s="161">
        <f t="shared" si="18"/>
        <v>1.3298470653710795E-3</v>
      </c>
      <c r="K123" s="191">
        <f>'Ανάπτυξη δικτύου'!P124/'Παραδοχές διείσδυσης - κάλυψης'!H243</f>
        <v>0.33299420391898066</v>
      </c>
      <c r="L123" s="161">
        <f t="shared" si="19"/>
        <v>7.9254999726636646E-2</v>
      </c>
      <c r="M123" s="192">
        <f t="shared" si="20"/>
        <v>0.23662613259605259</v>
      </c>
      <c r="O123" s="191">
        <f>'Ανάπτυξη δικτύου'!V124/'Παραδοχές διείσδυσης - κάλυψης'!I243</f>
        <v>0.33796604537966846</v>
      </c>
      <c r="P123" s="161">
        <f t="shared" si="21"/>
        <v>1.4930714715675576E-2</v>
      </c>
      <c r="Q123" s="191">
        <f>'Ανάπτυξη δικτύου'!Y124/'Παραδοχές διείσδυσης - κάλυψης'!J244</f>
        <v>1.0653110781353408</v>
      </c>
      <c r="R123" s="161">
        <f t="shared" si="22"/>
        <v>2.1521245778953282</v>
      </c>
      <c r="S123" s="191">
        <f>'Ανάπτυξη δικτύου'!AB124/'Παραδοχές διείσδυσης - κάλυψης'!K243</f>
        <v>0.39603005100984356</v>
      </c>
      <c r="T123" s="161">
        <f t="shared" si="23"/>
        <v>-0.62824938260941421</v>
      </c>
      <c r="U123" s="191">
        <f>'Ανάπτυξη δικτύου'!AE124/'Παραδοχές διείσδυσης - κάλυψης'!L243</f>
        <v>0.42292443517493761</v>
      </c>
      <c r="V123" s="161">
        <f t="shared" si="24"/>
        <v>6.7909958086553299E-2</v>
      </c>
      <c r="W123" s="191">
        <f>'Ανάπτυξη δικτύου'!AH124/'Παραδοχές διείσδυσης - κάλυψης'!M243</f>
        <v>0.48179431620670765</v>
      </c>
      <c r="X123" s="161">
        <f t="shared" si="25"/>
        <v>0.13919716179893749</v>
      </c>
      <c r="Y123" s="192">
        <f t="shared" si="26"/>
        <v>9.2690457972100404E-2</v>
      </c>
    </row>
    <row r="124" spans="2:25" outlineLevel="1" x14ac:dyDescent="0.35">
      <c r="B124" s="294" t="s">
        <v>137</v>
      </c>
      <c r="C124" s="62" t="s">
        <v>253</v>
      </c>
      <c r="D124" s="190">
        <f>'Ανάπτυξη δικτύου'!E125/'Παραδοχές διείσδυσης - κάλυψης'!D244</f>
        <v>0</v>
      </c>
      <c r="E124" s="191">
        <f>'Ανάπτυξη δικτύου'!G125/'Παραδοχές διείσδυσης - κάλυψης'!E244</f>
        <v>0</v>
      </c>
      <c r="F124" s="161">
        <f t="shared" si="16"/>
        <v>0</v>
      </c>
      <c r="G124" s="191">
        <f>'Ανάπτυξη δικτύου'!J125/'Παραδοχές διείσδυσης - κάλυψης'!F244</f>
        <v>0</v>
      </c>
      <c r="H124" s="161">
        <f t="shared" si="17"/>
        <v>0</v>
      </c>
      <c r="I124" s="191">
        <f>'Ανάπτυξη δικτύου'!M125/'Παραδοχές διείσδυσης - κάλυψης'!G244</f>
        <v>0</v>
      </c>
      <c r="J124" s="161">
        <f t="shared" si="18"/>
        <v>0</v>
      </c>
      <c r="K124" s="191">
        <f>'Ανάπτυξη δικτύου'!P125/'Παραδοχές διείσδυσης - κάλυψης'!H244</f>
        <v>0</v>
      </c>
      <c r="L124" s="161">
        <f t="shared" si="19"/>
        <v>0</v>
      </c>
      <c r="M124" s="192">
        <f t="shared" si="20"/>
        <v>0</v>
      </c>
      <c r="O124" s="191">
        <f>'Ανάπτυξη δικτύου'!V125/'Παραδοχές διείσδυσης - κάλυψης'!I244</f>
        <v>0</v>
      </c>
      <c r="P124" s="161">
        <f t="shared" si="21"/>
        <v>0</v>
      </c>
      <c r="Q124" s="191">
        <f>'Ανάπτυξη δικτύου'!Y125/'Παραδοχές διείσδυσης - κάλυψης'!J245</f>
        <v>0</v>
      </c>
      <c r="R124" s="161">
        <f t="shared" si="22"/>
        <v>0</v>
      </c>
      <c r="S124" s="191">
        <f>'Ανάπτυξη δικτύου'!AB125/'Παραδοχές διείσδυσης - κάλυψης'!K244</f>
        <v>0</v>
      </c>
      <c r="T124" s="161">
        <f t="shared" si="23"/>
        <v>0</v>
      </c>
      <c r="U124" s="191">
        <f>'Ανάπτυξη δικτύου'!AE125/'Παραδοχές διείσδυσης - κάλυψης'!L244</f>
        <v>0</v>
      </c>
      <c r="V124" s="161">
        <f t="shared" si="24"/>
        <v>0</v>
      </c>
      <c r="W124" s="191">
        <f>'Ανάπτυξη δικτύου'!AH125/'Παραδοχές διείσδυσης - κάλυψης'!M244</f>
        <v>0</v>
      </c>
      <c r="X124" s="161">
        <f t="shared" si="25"/>
        <v>0</v>
      </c>
      <c r="Y124" s="192">
        <f t="shared" si="26"/>
        <v>0</v>
      </c>
    </row>
    <row r="125" spans="2:25" outlineLevel="1" x14ac:dyDescent="0.35">
      <c r="B125" s="294" t="s">
        <v>123</v>
      </c>
      <c r="C125" s="62" t="s">
        <v>253</v>
      </c>
      <c r="D125" s="190">
        <f>'Ανάπτυξη δικτύου'!E126/'Παραδοχές διείσδυσης - κάλυψης'!D245</f>
        <v>0.73361938070115307</v>
      </c>
      <c r="E125" s="191">
        <f>'Ανάπτυξη δικτύου'!G126/'Παραδοχές διείσδυσης - κάλυψης'!E245</f>
        <v>0.77511635805380008</v>
      </c>
      <c r="F125" s="161">
        <f t="shared" si="16"/>
        <v>5.6564723403280982E-2</v>
      </c>
      <c r="G125" s="191">
        <f>'Ανάπτυξη δικτύου'!J126/'Παραδοχές διείσδυσης - κάλυψης'!F245</f>
        <v>0.78723059796645467</v>
      </c>
      <c r="H125" s="161">
        <f t="shared" si="17"/>
        <v>1.5628930787980805E-2</v>
      </c>
      <c r="I125" s="191">
        <f>'Ανάπτυξη δικτύου'!M126/'Παραδοχές διείσδυσης - κάλυψης'!G245</f>
        <v>0.80499115090546702</v>
      </c>
      <c r="J125" s="161">
        <f t="shared" si="18"/>
        <v>2.2560801098040099E-2</v>
      </c>
      <c r="K125" s="191">
        <f>'Ανάπτυξη δικτύου'!P126/'Παραδοχές διείσδυσης - κάλυψης'!H245</f>
        <v>0.82621800142913271</v>
      </c>
      <c r="L125" s="161">
        <f t="shared" si="19"/>
        <v>2.6369048280579708E-2</v>
      </c>
      <c r="M125" s="192">
        <f t="shared" si="20"/>
        <v>3.0163039954755444E-2</v>
      </c>
      <c r="O125" s="191">
        <f>'Ανάπτυξη δικτύου'!V126/'Παραδοχές διείσδυσης - κάλυψης'!I245</f>
        <v>0.83280004135153207</v>
      </c>
      <c r="P125" s="161">
        <f t="shared" si="21"/>
        <v>7.9664687903364759E-3</v>
      </c>
      <c r="Q125" s="191">
        <f>'Ανάπτυξη δικτύου'!Y126/'Παραδοχές διείσδυσης - κάλυψης'!J246</f>
        <v>0.33048335714285715</v>
      </c>
      <c r="R125" s="161">
        <f t="shared" si="22"/>
        <v>-0.60316601737132081</v>
      </c>
      <c r="S125" s="191">
        <f>'Ανάπτυξη δικτύου'!AB126/'Παραδοχές διείσδυσης - κάλυψης'!K245</f>
        <v>0.87508576800972049</v>
      </c>
      <c r="T125" s="161">
        <f t="shared" si="23"/>
        <v>1.6478966310895031</v>
      </c>
      <c r="U125" s="191">
        <f>'Ανάπτυξη δικτύου'!AE126/'Παραδοχές διείσδυσης - κάλυψης'!L245</f>
        <v>0.87508576800972049</v>
      </c>
      <c r="V125" s="161">
        <f t="shared" si="24"/>
        <v>0</v>
      </c>
      <c r="W125" s="191">
        <f>'Ανάπτυξη δικτύου'!AH126/'Παραδοχές διείσδυσης - κάλυψης'!M245</f>
        <v>0.90244550954568559</v>
      </c>
      <c r="X125" s="161">
        <f t="shared" si="25"/>
        <v>3.1265211406867707E-2</v>
      </c>
      <c r="Y125" s="192">
        <f t="shared" si="26"/>
        <v>2.0281618797547418E-2</v>
      </c>
    </row>
    <row r="126" spans="2:25" outlineLevel="1" x14ac:dyDescent="0.35">
      <c r="B126" s="294" t="s">
        <v>124</v>
      </c>
      <c r="C126" s="62" t="s">
        <v>253</v>
      </c>
      <c r="D126" s="190">
        <f>'Ανάπτυξη δικτύου'!E127/'Παραδοχές διείσδυσης - κάλυψης'!D246</f>
        <v>2.5359732142857146E-2</v>
      </c>
      <c r="E126" s="191">
        <f>'Ανάπτυξη δικτύου'!G127/'Παραδοχές διείσδυσης - κάλυψης'!E246</f>
        <v>3.5294375000000003E-2</v>
      </c>
      <c r="F126" s="161">
        <f t="shared" ref="F126:F130" si="27">IFERROR((E126-D126)/D126,0)</f>
        <v>0.39174872988321613</v>
      </c>
      <c r="G126" s="191">
        <f>'Ανάπτυξη δικτύου'!J127/'Παραδοχές διείσδυσης - κάλυψης'!F246</f>
        <v>3.5294375000000003E-2</v>
      </c>
      <c r="H126" s="161">
        <f t="shared" ref="H126:H130" si="28">IFERROR((G126-E126)/E126,0)</f>
        <v>0</v>
      </c>
      <c r="I126" s="191">
        <f>'Ανάπτυξη δικτύου'!M127/'Παραδοχές διείσδυσης - κάλυψης'!G246</f>
        <v>3.5294375000000003E-2</v>
      </c>
      <c r="J126" s="161">
        <f t="shared" ref="J126:J130" si="29">IFERROR((I126-G126)/G126,0)</f>
        <v>0</v>
      </c>
      <c r="K126" s="191">
        <f>'Ανάπτυξη δικτύου'!P127/'Παραδοχές διείσδυσης - κάλυψης'!H246</f>
        <v>3.5294375000000003E-2</v>
      </c>
      <c r="L126" s="161">
        <f t="shared" ref="L126:L130" si="30">IFERROR((K126-I126)/I126,0)</f>
        <v>0</v>
      </c>
      <c r="M126" s="192">
        <f t="shared" ref="M126:M130" si="31">IFERROR((K126/D126)^(1/4)-1,0)</f>
        <v>8.6151005067666153E-2</v>
      </c>
      <c r="O126" s="191">
        <f>'Ανάπτυξη δικτύου'!V127/'Παραδοχές διείσδυσης - κάλυψης'!I246</f>
        <v>3.5294375000000003E-2</v>
      </c>
      <c r="P126" s="161">
        <f t="shared" ref="P126:P130" si="32">IFERROR((O126-K126)/K126,0)</f>
        <v>0</v>
      </c>
      <c r="Q126" s="191">
        <f>'Ανάπτυξη δικτύου'!Y127/'Παραδοχές διείσδυσης - κάλυψης'!J247</f>
        <v>0.13962505890462096</v>
      </c>
      <c r="R126" s="161">
        <f t="shared" ref="R126:R130" si="33">IFERROR((Q126-O126)/O126,0)</f>
        <v>2.9560144896919396</v>
      </c>
      <c r="S126" s="191">
        <f>'Ανάπτυξη δικτύου'!AB127/'Παραδοχές διείσδυσης - κάλυψης'!K246</f>
        <v>5.3537232142857147E-2</v>
      </c>
      <c r="T126" s="161">
        <f t="shared" ref="T126:T130" si="34">IFERROR((S126-Q126)/Q126,0)</f>
        <v>-0.61656430039948007</v>
      </c>
      <c r="U126" s="191">
        <f>'Ανάπτυξη δικτύου'!AE127/'Παραδοχές διείσδυσης - κάλυψης'!L246</f>
        <v>6.3172946428571436E-2</v>
      </c>
      <c r="V126" s="161">
        <f t="shared" ref="V126:V130" si="35">IFERROR((U126-S126)/S126,0)</f>
        <v>0.17998155489253978</v>
      </c>
      <c r="W126" s="191">
        <f>'Ανάπτυξη δικτύου'!AH127/'Παραδοχές διείσδυσης - κάλυψης'!M246</f>
        <v>7.7208660714285726E-2</v>
      </c>
      <c r="X126" s="161">
        <f t="shared" ref="X126:X130" si="36">IFERROR((W126-U126)/U126,0)</f>
        <v>0.22217919345560733</v>
      </c>
      <c r="Y126" s="192">
        <f t="shared" ref="Y126:Y130" si="37">IFERROR((W126/O126)^(1/4)-1,0)</f>
        <v>0.21615836366215024</v>
      </c>
    </row>
    <row r="127" spans="2:25" outlineLevel="1" x14ac:dyDescent="0.35">
      <c r="B127" s="294" t="s">
        <v>125</v>
      </c>
      <c r="C127" s="62" t="s">
        <v>253</v>
      </c>
      <c r="D127" s="190">
        <f>'Ανάπτυξη δικτύου'!E128/'Παραδοχές διείσδυσης - κάλυψης'!D247</f>
        <v>0.2310027364772857</v>
      </c>
      <c r="E127" s="191">
        <f>'Ανάπτυξη δικτύου'!G128/'Παραδοχές διείσδυσης - κάλυψης'!E247</f>
        <v>0.26658344716344978</v>
      </c>
      <c r="F127" s="161">
        <f t="shared" si="27"/>
        <v>0.15402722594873983</v>
      </c>
      <c r="G127" s="191">
        <f>'Ανάπτυξη δικτύου'!J128/'Παραδοχές διείσδυσης - κάλυψης'!F247</f>
        <v>0.26803847841686379</v>
      </c>
      <c r="H127" s="161">
        <f t="shared" si="28"/>
        <v>5.4580705174912345E-3</v>
      </c>
      <c r="I127" s="191">
        <f>'Ανάπτυξη δικτύου'!M128/'Παραδοχές διείσδυσης - κάλυψης'!G247</f>
        <v>0.2848388928536052</v>
      </c>
      <c r="J127" s="161">
        <f t="shared" si="29"/>
        <v>6.2679114341981729E-2</v>
      </c>
      <c r="K127" s="191">
        <f>'Ανάπτυξη δικτύου'!P128/'Παραδοχές διείσδυσης - κάλυψης'!H247</f>
        <v>0.30050438291268367</v>
      </c>
      <c r="L127" s="161">
        <f t="shared" si="30"/>
        <v>5.4997721350959781E-2</v>
      </c>
      <c r="M127" s="192">
        <f t="shared" si="31"/>
        <v>6.7968446524454995E-2</v>
      </c>
      <c r="O127" s="191">
        <f>'Ανάπτυξη δικτύου'!V128/'Παραδοχές διείσδυσης - κάλυψης'!I247</f>
        <v>0.30469279430643981</v>
      </c>
      <c r="P127" s="161">
        <f t="shared" si="32"/>
        <v>1.3937937786994446E-2</v>
      </c>
      <c r="Q127" s="191">
        <f>'Ανάπτυξη δικτύου'!Y128/'Παραδοχές διείσδυσης - κάλυψης'!J248</f>
        <v>0.14191929001604148</v>
      </c>
      <c r="R127" s="161">
        <f t="shared" si="33"/>
        <v>-0.53422170570496508</v>
      </c>
      <c r="S127" s="191">
        <f>'Ανάπτυξη δικτύου'!AB128/'Παραδοχές διείσδυσης - κάλυψης'!K247</f>
        <v>0.30469279430643981</v>
      </c>
      <c r="T127" s="161">
        <f t="shared" si="34"/>
        <v>1.1469441840640526</v>
      </c>
      <c r="U127" s="191">
        <f>'Ανάπτυξη δικτύου'!AE128/'Παραδοχές διείσδυσης - κάλυψης'!L247</f>
        <v>0.30469279430643981</v>
      </c>
      <c r="V127" s="161">
        <f t="shared" si="35"/>
        <v>0</v>
      </c>
      <c r="W127" s="191">
        <f>'Ανάπτυξη δικτύου'!AH128/'Παραδοχές διείσδυσης - κάλυψης'!M247</f>
        <v>0.30469279430643981</v>
      </c>
      <c r="X127" s="161">
        <f t="shared" si="36"/>
        <v>0</v>
      </c>
      <c r="Y127" s="192">
        <f t="shared" si="37"/>
        <v>0</v>
      </c>
    </row>
    <row r="128" spans="2:25" outlineLevel="1" x14ac:dyDescent="0.35">
      <c r="B128" s="294" t="s">
        <v>126</v>
      </c>
      <c r="C128" s="62" t="s">
        <v>253</v>
      </c>
      <c r="D128" s="190">
        <f>'Ανάπτυξη δικτύου'!E129/'Παραδοχές διείσδυσης - κάλυψης'!D248</f>
        <v>0.37094098158865618</v>
      </c>
      <c r="E128" s="191">
        <f>'Ανάπτυξη δικτύου'!G129/'Παραδοχές διείσδυσης - κάλυψης'!E248</f>
        <v>0.46447581184387599</v>
      </c>
      <c r="F128" s="161">
        <f t="shared" si="27"/>
        <v>0.2521555581554546</v>
      </c>
      <c r="G128" s="191">
        <f>'Ανάπτυξη δικτύου'!J129/'Παραδοχές διείσδυσης - κάλυψης'!F248</f>
        <v>0.49603345153944312</v>
      </c>
      <c r="H128" s="161">
        <f t="shared" si="28"/>
        <v>6.794248245197014E-2</v>
      </c>
      <c r="I128" s="191">
        <f>'Ανάπτυξη δικτύου'!M129/'Παραδοχές διείσδυσης - κάλυψης'!G248</f>
        <v>0.51572950440481413</v>
      </c>
      <c r="J128" s="161">
        <f t="shared" si="29"/>
        <v>3.970710605150557E-2</v>
      </c>
      <c r="K128" s="191">
        <f>'Ανάπτυξη δικτύου'!P129/'Παραδοχές διείσδυσης - κάλυψης'!H248</f>
        <v>0.54874555338264597</v>
      </c>
      <c r="L128" s="161">
        <f t="shared" si="30"/>
        <v>6.4018150398307216E-2</v>
      </c>
      <c r="M128" s="192">
        <f t="shared" si="31"/>
        <v>0.10285025845250106</v>
      </c>
      <c r="O128" s="191">
        <f>'Ανάπτυξη δικτύου'!V129/'Παραδοχές διείσδυσης - κάλυψης'!I248</f>
        <v>0.55299099747115832</v>
      </c>
      <c r="P128" s="161">
        <f t="shared" si="32"/>
        <v>7.7366350621741785E-3</v>
      </c>
      <c r="Q128" s="191" t="e">
        <f>'Ανάπτυξη δικτύου'!Y129/'Παραδοχές διείσδυσης - κάλυψης'!J249</f>
        <v>#DIV/0!</v>
      </c>
      <c r="R128" s="161">
        <f t="shared" si="33"/>
        <v>0</v>
      </c>
      <c r="S128" s="191">
        <f>'Ανάπτυξη δικτύου'!AB129/'Παραδοχές διείσδυσης - κάλυψης'!K248</f>
        <v>0.56313262274531284</v>
      </c>
      <c r="T128" s="161">
        <f t="shared" si="34"/>
        <v>0</v>
      </c>
      <c r="U128" s="191">
        <f>'Ανάπτυξη δικτύου'!AE129/'Παραδοχές διείσδυσης - κάλυψης'!L248</f>
        <v>0.56942091450241394</v>
      </c>
      <c r="V128" s="161">
        <f t="shared" si="35"/>
        <v>1.1166626657935785E-2</v>
      </c>
      <c r="W128" s="191">
        <f>'Ανάπτυξη δικτύου'!AH129/'Παραδοχές διείσδυσης - κάλυψης'!M248</f>
        <v>0.56942091450241394</v>
      </c>
      <c r="X128" s="161">
        <f t="shared" si="36"/>
        <v>0</v>
      </c>
      <c r="Y128" s="192">
        <f t="shared" si="37"/>
        <v>7.3463991006961216E-3</v>
      </c>
    </row>
    <row r="129" spans="1:33" ht="16.5" customHeight="1" outlineLevel="1" x14ac:dyDescent="0.35">
      <c r="B129" s="294" t="s">
        <v>127</v>
      </c>
      <c r="C129" s="62" t="s">
        <v>253</v>
      </c>
      <c r="D129" s="190" t="e">
        <f>'Ανάπτυξη δικτύου'!E130/'Παραδοχές διείσδυσης - κάλυψης'!D249</f>
        <v>#DIV/0!</v>
      </c>
      <c r="E129" s="191" t="e">
        <f>'Ανάπτυξη δικτύου'!G130/'Παραδοχές διείσδυσης - κάλυψης'!E249</f>
        <v>#DIV/0!</v>
      </c>
      <c r="F129" s="161">
        <f t="shared" si="27"/>
        <v>0</v>
      </c>
      <c r="G129" s="191" t="e">
        <f>'Ανάπτυξη δικτύου'!J130/'Παραδοχές διείσδυσης - κάλυψης'!F249</f>
        <v>#DIV/0!</v>
      </c>
      <c r="H129" s="161">
        <f t="shared" si="28"/>
        <v>0</v>
      </c>
      <c r="I129" s="191" t="e">
        <f>'Ανάπτυξη δικτύου'!M130/'Παραδοχές διείσδυσης - κάλυψης'!G249</f>
        <v>#DIV/0!</v>
      </c>
      <c r="J129" s="161">
        <f t="shared" si="29"/>
        <v>0</v>
      </c>
      <c r="K129" s="191" t="e">
        <f>'Ανάπτυξη δικτύου'!P130/'Παραδοχές διείσδυσης - κάλυψης'!H249</f>
        <v>#DIV/0!</v>
      </c>
      <c r="L129" s="161">
        <f t="shared" si="30"/>
        <v>0</v>
      </c>
      <c r="M129" s="192">
        <f t="shared" si="31"/>
        <v>0</v>
      </c>
      <c r="O129" s="191" t="e">
        <f>'Ανάπτυξη δικτύου'!V130/'Παραδοχές διείσδυσης - κάλυψης'!I249</f>
        <v>#DIV/0!</v>
      </c>
      <c r="P129" s="161">
        <f t="shared" si="32"/>
        <v>0</v>
      </c>
      <c r="Q129" s="191">
        <f>'Ανάπτυξη δικτύου'!Y130/'Παραδοχές διείσδυσης - κάλυψης'!J250</f>
        <v>6.5194078497096816E-4</v>
      </c>
      <c r="R129" s="161">
        <f t="shared" si="33"/>
        <v>0</v>
      </c>
      <c r="S129" s="191" t="e">
        <f>'Ανάπτυξη δικτύου'!AB130/'Παραδοχές διείσδυσης - κάλυψης'!K249</f>
        <v>#DIV/0!</v>
      </c>
      <c r="T129" s="161">
        <f t="shared" si="34"/>
        <v>0</v>
      </c>
      <c r="U129" s="191" t="e">
        <f>'Ανάπτυξη δικτύου'!AE130/'Παραδοχές διείσδυσης - κάλυψης'!L249</f>
        <v>#DIV/0!</v>
      </c>
      <c r="V129" s="161">
        <f t="shared" si="35"/>
        <v>0</v>
      </c>
      <c r="W129" s="191" t="e">
        <f>'Ανάπτυξη δικτύου'!AH130/'Παραδοχές διείσδυσης - κάλυψης'!M249</f>
        <v>#DIV/0!</v>
      </c>
      <c r="X129" s="161">
        <f t="shared" si="36"/>
        <v>0</v>
      </c>
      <c r="Y129" s="192">
        <f t="shared" si="37"/>
        <v>0</v>
      </c>
    </row>
    <row r="130" spans="1:33" ht="15" customHeight="1" outlineLevel="1" x14ac:dyDescent="0.35">
      <c r="B130" s="48" t="s">
        <v>138</v>
      </c>
      <c r="C130" s="59" t="s">
        <v>253</v>
      </c>
      <c r="D130" s="190">
        <f>'Ανάπτυξη δικτύου'!E131/'Παραδοχές διείσδυσης - κάλυψης'!D250</f>
        <v>0</v>
      </c>
      <c r="E130" s="191">
        <f>'Ανάπτυξη δικτύου'!G131/'Παραδοχές διείσδυσης - κάλυψης'!E250</f>
        <v>0</v>
      </c>
      <c r="F130" s="161">
        <f t="shared" si="27"/>
        <v>0</v>
      </c>
      <c r="G130" s="191">
        <f>'Ανάπτυξη δικτύου'!J131/'Παραδοχές διείσδυσης - κάλυψης'!F250</f>
        <v>0</v>
      </c>
      <c r="H130" s="161">
        <f t="shared" si="28"/>
        <v>0</v>
      </c>
      <c r="I130" s="191">
        <f>'Ανάπτυξη δικτύου'!M131/'Παραδοχές διείσδυσης - κάλυψης'!G250</f>
        <v>0</v>
      </c>
      <c r="J130" s="161">
        <f t="shared" si="29"/>
        <v>0</v>
      </c>
      <c r="K130" s="191">
        <f>'Ανάπτυξη δικτύου'!P131/'Παραδοχές διείσδυσης - κάλυψης'!H250</f>
        <v>0</v>
      </c>
      <c r="L130" s="161">
        <f t="shared" si="30"/>
        <v>0</v>
      </c>
      <c r="M130" s="192">
        <f t="shared" si="31"/>
        <v>0</v>
      </c>
      <c r="O130" s="191">
        <f>'Ανάπτυξη δικτύου'!V131/'Παραδοχές διείσδυσης - κάλυψης'!I250</f>
        <v>0</v>
      </c>
      <c r="P130" s="161">
        <f t="shared" si="32"/>
        <v>0</v>
      </c>
      <c r="Q130" s="191" t="e">
        <f>'Ανάπτυξη δικτύου'!Y131/'Παραδοχές διείσδυσης - κάλυψης'!J251</f>
        <v>#DIV/0!</v>
      </c>
      <c r="R130" s="161">
        <f t="shared" si="33"/>
        <v>0</v>
      </c>
      <c r="S130" s="191">
        <f>'Ανάπτυξη δικτύου'!AB131/'Παραδοχές διείσδυσης - κάλυψης'!K250</f>
        <v>0</v>
      </c>
      <c r="T130" s="161">
        <f t="shared" si="34"/>
        <v>0</v>
      </c>
      <c r="U130" s="191">
        <f>'Ανάπτυξη δικτύου'!AE131/'Παραδοχές διείσδυσης - κάλυψης'!L250</f>
        <v>0</v>
      </c>
      <c r="V130" s="161">
        <f t="shared" si="35"/>
        <v>0</v>
      </c>
      <c r="W130" s="191">
        <f>'Ανάπτυξη δικτύου'!AH131/'Παραδοχές διείσδυσης - κάλυψης'!M250</f>
        <v>0</v>
      </c>
      <c r="X130" s="161">
        <f t="shared" si="36"/>
        <v>0</v>
      </c>
      <c r="Y130" s="192">
        <f t="shared" si="37"/>
        <v>0</v>
      </c>
    </row>
    <row r="131" spans="1:33" ht="15" customHeight="1" x14ac:dyDescent="0.35"/>
    <row r="132" spans="1:33" ht="15.5" x14ac:dyDescent="0.35">
      <c r="B132" s="419" t="s">
        <v>36</v>
      </c>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row>
    <row r="133" spans="1:33" ht="5.9" customHeight="1" outlineLevel="1" x14ac:dyDescent="0.35">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row>
    <row r="134" spans="1:33" ht="14.25" customHeight="1" outlineLevel="1" x14ac:dyDescent="0.35">
      <c r="B134" s="447"/>
      <c r="C134" s="481" t="s">
        <v>134</v>
      </c>
      <c r="D134" s="435" t="s">
        <v>169</v>
      </c>
      <c r="E134" s="436"/>
      <c r="F134" s="436"/>
      <c r="G134" s="436"/>
      <c r="H134" s="436"/>
      <c r="I134" s="436"/>
      <c r="J134" s="437"/>
      <c r="K134" s="436" t="s">
        <v>207</v>
      </c>
      <c r="L134" s="437"/>
      <c r="M134" s="522" t="str">
        <f>"Ετήσιος ρυθμός ανάπτυξης (CAGR) "&amp;($C$3-5)&amp;" - "&amp;(($C$3-1))</f>
        <v>Ετήσιος ρυθμός ανάπτυξης (CAGR) 2019 - 2023</v>
      </c>
      <c r="N134" s="103"/>
      <c r="O134" s="525" t="s">
        <v>170</v>
      </c>
      <c r="P134" s="526"/>
      <c r="Q134" s="526"/>
      <c r="R134" s="526"/>
      <c r="S134" s="526"/>
      <c r="T134" s="526"/>
      <c r="U134" s="526"/>
      <c r="V134" s="526"/>
      <c r="W134" s="526"/>
      <c r="X134" s="527"/>
      <c r="Y134" s="522" t="str">
        <f>"Ετήσιος ρυθμός ανάπτυξης (CAGR) "&amp;$C$3&amp;" - "&amp;$E$3</f>
        <v>Ετήσιος ρυθμός ανάπτυξης (CAGR) 2024 - 2028</v>
      </c>
    </row>
    <row r="135" spans="1:33" ht="15.75" customHeight="1" outlineLevel="1" x14ac:dyDescent="0.35">
      <c r="B135" s="448"/>
      <c r="C135" s="482"/>
      <c r="D135" s="295">
        <f>$C$3-5</f>
        <v>2019</v>
      </c>
      <c r="E135" s="435">
        <f>$C$3-4</f>
        <v>2020</v>
      </c>
      <c r="F135" s="437"/>
      <c r="G135" s="435">
        <f>$C$3-3</f>
        <v>2021</v>
      </c>
      <c r="H135" s="437"/>
      <c r="I135" s="435">
        <f>$C$3+-2</f>
        <v>2022</v>
      </c>
      <c r="J135" s="437"/>
      <c r="K135" s="435">
        <f>$C$3-1</f>
        <v>2023</v>
      </c>
      <c r="L135" s="437"/>
      <c r="M135" s="523"/>
      <c r="N135" s="103"/>
      <c r="O135" s="435">
        <f>$C$3</f>
        <v>2024</v>
      </c>
      <c r="P135" s="437"/>
      <c r="Q135" s="435">
        <f>$C$3+1</f>
        <v>2025</v>
      </c>
      <c r="R135" s="437"/>
      <c r="S135" s="435">
        <f>$C$3+2</f>
        <v>2026</v>
      </c>
      <c r="T135" s="437"/>
      <c r="U135" s="435">
        <f>$C$3+3</f>
        <v>2027</v>
      </c>
      <c r="V135" s="437"/>
      <c r="W135" s="435">
        <f>$C$3+4</f>
        <v>2028</v>
      </c>
      <c r="X135" s="437"/>
      <c r="Y135" s="523"/>
    </row>
    <row r="136" spans="1:33" ht="15" customHeight="1" outlineLevel="1" x14ac:dyDescent="0.35">
      <c r="B136" s="449"/>
      <c r="C136" s="483"/>
      <c r="D136" s="295" t="s">
        <v>252</v>
      </c>
      <c r="E136" s="295" t="s">
        <v>252</v>
      </c>
      <c r="F136" s="67" t="s">
        <v>173</v>
      </c>
      <c r="G136" s="295" t="s">
        <v>252</v>
      </c>
      <c r="H136" s="67" t="s">
        <v>173</v>
      </c>
      <c r="I136" s="295" t="s">
        <v>252</v>
      </c>
      <c r="J136" s="67" t="s">
        <v>173</v>
      </c>
      <c r="K136" s="295" t="s">
        <v>252</v>
      </c>
      <c r="L136" s="67" t="s">
        <v>173</v>
      </c>
      <c r="M136" s="524"/>
      <c r="O136" s="295" t="s">
        <v>252</v>
      </c>
      <c r="P136" s="67" t="s">
        <v>173</v>
      </c>
      <c r="Q136" s="295" t="s">
        <v>252</v>
      </c>
      <c r="R136" s="67" t="s">
        <v>173</v>
      </c>
      <c r="S136" s="295" t="s">
        <v>252</v>
      </c>
      <c r="T136" s="67" t="s">
        <v>173</v>
      </c>
      <c r="U136" s="295" t="s">
        <v>252</v>
      </c>
      <c r="V136" s="67" t="s">
        <v>173</v>
      </c>
      <c r="W136" s="295" t="s">
        <v>252</v>
      </c>
      <c r="X136" s="67" t="s">
        <v>173</v>
      </c>
      <c r="Y136" s="524"/>
    </row>
    <row r="137" spans="1:33" outlineLevel="1" x14ac:dyDescent="0.35">
      <c r="B137" s="48" t="s">
        <v>74</v>
      </c>
      <c r="C137" s="62" t="s">
        <v>253</v>
      </c>
      <c r="D137" s="190">
        <f>(('Ανάπτυξη δικτύου'!E15+'Ανάπτυξη δικτύου'!E77)/'Παραδοχές διείσδυσης - κάλυψης'!D196)</f>
        <v>0.4941719719583984</v>
      </c>
      <c r="E137" s="190">
        <f>(('Ανάπτυξη δικτύου'!G15+'Ανάπτυξη δικτύου'!G77)/'Παραδοχές διείσδυσης - κάλυψης'!E196)</f>
        <v>0.4941719719583984</v>
      </c>
      <c r="F137" s="161">
        <f>IFERROR((E137-D137)/D137,0)</f>
        <v>0</v>
      </c>
      <c r="G137" s="191">
        <f>(('Ανάπτυξη δικτύου'!J15+'Ανάπτυξη δικτύου'!J77)/'Παραδοχές διείσδυσης - κάλυψης'!F196)</f>
        <v>0.4941719719583984</v>
      </c>
      <c r="H137" s="161">
        <f>IFERROR((G137-E137)/E137,0)</f>
        <v>0</v>
      </c>
      <c r="I137" s="191">
        <f>(('Ανάπτυξη δικτύου'!M15+'Ανάπτυξη δικτύου'!M77)/'Παραδοχές διείσδυσης - κάλυψης'!G196)</f>
        <v>0.5374619260185558</v>
      </c>
      <c r="J137" s="161">
        <f>IFERROR((I137-G137)/G137,0)</f>
        <v>8.7600990174735646E-2</v>
      </c>
      <c r="K137" s="191">
        <f>(('Ανάπτυξη δικτύου'!P15+'Ανάπτυξη δικτύου'!P77)/'Παραδοχές διείσδυσης - κάλυψης'!H196)</f>
        <v>0.56131933681661528</v>
      </c>
      <c r="L137" s="161">
        <f>IFERROR((K137-I137)/I137,0)</f>
        <v>4.4389024865057698E-2</v>
      </c>
      <c r="M137" s="192">
        <f t="shared" ref="M137:M186" si="38">IFERROR((K137/D137)^(1/4)-1,0)</f>
        <v>3.2364289380469646E-2</v>
      </c>
      <c r="O137" s="191">
        <f>(('Ανάπτυξη δικτύου'!V15+'Ανάπτυξη δικτύου'!V77)/'Παραδοχές διείσδυσης - κάλυψης'!I196)</f>
        <v>0.56131933681661528</v>
      </c>
      <c r="P137" s="161">
        <f>IFERROR((O137-K137)/K137,0)</f>
        <v>0</v>
      </c>
      <c r="Q137" s="191">
        <f>(('Ανάπτυξη δικτύου'!Y15+'Ανάπτυξη δικτύου'!Y77)/'Παραδοχές διείσδυσης - κάλυψης'!J196)</f>
        <v>0.62212029444038353</v>
      </c>
      <c r="R137" s="161">
        <f>IFERROR((Q137-O137)/O137,0)</f>
        <v>0.10831794601729906</v>
      </c>
      <c r="S137" s="191">
        <f>(('Ανάπτυξη δικτύου'!AB15+'Ανάπτυξη δικτύου'!AB77)/'Παραδοχές διείσδυσης - κάλυψης'!K196)</f>
        <v>0.69519206527730459</v>
      </c>
      <c r="T137" s="161">
        <f>IFERROR((S137-Q137)/Q137,0)</f>
        <v>0.1174560153236142</v>
      </c>
      <c r="U137" s="191">
        <f>(('Ανάπτυξη δικτύου'!AE15+'Ανάπτυξη δικτύου'!AE77)/'Παραδοχές διείσδυσης - κάλυψης'!L196)</f>
        <v>0.69519206527730459</v>
      </c>
      <c r="V137" s="161">
        <f>IFERROR((U137-S137)/S137,0)</f>
        <v>0</v>
      </c>
      <c r="W137" s="191">
        <f>(('Ανάπτυξη δικτύου'!AH15+'Ανάπτυξη δικτύου'!AH77)/'Παραδοχές διείσδυσης - κάλυψης'!M196)</f>
        <v>0.71948786572938983</v>
      </c>
      <c r="X137" s="161">
        <f>IFERROR((W137-U137)/U137,0)</f>
        <v>3.4948328189554213E-2</v>
      </c>
      <c r="Y137" s="192">
        <f>IFERROR((W137/O137)^(1/4)-1,0)</f>
        <v>6.4028761966177239E-2</v>
      </c>
    </row>
    <row r="138" spans="1:33" s="52" customFormat="1" outlineLevel="1" x14ac:dyDescent="0.35">
      <c r="A138"/>
      <c r="B138" s="48" t="s">
        <v>75</v>
      </c>
      <c r="C138" s="62" t="s">
        <v>253</v>
      </c>
      <c r="D138" s="190">
        <f>(('Ανάπτυξη δικτύου'!E16+'Ανάπτυξη δικτύου'!E78)/'Παραδοχές διείσδυσης - κάλυψης'!D197)</f>
        <v>0.63185839698662183</v>
      </c>
      <c r="E138" s="190">
        <f>(('Ανάπτυξη δικτύου'!G16+'Ανάπτυξη δικτύου'!G78)/'Παραδοχές διείσδυσης - κάλυψης'!E197)</f>
        <v>0.68790698916638249</v>
      </c>
      <c r="F138" s="161">
        <f t="shared" ref="F138:F186" si="39">IFERROR((E138-D138)/D138,0)</f>
        <v>8.8704355987133235E-2</v>
      </c>
      <c r="G138" s="191">
        <f>(('Ανάπτυξη δικτύου'!J16+'Ανάπτυξη δικτύου'!J78)/'Παραδοχές διείσδυσης - κάλυψης'!F197)</f>
        <v>0.76507308987147604</v>
      </c>
      <c r="H138" s="161">
        <f t="shared" ref="H138:H186" si="40">IFERROR((G138-E138)/E138,0)</f>
        <v>0.1121751950777601</v>
      </c>
      <c r="I138" s="191">
        <f>(('Ανάπτυξη δικτύου'!M16+'Ανάπτυξη δικτύου'!M78)/'Παραδοχές διείσδυσης - κάλυψης'!G197)</f>
        <v>0.79000231090432349</v>
      </c>
      <c r="J138" s="161">
        <f t="shared" ref="J138:J186" si="41">IFERROR((I138-G138)/G138,0)</f>
        <v>3.2584103875664072E-2</v>
      </c>
      <c r="K138" s="191">
        <f>(('Ανάπτυξη δικτύου'!P16+'Ανάπτυξη δικτύου'!P78)/'Παραδοχές διείσδυσης - κάλυψης'!H197)</f>
        <v>0.80944692581460065</v>
      </c>
      <c r="L138" s="161">
        <f t="shared" ref="L138:L186" si="42">IFERROR((K138-I138)/I138,0)</f>
        <v>2.4613364596387969E-2</v>
      </c>
      <c r="M138" s="192">
        <f t="shared" si="38"/>
        <v>6.3878798548306248E-2</v>
      </c>
      <c r="N138"/>
      <c r="O138" s="191">
        <f>(('Ανάπτυξη δικτύου'!V16+'Ανάπτυξη δικτύου'!V78)/'Παραδοχές διείσδυσης - κάλυψης'!I197)</f>
        <v>0.81002378568186129</v>
      </c>
      <c r="P138" s="161">
        <f t="shared" ref="P138:P186" si="43">IFERROR((O138-K138)/K138,0)</f>
        <v>7.1265928483217676E-4</v>
      </c>
      <c r="Q138" s="191">
        <f>(('Ανάπτυξη δικτύου'!Y16+'Ανάπτυξη δικτύου'!Y78)/'Παραδοχές διείσδυσης - κάλυψης'!J197)</f>
        <v>0.83851178835734719</v>
      </c>
      <c r="R138" s="161">
        <f t="shared" ref="R138:R186" si="44">IFERROR((Q138-O138)/O138,0)</f>
        <v>3.5169340924359756E-2</v>
      </c>
      <c r="S138" s="191">
        <f>(('Ανάπτυξη δικτύου'!AB16+'Ανάπτυξη δικτύου'!AB78)/'Παραδοχές διείσδυσης - κάλυψης'!K197)</f>
        <v>0.84735993124440623</v>
      </c>
      <c r="T138" s="161">
        <f t="shared" ref="T138:T186" si="45">IFERROR((S138-Q138)/Q138,0)</f>
        <v>1.0552198561683478E-2</v>
      </c>
      <c r="U138" s="191">
        <f>(('Ανάπτυξη δικτύου'!AE16+'Ανάπτυξη δικτύου'!AE78)/'Παραδοχές διείσδυσης - κάλυψης'!L197)</f>
        <v>0.86195892326969425</v>
      </c>
      <c r="V138" s="161">
        <f t="shared" ref="V138:V186" si="46">IFERROR((U138-S138)/S138,0)</f>
        <v>1.7228796745024755E-2</v>
      </c>
      <c r="W138" s="191">
        <f>(('Ανάπτυξη δικτύου'!AH16+'Ανάπτυξη δικτύου'!AH78)/'Παραδοχές διείσδυσης - κάλυψης'!M197)</f>
        <v>0.86627206012336599</v>
      </c>
      <c r="X138" s="161">
        <f t="shared" ref="X138:X186" si="47">IFERROR((W138-U138)/U138,0)</f>
        <v>5.0038774902527719E-3</v>
      </c>
      <c r="Y138" s="192">
        <f t="shared" ref="Y138:Y186" si="48">IFERROR((W138/O138)^(1/4)-1,0)</f>
        <v>1.6925491174811347E-2</v>
      </c>
    </row>
    <row r="139" spans="1:33" s="52" customFormat="1" outlineLevel="1" x14ac:dyDescent="0.35">
      <c r="A139"/>
      <c r="B139" s="48" t="s">
        <v>76</v>
      </c>
      <c r="C139" s="62" t="s">
        <v>253</v>
      </c>
      <c r="D139" s="190">
        <f>(('Ανάπτυξη δικτύου'!E17+'Ανάπτυξη δικτύου'!E79)/'Παραδοχές διείσδυσης - κάλυψης'!D198)</f>
        <v>0.2982243590815612</v>
      </c>
      <c r="E139" s="190">
        <f>(('Ανάπτυξη δικτύου'!G17+'Ανάπτυξη δικτύου'!G79)/'Παραδοχές διείσδυσης - κάλυψης'!E198)</f>
        <v>0.32327995335767484</v>
      </c>
      <c r="F139" s="161">
        <f t="shared" si="39"/>
        <v>8.4015921279123967E-2</v>
      </c>
      <c r="G139" s="191">
        <f>(('Ανάπτυξη δικτύου'!J17+'Ανάπτυξη δικτύου'!J79)/'Παραδοχές διείσδυσης - κάλυψης'!F198)</f>
        <v>0.36800619671396584</v>
      </c>
      <c r="H139" s="161">
        <f t="shared" si="40"/>
        <v>0.13835142851188847</v>
      </c>
      <c r="I139" s="191">
        <f>(('Ανάπτυξη δικτύου'!M17+'Ανάπτυξη δικτύου'!M79)/'Παραδοχές διείσδυσης - κάλυψης'!G198)</f>
        <v>0.37240197410296461</v>
      </c>
      <c r="J139" s="161">
        <f t="shared" si="41"/>
        <v>1.1944846114684861E-2</v>
      </c>
      <c r="K139" s="191">
        <f>(('Ανάπτυξη δικτύου'!P17+'Ανάπτυξη δικτύου'!P79)/'Παραδοχές διείσδυσης - κάλυψης'!H198)</f>
        <v>0.39942317139637812</v>
      </c>
      <c r="L139" s="161">
        <f t="shared" si="42"/>
        <v>7.2559221412565558E-2</v>
      </c>
      <c r="M139" s="192">
        <f t="shared" si="38"/>
        <v>7.5777694951667529E-2</v>
      </c>
      <c r="N139"/>
      <c r="O139" s="191">
        <f>(('Ανάπτυξη δικτύου'!V17+'Ανάπτυξη δικτύου'!V79)/'Παραδοχές διείσδυσης - κάλυψης'!I198)</f>
        <v>0.4023469528321259</v>
      </c>
      <c r="P139" s="161">
        <f t="shared" si="43"/>
        <v>7.3200095666114814E-3</v>
      </c>
      <c r="Q139" s="191">
        <f>(('Ανάπτυξη δικτύου'!Y17+'Ανάπτυξη δικτύου'!Y79)/'Παραδοχές διείσδυσης - κάλυψης'!J198)</f>
        <v>0.42459868113229887</v>
      </c>
      <c r="R139" s="161">
        <f t="shared" si="44"/>
        <v>5.5304826204206937E-2</v>
      </c>
      <c r="S139" s="191">
        <f>(('Ανάπτυξη δικτύου'!AB17+'Ανάπτυξη δικτύου'!AB79)/'Παραδοχές διείσδυσης - κάλυψης'!K198)</f>
        <v>0.47198549822688463</v>
      </c>
      <c r="T139" s="161">
        <f t="shared" si="45"/>
        <v>0.11160377834480531</v>
      </c>
      <c r="U139" s="191">
        <f>(('Ανάπτυξη δικτύου'!AE17+'Ανάπτυξη δικτύου'!AE79)/'Παραδοχές διείσδυσης - κάλυψης'!L198)</f>
        <v>0.49085534108755208</v>
      </c>
      <c r="V139" s="161">
        <f t="shared" si="46"/>
        <v>3.9979708977407331E-2</v>
      </c>
      <c r="W139" s="191">
        <f>(('Ανάπτυξη δικτύου'!AH17+'Ανάπτυξη δικτύου'!AH79)/'Παραδοχές διείσδυσης - κάλυψης'!M198)</f>
        <v>0.51888052719978928</v>
      </c>
      <c r="X139" s="161">
        <f t="shared" si="47"/>
        <v>5.709459338904993E-2</v>
      </c>
      <c r="Y139" s="192">
        <f t="shared" si="48"/>
        <v>6.5655090876507449E-2</v>
      </c>
    </row>
    <row r="140" spans="1:33" outlineLevel="1" x14ac:dyDescent="0.35">
      <c r="B140" s="48" t="s">
        <v>77</v>
      </c>
      <c r="C140" s="62" t="s">
        <v>253</v>
      </c>
      <c r="D140" s="190">
        <f>(('Ανάπτυξη δικτύου'!E18+'Ανάπτυξη δικτύου'!E80)/'Παραδοχές διείσδυσης - κάλυψης'!D199)</f>
        <v>0.11027385000000001</v>
      </c>
      <c r="E140" s="190">
        <f>(('Ανάπτυξη δικτύου'!G18+'Ανάπτυξη δικτύου'!G80)/'Παραδοχές διείσδυσης - κάλυψης'!E199)</f>
        <v>0.11354635</v>
      </c>
      <c r="F140" s="161">
        <f t="shared" si="39"/>
        <v>2.9676119950468743E-2</v>
      </c>
      <c r="G140" s="191">
        <f>(('Ανάπτυξη δικτύου'!J18+'Ανάπτυξη δικτύου'!J80)/'Παραδοχές διείσδυσης - κάλυψης'!F199)</f>
        <v>0.12510009999999999</v>
      </c>
      <c r="H140" s="161">
        <f t="shared" si="40"/>
        <v>0.1017536010624735</v>
      </c>
      <c r="I140" s="191">
        <f>(('Ανάπτυξη δικτύου'!M18+'Ανάπτυξη δικτύου'!M80)/'Παραδοχές διείσδυσης - κάλυψης'!G199)</f>
        <v>0.13104760000000001</v>
      </c>
      <c r="J140" s="161">
        <f t="shared" si="41"/>
        <v>4.7541928423718467E-2</v>
      </c>
      <c r="K140" s="191">
        <f>(('Ανάπτυξη δικτύου'!P18+'Ανάπτυξη δικτύου'!P80)/'Παραδοχές διείσδυσης - κάλυψης'!H199)</f>
        <v>0.13291060000000002</v>
      </c>
      <c r="L140" s="161">
        <f t="shared" si="42"/>
        <v>1.4216208461658232E-2</v>
      </c>
      <c r="M140" s="192">
        <f t="shared" si="38"/>
        <v>4.7784019161605684E-2</v>
      </c>
      <c r="O140" s="191">
        <f>(('Ανάπτυξη δικτύου'!V18+'Ανάπτυξη δικτύου'!V80)/'Παραδοχές διείσδυσης - κάλυψης'!I199)</f>
        <v>0.13291060000000002</v>
      </c>
      <c r="P140" s="161">
        <f t="shared" si="43"/>
        <v>0</v>
      </c>
      <c r="Q140" s="191">
        <f>(('Ανάπτυξη δικτύου'!Y18+'Ανάπτυξη δικτύου'!Y80)/'Παραδοχές διείσδυσης - κάλυψης'!J199)</f>
        <v>0.13291060000000002</v>
      </c>
      <c r="R140" s="161">
        <f t="shared" si="44"/>
        <v>0</v>
      </c>
      <c r="S140" s="191">
        <f>(('Ανάπτυξη δικτύου'!AB18+'Ανάπτυξη δικτύου'!AB80)/'Παραδοχές διείσδυσης - κάλυψης'!K199)</f>
        <v>0.1405806</v>
      </c>
      <c r="T140" s="161">
        <f t="shared" si="45"/>
        <v>5.7707963096998896E-2</v>
      </c>
      <c r="U140" s="191">
        <f>(('Ανάπτυξη δικτύου'!AE18+'Ανάπτυξη δικτύου'!AE80)/'Παραδοχές διείσδυσης - κάλυψης'!L199)</f>
        <v>0.14436560000000001</v>
      </c>
      <c r="V140" s="161">
        <f t="shared" si="46"/>
        <v>2.6924056377622591E-2</v>
      </c>
      <c r="W140" s="191">
        <f>(('Ανάπτυξη δικτύου'!AH18+'Ανάπτυξη δικτύου'!AH80)/'Παραδοχές διείσδυσης - κάλυψης'!M199)</f>
        <v>0.14436560000000001</v>
      </c>
      <c r="X140" s="161">
        <f t="shared" si="47"/>
        <v>0</v>
      </c>
      <c r="Y140" s="192">
        <f t="shared" si="48"/>
        <v>2.0883125786448797E-2</v>
      </c>
    </row>
    <row r="141" spans="1:33" s="52" customFormat="1" outlineLevel="1" x14ac:dyDescent="0.35">
      <c r="A141"/>
      <c r="B141" s="48" t="s">
        <v>78</v>
      </c>
      <c r="C141" s="62" t="s">
        <v>253</v>
      </c>
      <c r="D141" s="190">
        <f>(('Ανάπτυξη δικτύου'!E19+'Ανάπτυξη δικτύου'!E81)/'Παραδοχές διείσδυσης - κάλυψης'!D200)</f>
        <v>0.92486375279713451</v>
      </c>
      <c r="E141" s="190">
        <f>(('Ανάπτυξη δικτύου'!G19+'Ανάπτυξη δικτύου'!G81)/'Παραδοχές διείσδυσης - κάλυψης'!E200)</f>
        <v>0.93279592453279048</v>
      </c>
      <c r="F141" s="161">
        <f t="shared" si="39"/>
        <v>8.5765840770233547E-3</v>
      </c>
      <c r="G141" s="191">
        <f>(('Ανάπτυξη δικτύου'!J19+'Ανάπτυξη δικτύου'!J81)/'Παραδοχές διείσδυσης - κάλυψης'!F200)</f>
        <v>0.94418814944759788</v>
      </c>
      <c r="H141" s="161">
        <f t="shared" si="40"/>
        <v>1.2212987444722625E-2</v>
      </c>
      <c r="I141" s="191">
        <f>(('Ανάπτυξη δικτύου'!M19+'Ανάπτυξη δικτύου'!M81)/'Παραδοχές διείσδυσης - κάλυψης'!G200)</f>
        <v>0.94958031560145262</v>
      </c>
      <c r="J141" s="161">
        <f t="shared" si="41"/>
        <v>5.710902172421305E-3</v>
      </c>
      <c r="K141" s="191">
        <f>(('Ανάπτυξη δικτύου'!P19+'Ανάπτυξη δικτύου'!P81)/'Παραδοχές διείσδυσης - κάλυψης'!H200)</f>
        <v>0.96374901782547151</v>
      </c>
      <c r="L141" s="161">
        <f t="shared" si="42"/>
        <v>1.4921015096068633E-2</v>
      </c>
      <c r="M141" s="192">
        <f t="shared" si="38"/>
        <v>1.034930575334525E-2</v>
      </c>
      <c r="N141"/>
      <c r="O141" s="191">
        <f>(('Ανάπτυξη δικτύου'!V19+'Ανάπτυξη δικτύου'!V81)/'Παραδοχές διείσδυσης - κάλυψης'!I200)</f>
        <v>0.96893226787216891</v>
      </c>
      <c r="P141" s="161">
        <f t="shared" si="43"/>
        <v>5.3782156462192608E-3</v>
      </c>
      <c r="Q141" s="191">
        <f>(('Ανάπτυξη δικτύου'!Y19+'Ανάπτυξη δικτύου'!Y81)/'Παραδοχές διείσδυσης - κάλυψης'!J200)</f>
        <v>0.97948460268977722</v>
      </c>
      <c r="R141" s="161">
        <f t="shared" si="44"/>
        <v>1.089068366025403E-2</v>
      </c>
      <c r="S141" s="191">
        <f>(('Ανάπτυξη δικτύου'!AB19+'Ανάπτυξη δικτύου'!AB81)/'Παραδοχές διείσδυσης - κάλυψης'!K200)</f>
        <v>0.99006652902398018</v>
      </c>
      <c r="T141" s="161">
        <f t="shared" si="45"/>
        <v>1.0803565778516351E-2</v>
      </c>
      <c r="U141" s="191">
        <f>(('Ανάπτυξη δικτύου'!AE19+'Ανάπτυξη δικτύου'!AE81)/'Παραδοχές διείσδυσης - κάλυψης'!L200)</f>
        <v>1.0095744404237561</v>
      </c>
      <c r="V141" s="161">
        <f t="shared" si="46"/>
        <v>1.9703636905094715E-2</v>
      </c>
      <c r="W141" s="191">
        <f>(('Ανάπτυξη δικτύου'!AH19+'Ανάπτυξη δικτύου'!AH81)/'Παραδοχές διείσδυσης - κάλυψης'!M200)</f>
        <v>1.0194355174137164</v>
      </c>
      <c r="X141" s="161">
        <f t="shared" si="47"/>
        <v>9.7675580869710232E-3</v>
      </c>
      <c r="Y141" s="192">
        <f t="shared" si="48"/>
        <v>1.2783425335917808E-2</v>
      </c>
    </row>
    <row r="142" spans="1:33" outlineLevel="1" x14ac:dyDescent="0.35">
      <c r="B142" s="48" t="s">
        <v>79</v>
      </c>
      <c r="C142" s="62" t="s">
        <v>253</v>
      </c>
      <c r="D142" s="190">
        <f>(('Ανάπτυξη δικτύου'!E20+'Ανάπτυξη δικτύου'!E82)/'Παραδοχές διείσδυσης - κάλυψης'!D201)</f>
        <v>0.80311254757370287</v>
      </c>
      <c r="E142" s="190">
        <f>(('Ανάπτυξη δικτύου'!G20+'Ανάπτυξη δικτύου'!G82)/'Παραδοχές διείσδυσης - κάλυψης'!E201)</f>
        <v>0.82613468015261993</v>
      </c>
      <c r="F142" s="161">
        <f t="shared" si="39"/>
        <v>2.866613483809911E-2</v>
      </c>
      <c r="G142" s="191">
        <f>(('Ανάπτυξη δικτύου'!J20+'Ανάπτυξη δικτύου'!J82)/'Παραδοχές διείσδυσης - κάλυψης'!F201)</f>
        <v>0.83021564567858541</v>
      </c>
      <c r="H142" s="161">
        <f t="shared" si="40"/>
        <v>4.9398307854738267E-3</v>
      </c>
      <c r="I142" s="191">
        <f>(('Ανάπτυξη δικτύου'!M20+'Ανάπτυξη δικτύου'!M82)/'Παραδοχές διείσδυσης - κάλυψης'!G201)</f>
        <v>0.84413208106040705</v>
      </c>
      <c r="J142" s="161">
        <f t="shared" si="41"/>
        <v>1.6762434500312135E-2</v>
      </c>
      <c r="K142" s="191">
        <f>(('Ανάπτυξη δικτύου'!P20+'Ανάπτυξη δικτύου'!P82)/'Παραδοχές διείσδυσης - κάλυψης'!H201)</f>
        <v>0.85843439059431403</v>
      </c>
      <c r="L142" s="161">
        <f t="shared" si="42"/>
        <v>1.6943212863015804E-2</v>
      </c>
      <c r="M142" s="192">
        <f t="shared" si="38"/>
        <v>1.6793296143996939E-2</v>
      </c>
      <c r="O142" s="191">
        <f>(('Ανάπτυξη δικτύου'!V20+'Ανάπτυξη δικτύου'!V82)/'Παραδοχές διείσδυσης - κάλυψης'!I201)</f>
        <v>0.85950435802633185</v>
      </c>
      <c r="P142" s="161">
        <f t="shared" si="43"/>
        <v>1.2464172495198521E-3</v>
      </c>
      <c r="Q142" s="191">
        <f>(('Ανάπτυξη δικτύου'!Y20+'Ανάπτυξη δικτύου'!Y82)/'Παραδοχές διείσδυσης - κάλυψης'!J201)</f>
        <v>0.85950435802633185</v>
      </c>
      <c r="R142" s="161">
        <f t="shared" si="44"/>
        <v>0</v>
      </c>
      <c r="S142" s="191">
        <f>(('Ανάπτυξη δικτύου'!AB20+'Ανάπτυξη δικτύου'!AB82)/'Παραδοχές διείσδυσης - κάλυψης'!K201)</f>
        <v>0.85950435802633185</v>
      </c>
      <c r="T142" s="161">
        <f t="shared" si="45"/>
        <v>0</v>
      </c>
      <c r="U142" s="191">
        <f>(('Ανάπτυξη δικτύου'!AE20+'Ανάπτυξη δικτύου'!AE82)/'Παραδοχές διείσδυσης - κάλυψης'!L201)</f>
        <v>0.86418889492420481</v>
      </c>
      <c r="V142" s="161">
        <f t="shared" si="46"/>
        <v>5.4502770743710916E-3</v>
      </c>
      <c r="W142" s="191">
        <f>(('Ανάπτυξη δικτύου'!AH20+'Ανάπτυξη δικτύου'!AH82)/'Παραδοχές διείσδυσης - κάλυψης'!M201)</f>
        <v>0.88454571119490299</v>
      </c>
      <c r="X142" s="161">
        <f t="shared" si="47"/>
        <v>2.3555979937098841E-2</v>
      </c>
      <c r="Y142" s="192">
        <f t="shared" si="48"/>
        <v>7.2054092595765784E-3</v>
      </c>
    </row>
    <row r="143" spans="1:33" outlineLevel="1" x14ac:dyDescent="0.35">
      <c r="B143" s="48" t="s">
        <v>80</v>
      </c>
      <c r="C143" s="62" t="s">
        <v>253</v>
      </c>
      <c r="D143" s="190">
        <f>(('Ανάπτυξη δικτύου'!E21+'Ανάπτυξη δικτύου'!E83)/'Παραδοχές διείσδυσης - κάλυψης'!D202)</f>
        <v>0.42536855558786885</v>
      </c>
      <c r="E143" s="190">
        <f>(('Ανάπτυξη δικτύου'!G21+'Ανάπτυξη δικτύου'!G83)/'Παραδοχές διείσδυσης - κάλυψης'!E202)</f>
        <v>0.49429093747105102</v>
      </c>
      <c r="F143" s="161">
        <f t="shared" si="39"/>
        <v>0.16202979975313384</v>
      </c>
      <c r="G143" s="191">
        <f>(('Ανάπτυξη δικτύου'!J21+'Ανάπτυξη δικτύου'!J83)/'Παραδοχές διείσδυσης - κάλυψης'!F202)</f>
        <v>0.56550574035797763</v>
      </c>
      <c r="H143" s="161">
        <f t="shared" si="40"/>
        <v>0.14407466835480354</v>
      </c>
      <c r="I143" s="191">
        <f>(('Ανάπτυξη δικτύου'!M21+'Ανάπτυξη δικτύου'!M83)/'Παραδοχές διείσδυσης - κάλυψης'!G202)</f>
        <v>0.57142180595632308</v>
      </c>
      <c r="J143" s="161">
        <f t="shared" si="41"/>
        <v>1.0461548267574533E-2</v>
      </c>
      <c r="K143" s="191">
        <f>(('Ανάπτυξη δικτύου'!P21+'Ανάπτυξη δικτύου'!P83)/'Παραδοχές διείσδυσης - κάλυψης'!H202)</f>
        <v>0.64047365346930285</v>
      </c>
      <c r="L143" s="161">
        <f t="shared" si="42"/>
        <v>0.12084216386775024</v>
      </c>
      <c r="M143" s="192">
        <f t="shared" si="38"/>
        <v>0.1077301379523854</v>
      </c>
      <c r="O143" s="191">
        <f>(('Ανάπτυξη δικτύου'!V21+'Ανάπτυξη δικτύου'!V83)/'Παραδοχές διείσδυσης - κάλυψης'!I202)</f>
        <v>0.64601969288967975</v>
      </c>
      <c r="P143" s="161">
        <f t="shared" si="43"/>
        <v>8.6592780051689012E-3</v>
      </c>
      <c r="Q143" s="191">
        <f>(('Ανάπτυξη δικτύου'!Y21+'Ανάπτυξη δικτύου'!Y83)/'Παραδοχές διείσδυσης - κάλυψης'!J202)</f>
        <v>0.65651102334737843</v>
      </c>
      <c r="R143" s="161">
        <f t="shared" si="44"/>
        <v>1.6239954560472312E-2</v>
      </c>
      <c r="S143" s="191">
        <f>(('Ανάπτυξη δικτύου'!AB21+'Ανάπτυξη δικτύου'!AB83)/'Παραδοχές διείσδυσης - κάλυψης'!K202)</f>
        <v>0.65925357031349885</v>
      </c>
      <c r="T143" s="161">
        <f t="shared" si="45"/>
        <v>4.1774576032811862E-3</v>
      </c>
      <c r="U143" s="191">
        <f>(('Ανάπτυξη δικτύου'!AE21+'Ανάπτυξη δικτύου'!AE83)/'Παραδοχές διείσδυσης - κάλυψης'!L202)</f>
        <v>0.65925357031349885</v>
      </c>
      <c r="V143" s="161">
        <f t="shared" si="46"/>
        <v>0</v>
      </c>
      <c r="W143" s="191">
        <f>(('Ανάπτυξη δικτύου'!AH21+'Ανάπτυξη δικτύου'!AH83)/'Παραδοχές διείσδυσης - κάλυψης'!M202)</f>
        <v>0.67298371814071123</v>
      </c>
      <c r="X143" s="161">
        <f t="shared" si="47"/>
        <v>2.0826808447443369E-2</v>
      </c>
      <c r="Y143" s="192">
        <f t="shared" si="48"/>
        <v>1.0275218383142271E-2</v>
      </c>
    </row>
    <row r="144" spans="1:33" outlineLevel="1" x14ac:dyDescent="0.35">
      <c r="B144" s="48" t="s">
        <v>81</v>
      </c>
      <c r="C144" s="62" t="s">
        <v>253</v>
      </c>
      <c r="D144" s="190">
        <f>(('Ανάπτυξη δικτύου'!E22+'Ανάπτυξη δικτύου'!E84)/'Παραδοχές διείσδυσης - κάλυψης'!D203)</f>
        <v>0.75386703443786229</v>
      </c>
      <c r="E144" s="190">
        <f>(('Ανάπτυξη δικτύου'!G22+'Ανάπτυξη δικτύου'!G84)/'Παραδοχές διείσδυσης - κάλυψης'!E203)</f>
        <v>0.76573980172072864</v>
      </c>
      <c r="F144" s="161">
        <f t="shared" si="39"/>
        <v>1.5749153021022522E-2</v>
      </c>
      <c r="G144" s="191">
        <f>(('Ανάπτυξη δικτύου'!J22+'Ανάπτυξη δικτύου'!J84)/'Παραδοχές διείσδυσης - κάλυψης'!F203)</f>
        <v>0.78124508885024346</v>
      </c>
      <c r="H144" s="161">
        <f t="shared" si="40"/>
        <v>2.0248767394188193E-2</v>
      </c>
      <c r="I144" s="191">
        <f>(('Ανάπτυξη δικτύου'!M22+'Ανάπτυξη δικτύου'!M84)/'Παραδοχές διείσδυσης - κάλυψης'!G203)</f>
        <v>0.78963651928576084</v>
      </c>
      <c r="J144" s="161">
        <f t="shared" si="41"/>
        <v>1.0741098478925513E-2</v>
      </c>
      <c r="K144" s="191">
        <f>(('Ανάπτυξη δικτύου'!P22+'Ανάπτυξη δικτύου'!P84)/'Παραδοχές διείσδυσης - κάλυψης'!H203)</f>
        <v>0.80372801317950626</v>
      </c>
      <c r="L144" s="161">
        <f t="shared" si="42"/>
        <v>1.7845544816609302E-2</v>
      </c>
      <c r="M144" s="192">
        <f t="shared" si="38"/>
        <v>1.6140095152991307E-2</v>
      </c>
      <c r="O144" s="191">
        <f>(('Ανάπτυξη δικτύου'!V22+'Ανάπτυξη δικτύου'!V84)/'Παραδοχές διείσδυσης - κάλυψης'!I203)</f>
        <v>0.81238620679126194</v>
      </c>
      <c r="P144" s="161">
        <f t="shared" si="43"/>
        <v>1.0772541792470712E-2</v>
      </c>
      <c r="Q144" s="191">
        <f>(('Ανάπτυξη δικτύου'!Y22+'Ανάπτυξη δικτύου'!Y84)/'Παραδοχές διείσδυσης - κάλυψης'!J203)</f>
        <v>0.81549242404649247</v>
      </c>
      <c r="R144" s="161">
        <f t="shared" si="44"/>
        <v>3.8235721252572307E-3</v>
      </c>
      <c r="S144" s="191">
        <f>(('Ανάπτυξη δικτύου'!AB22+'Ανάπτυξη δικτύου'!AB84)/'Παραδοχές διείσδυσης - κάλυψης'!K203)</f>
        <v>0.81711777028469457</v>
      </c>
      <c r="T144" s="161">
        <f t="shared" si="45"/>
        <v>1.9930856379230242E-3</v>
      </c>
      <c r="U144" s="191">
        <f>(('Ανάπτυξη δικτύου'!AE22+'Ανάπτυξη δικτύου'!AE84)/'Παραδοχές διείσδυσης - κάλυψης'!L203)</f>
        <v>0.81711777028469457</v>
      </c>
      <c r="V144" s="161">
        <f t="shared" si="46"/>
        <v>0</v>
      </c>
      <c r="W144" s="191">
        <f>(('Ανάπτυξη δικτύου'!AH22+'Ανάπτυξη δικτύου'!AH84)/'Παραδοχές διείσδυσης - κάλυψης'!M203)</f>
        <v>0.81962544733792053</v>
      </c>
      <c r="X144" s="161">
        <f t="shared" si="47"/>
        <v>3.0689297729411241E-3</v>
      </c>
      <c r="Y144" s="192">
        <f t="shared" si="48"/>
        <v>2.2203646547860334E-3</v>
      </c>
    </row>
    <row r="145" spans="2:25" outlineLevel="1" x14ac:dyDescent="0.35">
      <c r="B145" s="48" t="s">
        <v>82</v>
      </c>
      <c r="C145" s="62" t="s">
        <v>253</v>
      </c>
      <c r="D145" s="190">
        <f>(('Ανάπτυξη δικτύου'!E23+'Ανάπτυξη δικτύου'!E85)/'Παραδοχές διείσδυσης - κάλυψης'!D204)</f>
        <v>0.48566284615384619</v>
      </c>
      <c r="E145" s="190">
        <f>(('Ανάπτυξη δικτύου'!G23+'Ανάπτυξη δικτύου'!G85)/'Παραδοχές διείσδυσης - κάλυψης'!E204)</f>
        <v>0.48566284615384619</v>
      </c>
      <c r="F145" s="161">
        <f t="shared" si="39"/>
        <v>0</v>
      </c>
      <c r="G145" s="191">
        <f>(('Ανάπτυξη δικτύου'!J23+'Ανάπτυξη δικτύου'!J85)/'Παραδοχές διείσδυσης - κάλυψης'!F204)</f>
        <v>0.48566284615384619</v>
      </c>
      <c r="H145" s="161">
        <f t="shared" si="40"/>
        <v>0</v>
      </c>
      <c r="I145" s="191">
        <f>(('Ανάπτυξη δικτύου'!M23+'Ανάπτυξη δικτύου'!M85)/'Παραδοχές διείσδυσης - κάλυψης'!G204)</f>
        <v>0.48566284615384619</v>
      </c>
      <c r="J145" s="161">
        <f t="shared" si="41"/>
        <v>0</v>
      </c>
      <c r="K145" s="191">
        <f>(('Ανάπτυξη δικτύου'!P23+'Ανάπτυξη δικτύου'!P85)/'Παραδοχές διείσδυσης - κάλυψης'!H204)</f>
        <v>0.48566284615384619</v>
      </c>
      <c r="L145" s="161">
        <f t="shared" si="42"/>
        <v>0</v>
      </c>
      <c r="M145" s="192">
        <f t="shared" si="38"/>
        <v>0</v>
      </c>
      <c r="O145" s="191">
        <f>(('Ανάπτυξη δικτύου'!V23+'Ανάπτυξη δικτύου'!V85)/'Παραδοχές διείσδυσης - κάλυψης'!I204)</f>
        <v>0.48566284615384619</v>
      </c>
      <c r="P145" s="161">
        <f t="shared" si="43"/>
        <v>0</v>
      </c>
      <c r="Q145" s="191">
        <f>(('Ανάπτυξη δικτύου'!Y23+'Ανάπτυξη δικτύου'!Y85)/'Παραδοχές διείσδυσης - κάλυψης'!J204)</f>
        <v>0.48566284615384619</v>
      </c>
      <c r="R145" s="161">
        <f t="shared" si="44"/>
        <v>0</v>
      </c>
      <c r="S145" s="191">
        <f>(('Ανάπτυξη δικτύου'!AB23+'Ανάπτυξη δικτύου'!AB85)/'Παραδοχές διείσδυσης - κάλυψης'!K204)</f>
        <v>0.48566284615384619</v>
      </c>
      <c r="T145" s="161">
        <f t="shared" si="45"/>
        <v>0</v>
      </c>
      <c r="U145" s="191">
        <f>(('Ανάπτυξη δικτύου'!AE23+'Ανάπτυξη δικτύου'!AE85)/'Παραδοχές διείσδυσης - κάλυψης'!L204)</f>
        <v>0.48566284615384619</v>
      </c>
      <c r="V145" s="161">
        <f t="shared" si="46"/>
        <v>0</v>
      </c>
      <c r="W145" s="191">
        <f>(('Ανάπτυξη δικτύου'!AH23+'Ανάπτυξη δικτύου'!AH85)/'Παραδοχές διείσδυσης - κάλυψης'!M204)</f>
        <v>0.48566284615384619</v>
      </c>
      <c r="X145" s="161">
        <f t="shared" si="47"/>
        <v>0</v>
      </c>
      <c r="Y145" s="192">
        <f t="shared" si="48"/>
        <v>0</v>
      </c>
    </row>
    <row r="146" spans="2:25" outlineLevel="1" x14ac:dyDescent="0.35">
      <c r="B146" s="48" t="s">
        <v>83</v>
      </c>
      <c r="C146" s="62" t="s">
        <v>253</v>
      </c>
      <c r="D146" s="190">
        <f>(('Ανάπτυξη δικτύου'!E24+'Ανάπτυξη δικτύου'!E86)/'Παραδοχές διείσδυσης - κάλυψης'!D205)</f>
        <v>0.17244624193041933</v>
      </c>
      <c r="E146" s="190">
        <f>(('Ανάπτυξη δικτύου'!G24+'Ανάπτυξη δικτύου'!G86)/'Παραδοχές διείσδυσης - κάλυψης'!E205)</f>
        <v>0.17277429590754181</v>
      </c>
      <c r="F146" s="161">
        <f t="shared" si="39"/>
        <v>1.9023550380115328E-3</v>
      </c>
      <c r="G146" s="191">
        <f>(('Ανάπτυξη δικτύου'!J24+'Ανάπτυξη δικτύου'!J86)/'Παραδοχές διείσδυσης - κάλυψης'!F205)</f>
        <v>0.17526812316309689</v>
      </c>
      <c r="H146" s="161">
        <f t="shared" si="40"/>
        <v>1.4434017759734493E-2</v>
      </c>
      <c r="I146" s="191">
        <f>(('Ανάπτυξη δικτύου'!M24+'Ανάπτυξη δικτύου'!M86)/'Παραδοχές διείσδυσης - κάλυψης'!G205)</f>
        <v>0.17578231434980929</v>
      </c>
      <c r="J146" s="161">
        <f t="shared" si="41"/>
        <v>2.9337404739246779E-3</v>
      </c>
      <c r="K146" s="191">
        <f>(('Ανάπτυξη δικτύου'!P24+'Ανάπτυξη δικτύου'!P86)/'Παραδοχές διείσδυσης - κάλυψης'!H205)</f>
        <v>0.19063408918092509</v>
      </c>
      <c r="L146" s="161">
        <f t="shared" si="42"/>
        <v>8.4489585235295955E-2</v>
      </c>
      <c r="M146" s="192">
        <f t="shared" si="38"/>
        <v>2.5384403473416306E-2</v>
      </c>
      <c r="O146" s="191">
        <f>(('Ανάπτυξη δικτύου'!V24+'Ανάπτυξη δικτύου'!V86)/'Παραδοχές διείσδυσης - κάλυψης'!I205)</f>
        <v>0.19063408918092509</v>
      </c>
      <c r="P146" s="161">
        <f t="shared" si="43"/>
        <v>0</v>
      </c>
      <c r="Q146" s="191">
        <f>(('Ανάπτυξη δικτύου'!Y24+'Ανάπτυξη δικτύου'!Y86)/'Παραδοχές διείσδυσης - κάλυψης'!J205)</f>
        <v>0.20625316066850058</v>
      </c>
      <c r="R146" s="161">
        <f t="shared" si="44"/>
        <v>8.1932206116356765E-2</v>
      </c>
      <c r="S146" s="191">
        <f>(('Ανάπτυξη δικτύου'!AB24+'Ανάπτυξη δικτύου'!AB86)/'Παραδοχές διείσδυσης - κάλυψης'!K205)</f>
        <v>0.21018775162922379</v>
      </c>
      <c r="T146" s="161">
        <f t="shared" si="45"/>
        <v>1.9076512320929054E-2</v>
      </c>
      <c r="U146" s="191">
        <f>(('Ανάπτυξη δικτύου'!AE24+'Ανάπτυξη δικτύου'!AE86)/'Παραδοχές διείσδυσης - κάλυψης'!L205)</f>
        <v>0.22619760841870068</v>
      </c>
      <c r="V146" s="161">
        <f t="shared" si="46"/>
        <v>7.6169313698729021E-2</v>
      </c>
      <c r="W146" s="191">
        <f>(('Ανάπτυξη δικτύου'!AH24+'Ανάπτυξη δικτύου'!AH86)/'Παραδοχές διείσδυσης - κάλυψης'!M205)</f>
        <v>0.2321457720665896</v>
      </c>
      <c r="X146" s="161">
        <f t="shared" si="47"/>
        <v>2.6296315374292688E-2</v>
      </c>
      <c r="Y146" s="192">
        <f t="shared" si="48"/>
        <v>5.0485479521682919E-2</v>
      </c>
    </row>
    <row r="147" spans="2:25" outlineLevel="1" x14ac:dyDescent="0.35">
      <c r="B147" s="48" t="s">
        <v>84</v>
      </c>
      <c r="C147" s="62" t="s">
        <v>253</v>
      </c>
      <c r="D147" s="190">
        <f>(('Ανάπτυξη δικτύου'!E25+'Ανάπτυξη δικτύου'!E87)/'Παραδοχές διείσδυσης - κάλυψης'!D206)</f>
        <v>0.17254525218819847</v>
      </c>
      <c r="E147" s="190">
        <f>(('Ανάπτυξη δικτύου'!G25+'Ανάπτυξη δικτύου'!G87)/'Παραδοχές διείσδυσης - κάλυψης'!E206)</f>
        <v>0.17317347097022739</v>
      </c>
      <c r="F147" s="161">
        <f t="shared" si="39"/>
        <v>3.6408928907746304E-3</v>
      </c>
      <c r="G147" s="191">
        <f>(('Ανάπτυξη δικτύου'!J25+'Ανάπτυξη δικτύου'!J87)/'Παραδοχές διείσδυσης - κάλυψης'!F206)</f>
        <v>0.19813663618970109</v>
      </c>
      <c r="H147" s="161">
        <f t="shared" si="40"/>
        <v>0.14415120907154108</v>
      </c>
      <c r="I147" s="191">
        <f>(('Ανάπτυξη δικτύου'!M25+'Ανάπτυξη δικτύου'!M87)/'Παραδοχές διείσδυσης - κάλυψης'!G206)</f>
        <v>0.20441494611627403</v>
      </c>
      <c r="J147" s="161">
        <f t="shared" si="41"/>
        <v>3.1686769530910604E-2</v>
      </c>
      <c r="K147" s="191">
        <f>(('Ανάπτυξη δικτύου'!P25+'Ανάπτυξη δικτύου'!P87)/'Παραδοχές διείσδυσης - κάλυψης'!H206)</f>
        <v>0.20805241042209577</v>
      </c>
      <c r="L147" s="161">
        <f t="shared" si="42"/>
        <v>1.7794512460711637E-2</v>
      </c>
      <c r="M147" s="192">
        <f t="shared" si="38"/>
        <v>4.7894195057507138E-2</v>
      </c>
      <c r="O147" s="191">
        <f>(('Ανάπτυξη δικτύου'!V25+'Ανάπτυξη δικτύου'!V87)/'Παραδοχές διείσδυσης - κάλυψης'!I206)</f>
        <v>0.22161340474774466</v>
      </c>
      <c r="P147" s="161">
        <f t="shared" si="43"/>
        <v>6.5180664324611323E-2</v>
      </c>
      <c r="Q147" s="191">
        <f>(('Ανάπτυξη δικτύου'!Y25+'Ανάπτυξη δικτύου'!Y87)/'Παραδοχές διείσδυσης - κάλυψης'!J206)</f>
        <v>0.23805179621083461</v>
      </c>
      <c r="R147" s="161">
        <f t="shared" si="44"/>
        <v>7.4175979931363989E-2</v>
      </c>
      <c r="S147" s="191">
        <f>(('Ανάπτυξη δικτύου'!AB25+'Ανάπτυξη δικτύου'!AB87)/'Παραδοχές διείσδυσης - κάλυψης'!K206)</f>
        <v>0.26448351978064383</v>
      </c>
      <c r="T147" s="161">
        <f t="shared" si="45"/>
        <v>0.11103349771156322</v>
      </c>
      <c r="U147" s="191">
        <f>(('Ανάπτυξη δικτύου'!AE25+'Ανάπτυξη δικτύου'!AE87)/'Παραδοχές διείσδυσης - κάλυψης'!L206)</f>
        <v>0.29140773585241392</v>
      </c>
      <c r="V147" s="161">
        <f t="shared" si="46"/>
        <v>0.10179922020888249</v>
      </c>
      <c r="W147" s="191">
        <f>(('Ανάπτυξη δικτύου'!AH25+'Ανάπτυξη δικτύου'!AH87)/'Παραδοχές διείσδυσης - κάλυψης'!M206)</f>
        <v>0.29707333857182289</v>
      </c>
      <c r="X147" s="161">
        <f t="shared" si="47"/>
        <v>1.9442183656642405E-2</v>
      </c>
      <c r="Y147" s="192">
        <f t="shared" si="48"/>
        <v>7.6011499487985468E-2</v>
      </c>
    </row>
    <row r="148" spans="2:25" outlineLevel="1" x14ac:dyDescent="0.35">
      <c r="B148" s="48" t="s">
        <v>85</v>
      </c>
      <c r="C148" s="62" t="s">
        <v>253</v>
      </c>
      <c r="D148" s="190">
        <f>(('Ανάπτυξη δικτύου'!E26+'Ανάπτυξη δικτύου'!E88)/'Παραδοχές διείσδυσης - κάλυψης'!D207)</f>
        <v>0.66473655860902436</v>
      </c>
      <c r="E148" s="190">
        <f>(('Ανάπτυξη δικτύου'!G26+'Ανάπτυξη δικτύου'!G88)/'Παραδοχές διείσδυσης - κάλυψης'!E207)</f>
        <v>0.8384948201207123</v>
      </c>
      <c r="F148" s="161">
        <f t="shared" si="39"/>
        <v>0.26139417076033977</v>
      </c>
      <c r="G148" s="191">
        <f>(('Ανάπτυξη δικτύου'!J26+'Ανάπτυξη δικτύου'!J88)/'Παραδοχές διείσδυσης - κάλυψης'!F207)</f>
        <v>0.8417155220163276</v>
      </c>
      <c r="H148" s="161">
        <f t="shared" si="40"/>
        <v>3.8410516300525677E-3</v>
      </c>
      <c r="I148" s="191">
        <f>(('Ανάπτυξη δικτύου'!M26+'Ανάπτυξη δικτύου'!M88)/'Παραδοχές διείσδυσης - κάλυψης'!G207)</f>
        <v>0.84284695040952751</v>
      </c>
      <c r="J148" s="161">
        <f t="shared" si="41"/>
        <v>1.3441933332648693E-3</v>
      </c>
      <c r="K148" s="191">
        <f>(('Ανάπτυξη δικτύου'!P26+'Ανάπτυξη δικτύου'!P88)/'Παραδοχές διείσδυσης - κάλυψης'!H207)</f>
        <v>0.85625259920880925</v>
      </c>
      <c r="L148" s="161">
        <f t="shared" si="42"/>
        <v>1.5905199387347996E-2</v>
      </c>
      <c r="M148" s="192">
        <f t="shared" si="38"/>
        <v>6.53396343995023E-2</v>
      </c>
      <c r="O148" s="191">
        <f>(('Ανάπτυξη δικτύου'!V26+'Ανάπτυξη δικτύου'!V88)/'Παραδοχές διείσδυσης - κάλυψης'!I207)</f>
        <v>0.85892954623893092</v>
      </c>
      <c r="P148" s="161">
        <f t="shared" si="43"/>
        <v>3.1263520047649595E-3</v>
      </c>
      <c r="Q148" s="191">
        <f>(('Ανάπτυξη δικτύου'!Y26+'Ανάπτυξη δικτύου'!Y88)/'Παραδοχές διείσδυσης - κάλυψης'!J207)</f>
        <v>0.88055425896663342</v>
      </c>
      <c r="R148" s="161">
        <f t="shared" si="44"/>
        <v>2.5176352149477801E-2</v>
      </c>
      <c r="S148" s="191">
        <f>(('Ανάπτυξη δικτύου'!AB26+'Ανάπτυξη δικτύου'!AB88)/'Παραδοχές διείσδυσης - κάλυψης'!K207)</f>
        <v>0.88055425896663342</v>
      </c>
      <c r="T148" s="161">
        <f t="shared" si="45"/>
        <v>0</v>
      </c>
      <c r="U148" s="191">
        <f>(('Ανάπτυξη δικτύου'!AE26+'Ανάπτυξη δικτύου'!AE88)/'Παραδοχές διείσδυσης - κάλυψης'!L207)</f>
        <v>0.88477881599854435</v>
      </c>
      <c r="V148" s="161">
        <f t="shared" si="46"/>
        <v>4.7976112646012604E-3</v>
      </c>
      <c r="W148" s="191">
        <f>(('Ανάπτυξη δικτύου'!AH26+'Ανάπτυξη δικτύου'!AH88)/'Παραδοχές διείσδυσης - κάλυψης'!M207)</f>
        <v>0.89155483816854009</v>
      </c>
      <c r="X148" s="161">
        <f t="shared" si="47"/>
        <v>7.6584362639248362E-3</v>
      </c>
      <c r="Y148" s="192">
        <f t="shared" si="48"/>
        <v>9.3635783987449095E-3</v>
      </c>
    </row>
    <row r="149" spans="2:25" outlineLevel="1" x14ac:dyDescent="0.35">
      <c r="B149" s="48" t="s">
        <v>86</v>
      </c>
      <c r="C149" s="62" t="s">
        <v>253</v>
      </c>
      <c r="D149" s="190">
        <f>(('Ανάπτυξη δικτύου'!E27+'Ανάπτυξη δικτύου'!E89)/'Παραδοχές διείσδυσης - κάλυψης'!D208)</f>
        <v>0.29621443411596282</v>
      </c>
      <c r="E149" s="190">
        <f>(('Ανάπτυξη δικτύου'!G27+'Ανάπτυξη δικτύου'!G89)/'Παραδοχές διείσδυσης - κάλυψης'!E208)</f>
        <v>0.32064743445869687</v>
      </c>
      <c r="F149" s="161">
        <f t="shared" si="39"/>
        <v>8.2484165282671371E-2</v>
      </c>
      <c r="G149" s="191">
        <f>(('Ανάπτυξη δικτύου'!J27+'Ανάπτυξη δικτύου'!J89)/'Παραδοχές διείσδυσης - κάλυψης'!F208)</f>
        <v>0.42794199633604729</v>
      </c>
      <c r="H149" s="161">
        <f t="shared" si="40"/>
        <v>0.33461849479157835</v>
      </c>
      <c r="I149" s="191">
        <f>(('Ανάπτυξη δικτύου'!M27+'Ανάπτυξη δικτύου'!M89)/'Παραδοχές διείσδυσης - κάλυψης'!G208)</f>
        <v>0.45796412778828754</v>
      </c>
      <c r="J149" s="161">
        <f t="shared" si="41"/>
        <v>7.0154674486925014E-2</v>
      </c>
      <c r="K149" s="191">
        <f>(('Ανάπτυξη δικτύου'!P27+'Ανάπτυξη δικτύου'!P89)/'Παραδοχές διείσδυσης - κάλυψης'!H208)</f>
        <v>0.46975276620983691</v>
      </c>
      <c r="L149" s="161">
        <f t="shared" si="42"/>
        <v>2.5741401359276647E-2</v>
      </c>
      <c r="M149" s="192">
        <f t="shared" si="38"/>
        <v>0.12218841839384953</v>
      </c>
      <c r="O149" s="191">
        <f>(('Ανάπτυξη δικτύου'!V27+'Ανάπτυξη δικτύου'!V89)/'Παραδοχές διείσδυσης - κάλυψης'!I208)</f>
        <v>0.48397094128070051</v>
      </c>
      <c r="P149" s="161">
        <f t="shared" si="43"/>
        <v>3.0267357839277489E-2</v>
      </c>
      <c r="Q149" s="191">
        <f>(('Ανάπτυξη δικτύου'!Y27+'Ανάπτυξη δικτύου'!Y89)/'Παραδοχές διείσδυσης - κάλυψης'!J208)</f>
        <v>0.5401614563966135</v>
      </c>
      <c r="R149" s="161">
        <f t="shared" si="44"/>
        <v>0.11610307628639796</v>
      </c>
      <c r="S149" s="191">
        <f>(('Ανάπτυξη δικτύου'!AB27+'Ανάπτυξη δικτύου'!AB89)/'Παραδοχές διείσδυσης - κάλυψης'!K208)</f>
        <v>0.58833330375370607</v>
      </c>
      <c r="T149" s="161">
        <f t="shared" si="45"/>
        <v>8.9180460372800821E-2</v>
      </c>
      <c r="U149" s="191">
        <f>(('Ανάπτυξη δικτύου'!AE27+'Ανάπτυξη δικτύου'!AE89)/'Παραδοχές διείσδυσης - κάλυψης'!L208)</f>
        <v>0.61572842390287008</v>
      </c>
      <c r="V149" s="161">
        <f t="shared" si="46"/>
        <v>4.6563945937407661E-2</v>
      </c>
      <c r="W149" s="191">
        <f>(('Ανάπτυξη δικτύου'!AH27+'Ανάπτυξη δικτύου'!AH89)/'Παραδοχές διείσδυσης - κάλυψης'!M208)</f>
        <v>0.63210086792386455</v>
      </c>
      <c r="X149" s="161">
        <f t="shared" si="47"/>
        <v>2.6590365793438164E-2</v>
      </c>
      <c r="Y149" s="192">
        <f t="shared" si="48"/>
        <v>6.9034632993465683E-2</v>
      </c>
    </row>
    <row r="150" spans="2:25" outlineLevel="1" x14ac:dyDescent="0.35">
      <c r="B150" s="48" t="s">
        <v>87</v>
      </c>
      <c r="C150" s="62" t="s">
        <v>253</v>
      </c>
      <c r="D150" s="190">
        <f>(('Ανάπτυξη δικτύου'!E28+'Ανάπτυξη δικτύου'!E90)/'Παραδοχές διείσδυσης - κάλυψης'!D209)</f>
        <v>0.82229611779899303</v>
      </c>
      <c r="E150" s="190">
        <f>(('Ανάπτυξη δικτύου'!G28+'Ανάπτυξη δικτύου'!G90)/'Παραδοχές διείσδυσης - κάλυψης'!E209)</f>
        <v>0.82279344477158045</v>
      </c>
      <c r="F150" s="161">
        <f t="shared" si="39"/>
        <v>6.0480277338362579E-4</v>
      </c>
      <c r="G150" s="191">
        <f>(('Ανάπτυξη δικτύου'!J28+'Ανάπτυξη δικτύου'!J90)/'Παραδοχές διείσδυσης - κάλυψης'!F209)</f>
        <v>0.82370284266431171</v>
      </c>
      <c r="H150" s="161">
        <f t="shared" si="40"/>
        <v>1.1052566090675631E-3</v>
      </c>
      <c r="I150" s="191">
        <f>(('Ανάπτυξη δικτύου'!M28+'Ανάπτυξη δικτύου'!M90)/'Παραδοχές διείσδυσης - κάλυψης'!G209)</f>
        <v>0.82370284266431171</v>
      </c>
      <c r="J150" s="161">
        <f t="shared" si="41"/>
        <v>0</v>
      </c>
      <c r="K150" s="191">
        <f>(('Ανάπτυξη δικτύου'!P28+'Ανάπτυξη δικτύου'!P90)/'Παραδοχές διείσδυσης - κάλυψης'!H209)</f>
        <v>0.83268456778924005</v>
      </c>
      <c r="L150" s="161">
        <f t="shared" si="42"/>
        <v>1.0904084166902304E-2</v>
      </c>
      <c r="M150" s="192">
        <f t="shared" si="38"/>
        <v>3.1435128855339389E-3</v>
      </c>
      <c r="O150" s="191">
        <f>(('Ανάπτυξη δικτύου'!V28+'Ανάπτυξη δικτύου'!V90)/'Παραδοχές διείσδυσης - κάλυψης'!I209)</f>
        <v>0.83537013344121203</v>
      </c>
      <c r="P150" s="161">
        <f t="shared" si="43"/>
        <v>3.2251896526701552E-3</v>
      </c>
      <c r="Q150" s="191">
        <f>(('Ανάπτυξη δικτύου'!Y28+'Ανάπτυξη δικτύου'!Y90)/'Παραδοχές διείσδυσης - κάλυψης'!J209)</f>
        <v>0.88038532913140832</v>
      </c>
      <c r="R150" s="161">
        <f t="shared" si="44"/>
        <v>5.3886527526141412E-2</v>
      </c>
      <c r="S150" s="191">
        <f>(('Ανάπτυξη δικτύου'!AB28+'Ανάπτυξη δικτύου'!AB90)/'Παραδοχές διείσδυσης - κάλυψης'!K209)</f>
        <v>0.88038532913140832</v>
      </c>
      <c r="T150" s="161">
        <f t="shared" si="45"/>
        <v>0</v>
      </c>
      <c r="U150" s="191">
        <f>(('Ανάπτυξη δικτύου'!AE28+'Ανάπτυξη δικτύου'!AE90)/'Παραδοχές διείσδυσης - κάλυψης'!L209)</f>
        <v>0.88038532913140832</v>
      </c>
      <c r="V150" s="161">
        <f t="shared" si="46"/>
        <v>0</v>
      </c>
      <c r="W150" s="191">
        <f>(('Ανάπτυξη δικτύου'!AH28+'Ανάπτυξη δικτύου'!AH90)/'Παραδοχές διείσδυσης - κάλυψης'!M209)</f>
        <v>0.92156400246164483</v>
      </c>
      <c r="X150" s="161">
        <f t="shared" si="47"/>
        <v>4.6773466080884771E-2</v>
      </c>
      <c r="Y150" s="192">
        <f t="shared" si="48"/>
        <v>2.4853148206037456E-2</v>
      </c>
    </row>
    <row r="151" spans="2:25" outlineLevel="1" x14ac:dyDescent="0.35">
      <c r="B151" s="48" t="s">
        <v>88</v>
      </c>
      <c r="C151" s="62" t="s">
        <v>253</v>
      </c>
      <c r="D151" s="190">
        <f>(('Ανάπτυξη δικτύου'!E29+'Ανάπτυξη δικτύου'!E91)/'Παραδοχές διείσδυσης - κάλυψης'!D210)</f>
        <v>0.42337644897689203</v>
      </c>
      <c r="E151" s="190">
        <f>(('Ανάπτυξη δικτύου'!G29+'Ανάπτυξη δικτύου'!G91)/'Παραδοχές διείσδυσης - κάλυψης'!E210)</f>
        <v>0.43204220629106238</v>
      </c>
      <c r="F151" s="161">
        <f t="shared" si="39"/>
        <v>2.04682082225205E-2</v>
      </c>
      <c r="G151" s="191">
        <f>(('Ανάπτυξη δικτύου'!J29+'Ανάπτυξη δικτύου'!J91)/'Παραδοχές διείσδυσης - κάλυψης'!F210)</f>
        <v>0.44408896090153449</v>
      </c>
      <c r="H151" s="161">
        <f t="shared" si="40"/>
        <v>2.78832818531538E-2</v>
      </c>
      <c r="I151" s="191">
        <f>(('Ανάπτυξη δικτύου'!M29+'Ανάπτυξη δικτύου'!M91)/'Παραδοχές διείσδυσης - κάλυψης'!G210)</f>
        <v>0.46685876208058713</v>
      </c>
      <c r="J151" s="161">
        <f t="shared" si="41"/>
        <v>5.1273062795409746E-2</v>
      </c>
      <c r="K151" s="191">
        <f>(('Ανάπτυξη δικτύου'!P29+'Ανάπτυξη δικτύου'!P91)/'Παραδοχές διείσδυσης - κάλυψης'!H210)</f>
        <v>0.49781481881957118</v>
      </c>
      <c r="L151" s="161">
        <f t="shared" si="42"/>
        <v>6.6307113099958376E-2</v>
      </c>
      <c r="M151" s="192">
        <f t="shared" si="38"/>
        <v>4.1322568943780169E-2</v>
      </c>
      <c r="O151" s="191">
        <f>(('Ανάπτυξη δικτύου'!V29+'Ανάπτυξη δικτύου'!V91)/'Παραδοχές διείσδυσης - κάλυψης'!I210)</f>
        <v>0.50325967966046248</v>
      </c>
      <c r="P151" s="161">
        <f t="shared" si="43"/>
        <v>1.0937522618957515E-2</v>
      </c>
      <c r="Q151" s="191">
        <f>(('Ανάπτυξη δικτύου'!Y29+'Ανάπτυξη δικτύου'!Y91)/'Παραδοχές διείσδυσης - κάλυψης'!J210)</f>
        <v>0.53745441717051856</v>
      </c>
      <c r="R151" s="161">
        <f t="shared" si="44"/>
        <v>6.7946507324263439E-2</v>
      </c>
      <c r="S151" s="191">
        <f>(('Ανάπτυξη δικτύου'!AB29+'Ανάπτυξη δικτύου'!AB91)/'Παραδοχές διείσδυσης - κάλυψης'!K210)</f>
        <v>0.5704860110334492</v>
      </c>
      <c r="T151" s="161">
        <f t="shared" si="45"/>
        <v>6.1459340192659882E-2</v>
      </c>
      <c r="U151" s="191">
        <f>(('Ανάπτυξη δικτύου'!AE29+'Ανάπτυξη δικτύου'!AE91)/'Παραδοχές διείσδυσης - κάλυψης'!L210)</f>
        <v>0.5704860110334492</v>
      </c>
      <c r="V151" s="161">
        <f t="shared" si="46"/>
        <v>0</v>
      </c>
      <c r="W151" s="191">
        <f>(('Ανάπτυξη δικτύου'!AH29+'Ανάπτυξη δικτύου'!AH91)/'Παραδοχές διείσδυσης - κάλυψης'!M210)</f>
        <v>0.61006239505574844</v>
      </c>
      <c r="X151" s="161">
        <f t="shared" si="47"/>
        <v>6.9373101630670425E-2</v>
      </c>
      <c r="Y151" s="192">
        <f t="shared" si="48"/>
        <v>4.9289989608546581E-2</v>
      </c>
    </row>
    <row r="152" spans="2:25" outlineLevel="1" x14ac:dyDescent="0.35">
      <c r="B152" s="48" t="s">
        <v>89</v>
      </c>
      <c r="C152" s="62" t="s">
        <v>253</v>
      </c>
      <c r="D152" s="190">
        <f>(('Ανάπτυξη δικτύου'!E30+'Ανάπτυξη δικτύου'!E92)/'Παραδοχές διείσδυσης - κάλυψης'!D211)</f>
        <v>0.5988596424063285</v>
      </c>
      <c r="E152" s="190">
        <f>(('Ανάπτυξη δικτύου'!G30+'Ανάπτυξη δικτύου'!G92)/'Παραδοχές διείσδυσης - κάλυψης'!E211)</f>
        <v>0.59981896648410893</v>
      </c>
      <c r="F152" s="161">
        <f t="shared" si="39"/>
        <v>1.6019180620114779E-3</v>
      </c>
      <c r="G152" s="191">
        <f>(('Ανάπτυξη δικτύου'!J30+'Ανάπτυξη δικτύου'!J92)/'Παραδοχές διείσδυσης - κάλυψης'!F211)</f>
        <v>0.6011317257484402</v>
      </c>
      <c r="H152" s="161">
        <f t="shared" si="40"/>
        <v>2.1885924548637205E-3</v>
      </c>
      <c r="I152" s="191">
        <f>(('Ανάπτυξη δικτύου'!M30+'Ανάπτυξη δικτύου'!M92)/'Παραδοχές διείσδυσης - κάλυψης'!G211)</f>
        <v>0.6081571517015093</v>
      </c>
      <c r="J152" s="161">
        <f t="shared" si="41"/>
        <v>1.1686999125394818E-2</v>
      </c>
      <c r="K152" s="191">
        <f>(('Ανάπτυξη δικτύου'!P30+'Ανάπτυξη δικτύου'!P92)/'Παραδοχές διείσδυσης - κάλυψης'!H211)</f>
        <v>0.61410784616894465</v>
      </c>
      <c r="L152" s="161">
        <f t="shared" si="42"/>
        <v>9.7847973188943411E-3</v>
      </c>
      <c r="M152" s="192">
        <f t="shared" si="38"/>
        <v>6.3056240550014575E-3</v>
      </c>
      <c r="O152" s="191">
        <f>(('Ανάπτυξη δικτύου'!V30+'Ανάπτυξη δικτύου'!V92)/'Παραδοχές διείσδυσης - κάλυψης'!I211)</f>
        <v>0.62484073509930083</v>
      </c>
      <c r="P152" s="161">
        <f t="shared" si="43"/>
        <v>1.7477205343185757E-2</v>
      </c>
      <c r="Q152" s="191">
        <f>(('Ανάπτυξη δικτύου'!Y30+'Ανάπτυξη δικτύου'!Y92)/'Παραδοχές διείσδυσης - κάλυψης'!J211)</f>
        <v>0.63643917958855667</v>
      </c>
      <c r="R152" s="161">
        <f t="shared" si="44"/>
        <v>1.856224128443322E-2</v>
      </c>
      <c r="S152" s="191">
        <f>(('Ανάπτυξη δικτύου'!AB30+'Ανάπτυξη δικτύου'!AB92)/'Παραδοχές διείσδυσης - κάλυψης'!K211)</f>
        <v>0.66371860561987861</v>
      </c>
      <c r="T152" s="161">
        <f t="shared" si="45"/>
        <v>4.2862581227254837E-2</v>
      </c>
      <c r="U152" s="191">
        <f>(('Ανάπτυξη δικτύου'!AE30+'Ανάπτυξη δικτύου'!AE92)/'Παραδοχές διείσδυσης - κάλυψης'!L211)</f>
        <v>0.71155497617506813</v>
      </c>
      <c r="V152" s="161">
        <f t="shared" si="46"/>
        <v>7.2073270434407727E-2</v>
      </c>
      <c r="W152" s="191">
        <f>(('Ανάπτυξη δικτύου'!AH30+'Ανάπτυξη δικτύου'!AH92)/'Παραδοχές διείσδυσης - κάλυψης'!M211)</f>
        <v>0.72559140215522466</v>
      </c>
      <c r="X152" s="161">
        <f t="shared" si="47"/>
        <v>1.9726411099826341E-2</v>
      </c>
      <c r="Y152" s="192">
        <f t="shared" si="48"/>
        <v>3.8079699932486166E-2</v>
      </c>
    </row>
    <row r="153" spans="2:25" outlineLevel="1" x14ac:dyDescent="0.35">
      <c r="B153" s="48" t="s">
        <v>90</v>
      </c>
      <c r="C153" s="62" t="s">
        <v>253</v>
      </c>
      <c r="D153" s="190">
        <f>(('Ανάπτυξη δικτύου'!E31+'Ανάπτυξη δικτύου'!E93)/'Παραδοχές διείσδυσης - κάλυψης'!D212)</f>
        <v>5.1072129851040329E-2</v>
      </c>
      <c r="E153" s="190">
        <f>(('Ανάπτυξη δικτύου'!G31+'Ανάπτυξη δικτύου'!G93)/'Παραδοχές διείσδυσης - κάλυψης'!E212)</f>
        <v>5.1072129851040329E-2</v>
      </c>
      <c r="F153" s="161">
        <f t="shared" si="39"/>
        <v>0</v>
      </c>
      <c r="G153" s="191">
        <f>(('Ανάπτυξη δικτύου'!J31+'Ανάπτυξη δικτύου'!J93)/'Παραδοχές διείσδυσης - κάλυψης'!F212)</f>
        <v>5.1072129851040329E-2</v>
      </c>
      <c r="H153" s="161">
        <f t="shared" si="40"/>
        <v>0</v>
      </c>
      <c r="I153" s="191">
        <f>(('Ανάπτυξη δικτύου'!M31+'Ανάπτυξη δικτύου'!M93)/'Παραδοχές διείσδυσης - κάλυψης'!G212)</f>
        <v>5.1072129851040329E-2</v>
      </c>
      <c r="J153" s="161">
        <f t="shared" si="41"/>
        <v>0</v>
      </c>
      <c r="K153" s="191">
        <f>(('Ανάπτυξη δικτύου'!P31+'Ανάπτυξη δικτύου'!P93)/'Παραδοχές διείσδυσης - κάλυψης'!H212)</f>
        <v>5.1072129851040329E-2</v>
      </c>
      <c r="L153" s="161">
        <f t="shared" si="42"/>
        <v>0</v>
      </c>
      <c r="M153" s="192">
        <f t="shared" si="38"/>
        <v>0</v>
      </c>
      <c r="O153" s="191">
        <f>(('Ανάπτυξη δικτύου'!V31+'Ανάπτυξη δικτύου'!V93)/'Παραδοχές διείσδυσης - κάλυψης'!I212)</f>
        <v>5.1920522691697363E-2</v>
      </c>
      <c r="P153" s="161">
        <f t="shared" si="43"/>
        <v>1.6611659688591424E-2</v>
      </c>
      <c r="Q153" s="191">
        <f>(('Ανάπτυξη δικτύου'!Y31+'Ανάπτυξη δικτύου'!Y93)/'Παραδοχές διείσδυσης - κάλυψης'!J212)</f>
        <v>6.1686065815004944E-2</v>
      </c>
      <c r="R153" s="161">
        <f t="shared" si="44"/>
        <v>0.18808637927809602</v>
      </c>
      <c r="S153" s="191">
        <f>(('Ανάπτυξη δικτύου'!AB31+'Ανάπτυξη δικτύου'!AB93)/'Παραδοχές διείσδυσης - κάλυψης'!K212)</f>
        <v>6.1686065815004944E-2</v>
      </c>
      <c r="T153" s="161">
        <f t="shared" si="45"/>
        <v>0</v>
      </c>
      <c r="U153" s="191">
        <f>(('Ανάπτυξη δικτύου'!AE31+'Ανάπτυξη δικτύου'!AE93)/'Παραδοχές διείσδυσης - κάλυψης'!L212)</f>
        <v>7.5744115693807054E-2</v>
      </c>
      <c r="V153" s="161">
        <f t="shared" si="46"/>
        <v>0.22789668449535866</v>
      </c>
      <c r="W153" s="191">
        <f>(('Ανάπτυξη δικτύου'!AH31+'Ανάπτυξη δικτύου'!AH93)/'Παραδοχές διείσδυσης - κάλυψης'!M212)</f>
        <v>7.5744115693807054E-2</v>
      </c>
      <c r="X153" s="161">
        <f t="shared" si="47"/>
        <v>0</v>
      </c>
      <c r="Y153" s="192">
        <f t="shared" si="48"/>
        <v>9.9012066943318544E-2</v>
      </c>
    </row>
    <row r="154" spans="2:25" outlineLevel="1" x14ac:dyDescent="0.35">
      <c r="B154" s="294" t="s">
        <v>91</v>
      </c>
      <c r="C154" s="62" t="s">
        <v>253</v>
      </c>
      <c r="D154" s="190">
        <f>(('Ανάπτυξη δικτύου'!E32+'Ανάπτυξη δικτύου'!E94)/'Παραδοχές διείσδυσης - κάλυψης'!D213)</f>
        <v>0.22272104653148189</v>
      </c>
      <c r="E154" s="190">
        <f>(('Ανάπτυξη δικτύου'!G32+'Ανάπτυξη δικτύου'!G94)/'Παραδοχές διείσδυσης - κάλυψης'!E213)</f>
        <v>0.22272104653148189</v>
      </c>
      <c r="F154" s="161">
        <f t="shared" si="39"/>
        <v>0</v>
      </c>
      <c r="G154" s="191">
        <f>(('Ανάπτυξη δικτύου'!J32+'Ανάπτυξη δικτύου'!J94)/'Παραδοχές διείσδυσης - κάλυψης'!F213)</f>
        <v>0.22666430381947214</v>
      </c>
      <c r="H154" s="161">
        <f t="shared" si="40"/>
        <v>1.7704915406065426E-2</v>
      </c>
      <c r="I154" s="191">
        <f>(('Ανάπτυξη δικτύου'!M32+'Ανάπτυξη δικτύου'!M94)/'Παραδοχές διείσδυσης - κάλυψης'!G213)</f>
        <v>0.22666430381947214</v>
      </c>
      <c r="J154" s="161">
        <f t="shared" si="41"/>
        <v>0</v>
      </c>
      <c r="K154" s="191">
        <f>(('Ανάπτυξη δικτύου'!P32+'Ανάπτυξη δικτύου'!P94)/'Παραδοχές διείσδυσης - κάλυψης'!H213)</f>
        <v>0.22736688366942093</v>
      </c>
      <c r="L154" s="161">
        <f t="shared" si="42"/>
        <v>3.0996492968224931E-3</v>
      </c>
      <c r="M154" s="192">
        <f t="shared" si="38"/>
        <v>5.1745581217605974E-3</v>
      </c>
      <c r="O154" s="191">
        <f>(('Ανάπτυξη δικτύου'!V32+'Ανάπτυξη δικτύου'!V94)/'Παραδοχές διείσδυσης - κάλυψης'!I213)</f>
        <v>0.24945911672892113</v>
      </c>
      <c r="P154" s="161">
        <f t="shared" si="43"/>
        <v>9.7165570917623623E-2</v>
      </c>
      <c r="Q154" s="191">
        <f>(('Ανάπτυξη δικτύου'!Y32+'Ανάπτυξη δικτύου'!Y94)/'Παραδοχές διείσδυσης - κάλυψης'!J213)</f>
        <v>0.25752205691166652</v>
      </c>
      <c r="R154" s="161">
        <f t="shared" si="44"/>
        <v>3.232168977615326E-2</v>
      </c>
      <c r="S154" s="191">
        <f>(('Ανάπτυξη δικτύου'!AB32+'Ανάπτυξη δικτύου'!AB94)/'Παραδοχές διείσδυσης - κάλυψης'!K213)</f>
        <v>0.26528389144443387</v>
      </c>
      <c r="T154" s="161">
        <f t="shared" si="45"/>
        <v>3.0140464959977256E-2</v>
      </c>
      <c r="U154" s="191">
        <f>(('Ανάπτυξη δικτύου'!AE32+'Ανάπτυξη δικτύου'!AE94)/'Παραδοχές διείσδυσης - κάλυψης'!L213)</f>
        <v>0.26528389144443387</v>
      </c>
      <c r="V154" s="161">
        <f t="shared" si="46"/>
        <v>0</v>
      </c>
      <c r="W154" s="191">
        <f>(('Ανάπτυξη δικτύου'!AH32+'Ανάπτυξη δικτύου'!AH94)/'Παραδοχές διείσδυσης - κάλυψης'!M213)</f>
        <v>0.27404941147712802</v>
      </c>
      <c r="X154" s="161">
        <f t="shared" si="47"/>
        <v>3.3042036532889785E-2</v>
      </c>
      <c r="Y154" s="192">
        <f t="shared" si="48"/>
        <v>2.3781726066033793E-2</v>
      </c>
    </row>
    <row r="155" spans="2:25" outlineLevel="1" x14ac:dyDescent="0.35">
      <c r="B155" s="294" t="s">
        <v>92</v>
      </c>
      <c r="C155" s="62" t="s">
        <v>253</v>
      </c>
      <c r="D155" s="190">
        <f>(('Ανάπτυξη δικτύου'!E33+'Ανάπτυξη δικτύου'!E95)/'Παραδοχές διείσδυσης - κάλυψης'!D214)</f>
        <v>0.36821552221532972</v>
      </c>
      <c r="E155" s="190">
        <f>(('Ανάπτυξη δικτύου'!G33+'Ανάπτυξη δικτύου'!G95)/'Παραδοχές διείσδυσης - κάλυψης'!E214)</f>
        <v>0.48222087721382151</v>
      </c>
      <c r="F155" s="161">
        <f t="shared" si="39"/>
        <v>0.30961583127346354</v>
      </c>
      <c r="G155" s="191">
        <f>(('Ανάπτυξη δικτύου'!J33+'Ανάπτυξη δικτύου'!J95)/'Παραδοχές διείσδυσης - κάλυψης'!F214)</f>
        <v>0.58442171154683231</v>
      </c>
      <c r="H155" s="161">
        <f t="shared" si="40"/>
        <v>0.21193780518899838</v>
      </c>
      <c r="I155" s="191">
        <f>(('Ανάπτυξη δικτύου'!M33+'Ανάπτυξη δικτύου'!M95)/'Παραδοχές διείσδυσης - κάλυψης'!G214)</f>
        <v>0.58442171154683231</v>
      </c>
      <c r="J155" s="161">
        <f t="shared" si="41"/>
        <v>0</v>
      </c>
      <c r="K155" s="191">
        <f>(('Ανάπτυξη δικτύου'!P33+'Ανάπτυξη δικτύου'!P95)/'Παραδοχές διείσδυσης - κάλυψης'!H214)</f>
        <v>0.62990247268224342</v>
      </c>
      <c r="L155" s="161">
        <f t="shared" si="42"/>
        <v>7.7821819820885513E-2</v>
      </c>
      <c r="M155" s="192">
        <f t="shared" si="38"/>
        <v>0.14364913335347129</v>
      </c>
      <c r="O155" s="191">
        <f>(('Ανάπτυξη δικτύου'!V33+'Ανάπτυξη δικτύου'!V95)/'Παραδοχές διείσδυσης - κάλυψης'!I214)</f>
        <v>0.63223743281387701</v>
      </c>
      <c r="P155" s="161">
        <f t="shared" si="43"/>
        <v>3.7068597646408496E-3</v>
      </c>
      <c r="Q155" s="191">
        <f>(('Ανάπτυξη δικτύου'!Y33+'Ανάπτυξη δικτύου'!Y95)/'Παραδοχές διείσδυσης - κάλυψης'!J214)</f>
        <v>0.65456780550132543</v>
      </c>
      <c r="R155" s="161">
        <f t="shared" si="44"/>
        <v>3.5319599138670756E-2</v>
      </c>
      <c r="S155" s="191">
        <f>(('Ανάπτυξη δικτύου'!AB33+'Ανάπτυξη δικτύου'!AB95)/'Παραδοχές διείσδυσης - κάλυψης'!K214)</f>
        <v>0.67792667253246963</v>
      </c>
      <c r="T155" s="161">
        <f t="shared" si="45"/>
        <v>3.5685939385995215E-2</v>
      </c>
      <c r="U155" s="191">
        <f>(('Ανάπτυξη δικτύου'!AE33+'Ανάπτυξη δικτύου'!AE95)/'Παραδοχές διείσδυσης - κάλυψης'!L214)</f>
        <v>0.67792667253246963</v>
      </c>
      <c r="V155" s="161">
        <f t="shared" si="46"/>
        <v>0</v>
      </c>
      <c r="W155" s="191">
        <f>(('Ανάπτυξη δικτύου'!AH33+'Ανάπτυξη δικτύου'!AH95)/'Παραδοχές διείσδυσης - κάλυψης'!M214)</f>
        <v>0.68694221304072167</v>
      </c>
      <c r="X155" s="161">
        <f t="shared" si="47"/>
        <v>1.3298695675409108E-2</v>
      </c>
      <c r="Y155" s="192">
        <f t="shared" si="48"/>
        <v>2.0962991614325022E-2</v>
      </c>
    </row>
    <row r="156" spans="2:25" outlineLevel="1" x14ac:dyDescent="0.35">
      <c r="B156" s="294" t="s">
        <v>93</v>
      </c>
      <c r="C156" s="62" t="s">
        <v>253</v>
      </c>
      <c r="D156" s="190">
        <f>(('Ανάπτυξη δικτύου'!E34+'Ανάπτυξη δικτύου'!E96)/'Παραδοχές διείσδυσης - κάλυψης'!D215)</f>
        <v>0.4437262861735275</v>
      </c>
      <c r="E156" s="190">
        <f>(('Ανάπτυξη δικτύου'!G34+'Ανάπτυξη δικτύου'!G96)/'Παραδοχές διείσδυσης - κάλυψης'!E215)</f>
        <v>0.58426481099237793</v>
      </c>
      <c r="F156" s="161">
        <f t="shared" si="39"/>
        <v>0.31672346038091193</v>
      </c>
      <c r="G156" s="191">
        <f>(('Ανάπτυξη δικτύου'!J34+'Ανάπτυξη δικτύου'!J96)/'Παραδοχές διείσδυσης - κάλυψης'!F215)</f>
        <v>0.72682251308864576</v>
      </c>
      <c r="H156" s="161">
        <f t="shared" si="40"/>
        <v>0.24399501632510193</v>
      </c>
      <c r="I156" s="191">
        <f>(('Ανάπτυξη δικτύου'!M34+'Ανάπτυξη δικτύου'!M96)/'Παραδοχές διείσδυσης - κάλυψης'!G215)</f>
        <v>0.72682251308864576</v>
      </c>
      <c r="J156" s="161">
        <f t="shared" si="41"/>
        <v>0</v>
      </c>
      <c r="K156" s="191">
        <f>(('Ανάπτυξη δικτύου'!P34+'Ανάπτυξη δικτύου'!P96)/'Παραδοχές διείσδυσης - κάλυψης'!H215)</f>
        <v>0.76737771413601963</v>
      </c>
      <c r="L156" s="161">
        <f t="shared" si="42"/>
        <v>5.5797942849945291E-2</v>
      </c>
      <c r="M156" s="192">
        <f t="shared" si="38"/>
        <v>0.14676256240478303</v>
      </c>
      <c r="O156" s="191">
        <f>(('Ανάπτυξη δικτύου'!V34+'Ανάπτυξη δικτύου'!V96)/'Παραδοχές διείσδυσης - κάλυψης'!I215)</f>
        <v>0.77947130320311542</v>
      </c>
      <c r="P156" s="161">
        <f t="shared" si="43"/>
        <v>1.5759630289383372E-2</v>
      </c>
      <c r="Q156" s="191">
        <f>(('Ανάπτυξη δικτύου'!Y34+'Ανάπτυξη δικτύου'!Y96)/'Παραδοχές διείσδυσης - κάλυψης'!J215)</f>
        <v>0.8083913695820234</v>
      </c>
      <c r="R156" s="161">
        <f t="shared" si="44"/>
        <v>3.7102156628557703E-2</v>
      </c>
      <c r="S156" s="191">
        <f>(('Ανάπτυξη δικτύου'!AB34+'Ανάπτυξη δικτύου'!AB96)/'Παραδοχές διείσδυσης - κάλυψης'!K215)</f>
        <v>0.90376966373151413</v>
      </c>
      <c r="T156" s="161">
        <f t="shared" si="45"/>
        <v>0.11798529491823474</v>
      </c>
      <c r="U156" s="191">
        <f>(('Ανάπτυξη δικτύου'!AE34+'Ανάπτυξη δικτύου'!AE96)/'Παραδοχές διείσδυσης - κάλυψης'!L215)</f>
        <v>0.93410253257153142</v>
      </c>
      <c r="V156" s="161">
        <f t="shared" si="46"/>
        <v>3.3562610095561225E-2</v>
      </c>
      <c r="W156" s="191">
        <f>(('Ανάπτυξη δικτύου'!AH34+'Ανάπτυξη δικτύου'!AH96)/'Παραδοχές διείσδυσης - κάλυψης'!M215)</f>
        <v>0.96341818363955001</v>
      </c>
      <c r="X156" s="161">
        <f t="shared" si="47"/>
        <v>3.1383761467078199E-2</v>
      </c>
      <c r="Y156" s="192">
        <f t="shared" si="48"/>
        <v>5.4395823514532093E-2</v>
      </c>
    </row>
    <row r="157" spans="2:25" outlineLevel="1" x14ac:dyDescent="0.35">
      <c r="B157" s="294" t="s">
        <v>94</v>
      </c>
      <c r="C157" s="62" t="s">
        <v>253</v>
      </c>
      <c r="D157" s="190">
        <f>(('Ανάπτυξη δικτύου'!E35+'Ανάπτυξη δικτύου'!E97)/'Παραδοχές διείσδυσης - κάλυψης'!D216)</f>
        <v>0.4731009322550529</v>
      </c>
      <c r="E157" s="190">
        <f>(('Ανάπτυξη δικτύου'!G35+'Ανάπτυξη δικτύου'!G97)/'Παραδοχές διείσδυσης - κάλυψης'!E216)</f>
        <v>0.47535426613110771</v>
      </c>
      <c r="F157" s="161">
        <f t="shared" si="39"/>
        <v>4.7629030560438976E-3</v>
      </c>
      <c r="G157" s="191">
        <f>(('Ανάπτυξη δικτύου'!J35+'Ανάπτυξη δικτύου'!J97)/'Παραδοχές διείσδυσης - κάλυψης'!F216)</f>
        <v>0.48469159135066653</v>
      </c>
      <c r="H157" s="161">
        <f t="shared" si="40"/>
        <v>1.9642876660295905E-2</v>
      </c>
      <c r="I157" s="191">
        <f>(('Ανάπτυξη δικτύου'!M35+'Ανάπτυξη δικτύου'!M97)/'Παραδοχές διείσδυσης - κάλυψης'!G216)</f>
        <v>0.48509964326241839</v>
      </c>
      <c r="J157" s="161">
        <f t="shared" si="41"/>
        <v>8.4187949416403654E-4</v>
      </c>
      <c r="K157" s="191">
        <f>(('Ανάπτυξη δικτύου'!P35+'Ανάπτυξη δικτύου'!P97)/'Παραδοχές διείσδυσης - κάλυψης'!H216)</f>
        <v>0.51397208890381618</v>
      </c>
      <c r="L157" s="161">
        <f t="shared" si="42"/>
        <v>5.9518587660100632E-2</v>
      </c>
      <c r="M157" s="192">
        <f t="shared" si="38"/>
        <v>2.0931098186745212E-2</v>
      </c>
      <c r="O157" s="191">
        <f>(('Ανάπτυξη δικτύου'!V35+'Ανάπτυξη δικτύου'!V97)/'Παραδοχές διείσδυσης - κάλυψης'!I216)</f>
        <v>0.51465509424966704</v>
      </c>
      <c r="P157" s="161">
        <f t="shared" si="43"/>
        <v>1.3288763351090814E-3</v>
      </c>
      <c r="Q157" s="191">
        <f>(('Ανάπτυξη δικτύου'!Y35+'Ανάπτυξη δικτύου'!Y97)/'Παραδοχές διείσδυσης - κάλυψης'!J216)</f>
        <v>0.53705416700205666</v>
      </c>
      <c r="R157" s="161">
        <f t="shared" si="44"/>
        <v>4.3522493030105872E-2</v>
      </c>
      <c r="S157" s="191">
        <f>(('Ανάπτυξη δικτύου'!AB35+'Ανάπτυξη δικτύου'!AB97)/'Παραδοχές διείσδυσης - κάλυψης'!K216)</f>
        <v>0.5525648097706517</v>
      </c>
      <c r="T157" s="161">
        <f t="shared" si="45"/>
        <v>2.8880965313384566E-2</v>
      </c>
      <c r="U157" s="191">
        <f>(('Ανάπτυξη δικτύου'!AE35+'Ανάπτυξη δικτύου'!AE97)/'Παραδοχές διείσδυσης - κάλυψης'!L216)</f>
        <v>0.57475372703201022</v>
      </c>
      <c r="V157" s="161">
        <f t="shared" si="46"/>
        <v>4.0156225783846575E-2</v>
      </c>
      <c r="W157" s="191">
        <f>(('Ανάπτυξη δικτύου'!AH35+'Ανάπτυξη δικτύου'!AH97)/'Παραδοχές διείσδυσης - κάλυψης'!M216)</f>
        <v>0.59001335074187378</v>
      </c>
      <c r="X157" s="161">
        <f t="shared" si="47"/>
        <v>2.6549847338377834E-2</v>
      </c>
      <c r="Y157" s="192">
        <f t="shared" si="48"/>
        <v>3.4752276979028052E-2</v>
      </c>
    </row>
    <row r="158" spans="2:25" outlineLevel="1" x14ac:dyDescent="0.35">
      <c r="B158" s="294" t="s">
        <v>95</v>
      </c>
      <c r="C158" s="62" t="s">
        <v>253</v>
      </c>
      <c r="D158" s="190">
        <f>(('Ανάπτυξη δικτύου'!E36+'Ανάπτυξη δικτύου'!E98)/'Παραδοχές διείσδυσης - κάλυψης'!D217)</f>
        <v>0.4073200499301583</v>
      </c>
      <c r="E158" s="190">
        <f>(('Ανάπτυξη δικτύου'!G36+'Ανάπτυξη δικτύου'!G98)/'Παραδοχές διείσδυσης - κάλυψης'!E217)</f>
        <v>0.42197184330203119</v>
      </c>
      <c r="F158" s="161">
        <f t="shared" si="39"/>
        <v>3.5971205872102736E-2</v>
      </c>
      <c r="G158" s="191">
        <f>(('Ανάπτυξη δικτύου'!J36+'Ανάπτυξη δικτύου'!J98)/'Παραδοχές διείσδυσης - κάλυψης'!F217)</f>
        <v>0.47591160984859543</v>
      </c>
      <c r="H158" s="161">
        <f t="shared" si="40"/>
        <v>0.12782788094217989</v>
      </c>
      <c r="I158" s="191">
        <f>(('Ανάπτυξη δικτύου'!M36+'Ανάπτυξη δικτύου'!M98)/'Παραδοχές διείσδυσης - κάλυψης'!G217)</f>
        <v>0.48676597685351042</v>
      </c>
      <c r="J158" s="161">
        <f t="shared" si="41"/>
        <v>2.2807527238867219E-2</v>
      </c>
      <c r="K158" s="191">
        <f>(('Ανάπτυξη δικτύου'!P36+'Ανάπτυξη δικτύου'!P98)/'Παραδοχές διείσδυσης - κάλυψης'!H217)</f>
        <v>0.50232853113875753</v>
      </c>
      <c r="L158" s="161">
        <f t="shared" si="42"/>
        <v>3.1971327137209869E-2</v>
      </c>
      <c r="M158" s="192">
        <f t="shared" si="38"/>
        <v>5.3811695948214222E-2</v>
      </c>
      <c r="O158" s="191">
        <f>(('Ανάπτυξη δικτύου'!V36+'Ανάπτυξη δικτύου'!V98)/'Παραδοχές διείσδυσης - κάλυψης'!I217)</f>
        <v>0.50496954359545032</v>
      </c>
      <c r="P158" s="161">
        <f t="shared" si="43"/>
        <v>5.2575402211491535E-3</v>
      </c>
      <c r="Q158" s="191">
        <f>(('Ανάπτυξη δικτύου'!Y36+'Ανάπτυξη δικτύου'!Y98)/'Παραδοχές διείσδυσης - κάλυψης'!J217)</f>
        <v>0.51841734599441913</v>
      </c>
      <c r="R158" s="161">
        <f t="shared" si="44"/>
        <v>2.6630917784107668E-2</v>
      </c>
      <c r="S158" s="191">
        <f>(('Ανάπτυξη δικτύου'!AB36+'Ανάπτυξη δικτύου'!AB98)/'Παραδοχές διείσδυσης - κάλυψης'!K217)</f>
        <v>0.54062321176080297</v>
      </c>
      <c r="T158" s="161">
        <f t="shared" si="45"/>
        <v>4.2833955958377377E-2</v>
      </c>
      <c r="U158" s="191">
        <f>(('Ανάπτυξη δικτύου'!AE36+'Ανάπτυξη δικτύου'!AE98)/'Παραδοχές διείσδυσης - κάλυψης'!L217)</f>
        <v>0.56474186963736506</v>
      </c>
      <c r="V158" s="161">
        <f t="shared" si="46"/>
        <v>4.4612693927824382E-2</v>
      </c>
      <c r="W158" s="191">
        <f>(('Ανάπτυξη δικτύου'!AH36+'Ανάπτυξη δικτύου'!AH98)/'Παραδοχές διείσδυσης - κάλυψης'!M217)</f>
        <v>0.56474186963736506</v>
      </c>
      <c r="X158" s="161">
        <f t="shared" si="47"/>
        <v>0</v>
      </c>
      <c r="Y158" s="192">
        <f t="shared" si="48"/>
        <v>2.8362426927463824E-2</v>
      </c>
    </row>
    <row r="159" spans="2:25" outlineLevel="1" x14ac:dyDescent="0.35">
      <c r="B159" s="294" t="s">
        <v>96</v>
      </c>
      <c r="C159" s="62" t="s">
        <v>253</v>
      </c>
      <c r="D159" s="190">
        <f>(('Ανάπτυξη δικτύου'!E37+'Ανάπτυξη δικτύου'!E99)/'Παραδοχές διείσδυσης - κάλυψης'!D218)</f>
        <v>0.86321193116337103</v>
      </c>
      <c r="E159" s="190">
        <f>(('Ανάπτυξη δικτύου'!G37+'Ανάπτυξη δικτύου'!G99)/'Παραδοχές διείσδυσης - κάλυψης'!E218)</f>
        <v>0.86321193116337103</v>
      </c>
      <c r="F159" s="161">
        <f t="shared" si="39"/>
        <v>0</v>
      </c>
      <c r="G159" s="191">
        <f>(('Ανάπτυξη δικτύου'!J37+'Ανάπτυξη δικτύου'!J99)/'Παραδοχές διείσδυσης - κάλυψης'!F218)</f>
        <v>0.87169294656811946</v>
      </c>
      <c r="H159" s="161">
        <f t="shared" si="40"/>
        <v>9.8249515542705411E-3</v>
      </c>
      <c r="I159" s="191">
        <f>(('Ανάπτυξη δικτύου'!M37+'Ανάπτυξη δικτύου'!M99)/'Παραδοχές διείσδυσης - κάλυψης'!G218)</f>
        <v>0.87169294656811946</v>
      </c>
      <c r="J159" s="161">
        <f t="shared" si="41"/>
        <v>0</v>
      </c>
      <c r="K159" s="191">
        <f>(('Ανάπτυξη δικτύου'!P37+'Ανάπτυξη δικτύου'!P99)/'Παραδοχές διείσδυσης - κάλυψης'!H218)</f>
        <v>0.90959700688388045</v>
      </c>
      <c r="L159" s="161">
        <f t="shared" si="42"/>
        <v>4.3483270645919968E-2</v>
      </c>
      <c r="M159" s="192">
        <f t="shared" si="38"/>
        <v>1.3171341891561328E-2</v>
      </c>
      <c r="O159" s="191">
        <f>(('Ανάπτυξη δικτύου'!V37+'Ανάπτυξη δικτύου'!V99)/'Παραδοχές διείσδυσης - κάλυψης'!I218)</f>
        <v>0.90959700688388045</v>
      </c>
      <c r="P159" s="161">
        <f t="shared" si="43"/>
        <v>0</v>
      </c>
      <c r="Q159" s="191">
        <f>(('Ανάπτυξη δικτύου'!Y37+'Ανάπτυξη δικτύου'!Y99)/'Παραδοχές διείσδυσης - κάλυψης'!J218)</f>
        <v>0.93750041592885458</v>
      </c>
      <c r="R159" s="161">
        <f t="shared" si="44"/>
        <v>3.0676672013869422E-2</v>
      </c>
      <c r="S159" s="191">
        <f>(('Ανάπτυξη δικτύου'!AB37+'Ανάπτυξη δικτύου'!AB99)/'Παραδοχές διείσδυσης - κάλυψης'!K218)</f>
        <v>0.98080280174968582</v>
      </c>
      <c r="T159" s="161">
        <f t="shared" si="45"/>
        <v>4.6189191050041503E-2</v>
      </c>
      <c r="U159" s="191">
        <f>(('Ανάπτυξη δικτύου'!AE37+'Ανάπτυξη δικτύου'!AE99)/'Παραδοχές διείσδυσης - κάλυψης'!L218)</f>
        <v>0.98080280174968582</v>
      </c>
      <c r="V159" s="161">
        <f t="shared" si="46"/>
        <v>0</v>
      </c>
      <c r="W159" s="191">
        <f>(('Ανάπτυξη δικτύου'!AH37+'Ανάπτυξη δικτύου'!AH99)/'Παραδοχές διείσδυσης - κάλυψης'!M218)</f>
        <v>1.0089667198002665</v>
      </c>
      <c r="X159" s="161">
        <f t="shared" si="47"/>
        <v>2.8715168839585484E-2</v>
      </c>
      <c r="Y159" s="192">
        <f t="shared" si="48"/>
        <v>2.6258943160190951E-2</v>
      </c>
    </row>
    <row r="160" spans="2:25" outlineLevel="1" x14ac:dyDescent="0.35">
      <c r="B160" s="294" t="s">
        <v>97</v>
      </c>
      <c r="C160" s="62" t="s">
        <v>253</v>
      </c>
      <c r="D160" s="190">
        <f>(('Ανάπτυξη δικτύου'!E38+'Ανάπτυξη δικτύου'!E100)/'Παραδοχές διείσδυσης - κάλυψης'!D219)</f>
        <v>0.88848800333408195</v>
      </c>
      <c r="E160" s="190">
        <f>(('Ανάπτυξη δικτύου'!G38+'Ανάπτυξη δικτύου'!G100)/'Παραδοχές διείσδυσης - κάλυψης'!E219)</f>
        <v>0.89234823748485959</v>
      </c>
      <c r="F160" s="161">
        <f t="shared" si="39"/>
        <v>4.3447228733443427E-3</v>
      </c>
      <c r="G160" s="191">
        <f>(('Ανάπτυξη δικτύου'!J38+'Ανάπτυξη δικτύου'!J100)/'Παραδοχές διείσδυσης - κάλυψης'!F219)</f>
        <v>0.95733006535285581</v>
      </c>
      <c r="H160" s="161">
        <f t="shared" si="40"/>
        <v>7.282115337746578E-2</v>
      </c>
      <c r="I160" s="191">
        <f>(('Ανάπτυξη δικτύου'!M38+'Ανάπτυξη δικτύου'!M100)/'Παραδοχές διείσδυσης - κάλυψης'!G219)</f>
        <v>0.95931049353684483</v>
      </c>
      <c r="J160" s="161">
        <f t="shared" si="41"/>
        <v>2.0686994545178858E-3</v>
      </c>
      <c r="K160" s="191">
        <f>(('Ανάπτυξη δικτύου'!P38+'Ανάπτυξη δικτύου'!P100)/'Παραδοχές διείσδυσης - κάλυψης'!H219)</f>
        <v>0.98842306226571208</v>
      </c>
      <c r="L160" s="161">
        <f t="shared" si="42"/>
        <v>3.0347389010135024E-2</v>
      </c>
      <c r="M160" s="192">
        <f t="shared" si="38"/>
        <v>2.7005632503754207E-2</v>
      </c>
      <c r="O160" s="191">
        <f>(('Ανάπτυξη δικτύου'!V38+'Ανάπτυξη δικτύου'!V100)/'Παραδοχές διείσδυσης - κάλυψης'!I219)</f>
        <v>0.99950065363204321</v>
      </c>
      <c r="P160" s="161">
        <f t="shared" si="43"/>
        <v>1.1207338020764639E-2</v>
      </c>
      <c r="Q160" s="191">
        <f>(('Ανάπτυξη δικτύου'!Y38+'Ανάπτυξη δικτύου'!Y100)/'Παραδοχές διείσδυσης - κάλυψης'!J219)</f>
        <v>1.0434634150743121</v>
      </c>
      <c r="R160" s="161">
        <f t="shared" si="44"/>
        <v>4.3984725054970628E-2</v>
      </c>
      <c r="S160" s="191">
        <f>(('Ανάπτυξη δικτύου'!AB38+'Ανάπτυξη δικτύου'!AB100)/'Παραδοχές διείσδυσης - κάλυψης'!K219)</f>
        <v>1.0492354713518965</v>
      </c>
      <c r="T160" s="161">
        <f t="shared" si="45"/>
        <v>5.531632632442043E-3</v>
      </c>
      <c r="U160" s="191">
        <f>(('Ανάπτυξη δικτύου'!AE38+'Ανάπτυξη δικτύου'!AE100)/'Παραδοχές διείσδυσης - κάλυψης'!L219)</f>
        <v>1.0492354713518965</v>
      </c>
      <c r="V160" s="161">
        <f t="shared" si="46"/>
        <v>0</v>
      </c>
      <c r="W160" s="191">
        <f>(('Ανάπτυξη δικτύου'!AH38+'Ανάπτυξη δικτύου'!AH100)/'Παραδοχές διείσδυσης - κάλυψης'!M219)</f>
        <v>1.0924024025308534</v>
      </c>
      <c r="X160" s="161">
        <f t="shared" si="47"/>
        <v>4.1141318948489283E-2</v>
      </c>
      <c r="Y160" s="192">
        <f t="shared" si="48"/>
        <v>2.2468391248935626E-2</v>
      </c>
    </row>
    <row r="161" spans="2:25" outlineLevel="1" x14ac:dyDescent="0.35">
      <c r="B161" s="294" t="s">
        <v>98</v>
      </c>
      <c r="C161" s="62" t="s">
        <v>253</v>
      </c>
      <c r="D161" s="190">
        <f>(('Ανάπτυξη δικτύου'!E39+'Ανάπτυξη δικτύου'!E101)/'Παραδοχές διείσδυσης - κάλυψης'!D220)</f>
        <v>0.29135808690154064</v>
      </c>
      <c r="E161" s="190">
        <f>(('Ανάπτυξη δικτύου'!G39+'Ανάπτυξη δικτύου'!G101)/'Παραδοχές διείσδυσης - κάλυψης'!E220)</f>
        <v>0.29135808690154064</v>
      </c>
      <c r="F161" s="161">
        <f t="shared" si="39"/>
        <v>0</v>
      </c>
      <c r="G161" s="191">
        <f>(('Ανάπτυξη δικτύου'!J39+'Ανάπτυξη δικτύου'!J101)/'Παραδοχές διείσδυσης - κάλυψης'!F220)</f>
        <v>0.29179676142843203</v>
      </c>
      <c r="H161" s="161">
        <f t="shared" si="40"/>
        <v>1.5056198767519845E-3</v>
      </c>
      <c r="I161" s="191">
        <f>(('Ανάπτυξη δικτύου'!M39+'Ανάπτυξη δικτύου'!M101)/'Παραδοχές διείσδυσης - κάλυψης'!G220)</f>
        <v>0.29289637224250648</v>
      </c>
      <c r="J161" s="161">
        <f t="shared" si="41"/>
        <v>3.7684133596669316E-3</v>
      </c>
      <c r="K161" s="191">
        <f>(('Ανάπτυξη δικτύου'!P39+'Ανάπτυξη δικτύου'!P101)/'Παραδοχές διείσδυσης - κάλυψης'!H220)</f>
        <v>0.30966134286155683</v>
      </c>
      <c r="L161" s="161">
        <f t="shared" si="42"/>
        <v>5.7238573802374147E-2</v>
      </c>
      <c r="M161" s="192">
        <f t="shared" si="38"/>
        <v>1.534814331375145E-2</v>
      </c>
      <c r="O161" s="191">
        <f>(('Ανάπτυξη δικτύου'!V39+'Ανάπτυξη δικτύου'!V101)/'Παραδοχές διείσδυσης - κάλυψης'!I220)</f>
        <v>0.31174358461586799</v>
      </c>
      <c r="P161" s="161">
        <f t="shared" si="43"/>
        <v>6.7242547457468105E-3</v>
      </c>
      <c r="Q161" s="191">
        <f>(('Ανάπτυξη δικτύου'!Y39+'Ανάπτυξη δικτύου'!Y101)/'Παραδοχές διείσδυσης - κάλυψης'!J220)</f>
        <v>0.3345605090079119</v>
      </c>
      <c r="R161" s="161">
        <f t="shared" si="44"/>
        <v>7.3191319783401612E-2</v>
      </c>
      <c r="S161" s="191">
        <f>(('Ανάπτυξη δικτύου'!AB39+'Ανάπτυξη δικτύου'!AB101)/'Παραδοχές διείσδυσης - κάλυψης'!K220)</f>
        <v>0.35288540624458808</v>
      </c>
      <c r="T161" s="161">
        <f t="shared" si="45"/>
        <v>5.4773043271053923E-2</v>
      </c>
      <c r="U161" s="191">
        <f>(('Ανάπτυξη δικτύου'!AE39+'Ανάπτυξη δικτύου'!AE101)/'Παραδοχές διείσδυσης - κάλυψης'!L220)</f>
        <v>0.36953749128538504</v>
      </c>
      <c r="V161" s="161">
        <f t="shared" si="46"/>
        <v>4.7188364115163348E-2</v>
      </c>
      <c r="W161" s="191">
        <f>(('Ανάπτυξη δικτύου'!AH39+'Ανάπτυξη δικτύου'!AH101)/'Παραδοχές διείσδυσης - κάλυψης'!M220)</f>
        <v>0.39117876794536016</v>
      </c>
      <c r="X161" s="161">
        <f t="shared" si="47"/>
        <v>5.8563142225972607E-2</v>
      </c>
      <c r="Y161" s="192">
        <f t="shared" si="48"/>
        <v>5.838685515437203E-2</v>
      </c>
    </row>
    <row r="162" spans="2:25" outlineLevel="1" x14ac:dyDescent="0.35">
      <c r="B162" s="294" t="s">
        <v>99</v>
      </c>
      <c r="C162" s="62" t="s">
        <v>253</v>
      </c>
      <c r="D162" s="190">
        <f>(('Ανάπτυξη δικτύου'!E40+'Ανάπτυξη δικτύου'!E102)/'Παραδοχές διείσδυσης - κάλυψης'!D221)</f>
        <v>0.49924856223272818</v>
      </c>
      <c r="E162" s="190">
        <f>(('Ανάπτυξη δικτύου'!G40+'Ανάπτυξη δικτύου'!G102)/'Παραδοχές διείσδυσης - κάλυψης'!E221)</f>
        <v>0.53688522024627161</v>
      </c>
      <c r="F162" s="161">
        <f t="shared" si="39"/>
        <v>7.5386612722980348E-2</v>
      </c>
      <c r="G162" s="191">
        <f>(('Ανάπτυξη δικτύου'!J40+'Ανάπτυξη δικτύου'!J102)/'Παραδοχές διείσδυσης - κάλυψης'!F221)</f>
        <v>0.59645018347372547</v>
      </c>
      <c r="H162" s="161">
        <f t="shared" si="40"/>
        <v>0.11094543299242089</v>
      </c>
      <c r="I162" s="191">
        <f>(('Ανάπτυξη δικτύου'!M40+'Ανάπτυξη δικτύου'!M102)/'Παραδοχές διείσδυσης - κάλυψης'!G221)</f>
        <v>0.6064393345922664</v>
      </c>
      <c r="J162" s="161">
        <f t="shared" si="41"/>
        <v>1.6747670459859899E-2</v>
      </c>
      <c r="K162" s="191">
        <f>(('Ανάπτυξη δικτύου'!P40+'Ανάπτυξη δικτύου'!P102)/'Παραδοχές διείσδυσης - κάλυψης'!H221)</f>
        <v>0.62905041031641706</v>
      </c>
      <c r="L162" s="161">
        <f t="shared" si="42"/>
        <v>3.7284975486217432E-2</v>
      </c>
      <c r="M162" s="192">
        <f t="shared" si="38"/>
        <v>5.947852143353427E-2</v>
      </c>
      <c r="O162" s="191">
        <f>(('Ανάπτυξη δικτύου'!V40+'Ανάπτυξη δικτύου'!V102)/'Παραδοχές διείσδυσης - κάλυψης'!I221)</f>
        <v>0.63895980421974807</v>
      </c>
      <c r="P162" s="161">
        <f t="shared" si="43"/>
        <v>1.5752940846738357E-2</v>
      </c>
      <c r="Q162" s="191">
        <f>(('Ανάπτυξη δικτύου'!Y40+'Ανάπτυξη δικτύου'!Y102)/'Παραδοχές διείσδυσης - κάλυψης'!J221)</f>
        <v>0.65765467880698347</v>
      </c>
      <c r="R162" s="161">
        <f t="shared" si="44"/>
        <v>2.9258295222598926E-2</v>
      </c>
      <c r="S162" s="191">
        <f>(('Ανάπτυξη δικτύου'!AB40+'Ανάπτυξη δικτύου'!AB102)/'Παραδοχές διείσδυσης - κάλυψης'!K221)</f>
        <v>0.66798655575183397</v>
      </c>
      <c r="T162" s="161">
        <f t="shared" si="45"/>
        <v>1.571018541766175E-2</v>
      </c>
      <c r="U162" s="191">
        <f>(('Ανάπτυξη δικτύου'!AE40+'Ανάπτυξη δικτύου'!AE102)/'Παραδοχές διείσδυσης - κάλυψης'!L221)</f>
        <v>0.69284534958585309</v>
      </c>
      <c r="V162" s="161">
        <f t="shared" si="46"/>
        <v>3.7214512208318305E-2</v>
      </c>
      <c r="W162" s="191">
        <f>(('Ανάπτυξη δικτύου'!AH40+'Ανάπτυξη δικτύου'!AH102)/'Παραδοχές διείσδυσης - κάλυψης'!M221)</f>
        <v>0.69732475311580921</v>
      </c>
      <c r="X162" s="161">
        <f t="shared" si="47"/>
        <v>6.4652285428973173E-3</v>
      </c>
      <c r="Y162" s="192">
        <f t="shared" si="48"/>
        <v>2.2092933863240516E-2</v>
      </c>
    </row>
    <row r="163" spans="2:25" outlineLevel="1" x14ac:dyDescent="0.35">
      <c r="B163" s="294" t="s">
        <v>100</v>
      </c>
      <c r="C163" s="62" t="s">
        <v>253</v>
      </c>
      <c r="D163" s="190">
        <f>(('Ανάπτυξη δικτύου'!E41+'Ανάπτυξη δικτύου'!E103)/'Παραδοχές διείσδυσης - κάλυψης'!D222)</f>
        <v>0.3228292389974099</v>
      </c>
      <c r="E163" s="190">
        <f>(('Ανάπτυξη δικτύου'!G41+'Ανάπτυξη δικτύου'!G103)/'Παραδοχές διείσδυσης - κάλυψης'!E222)</f>
        <v>0.32437434595094555</v>
      </c>
      <c r="F163" s="161">
        <f t="shared" si="39"/>
        <v>4.7861431583279051E-3</v>
      </c>
      <c r="G163" s="191">
        <f>(('Ανάπτυξη δικτύου'!J41+'Ανάπτυξη δικτύου'!J103)/'Παραδοχές διείσδυσης - κάλυψης'!F222)</f>
        <v>0.32437434595094555</v>
      </c>
      <c r="H163" s="161">
        <f t="shared" si="40"/>
        <v>0</v>
      </c>
      <c r="I163" s="191">
        <f>(('Ανάπτυξη δικτύου'!M41+'Ανάπτυξη δικτύου'!M103)/'Παραδοχές διείσδυσης - κάλυψης'!G222)</f>
        <v>0.32541471796632626</v>
      </c>
      <c r="J163" s="161">
        <f t="shared" si="41"/>
        <v>3.2073190385346986E-3</v>
      </c>
      <c r="K163" s="191">
        <f>(('Ανάπτυξη δικτύου'!P41+'Ανάπτυξη δικτύου'!P103)/'Παραδοχές διείσδυσης - κάλυψης'!H222)</f>
        <v>0.35199055756714015</v>
      </c>
      <c r="L163" s="161">
        <f t="shared" si="42"/>
        <v>8.1667601781809832E-2</v>
      </c>
      <c r="M163" s="192">
        <f t="shared" si="38"/>
        <v>2.185561984903539E-2</v>
      </c>
      <c r="O163" s="191">
        <f>(('Ανάπτυξη δικτύου'!V41+'Ανάπτυξη δικτύου'!V103)/'Παραδοχές διείσδυσης - κάλυψης'!I222)</f>
        <v>0.35604903849842723</v>
      </c>
      <c r="P163" s="161">
        <f t="shared" si="43"/>
        <v>1.1530084668572244E-2</v>
      </c>
      <c r="Q163" s="191">
        <f>(('Ανάπτυξη δικτύου'!Y41+'Ανάπτυξη δικτύου'!Y103)/'Παραδοχές διείσδυσης - κάλυψης'!J222)</f>
        <v>0.39768452053970232</v>
      </c>
      <c r="R163" s="161">
        <f t="shared" si="44"/>
        <v>0.11693749326459425</v>
      </c>
      <c r="S163" s="191">
        <f>(('Ανάπτυξη δικτύου'!AB41+'Ανάπτυξη δικτύου'!AB103)/'Παραδοχές διείσδυσης - κάλυψης'!K222)</f>
        <v>0.43128544642259181</v>
      </c>
      <c r="T163" s="161">
        <f t="shared" si="45"/>
        <v>8.449141001839669E-2</v>
      </c>
      <c r="U163" s="191">
        <f>(('Ανάπτυξη δικτύου'!AE41+'Ανάπτυξη δικτύου'!AE103)/'Παραδοχές διείσδυσης - κάλυψης'!L222)</f>
        <v>0.45215469100834721</v>
      </c>
      <c r="V163" s="161">
        <f t="shared" si="46"/>
        <v>4.8388473941935024E-2</v>
      </c>
      <c r="W163" s="191">
        <f>(('Ανάπτυξη δικτύου'!AH41+'Ανάπτυξη δικτύου'!AH103)/'Παραδοχές διείσδυσης - κάλυψης'!M222)</f>
        <v>0.52657734260364963</v>
      </c>
      <c r="X163" s="161">
        <f t="shared" si="47"/>
        <v>0.1645955534141047</v>
      </c>
      <c r="Y163" s="192">
        <f t="shared" si="48"/>
        <v>0.10277798548948147</v>
      </c>
    </row>
    <row r="164" spans="2:25" outlineLevel="1" x14ac:dyDescent="0.35">
      <c r="B164" s="294" t="s">
        <v>101</v>
      </c>
      <c r="C164" s="62" t="s">
        <v>253</v>
      </c>
      <c r="D164" s="190">
        <f>(('Ανάπτυξη δικτύου'!E42+'Ανάπτυξη δικτύου'!E104)/'Παραδοχές διείσδυσης - κάλυψης'!D223)</f>
        <v>0.33174839105272474</v>
      </c>
      <c r="E164" s="190">
        <f>(('Ανάπτυξη δικτύου'!G42+'Ανάπτυξη δικτύου'!G104)/'Παραδοχές διείσδυσης - κάλυψης'!E223)</f>
        <v>0.33300543816998329</v>
      </c>
      <c r="F164" s="161">
        <f t="shared" si="39"/>
        <v>3.7891581426200949E-3</v>
      </c>
      <c r="G164" s="191">
        <f>(('Ανάπτυξη δικτύου'!J42+'Ανάπτυξη δικτύου'!J104)/'Παραδοχές διείσδυσης - κάλυψης'!F223)</f>
        <v>0.33300543816998329</v>
      </c>
      <c r="H164" s="161">
        <f t="shared" si="40"/>
        <v>0</v>
      </c>
      <c r="I164" s="191">
        <f>(('Ανάπτυξη δικτύου'!M42+'Ανάπτυξη δικτύου'!M104)/'Παραδοχές διείσδυσης - κάλυψης'!G223)</f>
        <v>0.33313000481436023</v>
      </c>
      <c r="J164" s="161">
        <f t="shared" si="41"/>
        <v>3.7406789829464598E-4</v>
      </c>
      <c r="K164" s="191">
        <f>(('Ανάπτυξη δικτύου'!P42+'Ανάπτυξη δικτύου'!P104)/'Παραδοχές διείσδυσης - κάλυψης'!H223)</f>
        <v>0.33750846028780734</v>
      </c>
      <c r="L164" s="161">
        <f t="shared" si="42"/>
        <v>1.3143383694564088E-2</v>
      </c>
      <c r="M164" s="192">
        <f t="shared" si="38"/>
        <v>4.3127116379624297E-3</v>
      </c>
      <c r="O164" s="191">
        <f>(('Ανάπτυξη δικτύου'!V42+'Ανάπτυξη δικτύου'!V104)/'Παραδοχές διείσδυσης - κάλυψης'!I223)</f>
        <v>0.33750846028780734</v>
      </c>
      <c r="P164" s="161">
        <f t="shared" si="43"/>
        <v>0</v>
      </c>
      <c r="Q164" s="191">
        <f>(('Ανάπτυξη δικτύου'!Y42+'Ανάπτυξη δικτύου'!Y104)/'Παραδοχές διείσδυσης - κάλυψης'!J223)</f>
        <v>0.33750846028780734</v>
      </c>
      <c r="R164" s="161">
        <f t="shared" si="44"/>
        <v>0</v>
      </c>
      <c r="S164" s="191">
        <f>(('Ανάπτυξη δικτύου'!AB42+'Ανάπτυξη δικτύου'!AB104)/'Παραδοχές διείσδυσης - κάλυψης'!K223)</f>
        <v>0.33750846028780734</v>
      </c>
      <c r="T164" s="161">
        <f t="shared" si="45"/>
        <v>0</v>
      </c>
      <c r="U164" s="191">
        <f>(('Ανάπτυξη δικτύου'!AE42+'Ανάπτυξη δικτύου'!AE104)/'Παραδοχές διείσδυσης - κάλυψης'!L223)</f>
        <v>0.33750846028780734</v>
      </c>
      <c r="V164" s="161">
        <f t="shared" si="46"/>
        <v>0</v>
      </c>
      <c r="W164" s="191">
        <f>(('Ανάπτυξη δικτύου'!AH42+'Ανάπτυξη δικτύου'!AH104)/'Παραδοχές διείσδυσης - κάλυψης'!M223)</f>
        <v>0.33750846028780734</v>
      </c>
      <c r="X164" s="161">
        <f t="shared" si="47"/>
        <v>0</v>
      </c>
      <c r="Y164" s="192">
        <f t="shared" si="48"/>
        <v>0</v>
      </c>
    </row>
    <row r="165" spans="2:25" outlineLevel="1" x14ac:dyDescent="0.35">
      <c r="B165" s="294" t="s">
        <v>102</v>
      </c>
      <c r="C165" s="62" t="s">
        <v>253</v>
      </c>
      <c r="D165" s="190">
        <f>(('Ανάπτυξη δικτύου'!E43+'Ανάπτυξη δικτύου'!E105)/'Παραδοχές διείσδυσης - κάλυψης'!D224)</f>
        <v>0.77623528783960472</v>
      </c>
      <c r="E165" s="190">
        <f>(('Ανάπτυξη δικτύου'!G43+'Ανάπτυξη δικτύου'!G105)/'Παραδοχές διείσδυσης - κάλυψης'!E224)</f>
        <v>0.79279954802355856</v>
      </c>
      <c r="F165" s="161">
        <f t="shared" si="39"/>
        <v>2.1339225932455366E-2</v>
      </c>
      <c r="G165" s="191">
        <f>(('Ανάπτυξη δικτύου'!J43+'Ανάπτυξη δικτύου'!J105)/'Παραδοχές διείσδυσης - κάλυψης'!F224)</f>
        <v>0.79279954802355856</v>
      </c>
      <c r="H165" s="161">
        <f t="shared" si="40"/>
        <v>0</v>
      </c>
      <c r="I165" s="191">
        <f>(('Ανάπτυξη δικτύου'!M43+'Ανάπτυξη δικτύου'!M105)/'Παραδοχές διείσδυσης - κάλυψης'!G224)</f>
        <v>0.79980592060557743</v>
      </c>
      <c r="J165" s="161">
        <f t="shared" si="41"/>
        <v>8.8375082951115177E-3</v>
      </c>
      <c r="K165" s="191">
        <f>(('Ανάπτυξη δικτύου'!P43+'Ανάπτυξη δικτύου'!P105)/'Παραδοχές διείσδυσης - κάλυψης'!H224)</f>
        <v>0.81310806684423498</v>
      </c>
      <c r="L165" s="161">
        <f t="shared" si="42"/>
        <v>1.6631717640431767E-2</v>
      </c>
      <c r="M165" s="192">
        <f t="shared" si="38"/>
        <v>1.1669651260743041E-2</v>
      </c>
      <c r="O165" s="191">
        <f>(('Ανάπτυξη δικτύου'!V43+'Ανάπτυξη δικτύου'!V105)/'Παραδοχές διείσδυσης - κάλυψης'!I224)</f>
        <v>0.81593718032285101</v>
      </c>
      <c r="P165" s="161">
        <f t="shared" si="43"/>
        <v>3.4793818853576766E-3</v>
      </c>
      <c r="Q165" s="191">
        <f>(('Ανάπτυξη δικτύου'!Y43+'Ανάπτυξη δικτύου'!Y105)/'Παραδοχές διείσδυσης - κάλυψης'!J224)</f>
        <v>0.81593718032285101</v>
      </c>
      <c r="R165" s="161">
        <f t="shared" si="44"/>
        <v>0</v>
      </c>
      <c r="S165" s="191">
        <f>(('Ανάπτυξη δικτύου'!AB43+'Ανάπτυξη δικτύου'!AB105)/'Παραδοχές διείσδυσης - κάλυψης'!K224)</f>
        <v>0.82431826297546507</v>
      </c>
      <c r="T165" s="161">
        <f t="shared" si="45"/>
        <v>1.027172539103785E-2</v>
      </c>
      <c r="U165" s="191">
        <f>(('Ανάπτυξη δικτύου'!AE43+'Ανάπτυξη δικτύου'!AE105)/'Παραδοχές διείσδυσης - κάλυψης'!L224)</f>
        <v>0.82431826297546507</v>
      </c>
      <c r="V165" s="161">
        <f t="shared" si="46"/>
        <v>0</v>
      </c>
      <c r="W165" s="191">
        <f>(('Ανάπτυξη δικτύου'!AH43+'Ανάπτυξη δικτύου'!AH105)/'Παραδοχές διείσδυσης - κάλυψης'!M224)</f>
        <v>0.82431826297546507</v>
      </c>
      <c r="X165" s="161">
        <f t="shared" si="47"/>
        <v>0</v>
      </c>
      <c r="Y165" s="192">
        <f t="shared" si="48"/>
        <v>2.5580987930369226E-3</v>
      </c>
    </row>
    <row r="166" spans="2:25" outlineLevel="1" x14ac:dyDescent="0.35">
      <c r="B166" s="294" t="s">
        <v>103</v>
      </c>
      <c r="C166" s="62" t="s">
        <v>253</v>
      </c>
      <c r="D166" s="190">
        <f>(('Ανάπτυξη δικτύου'!E44+'Ανάπτυξη δικτύου'!E106)/'Παραδοχές διείσδυσης - κάλυψης'!D225)</f>
        <v>0.12778069620253163</v>
      </c>
      <c r="E166" s="190">
        <f>(('Ανάπτυξη δικτύου'!G44+'Ανάπτυξη δικτύου'!G106)/'Παραδοχές διείσδυσης - κάλυψης'!E225)</f>
        <v>0.13469715189873419</v>
      </c>
      <c r="F166" s="161">
        <f t="shared" si="39"/>
        <v>5.4127547444568741E-2</v>
      </c>
      <c r="G166" s="191">
        <f>(('Ανάπτυξη δικτύου'!J44+'Ανάπτυξη δικτύου'!J106)/'Παραδοχές διείσδυσης - κάλυψης'!F225)</f>
        <v>0.13469715189873419</v>
      </c>
      <c r="H166" s="161">
        <f t="shared" si="40"/>
        <v>0</v>
      </c>
      <c r="I166" s="191">
        <f>(('Ανάπτυξη δικτύου'!M44+'Ανάπτυξη δικτύου'!M106)/'Παραδοχές διείσδυσης - κάλυψης'!G225)</f>
        <v>0.13469715189873419</v>
      </c>
      <c r="J166" s="161">
        <f t="shared" si="41"/>
        <v>0</v>
      </c>
      <c r="K166" s="191">
        <f>(('Ανάπτυξη δικτύου'!P44+'Ανάπτυξη δικτύου'!P106)/'Παραδοχές διείσδυσης - κάλυψης'!H225)</f>
        <v>0.13469715189873419</v>
      </c>
      <c r="L166" s="161">
        <f t="shared" si="42"/>
        <v>0</v>
      </c>
      <c r="M166" s="192">
        <f t="shared" si="38"/>
        <v>1.3265581231934442E-2</v>
      </c>
      <c r="O166" s="191">
        <f>(('Ανάπτυξη δικτύου'!V44+'Ανάπτυξη δικτύου'!V106)/'Παραδοχές διείσδυσης - κάλυψης'!I225)</f>
        <v>0.13469715189873419</v>
      </c>
      <c r="P166" s="161">
        <f t="shared" si="43"/>
        <v>0</v>
      </c>
      <c r="Q166" s="191">
        <f>(('Ανάπτυξη δικτύου'!Y44+'Ανάπτυξη δικτύου'!Y106)/'Παραδοχές διείσδυσης - κάλυψης'!J225)</f>
        <v>0.13469715189873419</v>
      </c>
      <c r="R166" s="161">
        <f t="shared" si="44"/>
        <v>0</v>
      </c>
      <c r="S166" s="191">
        <f>(('Ανάπτυξη δικτύου'!AB44+'Ανάπτυξη δικτύου'!AB106)/'Παραδοχές διείσδυσης - κάλυψης'!K225)</f>
        <v>0.13469715189873419</v>
      </c>
      <c r="T166" s="161">
        <f t="shared" si="45"/>
        <v>0</v>
      </c>
      <c r="U166" s="191">
        <f>(('Ανάπτυξη δικτύου'!AE44+'Ανάπτυξη δικτύου'!AE106)/'Παραδοχές διείσδυσης - κάλυψης'!L225)</f>
        <v>0.13469715189873419</v>
      </c>
      <c r="V166" s="161">
        <f t="shared" si="46"/>
        <v>0</v>
      </c>
      <c r="W166" s="191">
        <f>(('Ανάπτυξη δικτύου'!AH44+'Ανάπτυξη δικτύου'!AH106)/'Παραδοχές διείσδυσης - κάλυψης'!M225)</f>
        <v>0.13469715189873419</v>
      </c>
      <c r="X166" s="161">
        <f t="shared" si="47"/>
        <v>0</v>
      </c>
      <c r="Y166" s="192">
        <f t="shared" si="48"/>
        <v>0</v>
      </c>
    </row>
    <row r="167" spans="2:25" outlineLevel="1" x14ac:dyDescent="0.35">
      <c r="B167" s="294" t="s">
        <v>104</v>
      </c>
      <c r="C167" s="62" t="s">
        <v>253</v>
      </c>
      <c r="D167" s="190">
        <f>(('Ανάπτυξη δικτύου'!E45+'Ανάπτυξη δικτύου'!E107)/'Παραδοχές διείσδυσης - κάλυψης'!D226)</f>
        <v>0.1619464843148534</v>
      </c>
      <c r="E167" s="190">
        <f>(('Ανάπτυξη δικτύου'!G45+'Ανάπτυξη δικτύου'!G107)/'Παραδοχές διείσδυσης - κάλυψης'!E226)</f>
        <v>0.1619464843148534</v>
      </c>
      <c r="F167" s="161">
        <f t="shared" si="39"/>
        <v>0</v>
      </c>
      <c r="G167" s="191">
        <f>(('Ανάπτυξη δικτύου'!J45+'Ανάπτυξη δικτύου'!J107)/'Παραδοχές διείσδυσης - κάλυψης'!F226)</f>
        <v>0.1619464843148534</v>
      </c>
      <c r="H167" s="161">
        <f t="shared" si="40"/>
        <v>0</v>
      </c>
      <c r="I167" s="191">
        <f>(('Ανάπτυξη δικτύου'!M45+'Ανάπτυξη δικτύου'!M107)/'Παραδοχές διείσδυσης - κάλυψης'!G226)</f>
        <v>0.1619464843148534</v>
      </c>
      <c r="J167" s="161">
        <f t="shared" si="41"/>
        <v>0</v>
      </c>
      <c r="K167" s="191">
        <f>(('Ανάπτυξη δικτύου'!P45+'Ανάπτυξη δικτύου'!P107)/'Παραδοχές διείσδυσης - κάλυψης'!H226)</f>
        <v>0.1619464843148534</v>
      </c>
      <c r="L167" s="161">
        <f t="shared" si="42"/>
        <v>0</v>
      </c>
      <c r="M167" s="192">
        <f t="shared" si="38"/>
        <v>0</v>
      </c>
      <c r="O167" s="191">
        <f>(('Ανάπτυξη δικτύου'!V45+'Ανάπτυξη δικτύου'!V107)/'Παραδοχές διείσδυσης - κάλυψης'!I226)</f>
        <v>0.1619464843148534</v>
      </c>
      <c r="P167" s="161">
        <f t="shared" si="43"/>
        <v>0</v>
      </c>
      <c r="Q167" s="191">
        <f>(('Ανάπτυξη δικτύου'!Y45+'Ανάπτυξη δικτύου'!Y107)/'Παραδοχές διείσδυσης - κάλυψης'!J226)</f>
        <v>0.1619464843148534</v>
      </c>
      <c r="R167" s="161">
        <f t="shared" si="44"/>
        <v>0</v>
      </c>
      <c r="S167" s="191">
        <f>(('Ανάπτυξη δικτύου'!AB45+'Ανάπτυξη δικτύου'!AB107)/'Παραδοχές διείσδυσης - κάλυψης'!K226)</f>
        <v>0.1619464843148534</v>
      </c>
      <c r="T167" s="161">
        <f t="shared" si="45"/>
        <v>0</v>
      </c>
      <c r="U167" s="191">
        <f>(('Ανάπτυξη δικτύου'!AE45+'Ανάπτυξη δικτύου'!AE107)/'Παραδοχές διείσδυσης - κάλυψης'!L226)</f>
        <v>0.27440932064461265</v>
      </c>
      <c r="V167" s="161">
        <f t="shared" si="46"/>
        <v>0.6944444444444442</v>
      </c>
      <c r="W167" s="191">
        <f>(('Ανάπτυξη δικτύου'!AH45+'Ανάπτυξη δικτύου'!AH107)/'Παραδοχές διείσδυσης - κάλυψης'!M226)</f>
        <v>0.38687215697437199</v>
      </c>
      <c r="X167" s="161">
        <f t="shared" si="47"/>
        <v>0.40983606557377072</v>
      </c>
      <c r="Y167" s="192">
        <f t="shared" si="48"/>
        <v>0.24322286118886072</v>
      </c>
    </row>
    <row r="168" spans="2:25" outlineLevel="1" x14ac:dyDescent="0.35">
      <c r="B168" s="294" t="s">
        <v>136</v>
      </c>
      <c r="C168" s="62" t="s">
        <v>253</v>
      </c>
      <c r="D168" s="190" t="e">
        <f>(('Ανάπτυξη δικτύου'!E46+'Ανάπτυξη δικτύου'!E108)/'Παραδοχές διείσδυσης - κάλυψης'!D227)</f>
        <v>#DIV/0!</v>
      </c>
      <c r="E168" s="190" t="e">
        <f>(('Ανάπτυξη δικτύου'!G46+'Ανάπτυξη δικτύου'!G108)/'Παραδοχές διείσδυσης - κάλυψης'!E227)</f>
        <v>#DIV/0!</v>
      </c>
      <c r="F168" s="161">
        <f t="shared" si="39"/>
        <v>0</v>
      </c>
      <c r="G168" s="191" t="e">
        <f>(('Ανάπτυξη δικτύου'!J46+'Ανάπτυξη δικτύου'!J108)/'Παραδοχές διείσδυσης - κάλυψης'!F227)</f>
        <v>#DIV/0!</v>
      </c>
      <c r="H168" s="161">
        <f t="shared" si="40"/>
        <v>0</v>
      </c>
      <c r="I168" s="191" t="e">
        <f>(('Ανάπτυξη δικτύου'!M46+'Ανάπτυξη δικτύου'!M108)/'Παραδοχές διείσδυσης - κάλυψης'!G227)</f>
        <v>#DIV/0!</v>
      </c>
      <c r="J168" s="161">
        <f t="shared" si="41"/>
        <v>0</v>
      </c>
      <c r="K168" s="191" t="e">
        <f>(('Ανάπτυξη δικτύου'!P46+'Ανάπτυξη δικτύου'!P108)/'Παραδοχές διείσδυσης - κάλυψης'!H227)</f>
        <v>#DIV/0!</v>
      </c>
      <c r="L168" s="161">
        <f t="shared" si="42"/>
        <v>0</v>
      </c>
      <c r="M168" s="192">
        <f t="shared" si="38"/>
        <v>0</v>
      </c>
      <c r="O168" s="191" t="e">
        <f>(('Ανάπτυξη δικτύου'!V46+'Ανάπτυξη δικτύου'!V108)/'Παραδοχές διείσδυσης - κάλυψης'!I227)</f>
        <v>#DIV/0!</v>
      </c>
      <c r="P168" s="161">
        <f t="shared" si="43"/>
        <v>0</v>
      </c>
      <c r="Q168" s="191" t="e">
        <f>(('Ανάπτυξη δικτύου'!Y46+'Ανάπτυξη δικτύου'!Y108)/'Παραδοχές διείσδυσης - κάλυψης'!J227)</f>
        <v>#DIV/0!</v>
      </c>
      <c r="R168" s="161">
        <f t="shared" si="44"/>
        <v>0</v>
      </c>
      <c r="S168" s="191" t="e">
        <f>(('Ανάπτυξη δικτύου'!AB46+'Ανάπτυξη δικτύου'!AB108)/'Παραδοχές διείσδυσης - κάλυψης'!K227)</f>
        <v>#DIV/0!</v>
      </c>
      <c r="T168" s="161">
        <f t="shared" si="45"/>
        <v>0</v>
      </c>
      <c r="U168" s="191" t="e">
        <f>(('Ανάπτυξη δικτύου'!AE46+'Ανάπτυξη δικτύου'!AE108)/'Παραδοχές διείσδυσης - κάλυψης'!L227)</f>
        <v>#DIV/0!</v>
      </c>
      <c r="V168" s="161">
        <f t="shared" si="46"/>
        <v>0</v>
      </c>
      <c r="W168" s="191" t="e">
        <f>(('Ανάπτυξη δικτύου'!AH46+'Ανάπτυξη δικτύου'!AH108)/'Παραδοχές διείσδυσης - κάλυψης'!M227)</f>
        <v>#DIV/0!</v>
      </c>
      <c r="X168" s="161">
        <f t="shared" si="47"/>
        <v>0</v>
      </c>
      <c r="Y168" s="192">
        <f t="shared" si="48"/>
        <v>0</v>
      </c>
    </row>
    <row r="169" spans="2:25" outlineLevel="1" x14ac:dyDescent="0.35">
      <c r="B169" s="294" t="s">
        <v>106</v>
      </c>
      <c r="C169" s="62" t="s">
        <v>253</v>
      </c>
      <c r="D169" s="190">
        <f>(('Ανάπτυξη δικτύου'!E47+'Ανάπτυξη δικτύου'!E109)/'Παραδοχές διείσδυσης - κάλυψης'!D228)</f>
        <v>0.41086420548874486</v>
      </c>
      <c r="E169" s="190">
        <f>(('Ανάπτυξη δικτύου'!G47+'Ανάπτυξη δικτύου'!G109)/'Παραδοχές διείσδυσης - κάλυψης'!E228)</f>
        <v>0.41514186024891481</v>
      </c>
      <c r="F169" s="161">
        <f t="shared" si="39"/>
        <v>1.0411359040346306E-2</v>
      </c>
      <c r="G169" s="191">
        <f>(('Ανάπτυξη δικτύου'!J47+'Ανάπτυξη δικτύου'!J109)/'Παραδοχές διείσδυσης - κάλυψης'!F228)</f>
        <v>0.44265907993416481</v>
      </c>
      <c r="H169" s="161">
        <f t="shared" si="40"/>
        <v>6.6283895506829796E-2</v>
      </c>
      <c r="I169" s="191">
        <f>(('Ανάπτυξη δικτύου'!M47+'Ανάπτυξη δικτύου'!M109)/'Παραδοχές διείσδυσης - κάλυψης'!G228)</f>
        <v>0.45567562505495068</v>
      </c>
      <c r="J169" s="161">
        <f t="shared" si="41"/>
        <v>2.9405349874946151E-2</v>
      </c>
      <c r="K169" s="191">
        <f>(('Ανάπτυξη δικτύου'!P47+'Ανάπτυξη δικτύου'!P109)/'Παραδοχές διείσδυσης - κάλυψης'!H228)</f>
        <v>0.48438390838464307</v>
      </c>
      <c r="L169" s="161">
        <f t="shared" si="42"/>
        <v>6.3001577769779563E-2</v>
      </c>
      <c r="M169" s="192">
        <f t="shared" si="38"/>
        <v>4.2012310908385198E-2</v>
      </c>
      <c r="O169" s="191">
        <f>(('Ανάπτυξη δικτύου'!V47+'Ανάπτυξη δικτύου'!V109)/'Παραδοχές διείσδυσης - κάλυψης'!I228)</f>
        <v>0.48606488957271399</v>
      </c>
      <c r="P169" s="161">
        <f t="shared" si="43"/>
        <v>3.4703489504363805E-3</v>
      </c>
      <c r="Q169" s="191">
        <f>(('Ανάπτυξη δικτύου'!Y47+'Ανάπτυξη δικτύου'!Y109)/'Παραδοχές διείσδυσης - κάλυψης'!J228)</f>
        <v>0.49904825743320896</v>
      </c>
      <c r="R169" s="161">
        <f t="shared" si="44"/>
        <v>2.6711182270145642E-2</v>
      </c>
      <c r="S169" s="191">
        <f>(('Ανάπτυξη δικτύου'!AB47+'Ανάπτυξη δικτύου'!AB109)/'Παραδοχές διείσδυσης - κάλυψης'!K228)</f>
        <v>0.49904825743320896</v>
      </c>
      <c r="T169" s="161">
        <f t="shared" si="45"/>
        <v>0</v>
      </c>
      <c r="U169" s="191">
        <f>(('Ανάπτυξη δικτύου'!AE47+'Ανάπτυξη δικτύου'!AE109)/'Παραδοχές διείσδυσης - κάλυψης'!L228)</f>
        <v>0.51007416693654239</v>
      </c>
      <c r="V169" s="161">
        <f t="shared" si="46"/>
        <v>2.2093874368069713E-2</v>
      </c>
      <c r="W169" s="191">
        <f>(('Ανάπτυξη δικτύου'!AH47+'Ανάπτυξη δικτύου'!AH109)/'Παραδοχές διείσδυσης - κάλυψης'!M228)</f>
        <v>0.55643385864965555</v>
      </c>
      <c r="X169" s="161">
        <f t="shared" si="47"/>
        <v>9.0888138859384154E-2</v>
      </c>
      <c r="Y169" s="192">
        <f t="shared" si="48"/>
        <v>3.4379308261069497E-2</v>
      </c>
    </row>
    <row r="170" spans="2:25" outlineLevel="1" x14ac:dyDescent="0.35">
      <c r="B170" s="294" t="s">
        <v>107</v>
      </c>
      <c r="C170" s="62" t="s">
        <v>253</v>
      </c>
      <c r="D170" s="190">
        <f>(('Ανάπτυξη δικτύου'!E48+'Ανάπτυξη δικτύου'!E110)/'Παραδοχές διείσδυσης - κάλυψης'!D229)</f>
        <v>0.55335376405475512</v>
      </c>
      <c r="E170" s="190">
        <f>(('Ανάπτυξη δικτύου'!G48+'Ανάπτυξη δικτύου'!G110)/'Παραδοχές διείσδυσης - κάλυψης'!E229)</f>
        <v>0.57826493915325006</v>
      </c>
      <c r="F170" s="161">
        <f t="shared" si="39"/>
        <v>4.5018533742240789E-2</v>
      </c>
      <c r="G170" s="191">
        <f>(('Ανάπτυξη δικτύου'!J48+'Ανάπτυξη δικτύου'!J110)/'Παραδοχές διείσδυσης - κάλυψης'!F229)</f>
        <v>0.6600350024702577</v>
      </c>
      <c r="H170" s="161">
        <f t="shared" si="40"/>
        <v>0.14140588125011189</v>
      </c>
      <c r="I170" s="191">
        <f>(('Ανάπτυξη δικτύου'!M48+'Ανάπτυξη δικτύου'!M110)/'Παραδοχές διείσδυσης - κάλυψης'!G229)</f>
        <v>0.6600350024702577</v>
      </c>
      <c r="J170" s="161">
        <f t="shared" si="41"/>
        <v>0</v>
      </c>
      <c r="K170" s="191">
        <f>(('Ανάπτυξη δικτύου'!P48+'Ανάπτυξη δικτύου'!P110)/'Παραδοχές διείσδυσης - κάλυψης'!H229)</f>
        <v>0.67135578754979064</v>
      </c>
      <c r="L170" s="161">
        <f t="shared" si="42"/>
        <v>1.7151795036874685E-2</v>
      </c>
      <c r="M170" s="192">
        <f t="shared" si="38"/>
        <v>4.9512141510039465E-2</v>
      </c>
      <c r="O170" s="191">
        <f>(('Ανάπτυξη δικτύου'!V48+'Ανάπτυξη δικτύου'!V110)/'Παραδοχές διείσδυσης - κάλυψης'!I229)</f>
        <v>0.67521291740364497</v>
      </c>
      <c r="P170" s="161">
        <f t="shared" si="43"/>
        <v>5.7452842820220331E-3</v>
      </c>
      <c r="Q170" s="191">
        <f>(('Ανάπτυξη δικτύου'!Y48+'Ανάπτυξη δικτύου'!Y110)/'Παραδοχές διείσδυσης - κάλυψης'!J229)</f>
        <v>0.70102517905274364</v>
      </c>
      <c r="R170" s="161">
        <f t="shared" si="44"/>
        <v>3.8228329144461545E-2</v>
      </c>
      <c r="S170" s="191">
        <f>(('Ανάπτυξη δικτύου'!AB48+'Ανάπτυξη δικτύου'!AB110)/'Παραδοχές διείσδυσης - κάλυψης'!K229)</f>
        <v>0.70378182835507463</v>
      </c>
      <c r="T170" s="161">
        <f t="shared" si="45"/>
        <v>3.9323113986517583E-3</v>
      </c>
      <c r="U170" s="191">
        <f>(('Ανάπτυξη δικτύου'!AE48+'Ανάπτυξη δικτύου'!AE110)/'Παραδοχές διείσδυσης - κάλυψης'!L229)</f>
        <v>0.70378182835507463</v>
      </c>
      <c r="V170" s="161">
        <f t="shared" si="46"/>
        <v>0</v>
      </c>
      <c r="W170" s="191">
        <f>(('Ανάπτυξη δικτύου'!AH48+'Ανάπτυξη δικτύου'!AH110)/'Παραδοχές διείσδυσης - κάλυψης'!M229)</f>
        <v>0.70907721001884072</v>
      </c>
      <c r="X170" s="161">
        <f t="shared" si="47"/>
        <v>7.5241807196738814E-3</v>
      </c>
      <c r="Y170" s="192">
        <f t="shared" si="48"/>
        <v>1.2309229098590668E-2</v>
      </c>
    </row>
    <row r="171" spans="2:25" outlineLevel="1" x14ac:dyDescent="0.35">
      <c r="B171" s="294" t="s">
        <v>108</v>
      </c>
      <c r="C171" s="62" t="s">
        <v>253</v>
      </c>
      <c r="D171" s="190">
        <f>(('Ανάπτυξη δικτύου'!E49+'Ανάπτυξη δικτύου'!E111)/'Παραδοχές διείσδυσης - κάλυψης'!D230)</f>
        <v>0.44971995297473855</v>
      </c>
      <c r="E171" s="190">
        <f>(('Ανάπτυξη δικτύου'!G49+'Ανάπτυξη δικτύου'!G111)/'Παραδοχές διείσδυσης - κάλυψης'!E230)</f>
        <v>0.50009526787298975</v>
      </c>
      <c r="F171" s="161">
        <f t="shared" si="39"/>
        <v>0.11201485405536556</v>
      </c>
      <c r="G171" s="191">
        <f>(('Ανάπτυξη δικτύου'!J49+'Ανάπτυξη δικτύου'!J111)/'Παραδοχές διείσδυσης - κάλυψης'!F230)</f>
        <v>0.50365391578106522</v>
      </c>
      <c r="H171" s="161">
        <f t="shared" si="40"/>
        <v>7.1159399752194243E-3</v>
      </c>
      <c r="I171" s="191">
        <f>(('Ανάπτυξη δικτύου'!M49+'Ανάπτυξη δικτύου'!M111)/'Παραδοχές διείσδυσης - κάλυψης'!G230)</f>
        <v>0.5191553512652396</v>
      </c>
      <c r="J171" s="161">
        <f t="shared" si="41"/>
        <v>3.0777950887435845E-2</v>
      </c>
      <c r="K171" s="191">
        <f>(('Ανάπτυξη δικτύου'!P49+'Ανάπτυξη δικτύου'!P111)/'Παραδοχές διείσδυσης - κάλυψης'!H230)</f>
        <v>0.54361300734642504</v>
      </c>
      <c r="L171" s="161">
        <f t="shared" si="42"/>
        <v>4.7110476703320886E-2</v>
      </c>
      <c r="M171" s="192">
        <f t="shared" si="38"/>
        <v>4.8544630979622694E-2</v>
      </c>
      <c r="O171" s="191">
        <f>(('Ανάπτυξη δικτύου'!V49+'Ανάπτυξη δικτύου'!V111)/'Παραδοχές διείσδυσης - κάλυψης'!I230)</f>
        <v>0.56118002477039675</v>
      </c>
      <c r="P171" s="161">
        <f t="shared" si="43"/>
        <v>3.23153000141089E-2</v>
      </c>
      <c r="Q171" s="191">
        <f>(('Ανάπτυξη δικτύου'!Y49+'Ανάπτυξη δικτύου'!Y111)/'Παραδοχές διείσδυσης - κάλυψης'!J230)</f>
        <v>0.56118002477039675</v>
      </c>
      <c r="R171" s="161">
        <f t="shared" si="44"/>
        <v>0</v>
      </c>
      <c r="S171" s="191">
        <f>(('Ανάπτυξη δικτύου'!AB49+'Ανάπτυξη δικτύου'!AB111)/'Παραδοχές διείσδυσης - κάλυψης'!K230)</f>
        <v>0.63445858878460659</v>
      </c>
      <c r="T171" s="161">
        <f t="shared" si="45"/>
        <v>0.13057942332176078</v>
      </c>
      <c r="U171" s="191">
        <f>(('Ανάπτυξη δικτύου'!AE49+'Ανάπτυξη δικτύου'!AE111)/'Παραδοχές διείσδυσης - κάλυψης'!L230)</f>
        <v>0.70174226671406348</v>
      </c>
      <c r="V171" s="161">
        <f t="shared" si="46"/>
        <v>0.10604896697568253</v>
      </c>
      <c r="W171" s="191">
        <f>(('Ανάπτυξη δικτύου'!AH49+'Ανάπτυξη δικτύου'!AH111)/'Παραδοχές διείσδυσης - κάλυψης'!M230)</f>
        <v>0.71731678934353815</v>
      </c>
      <c r="X171" s="161">
        <f t="shared" si="47"/>
        <v>2.2194078037230114E-2</v>
      </c>
      <c r="Y171" s="192">
        <f t="shared" si="48"/>
        <v>6.3291147174062257E-2</v>
      </c>
    </row>
    <row r="172" spans="2:25" outlineLevel="1" x14ac:dyDescent="0.35">
      <c r="B172" s="294" t="s">
        <v>109</v>
      </c>
      <c r="C172" s="62" t="s">
        <v>253</v>
      </c>
      <c r="D172" s="190">
        <f>(('Ανάπτυξη δικτύου'!E50+'Ανάπτυξη δικτύου'!E112)/'Παραδοχές διείσδυσης - κάλυψης'!D231)</f>
        <v>1.0204753021485951</v>
      </c>
      <c r="E172" s="190">
        <f>(('Ανάπτυξη δικτύου'!G50+'Ανάπτυξη δικτύου'!G112)/'Παραδοχές διείσδυσης - κάλυψης'!E231)</f>
        <v>1.0204753021485951</v>
      </c>
      <c r="F172" s="161">
        <f t="shared" si="39"/>
        <v>0</v>
      </c>
      <c r="G172" s="191">
        <f>(('Ανάπτυξη δικτύου'!J50+'Ανάπτυξη δικτύου'!J112)/'Παραδοχές διείσδυσης - κάλυψης'!F231)</f>
        <v>1.0212989800391445</v>
      </c>
      <c r="H172" s="161">
        <f t="shared" si="40"/>
        <v>8.0715122533122458E-4</v>
      </c>
      <c r="I172" s="191">
        <f>(('Ανάπτυξη δικτύου'!M50+'Ανάπτυξη δικτύου'!M112)/'Παραδοχές διείσδυσης - κάλυψης'!G231)</f>
        <v>1.0212989800391445</v>
      </c>
      <c r="J172" s="161">
        <f t="shared" si="41"/>
        <v>0</v>
      </c>
      <c r="K172" s="191">
        <f>(('Ανάπτυξη δικτύου'!P50+'Ανάπτυξη δικτύου'!P112)/'Παραδοχές διείσδυσης - κάλυψης'!H231)</f>
        <v>1.0289580404241845</v>
      </c>
      <c r="L172" s="161">
        <f t="shared" si="42"/>
        <v>7.4993322569913675E-3</v>
      </c>
      <c r="M172" s="192">
        <f t="shared" si="38"/>
        <v>2.0716874152093556E-3</v>
      </c>
      <c r="O172" s="191">
        <f>(('Ανάπτυξη δικτύου'!V50+'Ανάπτυξη δικτύου'!V112)/'Παραδοχές διείσδυσης - κάλυψης'!I231)</f>
        <v>1.0289580404241845</v>
      </c>
      <c r="P172" s="161">
        <f t="shared" si="43"/>
        <v>0</v>
      </c>
      <c r="Q172" s="191">
        <f>(('Ανάπτυξη δικτύου'!Y50+'Ανάπτυξη δικτύου'!Y112)/'Παραδοχές διείσδυσης - κάλυψης'!J231)</f>
        <v>1.0295300389592885</v>
      </c>
      <c r="R172" s="161">
        <f t="shared" si="44"/>
        <v>5.5590073903133137E-4</v>
      </c>
      <c r="S172" s="191">
        <f>(('Ανάπτυξη δικτύου'!AB50+'Ανάπτυξη δικτύου'!AB112)/'Παραδοχές διείσδυσης - κάλυψης'!K231)</f>
        <v>1.038601935726035</v>
      </c>
      <c r="T172" s="161">
        <f t="shared" si="45"/>
        <v>8.8116872975526703E-3</v>
      </c>
      <c r="U172" s="191">
        <f>(('Ανάπτυξη δικτύου'!AE50+'Ανάπτυξη δικτύου'!AE112)/'Παραδοχές διείσδυσης - κάλυψης'!L231)</f>
        <v>1.038601935726035</v>
      </c>
      <c r="V172" s="161">
        <f t="shared" si="46"/>
        <v>0</v>
      </c>
      <c r="W172" s="191">
        <f>(('Ανάπτυξη δικτύου'!AH50+'Ανάπτυξη δικτύου'!AH112)/'Παραδοχές διείσδυσης - κάλυψης'!M231)</f>
        <v>1.038601935726035</v>
      </c>
      <c r="X172" s="161">
        <f t="shared" si="47"/>
        <v>0</v>
      </c>
      <c r="Y172" s="192">
        <f t="shared" si="48"/>
        <v>2.3349310234419551E-3</v>
      </c>
    </row>
    <row r="173" spans="2:25" outlineLevel="1" x14ac:dyDescent="0.35">
      <c r="B173" s="294" t="s">
        <v>110</v>
      </c>
      <c r="C173" s="62" t="s">
        <v>253</v>
      </c>
      <c r="D173" s="190">
        <f>(('Ανάπτυξη δικτύου'!E51+'Ανάπτυξη δικτύου'!E113)/'Παραδοχές διείσδυσης - κάλυψης'!D232)</f>
        <v>0.3041198029452209</v>
      </c>
      <c r="E173" s="190">
        <f>(('Ανάπτυξη δικτύου'!G51+'Ανάπτυξη δικτύου'!G113)/'Παραδοχές διείσδυσης - κάλυψης'!E232)</f>
        <v>0.31223313618505377</v>
      </c>
      <c r="F173" s="161">
        <f t="shared" si="39"/>
        <v>2.6678082654467184E-2</v>
      </c>
      <c r="G173" s="191">
        <f>(('Ανάπτυξη δικτύου'!J51+'Ανάπτυξη δικτύου'!J113)/'Παραδοχές διείσδυσης - κάλυψης'!F232)</f>
        <v>0.31989511543663895</v>
      </c>
      <c r="H173" s="161">
        <f t="shared" si="40"/>
        <v>2.4539289279803072E-2</v>
      </c>
      <c r="I173" s="191">
        <f>(('Ανάπτυξη δικτύου'!M51+'Ανάπτυξη δικτύου'!M113)/'Παραδοχές διείσδυσης - κάλυψης'!G232)</f>
        <v>0.32522330020768686</v>
      </c>
      <c r="J173" s="161">
        <f t="shared" si="41"/>
        <v>1.6656036663064491E-2</v>
      </c>
      <c r="K173" s="191">
        <f>(('Ανάπτυξη δικτύου'!P51+'Ανάπτυξη δικτύου'!P113)/'Παραδοχές διείσδυσης - κάλυψης'!H232)</f>
        <v>0.34984539616984034</v>
      </c>
      <c r="L173" s="161">
        <f t="shared" si="42"/>
        <v>7.5708277809215588E-2</v>
      </c>
      <c r="M173" s="192">
        <f t="shared" si="38"/>
        <v>3.5637733724842136E-2</v>
      </c>
      <c r="O173" s="191">
        <f>(('Ανάπτυξη δικτύου'!V51+'Ανάπτυξη δικτύου'!V113)/'Παραδοχές διείσδυσης - κάλυψης'!I232)</f>
        <v>0.35740066945137783</v>
      </c>
      <c r="P173" s="161">
        <f t="shared" si="43"/>
        <v>2.1596034603438403E-2</v>
      </c>
      <c r="Q173" s="191">
        <f>(('Ανάπτυξη δικτύου'!Y51+'Ανάπτυξη δικτύου'!Y113)/'Παραδοχές διείσδυσης - κάλυψης'!J232)</f>
        <v>0.35740066945137783</v>
      </c>
      <c r="R173" s="161">
        <f t="shared" si="44"/>
        <v>0</v>
      </c>
      <c r="S173" s="191">
        <f>(('Ανάπτυξη δικτύου'!AB51+'Ανάπτυξη δικτύου'!AB113)/'Παραδοχές διείσδυσης - κάλυψης'!K232)</f>
        <v>0.36513991854334238</v>
      </c>
      <c r="T173" s="161">
        <f t="shared" si="45"/>
        <v>2.1654265795989027E-2</v>
      </c>
      <c r="U173" s="191">
        <f>(('Ανάπτυξη δικτύου'!AE51+'Ανάπτυξη δικτύου'!AE113)/'Παραδοχές διείσδυσης - κάλυψης'!L232)</f>
        <v>0.36513991854334238</v>
      </c>
      <c r="V173" s="161">
        <f t="shared" si="46"/>
        <v>0</v>
      </c>
      <c r="W173" s="191">
        <f>(('Ανάπτυξη δικτύου'!AH51+'Ανάπτυξη δικτύου'!AH113)/'Παραδοχές διείσδυσης - κάλυψης'!M232)</f>
        <v>0.38288745172253841</v>
      </c>
      <c r="X173" s="161">
        <f t="shared" si="47"/>
        <v>4.8604746503741643E-2</v>
      </c>
      <c r="Y173" s="192">
        <f t="shared" si="48"/>
        <v>1.737003719684882E-2</v>
      </c>
    </row>
    <row r="174" spans="2:25" outlineLevel="1" x14ac:dyDescent="0.35">
      <c r="B174" s="294" t="s">
        <v>111</v>
      </c>
      <c r="C174" s="62" t="s">
        <v>253</v>
      </c>
      <c r="D174" s="190">
        <f>(('Ανάπτυξη δικτύου'!E52+'Ανάπτυξη δικτύου'!E114)/'Παραδοχές διείσδυσης - κάλυψης'!D233)</f>
        <v>0.20547041916810072</v>
      </c>
      <c r="E174" s="190">
        <f>(('Ανάπτυξη δικτύου'!G52+'Ανάπτυξη δικτύου'!G114)/'Παραδοχές διείσδυσης - κάλυψης'!E233)</f>
        <v>0.21104840106343051</v>
      </c>
      <c r="F174" s="161">
        <f t="shared" si="39"/>
        <v>2.7147371957061614E-2</v>
      </c>
      <c r="G174" s="191">
        <f>(('Ανάπτυξη δικτύου'!J52+'Ανάπτυξη δικτύου'!J114)/'Παραδοχές διείσδυσης - κάλυψης'!F233)</f>
        <v>0.2161618268117545</v>
      </c>
      <c r="H174" s="161">
        <f t="shared" si="40"/>
        <v>2.4228687460120357E-2</v>
      </c>
      <c r="I174" s="191">
        <f>(('Ανάπτυξη δικτύου'!M52+'Ανάπτυξη δικτύου'!M114)/'Παραδοχές διείσδυσης - κάλυψης'!G233)</f>
        <v>0.2161618268117545</v>
      </c>
      <c r="J174" s="161">
        <f t="shared" si="41"/>
        <v>0</v>
      </c>
      <c r="K174" s="191">
        <f>(('Ανάπτυξη δικτύου'!P52+'Ανάπτυξη δικτύου'!P114)/'Παραδοχές διείσδυσης - κάλυψης'!H233)</f>
        <v>0.22345389329018694</v>
      </c>
      <c r="L174" s="161">
        <f t="shared" si="42"/>
        <v>3.3734293357831284E-2</v>
      </c>
      <c r="M174" s="192">
        <f t="shared" si="38"/>
        <v>2.1197292625357633E-2</v>
      </c>
      <c r="O174" s="191">
        <f>(('Ανάπτυξη δικτύου'!V52+'Ανάπτυξη δικτύου'!V114)/'Παραδοχές διείσδυσης - κάλυψης'!I233)</f>
        <v>0.22408716413147661</v>
      </c>
      <c r="P174" s="161">
        <f t="shared" si="43"/>
        <v>2.8340112224729741E-3</v>
      </c>
      <c r="Q174" s="191">
        <f>(('Ανάπτυξη δικτύου'!Y52+'Ανάπτυξη δικτύου'!Y114)/'Παραδοχές διείσδυσης - κάλυψης'!J233)</f>
        <v>0.23586883732054473</v>
      </c>
      <c r="R174" s="161">
        <f t="shared" si="44"/>
        <v>5.2576296526094468E-2</v>
      </c>
      <c r="S174" s="191">
        <f>(('Ανάπτυξη δικτύου'!AB52+'Ανάπτυξη δικτύου'!AB114)/'Παραδοχές διείσδυσης - κάλυψης'!K233)</f>
        <v>0.25506072453306206</v>
      </c>
      <c r="T174" s="161">
        <f t="shared" si="45"/>
        <v>8.1366777529986445E-2</v>
      </c>
      <c r="U174" s="191">
        <f>(('Ανάπτυξη δικτύου'!AE52+'Ανάπτυξη δικτύου'!AE114)/'Παραδοχές διείσδυσης - κάλυψης'!L233)</f>
        <v>0.25506072453306206</v>
      </c>
      <c r="V174" s="161">
        <f t="shared" si="46"/>
        <v>0</v>
      </c>
      <c r="W174" s="191">
        <f>(('Ανάπτυξη δικτύου'!AH52+'Ανάπτυξη δικτύου'!AH114)/'Παραδοχές διείσδυσης - κάλυψης'!M233)</f>
        <v>0.25992840338775125</v>
      </c>
      <c r="X174" s="161">
        <f t="shared" si="47"/>
        <v>1.9084392015275661E-2</v>
      </c>
      <c r="Y174" s="192">
        <f t="shared" si="48"/>
        <v>3.7789302399754643E-2</v>
      </c>
    </row>
    <row r="175" spans="2:25" outlineLevel="1" x14ac:dyDescent="0.35">
      <c r="B175" s="294" t="s">
        <v>112</v>
      </c>
      <c r="C175" s="62" t="s">
        <v>253</v>
      </c>
      <c r="D175" s="190">
        <f>(('Ανάπτυξη δικτύου'!E53+'Ανάπτυξη δικτύου'!E115)/'Παραδοχές διείσδυσης - κάλυψης'!D234)</f>
        <v>0.37667176744186048</v>
      </c>
      <c r="E175" s="190">
        <f>(('Ανάπτυξη δικτύου'!G53+'Ανάπτυξη δικτύου'!G115)/'Παραδοχές διείσδυσης - κάλυψης'!E234)</f>
        <v>0.37890767441860468</v>
      </c>
      <c r="F175" s="161">
        <f t="shared" si="39"/>
        <v>5.9359558374369242E-3</v>
      </c>
      <c r="G175" s="191">
        <f>(('Ανάπτυξη δικτύου'!J53+'Ανάπτυξη δικτύου'!J115)/'Παραδοχές διείσδυσης - κάλυψης'!F234)</f>
        <v>0.37918209302325584</v>
      </c>
      <c r="H175" s="161">
        <f t="shared" si="40"/>
        <v>7.242360690430154E-4</v>
      </c>
      <c r="I175" s="191">
        <f>(('Ανάπτυξη δικτύου'!M53+'Ανάπτυξη δικτύου'!M115)/'Παραδοχές διείσδυσης - κάλυψης'!G234)</f>
        <v>0.38713325581395353</v>
      </c>
      <c r="J175" s="161">
        <f t="shared" si="41"/>
        <v>2.0969246536149132E-2</v>
      </c>
      <c r="K175" s="191">
        <f>(('Ανάπτυξη δικτύου'!P53+'Ανάπτυξη δικτύου'!P115)/'Παραδοχές διείσδυσης - κάλυψης'!H234)</f>
        <v>0.40330023255813957</v>
      </c>
      <c r="L175" s="161">
        <f t="shared" si="42"/>
        <v>4.1760754214191009E-2</v>
      </c>
      <c r="M175" s="192">
        <f t="shared" si="38"/>
        <v>1.7223420136517786E-2</v>
      </c>
      <c r="O175" s="191">
        <f>(('Ανάπτυξη δικτύου'!V53+'Ανάπτυξη δικτύου'!V115)/'Παραδοχές διείσδυσης - κάλυψης'!I234)</f>
        <v>0.40632813953488373</v>
      </c>
      <c r="P175" s="161">
        <f t="shared" si="43"/>
        <v>7.5078235327019132E-3</v>
      </c>
      <c r="Q175" s="191">
        <f>(('Ανάπτυξη δικτύου'!Y53+'Ανάπτυξη δικτύου'!Y115)/'Παραδοχές διείσδυσης - κάλυψης'!J234)</f>
        <v>0.4210397674418605</v>
      </c>
      <c r="R175" s="161">
        <f t="shared" si="44"/>
        <v>3.6206273884493712E-2</v>
      </c>
      <c r="S175" s="191">
        <f>(('Ανάπτυξη δικτύου'!AB53+'Ανάπτυξη δικτύου'!AB115)/'Παραδοχές διείσδυσης - κάλυψης'!K234)</f>
        <v>0.43394209302325581</v>
      </c>
      <c r="T175" s="161">
        <f t="shared" si="45"/>
        <v>3.0643959500041614E-2</v>
      </c>
      <c r="U175" s="191">
        <f>(('Ανάπτυξη δικτύου'!AE53+'Ανάπτυξη δικτύου'!AE115)/'Παραδοχές διείσδυσης - κάλυψης'!L234)</f>
        <v>0.44750953488372092</v>
      </c>
      <c r="V175" s="161">
        <f t="shared" si="46"/>
        <v>3.1265558420344335E-2</v>
      </c>
      <c r="W175" s="191">
        <f>(('Ανάπτυξη δικτύου'!AH53+'Ανάπτυξη δικτύου'!AH115)/'Παραδοχές διείσδυσης - κάλυψης'!M234)</f>
        <v>0.46910953488372092</v>
      </c>
      <c r="X175" s="161">
        <f t="shared" si="47"/>
        <v>4.8267127996753111E-2</v>
      </c>
      <c r="Y175" s="192">
        <f t="shared" si="48"/>
        <v>3.6571681854462135E-2</v>
      </c>
    </row>
    <row r="176" spans="2:25" outlineLevel="1" x14ac:dyDescent="0.35">
      <c r="B176" s="294" t="s">
        <v>113</v>
      </c>
      <c r="C176" s="62" t="s">
        <v>253</v>
      </c>
      <c r="D176" s="190">
        <f>(('Ανάπτυξη δικτύου'!E54+'Ανάπτυξη δικτύου'!E116)/'Παραδοχές διείσδυσης - κάλυψης'!D235)</f>
        <v>3.5660077939162926E-2</v>
      </c>
      <c r="E176" s="190">
        <f>(('Ανάπτυξη δικτύου'!G54+'Ανάπτυξη δικτύου'!G116)/'Παραδοχές διείσδυσης - κάλυψης'!E235)</f>
        <v>3.5660077939162926E-2</v>
      </c>
      <c r="F176" s="161">
        <f t="shared" si="39"/>
        <v>0</v>
      </c>
      <c r="G176" s="191">
        <f>(('Ανάπτυξη δικτύου'!J54+'Ανάπτυξη δικτύου'!J116)/'Παραδοχές διείσδυσης - κάλυψης'!F235)</f>
        <v>3.5660077939162926E-2</v>
      </c>
      <c r="H176" s="161">
        <f t="shared" si="40"/>
        <v>0</v>
      </c>
      <c r="I176" s="191">
        <f>(('Ανάπτυξη δικτύου'!M54+'Ανάπτυξη δικτύου'!M116)/'Παραδοχές διείσδυσης - κάλυψης'!G235)</f>
        <v>3.5660077939162926E-2</v>
      </c>
      <c r="J176" s="161">
        <f t="shared" si="41"/>
        <v>0</v>
      </c>
      <c r="K176" s="191">
        <f>(('Ανάπτυξη δικτύου'!P54+'Ανάπτυξη δικτύου'!P116)/'Παραδοχές διείσδυσης - κάλυψης'!H235)</f>
        <v>4.4652624284420357E-2</v>
      </c>
      <c r="L176" s="161">
        <f t="shared" si="42"/>
        <v>0.25217405190754105</v>
      </c>
      <c r="M176" s="192">
        <f t="shared" si="38"/>
        <v>5.7830719886854176E-2</v>
      </c>
      <c r="O176" s="191">
        <f>(('Ανάπτυξη δικτύου'!V54+'Ανάπτυξη δικτύου'!V116)/'Παραδοχές διείσδυσης - κάλυψης'!I235)</f>
        <v>4.4652624284420357E-2</v>
      </c>
      <c r="P176" s="161">
        <f t="shared" si="43"/>
        <v>0</v>
      </c>
      <c r="Q176" s="191">
        <f>(('Ανάπτυξη δικτύου'!Y54+'Ανάπτυξη δικτύου'!Y116)/'Παραδοχές διείσδυσης - κάλυψης'!J235)</f>
        <v>4.4652624284420357E-2</v>
      </c>
      <c r="R176" s="161">
        <f t="shared" si="44"/>
        <v>0</v>
      </c>
      <c r="S176" s="191">
        <f>(('Ανάπτυξη δικτύου'!AB54+'Ανάπτυξη δικτύου'!AB116)/'Παραδοχές διείσδυσης - κάλυψης'!K235)</f>
        <v>4.4652624284420357E-2</v>
      </c>
      <c r="T176" s="161">
        <f t="shared" si="45"/>
        <v>0</v>
      </c>
      <c r="U176" s="191">
        <f>(('Ανάπτυξη δικτύου'!AE54+'Ανάπτυξη δικτύου'!AE116)/'Παραδοχές διείσδυσης - κάλυψης'!L235)</f>
        <v>4.4652624284420357E-2</v>
      </c>
      <c r="V176" s="161">
        <f t="shared" si="46"/>
        <v>0</v>
      </c>
      <c r="W176" s="191">
        <f>(('Ανάπτυξη δικτύου'!AH54+'Ανάπτυξη δικτύου'!AH116)/'Παραδοχές διείσδυσης - κάλυψης'!M235)</f>
        <v>4.4652624284420357E-2</v>
      </c>
      <c r="X176" s="161">
        <f t="shared" si="47"/>
        <v>0</v>
      </c>
      <c r="Y176" s="192">
        <f t="shared" si="48"/>
        <v>0</v>
      </c>
    </row>
    <row r="177" spans="2:25" outlineLevel="1" x14ac:dyDescent="0.35">
      <c r="B177" s="294" t="s">
        <v>114</v>
      </c>
      <c r="C177" s="62" t="s">
        <v>253</v>
      </c>
      <c r="D177" s="190">
        <f>(('Ανάπτυξη δικτύου'!E55+'Ανάπτυξη δικτύου'!E117)/'Παραδοχές διείσδυσης - κάλυψης'!D236)</f>
        <v>0.96882636358068253</v>
      </c>
      <c r="E177" s="190">
        <f>(('Ανάπτυξη δικτύου'!G55+'Ανάπτυξη δικτύου'!G117)/'Παραδοχές διείσδυσης - κάλυψης'!E236)</f>
        <v>0.9725777501301941</v>
      </c>
      <c r="F177" s="161">
        <f t="shared" si="39"/>
        <v>3.8720937936152274E-3</v>
      </c>
      <c r="G177" s="191">
        <f>(('Ανάπτυξη δικτύου'!J55+'Ανάπτυξη δικτύου'!J117)/'Παραδοχές διείσδυσης - κάλυψης'!F236)</f>
        <v>1.0008062680350172</v>
      </c>
      <c r="H177" s="161">
        <f t="shared" si="40"/>
        <v>2.9024433163358145E-2</v>
      </c>
      <c r="I177" s="191">
        <f>(('Ανάπτυξη δικτύου'!M55+'Ανάπτυξη δικτύου'!M117)/'Παραδοχές διείσδυσης - κάλυψης'!G236)</f>
        <v>1.0032718528742548</v>
      </c>
      <c r="J177" s="161">
        <f t="shared" si="41"/>
        <v>2.4635985185010615E-3</v>
      </c>
      <c r="K177" s="191">
        <f>(('Ανάπτυξη δικτύου'!P55+'Ανάπτυξη δικτύου'!P117)/'Παραδοχές διείσδυσης - κάλυψης'!H236)</f>
        <v>1.0219779175931449</v>
      </c>
      <c r="L177" s="161">
        <f t="shared" si="42"/>
        <v>1.8645060823045598E-2</v>
      </c>
      <c r="M177" s="192">
        <f t="shared" si="38"/>
        <v>1.3441981663022906E-2</v>
      </c>
      <c r="O177" s="191">
        <f>(('Ανάπτυξη δικτύου'!V55+'Ανάπτυξη δικτύου'!V117)/'Παραδοχές διείσδυσης - κάλυψης'!I236)</f>
        <v>1.0219779175931449</v>
      </c>
      <c r="P177" s="161">
        <f t="shared" si="43"/>
        <v>0</v>
      </c>
      <c r="Q177" s="191">
        <f>(('Ανάπτυξη δικτύου'!Y55+'Ανάπτυξη δικτύου'!Y117)/'Παραδοχές διείσδυσης - κάλυψης'!J236)</f>
        <v>1.0219779175931449</v>
      </c>
      <c r="R177" s="161">
        <f t="shared" si="44"/>
        <v>0</v>
      </c>
      <c r="S177" s="191">
        <f>(('Ανάπτυξη δικτύου'!AB55+'Ανάπτυξη δικτύου'!AB117)/'Παραδοχές διείσδυσης - κάλυψης'!K236)</f>
        <v>1.0219779175931449</v>
      </c>
      <c r="T177" s="161">
        <f t="shared" si="45"/>
        <v>0</v>
      </c>
      <c r="U177" s="191">
        <f>(('Ανάπτυξη δικτύου'!AE55+'Ανάπτυξη δικτύου'!AE117)/'Παραδοχές διείσδυσης - κάλυψης'!L236)</f>
        <v>1.0219779175931449</v>
      </c>
      <c r="V177" s="161">
        <f t="shared" si="46"/>
        <v>0</v>
      </c>
      <c r="W177" s="191">
        <f>(('Ανάπτυξη δικτύου'!AH55+'Ανάπτυξη δικτύου'!AH117)/'Παραδοχές διείσδυσης - κάλυψης'!M236)</f>
        <v>1.0219779175931449</v>
      </c>
      <c r="X177" s="161">
        <f t="shared" si="47"/>
        <v>0</v>
      </c>
      <c r="Y177" s="192">
        <f t="shared" si="48"/>
        <v>0</v>
      </c>
    </row>
    <row r="178" spans="2:25" outlineLevel="1" x14ac:dyDescent="0.35">
      <c r="B178" s="294" t="s">
        <v>115</v>
      </c>
      <c r="C178" s="62" t="s">
        <v>253</v>
      </c>
      <c r="D178" s="190">
        <f>(('Ανάπτυξη δικτύου'!E56+'Ανάπτυξη δικτύου'!E118)/'Παραδοχές διείσδυσης - κάλυψης'!D237)</f>
        <v>0.17252735546225648</v>
      </c>
      <c r="E178" s="190">
        <f>(('Ανάπτυξη δικτύου'!G56+'Ανάπτυξη δικτύου'!G118)/'Παραδοχές διείσδυσης - κάλυψης'!E237)</f>
        <v>0.22197162029450773</v>
      </c>
      <c r="F178" s="161">
        <f t="shared" si="39"/>
        <v>0.28658797151196175</v>
      </c>
      <c r="G178" s="191">
        <f>(('Ανάπτυξη δικτύου'!J56+'Ανάπτυξη δικτύου'!J118)/'Παραδοχές διείσδυσης - κάλυψης'!F237)</f>
        <v>0.25233911557643979</v>
      </c>
      <c r="H178" s="161">
        <f t="shared" si="40"/>
        <v>0.13680800834647708</v>
      </c>
      <c r="I178" s="191">
        <f>(('Ανάπτυξη δικτύου'!M56+'Ανάπτυξη δικτύου'!M118)/'Παραδοχές διείσδυσης - κάλυψης'!G237)</f>
        <v>0.27225369526841159</v>
      </c>
      <c r="J178" s="161">
        <f t="shared" si="41"/>
        <v>7.8919907627001171E-2</v>
      </c>
      <c r="K178" s="191">
        <f>(('Ανάπτυξη δικτύου'!P56+'Ανάπτυξη δικτύου'!P118)/'Παραδοχές διείσδυσης - κάλυψης'!H237)</f>
        <v>0.29044320680136143</v>
      </c>
      <c r="L178" s="161">
        <f t="shared" si="42"/>
        <v>6.6810889435373971E-2</v>
      </c>
      <c r="M178" s="192">
        <f t="shared" si="38"/>
        <v>0.13907105061162306</v>
      </c>
      <c r="O178" s="191">
        <f>(('Ανάπτυξη δικτύου'!V56+'Ανάπτυξη δικτύου'!V118)/'Παραδοχές διείσδυσης - κάλυψης'!I237)</f>
        <v>0.29832343098129094</v>
      </c>
      <c r="P178" s="161">
        <f t="shared" si="43"/>
        <v>2.7131721436056563E-2</v>
      </c>
      <c r="Q178" s="191">
        <f>(('Ανάπτυξη δικτύου'!Y56+'Ανάπτυξη δικτύου'!Y118)/'Παραδοχές διείσδυσης - κάλυψης'!J237)</f>
        <v>0.315800111453652</v>
      </c>
      <c r="R178" s="161">
        <f t="shared" si="44"/>
        <v>5.8582996363624872E-2</v>
      </c>
      <c r="S178" s="191">
        <f>(('Ανάπτυξη δικτύου'!AB56+'Ανάπτυξη δικτύου'!AB118)/'Παραδοχές διείσδυσης - κάλυψης'!K237)</f>
        <v>0.32383326720796285</v>
      </c>
      <c r="T178" s="161">
        <f t="shared" si="45"/>
        <v>2.5437469661849142E-2</v>
      </c>
      <c r="U178" s="191">
        <f>(('Ανάπτυξη δικτύου'!AE56+'Ανάπτυξη δικτύου'!AE118)/'Παραδοχές διείσδυσης - κάλυψης'!L237)</f>
        <v>0.34429211338076088</v>
      </c>
      <c r="V178" s="161">
        <f t="shared" si="46"/>
        <v>6.3177098354319283E-2</v>
      </c>
      <c r="W178" s="191">
        <f>(('Ανάπτυξη δικτύου'!AH56+'Ανάπτυξη δικτύου'!AH118)/'Παραδοχές διείσδυσης - κάλυψης'!M237)</f>
        <v>0.35770761093343861</v>
      </c>
      <c r="X178" s="161">
        <f t="shared" si="47"/>
        <v>3.8965451229610988E-2</v>
      </c>
      <c r="Y178" s="192">
        <f t="shared" si="48"/>
        <v>4.6430052977266989E-2</v>
      </c>
    </row>
    <row r="179" spans="2:25" outlineLevel="1" x14ac:dyDescent="0.35">
      <c r="B179" s="294" t="s">
        <v>116</v>
      </c>
      <c r="C179" s="62" t="s">
        <v>253</v>
      </c>
      <c r="D179" s="190">
        <f>(('Ανάπτυξη δικτύου'!E57+'Ανάπτυξη δικτύου'!E119)/'Παραδοχές διείσδυσης - κάλυψης'!D238)</f>
        <v>1.0823535999205085</v>
      </c>
      <c r="E179" s="190">
        <f>(('Ανάπτυξη δικτύου'!G57+'Ανάπτυξη δικτύου'!G119)/'Παραδοχές διείσδυσης - κάλυψης'!E238)</f>
        <v>1.0986772201033073</v>
      </c>
      <c r="F179" s="161">
        <f t="shared" si="39"/>
        <v>1.5081596424678236E-2</v>
      </c>
      <c r="G179" s="191">
        <f>(('Ανάπτυξη δικτύου'!J57+'Ανάπτυξη δικτύου'!J119)/'Παραδοχές διείσδυσης - κάλυψης'!F238)</f>
        <v>1.1006681577483615</v>
      </c>
      <c r="H179" s="161">
        <f t="shared" si="40"/>
        <v>1.8121224401712792E-3</v>
      </c>
      <c r="I179" s="191">
        <f>(('Ανάπτυξη δικτύου'!M57+'Ανάπτυξη δικτύου'!M119)/'Παραδοχές διείσδυσης - κάλυψης'!G238)</f>
        <v>1.1006681577483615</v>
      </c>
      <c r="J179" s="161">
        <f t="shared" si="41"/>
        <v>0</v>
      </c>
      <c r="K179" s="191">
        <f>(('Ανάπτυξη δικτύου'!P57+'Ανάπτυξη δικτύου'!P119)/'Παραδοχές διείσδυσης - κάλυψης'!H238)</f>
        <v>1.1007198704144667</v>
      </c>
      <c r="L179" s="161">
        <f t="shared" si="42"/>
        <v>4.6982976423204862E-5</v>
      </c>
      <c r="M179" s="192">
        <f t="shared" si="38"/>
        <v>4.2154762860044936E-3</v>
      </c>
      <c r="O179" s="191">
        <f>(('Ανάπτυξη δικτύου'!V57+'Ανάπτυξη δικτύου'!V119)/'Παραδοχές διείσδυσης - κάλυψης'!I238)</f>
        <v>1.1007198704144667</v>
      </c>
      <c r="P179" s="161">
        <f t="shared" si="43"/>
        <v>0</v>
      </c>
      <c r="Q179" s="191">
        <f>(('Ανάπτυξη δικτύου'!Y57+'Ανάπτυξη δικτύου'!Y119)/'Παραδοχές διείσδυσης - κάλυψης'!J238)</f>
        <v>1.1007198704144667</v>
      </c>
      <c r="R179" s="161">
        <f t="shared" si="44"/>
        <v>0</v>
      </c>
      <c r="S179" s="191">
        <f>(('Ανάπτυξη δικτύου'!AB57+'Ανάπτυξη δικτύου'!AB119)/'Παραδοχές διείσδυσης - κάλυψης'!K238)</f>
        <v>1.1007198704144667</v>
      </c>
      <c r="T179" s="161">
        <f t="shared" si="45"/>
        <v>0</v>
      </c>
      <c r="U179" s="191">
        <f>(('Ανάπτυξη δικτύου'!AE57+'Ανάπτυξη δικτύου'!AE119)/'Παραδοχές διείσδυσης - κάλυψης'!L238)</f>
        <v>1.1007198704144667</v>
      </c>
      <c r="V179" s="161">
        <f t="shared" si="46"/>
        <v>0</v>
      </c>
      <c r="W179" s="191">
        <f>(('Ανάπτυξη δικτύου'!AH57+'Ανάπτυξη δικτύου'!AH119)/'Παραδοχές διείσδυσης - κάλυψης'!M238)</f>
        <v>1.1007198704144667</v>
      </c>
      <c r="X179" s="161">
        <f t="shared" si="47"/>
        <v>0</v>
      </c>
      <c r="Y179" s="192">
        <f t="shared" si="48"/>
        <v>0</v>
      </c>
    </row>
    <row r="180" spans="2:25" outlineLevel="1" x14ac:dyDescent="0.35">
      <c r="B180" s="294" t="s">
        <v>117</v>
      </c>
      <c r="C180" s="62" t="s">
        <v>253</v>
      </c>
      <c r="D180" s="190">
        <f>(('Ανάπτυξη δικτύου'!E58+'Ανάπτυξη δικτύου'!E120)/'Παραδοχές διείσδυσης - κάλυψης'!D239)</f>
        <v>0.44268679708832964</v>
      </c>
      <c r="E180" s="190">
        <f>(('Ανάπτυξη δικτύου'!G58+'Ανάπτυξη δικτύου'!G120)/'Παραδοχές διείσδυσης - κάλυψης'!E239)</f>
        <v>0.44348043178978142</v>
      </c>
      <c r="F180" s="161">
        <f t="shared" si="39"/>
        <v>1.7927679494209503E-3</v>
      </c>
      <c r="G180" s="191">
        <f>(('Ανάπτυξη δικτύου'!J58+'Ανάπτυξη δικτύου'!J120)/'Παραδοχές διείσδυσης - κάλυψης'!F239)</f>
        <v>0.45282566242568356</v>
      </c>
      <c r="H180" s="161">
        <f t="shared" si="40"/>
        <v>2.1072475730636007E-2</v>
      </c>
      <c r="I180" s="191">
        <f>(('Ανάπτυξη δικτύου'!M58+'Ανάπτυξη δικτύου'!M120)/'Παραδοχές διείσδυσης - κάλυψης'!G239)</f>
        <v>0.45282566242568356</v>
      </c>
      <c r="J180" s="161">
        <f t="shared" si="41"/>
        <v>0</v>
      </c>
      <c r="K180" s="191">
        <f>(('Ανάπτυξη δικτύου'!P58+'Ανάπτυξη δικτύου'!P120)/'Παραδοχές διείσδυσης - κάλυψης'!H239)</f>
        <v>0.46719299889026777</v>
      </c>
      <c r="L180" s="161">
        <f t="shared" si="42"/>
        <v>3.1728185164289664E-2</v>
      </c>
      <c r="M180" s="192">
        <f t="shared" si="38"/>
        <v>1.3561111540807635E-2</v>
      </c>
      <c r="O180" s="191">
        <f>(('Ανάπτυξη δικτύου'!V58+'Ανάπτυξη δικτύου'!V120)/'Παραδοχές διείσδυσης - κάλυψης'!I239)</f>
        <v>0.47566814377549577</v>
      </c>
      <c r="P180" s="161">
        <f t="shared" si="43"/>
        <v>1.8140564831577444E-2</v>
      </c>
      <c r="Q180" s="191">
        <f>(('Ανάπτυξη δικτύου'!Y58+'Ανάπτυξη δικτύου'!Y120)/'Παραδοχές διείσδυσης - κάλυψης'!J239)</f>
        <v>0.5053384319261004</v>
      </c>
      <c r="R180" s="161">
        <f t="shared" si="44"/>
        <v>6.2376025258080579E-2</v>
      </c>
      <c r="S180" s="191">
        <f>(('Ανάπτυξη δικτύου'!AB58+'Ανάπτυξη δικτύου'!AB120)/'Παραδοχές διείσδυσης - κάλυψης'!K239)</f>
        <v>0.52452036422862025</v>
      </c>
      <c r="T180" s="161">
        <f t="shared" si="45"/>
        <v>3.7958585950820738E-2</v>
      </c>
      <c r="U180" s="191">
        <f>(('Ανάπτυξη δικτύου'!AE58+'Ανάπτυξη δικτύου'!AE120)/'Παραδοχές διείσδυσης - κάλυψης'!L239)</f>
        <v>0.57464676883545174</v>
      </c>
      <c r="V180" s="161">
        <f t="shared" si="46"/>
        <v>9.5566174404971477E-2</v>
      </c>
      <c r="W180" s="191">
        <f>(('Ανάπτυξη δικτύου'!AH58+'Ανάπτυξη δικτύου'!AH120)/'Παραδοχές διείσδυσης - κάλυψης'!M239)</f>
        <v>0.58852809505855053</v>
      </c>
      <c r="X180" s="161">
        <f t="shared" si="47"/>
        <v>2.4156276474380841E-2</v>
      </c>
      <c r="Y180" s="192">
        <f t="shared" si="48"/>
        <v>5.4668034195754167E-2</v>
      </c>
    </row>
    <row r="181" spans="2:25" outlineLevel="1" x14ac:dyDescent="0.35">
      <c r="B181" s="294" t="s">
        <v>118</v>
      </c>
      <c r="C181" s="62" t="s">
        <v>253</v>
      </c>
      <c r="D181" s="190">
        <f>(('Ανάπτυξη δικτύου'!E59+'Ανάπτυξη δικτύου'!E121)/'Παραδοχές διείσδυσης - κάλυψης'!D240)</f>
        <v>0.3715550409304581</v>
      </c>
      <c r="E181" s="190">
        <f>(('Ανάπτυξη δικτύου'!G59+'Ανάπτυξη δικτύου'!G121)/'Παραδοχές διείσδυσης - κάλυψης'!E240)</f>
        <v>0.42975605543217904</v>
      </c>
      <c r="F181" s="161">
        <f t="shared" si="39"/>
        <v>0.15664170335563848</v>
      </c>
      <c r="G181" s="191">
        <f>(('Ανάπτυξη δικτύου'!J59+'Ανάπτυξη δικτύου'!J121)/'Παραδοχές διείσδυσης - κάλυψης'!F240)</f>
        <v>0.48059024807792022</v>
      </c>
      <c r="H181" s="161">
        <f t="shared" si="40"/>
        <v>0.11828615793352902</v>
      </c>
      <c r="I181" s="191">
        <f>(('Ανάπτυξη δικτύου'!M59+'Ανάπτυξη δικτύου'!M121)/'Παραδοχές διείσδυσης - κάλυψης'!G240)</f>
        <v>0.50072611272674183</v>
      </c>
      <c r="J181" s="161">
        <f t="shared" si="41"/>
        <v>4.1898196497646978E-2</v>
      </c>
      <c r="K181" s="191">
        <f>(('Ανάπτυξη δικτύου'!P59+'Ανάπτυξη δικτύου'!P121)/'Παραδοχές διείσδυσης - κάλυψης'!H240)</f>
        <v>0.51046567645142471</v>
      </c>
      <c r="L181" s="161">
        <f t="shared" si="42"/>
        <v>1.9450880385776862E-2</v>
      </c>
      <c r="M181" s="192">
        <f t="shared" si="38"/>
        <v>8.264443266994026E-2</v>
      </c>
      <c r="O181" s="191">
        <f>(('Ανάπτυξη δικτύου'!V59+'Ανάπτυξη δικτύου'!V121)/'Παραδοχές διείσδυσης - κάλυψης'!I240)</f>
        <v>0.51046567645142471</v>
      </c>
      <c r="P181" s="161">
        <f t="shared" si="43"/>
        <v>0</v>
      </c>
      <c r="Q181" s="191">
        <f>(('Ανάπτυξη δικτύου'!Y59+'Ανάπτυξη δικτύου'!Y121)/'Παραδοχές διείσδυσης - κάλυψης'!J240)</f>
        <v>0.51046567645142471</v>
      </c>
      <c r="R181" s="161">
        <f t="shared" si="44"/>
        <v>0</v>
      </c>
      <c r="S181" s="191">
        <f>(('Ανάπτυξη δικτύου'!AB59+'Ανάπτυξη δικτύου'!AB121)/'Παραδοχές διείσδυσης - κάλυψης'!K240)</f>
        <v>0.51292574350743769</v>
      </c>
      <c r="T181" s="161">
        <f t="shared" si="45"/>
        <v>4.8192604703894901E-3</v>
      </c>
      <c r="U181" s="191">
        <f>(('Ανάπτυξη δικτύου'!AE59+'Ανάπτυξη δικτύου'!AE121)/'Παραδοχές διείσδυσης - κάλυψης'!L240)</f>
        <v>0.52120509199127074</v>
      </c>
      <c r="V181" s="161">
        <f t="shared" si="46"/>
        <v>1.614141732722954E-2</v>
      </c>
      <c r="W181" s="191">
        <f>(('Ανάπτυξη δικτύου'!AH59+'Ανάπτυξη δικτύου'!AH121)/'Παραδοχές διείσδυσης - κάλυψης'!M240)</f>
        <v>0.53015340607805461</v>
      </c>
      <c r="X181" s="161">
        <f t="shared" si="47"/>
        <v>1.7168508566554334E-2</v>
      </c>
      <c r="Y181" s="192">
        <f t="shared" si="48"/>
        <v>9.5056468626746327E-3</v>
      </c>
    </row>
    <row r="182" spans="2:25" outlineLevel="1" x14ac:dyDescent="0.35">
      <c r="B182" s="294" t="s">
        <v>119</v>
      </c>
      <c r="C182" s="62" t="s">
        <v>253</v>
      </c>
      <c r="D182" s="190">
        <f>(('Ανάπτυξη δικτύου'!E60+'Ανάπτυξη δικτύου'!E122)/'Παραδοχές διείσδυσης - κάλυψης'!D241)</f>
        <v>9.5147333333333334E-2</v>
      </c>
      <c r="E182" s="190">
        <f>(('Ανάπτυξη δικτύου'!G60+'Ανάπτυξη δικτύου'!G122)/'Παραδοχές διείσδυσης - κάλυψης'!E241)</f>
        <v>9.5147333333333334E-2</v>
      </c>
      <c r="F182" s="161">
        <f t="shared" si="39"/>
        <v>0</v>
      </c>
      <c r="G182" s="191">
        <f>(('Ανάπτυξη δικτύου'!J60+'Ανάπτυξη δικτύου'!J122)/'Παραδοχές διείσδυσης - κάλυψης'!F241)</f>
        <v>9.5147333333333334E-2</v>
      </c>
      <c r="H182" s="161">
        <f t="shared" si="40"/>
        <v>0</v>
      </c>
      <c r="I182" s="191">
        <f>(('Ανάπτυξη δικτύου'!M60+'Ανάπτυξη δικτύου'!M122)/'Παραδοχές διείσδυσης - κάλυψης'!G241)</f>
        <v>9.5147333333333334E-2</v>
      </c>
      <c r="J182" s="161">
        <f t="shared" si="41"/>
        <v>0</v>
      </c>
      <c r="K182" s="191">
        <f>(('Ανάπτυξη δικτύου'!P60+'Ανάπτυξη δικτύου'!P122)/'Παραδοχές διείσδυσης - κάλυψης'!H241)</f>
        <v>9.5147333333333334E-2</v>
      </c>
      <c r="L182" s="161">
        <f t="shared" si="42"/>
        <v>0</v>
      </c>
      <c r="M182" s="192">
        <f t="shared" si="38"/>
        <v>0</v>
      </c>
      <c r="O182" s="191">
        <f>(('Ανάπτυξη δικτύου'!V60+'Ανάπτυξη δικτύου'!V122)/'Παραδοχές διείσδυσης - κάλυψης'!I241)</f>
        <v>9.5147333333333334E-2</v>
      </c>
      <c r="P182" s="161">
        <f t="shared" si="43"/>
        <v>0</v>
      </c>
      <c r="Q182" s="191">
        <f>(('Ανάπτυξη δικτύου'!Y60+'Ανάπτυξη δικτύου'!Y122)/'Παραδοχές διείσδυσης - κάλυψης'!J241)</f>
        <v>9.5147333333333334E-2</v>
      </c>
      <c r="R182" s="161">
        <f t="shared" si="44"/>
        <v>0</v>
      </c>
      <c r="S182" s="191">
        <f>(('Ανάπτυξη δικτύου'!AB60+'Ανάπτυξη δικτύου'!AB122)/'Παραδοχές διείσδυσης - κάλυψης'!K241)</f>
        <v>9.5147333333333334E-2</v>
      </c>
      <c r="T182" s="161">
        <f t="shared" si="45"/>
        <v>0</v>
      </c>
      <c r="U182" s="191">
        <f>(('Ανάπτυξη δικτύου'!AE60+'Ανάπτυξη δικτύου'!AE122)/'Παραδοχές διείσδυσης - κάλυψης'!L241)</f>
        <v>9.5147333333333334E-2</v>
      </c>
      <c r="V182" s="161">
        <f t="shared" si="46"/>
        <v>0</v>
      </c>
      <c r="W182" s="191">
        <f>(('Ανάπτυξη δικτύου'!AH60+'Ανάπτυξη δικτύου'!AH122)/'Παραδοχές διείσδυσης - κάλυψης'!M241)</f>
        <v>9.5147333333333334E-2</v>
      </c>
      <c r="X182" s="161">
        <f t="shared" si="47"/>
        <v>0</v>
      </c>
      <c r="Y182" s="192">
        <f t="shared" si="48"/>
        <v>0</v>
      </c>
    </row>
    <row r="183" spans="2:25" outlineLevel="1" x14ac:dyDescent="0.35">
      <c r="B183" s="294" t="s">
        <v>120</v>
      </c>
      <c r="C183" s="62" t="s">
        <v>253</v>
      </c>
      <c r="D183" s="190">
        <f>(('Ανάπτυξη δικτύου'!E61+'Ανάπτυξη δικτύου'!E123)/'Παραδοχές διείσδυσης - κάλυψης'!D242)</f>
        <v>0.51522224949337314</v>
      </c>
      <c r="E183" s="190">
        <f>(('Ανάπτυξη δικτύου'!G61+'Ανάπτυξη δικτύου'!G123)/'Παραδοχές διείσδυσης - κάλυψης'!E242)</f>
        <v>0.53141284545831446</v>
      </c>
      <c r="F183" s="161">
        <f t="shared" si="39"/>
        <v>3.1424489103220626E-2</v>
      </c>
      <c r="G183" s="191">
        <f>(('Ανάπτυξη δικτύου'!J61+'Ανάπτυξη δικτύου'!J123)/'Παραδοχές διείσδυσης - κάλυψης'!F242)</f>
        <v>0.53554576809076804</v>
      </c>
      <c r="H183" s="161">
        <f t="shared" si="40"/>
        <v>7.7772350965456122E-3</v>
      </c>
      <c r="I183" s="191">
        <f>(('Ανάπτυξη δικτύου'!M61+'Ανάπτυξη δικτύου'!M123)/'Παραδοχές διείσδυσης - κάλυψης'!G242)</f>
        <v>0.5412485852955693</v>
      </c>
      <c r="J183" s="161">
        <f t="shared" si="41"/>
        <v>1.0648608474924416E-2</v>
      </c>
      <c r="K183" s="191">
        <f>(('Ανάπτυξη δικτύου'!P61+'Ανάπτυξη δικτύου'!P123)/'Παραδοχές διείσδυσης - κάλυψης'!H242)</f>
        <v>0.56165337270108961</v>
      </c>
      <c r="L183" s="161">
        <f t="shared" si="42"/>
        <v>3.7699474806714761E-2</v>
      </c>
      <c r="M183" s="192">
        <f t="shared" si="38"/>
        <v>2.1805980973718775E-2</v>
      </c>
      <c r="O183" s="191">
        <f>(('Ανάπτυξη δικτύου'!V61+'Ανάπτυξη δικτύου'!V123)/'Παραδοχές διείσδυσης - κάλυψης'!I242)</f>
        <v>0.56634846970898201</v>
      </c>
      <c r="P183" s="161">
        <f t="shared" si="43"/>
        <v>8.359421016761362E-3</v>
      </c>
      <c r="Q183" s="191">
        <f>(('Ανάπτυξη δικτύου'!Y61+'Ανάπτυξη δικτύου'!Y123)/'Παραδοχές διείσδυσης - κάλυψης'!J242)</f>
        <v>0.57943418044041006</v>
      </c>
      <c r="R183" s="161">
        <f t="shared" si="44"/>
        <v>2.3105404942918177E-2</v>
      </c>
      <c r="S183" s="191">
        <f>(('Ανάπτυξη δικτύου'!AB61+'Ανάπτυξη δικτύου'!AB123)/'Παραδοχές διείσδυσης - κάλυψης'!K242)</f>
        <v>0.59194032996004553</v>
      </c>
      <c r="T183" s="161">
        <f t="shared" si="45"/>
        <v>2.1583382447562773E-2</v>
      </c>
      <c r="U183" s="191">
        <f>(('Ανάπτυξη δικτύου'!AE61+'Ανάπτυξη δικτύου'!AE123)/'Παραδοχές διείσδυσης - κάλυψης'!L242)</f>
        <v>0.59933461935319643</v>
      </c>
      <c r="V183" s="161">
        <f t="shared" si="46"/>
        <v>1.2491612784095983E-2</v>
      </c>
      <c r="W183" s="191">
        <f>(('Ανάπτυξη δικτύου'!AH61+'Ανάπτυξη δικτύου'!AH123)/'Παραδοχές διείσδυσης - κάλυψης'!M242)</f>
        <v>0.61423715680473812</v>
      </c>
      <c r="X183" s="161">
        <f t="shared" si="47"/>
        <v>2.4865137054196112E-2</v>
      </c>
      <c r="Y183" s="192">
        <f t="shared" si="48"/>
        <v>2.0500186177306201E-2</v>
      </c>
    </row>
    <row r="184" spans="2:25" outlineLevel="1" x14ac:dyDescent="0.35">
      <c r="B184" s="294" t="s">
        <v>121</v>
      </c>
      <c r="C184" s="62" t="s">
        <v>253</v>
      </c>
      <c r="D184" s="190">
        <f>(('Ανάπτυξη δικτύου'!E62+'Ανάπτυξη δικτύου'!E124)/'Παραδοχές διείσδυσης - κάλυψης'!D243)</f>
        <v>0.16697717832690662</v>
      </c>
      <c r="E184" s="190">
        <f>(('Ανάπτυξη δικτύου'!G62+'Ανάπτυξη δικτύου'!G124)/'Παραδοχές διείσδυσης - κάλυψης'!E243)</f>
        <v>0.25668886710107502</v>
      </c>
      <c r="F184" s="161">
        <f t="shared" si="39"/>
        <v>0.53726916260694957</v>
      </c>
      <c r="G184" s="191">
        <f>(('Ανάπτυξη δικτύου'!J62+'Ανάπτυξη δικτύου'!J124)/'Παραδοχές διείσδυσης - κάλυψης'!F243)</f>
        <v>0.33271706473426266</v>
      </c>
      <c r="H184" s="161">
        <f t="shared" si="40"/>
        <v>0.29618813816046963</v>
      </c>
      <c r="I184" s="191">
        <f>(('Ανάπτυξη δικτύου'!M62+'Ανάπτυξη δικτύου'!M124)/'Παραδοχές διείσδυσης - κάλυψης'!G243)</f>
        <v>0.33312683188761605</v>
      </c>
      <c r="J184" s="161">
        <f t="shared" si="41"/>
        <v>1.2315784093631242E-3</v>
      </c>
      <c r="K184" s="191">
        <f>(('Ανάπτυξη δικτύου'!P62+'Ανάπτυξη δικτύου'!P124)/'Παραδοχές διείσδυσης - κάλυψης'!H243)</f>
        <v>0.35758023312018394</v>
      </c>
      <c r="L184" s="161">
        <f t="shared" si="42"/>
        <v>7.3405678834112989E-2</v>
      </c>
      <c r="M184" s="192">
        <f t="shared" si="38"/>
        <v>0.20970394331816267</v>
      </c>
      <c r="O184" s="191">
        <f>(('Ανάπτυξη δικτύου'!V62+'Ανάπτυξη δικτύου'!V124)/'Παραδοχές διείσδυσης - κάλυψης'!I243)</f>
        <v>0.36255207458087174</v>
      </c>
      <c r="P184" s="161">
        <f t="shared" si="43"/>
        <v>1.3904128361079583E-2</v>
      </c>
      <c r="Q184" s="191">
        <f>(('Ανάπτυξη δικτύου'!Y62+'Ανάπτυξη δικτύου'!Y124)/'Παραδοχές διείσδυσης - κάλυψης'!J243)</f>
        <v>0.38727469283319282</v>
      </c>
      <c r="R184" s="161">
        <f t="shared" si="44"/>
        <v>6.8190530369745261E-2</v>
      </c>
      <c r="S184" s="191">
        <f>(('Ανάπτυξη δικτύου'!AB62+'Ανάπτυξη δικτύου'!AB124)/'Παραδοχές διείσδυσης - κάλυψης'!K243)</f>
        <v>0.42061608021104685</v>
      </c>
      <c r="T184" s="161">
        <f t="shared" si="45"/>
        <v>8.6092347356698698E-2</v>
      </c>
      <c r="U184" s="191">
        <f>(('Ανάπτυξη δικτύου'!AE62+'Ανάπτυξη δικτύου'!AE124)/'Παραδοχές διείσδυσης - κάλυψης'!L243)</f>
        <v>0.44751046437614089</v>
      </c>
      <c r="V184" s="161">
        <f t="shared" si="46"/>
        <v>6.3940456464716258E-2</v>
      </c>
      <c r="W184" s="191">
        <f>(('Ανάπτυξη δικτύου'!AH62+'Ανάπτυξη δικτύου'!AH124)/'Παραδοχές διείσδυσης - κάλυψης'!M243)</f>
        <v>0.50638034540791099</v>
      </c>
      <c r="X184" s="161">
        <f t="shared" si="47"/>
        <v>0.13154973060538058</v>
      </c>
      <c r="Y184" s="192">
        <f t="shared" si="48"/>
        <v>8.7117811949529056E-2</v>
      </c>
    </row>
    <row r="185" spans="2:25" outlineLevel="1" x14ac:dyDescent="0.35">
      <c r="B185" s="294" t="s">
        <v>137</v>
      </c>
      <c r="C185" s="62" t="s">
        <v>253</v>
      </c>
      <c r="D185" s="190">
        <f>(('Ανάπτυξη δικτύου'!E63+'Ανάπτυξη δικτύου'!E125)/'Παραδοχές διείσδυσης - κάλυψης'!D244)</f>
        <v>0</v>
      </c>
      <c r="E185" s="190">
        <f>(('Ανάπτυξη δικτύου'!G63+'Ανάπτυξη δικτύου'!G125)/'Παραδοχές διείσδυσης - κάλυψης'!E244)</f>
        <v>0</v>
      </c>
      <c r="F185" s="161">
        <f t="shared" si="39"/>
        <v>0</v>
      </c>
      <c r="G185" s="191">
        <f>(('Ανάπτυξη δικτύου'!J63+'Ανάπτυξη δικτύου'!J125)/'Παραδοχές διείσδυσης - κάλυψης'!F244)</f>
        <v>0</v>
      </c>
      <c r="H185" s="161">
        <f t="shared" si="40"/>
        <v>0</v>
      </c>
      <c r="I185" s="191">
        <f>(('Ανάπτυξη δικτύου'!M63+'Ανάπτυξη δικτύου'!M125)/'Παραδοχές διείσδυσης - κάλυψης'!G244)</f>
        <v>0</v>
      </c>
      <c r="J185" s="161">
        <f t="shared" si="41"/>
        <v>0</v>
      </c>
      <c r="K185" s="191">
        <f>(('Ανάπτυξη δικτύου'!P63+'Ανάπτυξη δικτύου'!P125)/'Παραδοχές διείσδυσης - κάλυψης'!H244)</f>
        <v>0</v>
      </c>
      <c r="L185" s="161">
        <f t="shared" si="42"/>
        <v>0</v>
      </c>
      <c r="M185" s="192">
        <f t="shared" si="38"/>
        <v>0</v>
      </c>
      <c r="O185" s="191">
        <f>(('Ανάπτυξη δικτύου'!V63+'Ανάπτυξη δικτύου'!V125)/'Παραδοχές διείσδυσης - κάλυψης'!I244)</f>
        <v>0</v>
      </c>
      <c r="P185" s="161">
        <f t="shared" si="43"/>
        <v>0</v>
      </c>
      <c r="Q185" s="191">
        <f>(('Ανάπτυξη δικτύου'!Y63+'Ανάπτυξη δικτύου'!Y125)/'Παραδοχές διείσδυσης - κάλυψης'!J244)</f>
        <v>0</v>
      </c>
      <c r="R185" s="161">
        <f t="shared" si="44"/>
        <v>0</v>
      </c>
      <c r="S185" s="191">
        <f>(('Ανάπτυξη δικτύου'!AB63+'Ανάπτυξη δικτύου'!AB125)/'Παραδοχές διείσδυσης - κάλυψης'!K244)</f>
        <v>0</v>
      </c>
      <c r="T185" s="161">
        <f t="shared" si="45"/>
        <v>0</v>
      </c>
      <c r="U185" s="191">
        <f>(('Ανάπτυξη δικτύου'!AE63+'Ανάπτυξη δικτύου'!AE125)/'Παραδοχές διείσδυσης - κάλυψης'!L244)</f>
        <v>0</v>
      </c>
      <c r="V185" s="161">
        <f t="shared" si="46"/>
        <v>0</v>
      </c>
      <c r="W185" s="191">
        <f>(('Ανάπτυξη δικτύου'!AH63+'Ανάπτυξη δικτύου'!AH125)/'Παραδοχές διείσδυσης - κάλυψης'!M244)</f>
        <v>0</v>
      </c>
      <c r="X185" s="161">
        <f t="shared" si="47"/>
        <v>0</v>
      </c>
      <c r="Y185" s="192">
        <f t="shared" si="48"/>
        <v>0</v>
      </c>
    </row>
    <row r="186" spans="2:25" outlineLevel="1" x14ac:dyDescent="0.35">
      <c r="B186" s="294" t="s">
        <v>123</v>
      </c>
      <c r="C186" s="62" t="s">
        <v>253</v>
      </c>
      <c r="D186" s="190">
        <f>(('Ανάπτυξη δικτύου'!E64+'Ανάπτυξη δικτύου'!E126)/'Παραδοχές διείσδυσης - κάλυψης'!D245)</f>
        <v>0.77287426512045565</v>
      </c>
      <c r="E186" s="190">
        <f>(('Ανάπτυξη δικτύου'!G64+'Ανάπτυξη δικτύου'!G126)/'Παραδοχές διείσδυσης - κάλυψης'!E245)</f>
        <v>0.81437124247310277</v>
      </c>
      <c r="F186" s="161">
        <f t="shared" si="39"/>
        <v>5.3691757152995186E-2</v>
      </c>
      <c r="G186" s="191">
        <f>(('Ανάπτυξη δικτύου'!J64+'Ανάπτυξη δικτύου'!J126)/'Παραδοχές διείσδυσης - κάλυψης'!F245)</f>
        <v>0.82648548238575736</v>
      </c>
      <c r="H186" s="161">
        <f t="shared" si="40"/>
        <v>1.4875574284604851E-2</v>
      </c>
      <c r="I186" s="191">
        <f>(('Ανάπτυξη δικτύου'!M64+'Ανάπτυξη δικτύου'!M126)/'Παραδοχές διείσδυσης - κάλυψης'!G245)</f>
        <v>0.84424603532476972</v>
      </c>
      <c r="J186" s="161">
        <f t="shared" si="41"/>
        <v>2.1489249741863847E-2</v>
      </c>
      <c r="K186" s="191">
        <f>(('Ανάπτυξη δικτύου'!P64+'Ανάπτυξη δικτύου'!P126)/'Παραδοχές διείσδυσης - κάλυψης'!H245)</f>
        <v>0.8654728858484354</v>
      </c>
      <c r="L186" s="161">
        <f t="shared" si="42"/>
        <v>2.5142967376210433E-2</v>
      </c>
      <c r="M186" s="192">
        <f t="shared" si="38"/>
        <v>2.8693877384904587E-2</v>
      </c>
      <c r="O186" s="191">
        <f>(('Ανάπτυξη δικτύου'!V64+'Ανάπτυξη δικτύου'!V126)/'Παραδοχές διείσδυσης - κάλυψης'!I245)</f>
        <v>0.87205492577083477</v>
      </c>
      <c r="P186" s="161">
        <f t="shared" si="43"/>
        <v>7.605137064400227E-3</v>
      </c>
      <c r="Q186" s="191">
        <f>(('Ανάπτυξη δικτύου'!Y64+'Ανάπτυξη δικτύου'!Y126)/'Παραδοχές διείσδυσης - κάλυψης'!J245)</f>
        <v>0.8840139719543898</v>
      </c>
      <c r="R186" s="161">
        <f t="shared" si="44"/>
        <v>1.3713638705708913E-2</v>
      </c>
      <c r="S186" s="191">
        <f>(('Ανάπτυξη δικτύου'!AB64+'Ανάπτυξη δικτύου'!AB126)/'Παραδοχές διείσδυσης - κάλυψης'!K245)</f>
        <v>0.91434065242902318</v>
      </c>
      <c r="T186" s="161">
        <f t="shared" si="45"/>
        <v>3.4305657418045955E-2</v>
      </c>
      <c r="U186" s="191">
        <f>(('Ανάπτυξη δικτύου'!AE64+'Ανάπτυξη δικτύου'!AE126)/'Παραδοχές διείσδυσης - κάλυψης'!L245)</f>
        <v>0.91434065242902318</v>
      </c>
      <c r="V186" s="161">
        <f t="shared" si="46"/>
        <v>0</v>
      </c>
      <c r="W186" s="191">
        <f>(('Ανάπτυξη δικτύου'!AH64+'Ανάπτυξη δικτύου'!AH126)/'Παραδοχές διείσδυσης - κάλυψης'!M245)</f>
        <v>0.94170039396498828</v>
      </c>
      <c r="X186" s="161">
        <f t="shared" si="47"/>
        <v>2.9922919278806682E-2</v>
      </c>
      <c r="Y186" s="192">
        <f t="shared" si="48"/>
        <v>1.9394364003037623E-2</v>
      </c>
    </row>
    <row r="187" spans="2:25" outlineLevel="1" x14ac:dyDescent="0.35">
      <c r="B187" s="294" t="s">
        <v>124</v>
      </c>
      <c r="C187" s="62" t="s">
        <v>253</v>
      </c>
      <c r="D187" s="190">
        <f>(('Ανάπτυξη δικτύου'!E65+'Ανάπτυξη δικτύου'!E127)/'Παραδοχές διείσδυσης - κάλυψης'!D246)</f>
        <v>0.10964544642857142</v>
      </c>
      <c r="E187" s="190">
        <f>(('Ανάπτυξη δικτύου'!G65+'Ανάπτυξη δικτύου'!G127)/'Παραδοχές διείσδυσης - κάλυψης'!E246)</f>
        <v>0.1195800892857143</v>
      </c>
      <c r="F187" s="161">
        <f t="shared" ref="F187:F191" si="49">IFERROR((E187-D187)/D187,0)</f>
        <v>9.0606980779770058E-2</v>
      </c>
      <c r="G187" s="191">
        <f>(('Ανάπτυξη δικτύου'!J65+'Ανάπτυξη δικτύου'!J127)/'Παραδοχές διείσδυσης - κάλυψης'!F246)</f>
        <v>0.1195800892857143</v>
      </c>
      <c r="H187" s="161">
        <f t="shared" ref="H187:H191" si="50">IFERROR((G187-E187)/E187,0)</f>
        <v>0</v>
      </c>
      <c r="I187" s="191">
        <f>(('Ανάπτυξη δικτύου'!M65+'Ανάπτυξη δικτύου'!M127)/'Παραδοχές διείσδυσης - κάλυψης'!G246)</f>
        <v>0.1195800892857143</v>
      </c>
      <c r="J187" s="161">
        <f t="shared" ref="J187:J191" si="51">IFERROR((I187-G187)/G187,0)</f>
        <v>0</v>
      </c>
      <c r="K187" s="191">
        <f>(('Ανάπτυξη δικτύου'!P65+'Ανάπτυξη δικτύου'!P127)/'Παραδοχές διείσδυσης - κάλυψης'!H246)</f>
        <v>0.1195800892857143</v>
      </c>
      <c r="L187" s="161">
        <f t="shared" ref="L187:L191" si="52">IFERROR((K187-I187)/I187,0)</f>
        <v>0</v>
      </c>
      <c r="M187" s="192">
        <f t="shared" ref="M187:M191" si="53">IFERROR((K187/D187)^(1/4)-1,0)</f>
        <v>2.1920398811120512E-2</v>
      </c>
      <c r="O187" s="191">
        <f>(('Ανάπτυξη δικτύου'!V65+'Ανάπτυξη δικτύου'!V127)/'Παραδοχές διείσδυσης - κάλυψης'!I246)</f>
        <v>0.1195800892857143</v>
      </c>
      <c r="P187" s="161">
        <f t="shared" ref="P187:P191" si="54">IFERROR((O187-K187)/K187,0)</f>
        <v>0</v>
      </c>
      <c r="Q187" s="191">
        <f>(('Ανάπτυξη δικτύου'!Y65+'Ανάπτυξη δικτύου'!Y127)/'Παραδοχές διείσδυσης - κάλυψης'!J246)</f>
        <v>0.13226580357142859</v>
      </c>
      <c r="R187" s="161">
        <f t="shared" ref="R187:R191" si="55">IFERROR((Q187-O187)/O187,0)</f>
        <v>0.10608550605280231</v>
      </c>
      <c r="S187" s="191">
        <f>(('Ανάπτυξη δικτύου'!AB65+'Ανάπτυξη δικτύου'!AB127)/'Παραδοχές διείσδυσης - κάλυψης'!K246)</f>
        <v>0.13782294642857143</v>
      </c>
      <c r="T187" s="161">
        <f t="shared" ref="T187:T191" si="56">IFERROR((S187-Q187)/Q187,0)</f>
        <v>4.2014963105272897E-2</v>
      </c>
      <c r="U187" s="191">
        <f>(('Ανάπτυξη δικτύου'!AE65+'Ανάπτυξη δικτύου'!AE127)/'Παραδοχές διείσδυσης - κάλυψης'!L246)</f>
        <v>0.14745866071428573</v>
      </c>
      <c r="V187" s="161">
        <f t="shared" ref="V187:V191" si="57">IFERROR((U187-S187)/S187,0)</f>
        <v>6.9913715643193999E-2</v>
      </c>
      <c r="W187" s="191">
        <f>(('Ανάπτυξη δικτύου'!AH65+'Ανάπτυξη δικτύου'!AH127)/'Παραδοχές διείσδυσης - κάλυψης'!M246)</f>
        <v>0.16149437500000002</v>
      </c>
      <c r="X187" s="161">
        <f t="shared" ref="X187:X191" si="58">IFERROR((W187-U187)/U187,0)</f>
        <v>9.5184061876906201E-2</v>
      </c>
      <c r="Y187" s="192">
        <f t="shared" ref="Y187:Y191" si="59">IFERROR((W187/O187)^(1/4)-1,0)</f>
        <v>7.8014572576378782E-2</v>
      </c>
    </row>
    <row r="188" spans="2:25" outlineLevel="1" x14ac:dyDescent="0.35">
      <c r="B188" s="294" t="s">
        <v>125</v>
      </c>
      <c r="C188" s="62" t="s">
        <v>253</v>
      </c>
      <c r="D188" s="190">
        <f>(('Ανάπτυξη δικτύου'!E66+'Ανάπτυξη δικτύου'!E128)/'Παραδοχές διείσδυσης - κάλυψης'!D247)</f>
        <v>0.23308135255359147</v>
      </c>
      <c r="E188" s="190">
        <f>(('Ανάπτυξη δικτύου'!G66+'Ανάπτυξη δικτύου'!G128)/'Παραδοχές διείσδυσης - κάλυψης'!E247)</f>
        <v>0.26866206323975556</v>
      </c>
      <c r="F188" s="161">
        <f t="shared" si="49"/>
        <v>0.15265361341157979</v>
      </c>
      <c r="G188" s="191">
        <f>(('Ανάπτυξη δικτύου'!J66+'Ανάπτυξη δικτύου'!J128)/'Παραδοχές διείσδυσης - κάλυψης'!F247)</f>
        <v>0.27011709449316956</v>
      </c>
      <c r="H188" s="161">
        <f t="shared" si="50"/>
        <v>5.4158418790803721E-3</v>
      </c>
      <c r="I188" s="191">
        <f>(('Ανάπτυξη δικτύου'!M66+'Ανάπτυξη δικτύου'!M128)/'Παραδοχές διείσδυσης - κάλυψης'!G247)</f>
        <v>0.28691750892991097</v>
      </c>
      <c r="J188" s="161">
        <f t="shared" si="51"/>
        <v>6.2196783466313486E-2</v>
      </c>
      <c r="K188" s="191">
        <f>(('Ανάπτυξη δικτύου'!P66+'Ανάπτυξη δικτύου'!P128)/'Παραδοχές διείσδυσης - κάλυψης'!H247)</f>
        <v>0.30258299898898944</v>
      </c>
      <c r="L188" s="161">
        <f t="shared" si="52"/>
        <v>5.4599282272819676E-2</v>
      </c>
      <c r="M188" s="192">
        <f t="shared" si="53"/>
        <v>6.7417327184018827E-2</v>
      </c>
      <c r="O188" s="191">
        <f>(('Ανάπτυξη δικτύου'!V66+'Ανάπτυξη δικτύου'!V128)/'Παραδοχές διείσδυσης - κάλυψης'!I247)</f>
        <v>0.30677141038274558</v>
      </c>
      <c r="P188" s="161">
        <f t="shared" si="54"/>
        <v>1.3842190102387584E-2</v>
      </c>
      <c r="Q188" s="191">
        <f>(('Ανάπτυξη δικτύου'!Y66+'Ανάπτυξη δικτύου'!Y128)/'Παραδοχές διείσδυσης - κάλυψης'!J247)</f>
        <v>0.30677141038274558</v>
      </c>
      <c r="R188" s="161">
        <f t="shared" si="55"/>
        <v>0</v>
      </c>
      <c r="S188" s="191">
        <f>(('Ανάπτυξη δικτύου'!AB66+'Ανάπτυξη δικτύου'!AB128)/'Παραδοχές διείσδυσης - κάλυψης'!K247)</f>
        <v>0.30677141038274558</v>
      </c>
      <c r="T188" s="161">
        <f t="shared" si="56"/>
        <v>0</v>
      </c>
      <c r="U188" s="191">
        <f>(('Ανάπτυξη δικτύου'!AE66+'Ανάπτυξη δικτύου'!AE128)/'Παραδοχές διείσδυσης - κάλυψης'!L247)</f>
        <v>0.30677141038274558</v>
      </c>
      <c r="V188" s="161">
        <f t="shared" si="57"/>
        <v>0</v>
      </c>
      <c r="W188" s="191">
        <f>(('Ανάπτυξη δικτύου'!AH66+'Ανάπτυξη δικτύου'!AH128)/'Παραδοχές διείσδυσης - κάλυψης'!M247)</f>
        <v>0.30677141038274558</v>
      </c>
      <c r="X188" s="161">
        <f t="shared" si="58"/>
        <v>0</v>
      </c>
      <c r="Y188" s="192">
        <f t="shared" si="59"/>
        <v>0</v>
      </c>
    </row>
    <row r="189" spans="2:25" outlineLevel="1" x14ac:dyDescent="0.35">
      <c r="B189" s="294" t="s">
        <v>126</v>
      </c>
      <c r="C189" s="62" t="s">
        <v>253</v>
      </c>
      <c r="D189" s="190">
        <f>(('Ανάπτυξη δικτύου'!E67+'Ανάπτυξη δικτύου'!E129)/'Παραδοχές διείσδυσης - κάλυψης'!D248)</f>
        <v>0.37675002709175187</v>
      </c>
      <c r="E189" s="190">
        <f>(('Ανάπτυξη δικτύου'!G67+'Ανάπτυξη δικτύου'!G129)/'Παραδοχές διείσδυσης - κάλυψης'!E248)</f>
        <v>0.47028485734697167</v>
      </c>
      <c r="F189" s="161">
        <f t="shared" si="49"/>
        <v>0.24826761387980148</v>
      </c>
      <c r="G189" s="191">
        <f>(('Ανάπτυξη δικτύου'!J67+'Ανάπτυξη δικτύου'!J129)/'Παραδοχές διείσδυσης - κάλυψης'!F248)</f>
        <v>0.5018424970425388</v>
      </c>
      <c r="H189" s="161">
        <f t="shared" si="50"/>
        <v>6.710324434767885E-2</v>
      </c>
      <c r="I189" s="191">
        <f>(('Ανάπτυξη δικτύου'!M67+'Ανάπτυξη δικτύου'!M129)/'Παραδοχές διείσδυσης - κάλυψης'!G248)</f>
        <v>0.52153854990790982</v>
      </c>
      <c r="J189" s="161">
        <f t="shared" si="51"/>
        <v>3.9247479002762646E-2</v>
      </c>
      <c r="K189" s="191">
        <f>(('Ανάπτυξη δικτύου'!P67+'Ανάπτυξη δικτύου'!P129)/'Παραδοχές διείσδυσης - κάλυψης'!H248)</f>
        <v>0.55455459888574166</v>
      </c>
      <c r="L189" s="161">
        <f t="shared" si="52"/>
        <v>6.3305097933147245E-2</v>
      </c>
      <c r="M189" s="192">
        <f t="shared" si="53"/>
        <v>0.10147020718631072</v>
      </c>
      <c r="O189" s="191">
        <f>(('Ανάπτυξη δικτύου'!V67+'Ανάπτυξη δικτύου'!V129)/'Παραδοχές διείσδυσης - κάλυψης'!I248)</f>
        <v>0.55880004297425401</v>
      </c>
      <c r="P189" s="161">
        <f t="shared" si="54"/>
        <v>7.6555926089922604E-3</v>
      </c>
      <c r="Q189" s="191">
        <f>(('Ανάπτυξη δικτύου'!Y67+'Ανάπτυξη δικτύου'!Y129)/'Παραδοχές διείσδυσης - κάλυψης'!J248)</f>
        <v>0.56463329283361252</v>
      </c>
      <c r="R189" s="161">
        <f t="shared" si="55"/>
        <v>1.0438885846018578E-2</v>
      </c>
      <c r="S189" s="191">
        <f>(('Ανάπτυξη δικτύου'!AB67+'Ανάπτυξη δικτύου'!AB129)/'Παραδοχές διείσδυσης - κάλυψης'!K248)</f>
        <v>0.56894166824840853</v>
      </c>
      <c r="T189" s="161">
        <f t="shared" si="56"/>
        <v>7.6303956381573281E-3</v>
      </c>
      <c r="U189" s="191">
        <f>(('Ανάπτυξη δικτύου'!AE67+'Ανάπτυξη δικτύου'!AE129)/'Παραδοχές διείσδυσης - κάλυψης'!L248)</f>
        <v>0.57522996000550952</v>
      </c>
      <c r="V189" s="161">
        <f t="shared" si="57"/>
        <v>1.1052612434699424E-2</v>
      </c>
      <c r="W189" s="191">
        <f>(('Ανάπτυξη δικτύου'!AH67+'Ανάπτυξη δικτύου'!AH129)/'Παραδοχές διείσδυσης - κάλυψης'!M248)</f>
        <v>0.57522996000550952</v>
      </c>
      <c r="X189" s="161">
        <f t="shared" si="58"/>
        <v>0</v>
      </c>
      <c r="Y189" s="192">
        <f t="shared" si="59"/>
        <v>7.2708519644391068E-3</v>
      </c>
    </row>
    <row r="190" spans="2:25" ht="16.5" customHeight="1" outlineLevel="1" x14ac:dyDescent="0.35">
      <c r="B190" s="294" t="s">
        <v>127</v>
      </c>
      <c r="C190" s="62" t="s">
        <v>253</v>
      </c>
      <c r="D190" s="190" t="e">
        <f>(('Ανάπτυξη δικτύου'!E68+'Ανάπτυξη δικτύου'!E130)/'Παραδοχές διείσδυσης - κάλυψης'!D249)</f>
        <v>#DIV/0!</v>
      </c>
      <c r="E190" s="190" t="e">
        <f>(('Ανάπτυξη δικτύου'!G68+'Ανάπτυξη δικτύου'!G130)/'Παραδοχές διείσδυσης - κάλυψης'!E249)</f>
        <v>#DIV/0!</v>
      </c>
      <c r="F190" s="161">
        <f t="shared" si="49"/>
        <v>0</v>
      </c>
      <c r="G190" s="191" t="e">
        <f>(('Ανάπτυξη δικτύου'!J68+'Ανάπτυξη δικτύου'!J130)/'Παραδοχές διείσδυσης - κάλυψης'!F249)</f>
        <v>#DIV/0!</v>
      </c>
      <c r="H190" s="161">
        <f t="shared" si="50"/>
        <v>0</v>
      </c>
      <c r="I190" s="191" t="e">
        <f>(('Ανάπτυξη δικτύου'!M68+'Ανάπτυξη δικτύου'!M130)/'Παραδοχές διείσδυσης - κάλυψης'!G249)</f>
        <v>#DIV/0!</v>
      </c>
      <c r="J190" s="161">
        <f t="shared" si="51"/>
        <v>0</v>
      </c>
      <c r="K190" s="191" t="e">
        <f>(('Ανάπτυξη δικτύου'!P68+'Ανάπτυξη δικτύου'!P130)/'Παραδοχές διείσδυσης - κάλυψης'!H249)</f>
        <v>#DIV/0!</v>
      </c>
      <c r="L190" s="161">
        <f t="shared" si="52"/>
        <v>0</v>
      </c>
      <c r="M190" s="192">
        <f t="shared" si="53"/>
        <v>0</v>
      </c>
      <c r="O190" s="191" t="e">
        <f>(('Ανάπτυξη δικτύου'!V68+'Ανάπτυξη δικτύου'!V130)/'Παραδοχές διείσδυσης - κάλυψης'!I249)</f>
        <v>#DIV/0!</v>
      </c>
      <c r="P190" s="161">
        <f t="shared" si="54"/>
        <v>0</v>
      </c>
      <c r="Q190" s="191" t="e">
        <f>(('Ανάπτυξη δικτύου'!Y68+'Ανάπτυξη δικτύου'!Y130)/'Παραδοχές διείσδυσης - κάλυψης'!J249)</f>
        <v>#DIV/0!</v>
      </c>
      <c r="R190" s="161">
        <f t="shared" si="55"/>
        <v>0</v>
      </c>
      <c r="S190" s="191" t="e">
        <f>(('Ανάπτυξη δικτύου'!AB68+'Ανάπτυξη δικτύου'!AB130)/'Παραδοχές διείσδυσης - κάλυψης'!K249)</f>
        <v>#DIV/0!</v>
      </c>
      <c r="T190" s="161">
        <f t="shared" si="56"/>
        <v>0</v>
      </c>
      <c r="U190" s="191" t="e">
        <f>(('Ανάπτυξη δικτύου'!AE68+'Ανάπτυξη δικτύου'!AE130)/'Παραδοχές διείσδυσης - κάλυψης'!L249)</f>
        <v>#DIV/0!</v>
      </c>
      <c r="V190" s="161">
        <f t="shared" si="57"/>
        <v>0</v>
      </c>
      <c r="W190" s="191" t="e">
        <f>(('Ανάπτυξη δικτύου'!AH68+'Ανάπτυξη δικτύου'!AH130)/'Παραδοχές διείσδυσης - κάλυψης'!M249)</f>
        <v>#DIV/0!</v>
      </c>
      <c r="X190" s="161">
        <f t="shared" si="58"/>
        <v>0</v>
      </c>
      <c r="Y190" s="192">
        <f t="shared" si="59"/>
        <v>0</v>
      </c>
    </row>
    <row r="191" spans="2:25" ht="15" customHeight="1" outlineLevel="1" x14ac:dyDescent="0.35">
      <c r="B191" s="48" t="s">
        <v>138</v>
      </c>
      <c r="C191" s="59" t="s">
        <v>253</v>
      </c>
      <c r="D191" s="190">
        <f>(('Ανάπτυξη δικτύου'!E69+'Ανάπτυξη δικτύου'!E131)/'Παραδοχές διείσδυσης - κάλυψης'!D250)</f>
        <v>4.1472341303049463E-2</v>
      </c>
      <c r="E191" s="190">
        <f>(('Ανάπτυξη δικτύου'!G69+'Ανάπτυξη δικτύου'!G131)/'Παραδοχές διείσδυσης - κάλυψης'!E250)</f>
        <v>4.1663485252661947E-2</v>
      </c>
      <c r="F191" s="161">
        <f t="shared" si="49"/>
        <v>4.6089500521743834E-3</v>
      </c>
      <c r="G191" s="191">
        <f>(('Ανάπτυξη δικτύου'!J69+'Ανάπτυξη δικτύου'!J131)/'Παραδοχές διείσδυσης - κάλυψης'!F250)</f>
        <v>4.272797664939295E-2</v>
      </c>
      <c r="H191" s="161">
        <f t="shared" si="50"/>
        <v>2.5549744345091507E-2</v>
      </c>
      <c r="I191" s="191">
        <f>(('Ανάπτυξη δικτύου'!M69+'Ανάπτυξη δικτύου'!M131)/'Παραδοχές διείσδυσης - κάλυψης'!G250)</f>
        <v>4.2812869647764408E-2</v>
      </c>
      <c r="J191" s="161">
        <f t="shared" si="51"/>
        <v>1.9868246762081146E-3</v>
      </c>
      <c r="K191" s="191">
        <f>(('Ανάπτυξη δικτύου'!P69+'Ανάπτυξη δικτύου'!P131)/'Παραδοχές διείσδυσης - κάλυψης'!H250)</f>
        <v>4.3094798616850664E-2</v>
      </c>
      <c r="L191" s="161">
        <f t="shared" si="52"/>
        <v>6.5851453407767104E-3</v>
      </c>
      <c r="M191" s="192">
        <f t="shared" si="53"/>
        <v>9.6400633498108235E-3</v>
      </c>
      <c r="O191" s="191">
        <f>(('Ανάπτυξη δικτύου'!V69+'Ανάπτυξη δικτύου'!V131)/'Παραδοχές διείσδυσης - κάλυψης'!I250)</f>
        <v>4.3258562878224868E-2</v>
      </c>
      <c r="P191" s="161">
        <f t="shared" si="54"/>
        <v>3.8000934365700853E-3</v>
      </c>
      <c r="Q191" s="191">
        <f>(('Ανάπτυξη δικτύου'!Y69+'Ανάπτυξη δικτύου'!Y131)/'Παραδοχές διείσδυσης - κάλυψης'!J250)</f>
        <v>4.3757463902974914E-2</v>
      </c>
      <c r="R191" s="161">
        <f t="shared" si="55"/>
        <v>1.1533000440964208E-2</v>
      </c>
      <c r="S191" s="191">
        <f>(('Ανάπτυξη δικτύου'!AB69+'Ανάπτυξη δικτύου'!AB131)/'Παραδοχές διείσδυσης - κάλυψης'!K250)</f>
        <v>4.4075638031509261E-2</v>
      </c>
      <c r="T191" s="161">
        <f t="shared" si="56"/>
        <v>7.2713109982755599E-3</v>
      </c>
      <c r="U191" s="191">
        <f>(('Ανάπτυξη δικτύου'!AE69+'Ανάπτυξη δικτύου'!AE131)/'Παραδοχές διείσδυσης - κάλυψης'!L250)</f>
        <v>4.4449813800071798E-2</v>
      </c>
      <c r="V191" s="161">
        <f t="shared" si="57"/>
        <v>8.4894010676610666E-3</v>
      </c>
      <c r="W191" s="191">
        <f>(('Ανάπτυξη δικτύου'!AH69+'Ανάπτυξη δικτύου'!AH131)/'Παραδοχές διείσδυσης - κάλυψης'!M250)</f>
        <v>4.4574539056259306E-2</v>
      </c>
      <c r="X191" s="161">
        <f t="shared" si="58"/>
        <v>2.8059792724554988E-3</v>
      </c>
      <c r="Y191" s="192">
        <f t="shared" si="59"/>
        <v>7.520040401462591E-3</v>
      </c>
    </row>
    <row r="192" spans="2:25" ht="15" customHeight="1" x14ac:dyDescent="0.35"/>
    <row r="193" spans="1:33" ht="15.5" x14ac:dyDescent="0.35">
      <c r="B193" s="419" t="s">
        <v>254</v>
      </c>
      <c r="C193" s="419"/>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row>
    <row r="194" spans="1:33" ht="5.9" customHeight="1" outlineLevel="1" x14ac:dyDescent="0.35">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row>
    <row r="195" spans="1:33" ht="14.25" customHeight="1" outlineLevel="1" x14ac:dyDescent="0.35">
      <c r="B195" s="447"/>
      <c r="C195" s="481" t="s">
        <v>134</v>
      </c>
      <c r="D195" s="435" t="s">
        <v>169</v>
      </c>
      <c r="E195" s="436"/>
      <c r="F195" s="436"/>
      <c r="G195" s="436"/>
      <c r="H195" s="436"/>
      <c r="I195" s="436"/>
      <c r="J195" s="437"/>
      <c r="K195" s="436" t="s">
        <v>207</v>
      </c>
      <c r="L195" s="437"/>
      <c r="M195" s="522" t="str">
        <f>"Ετήσιος ρυθμός ανάπτυξης (CAGR) "&amp;($C$3-5)&amp;" - "&amp;(($C$3-1))</f>
        <v>Ετήσιος ρυθμός ανάπτυξης (CAGR) 2019 - 2023</v>
      </c>
      <c r="N195" s="103"/>
      <c r="O195" s="525" t="s">
        <v>170</v>
      </c>
      <c r="P195" s="526"/>
      <c r="Q195" s="526"/>
      <c r="R195" s="526"/>
      <c r="S195" s="526"/>
      <c r="T195" s="526"/>
      <c r="U195" s="526"/>
      <c r="V195" s="526"/>
      <c r="W195" s="526"/>
      <c r="X195" s="527"/>
      <c r="Y195" s="522" t="str">
        <f>"Ετήσιος ρυθμός ανάπτυξης (CAGR) "&amp;$C$3&amp;" - "&amp;$E$3</f>
        <v>Ετήσιος ρυθμός ανάπτυξης (CAGR) 2024 - 2028</v>
      </c>
    </row>
    <row r="196" spans="1:33" ht="15.75" customHeight="1" outlineLevel="1" x14ac:dyDescent="0.35">
      <c r="B196" s="448"/>
      <c r="C196" s="482"/>
      <c r="D196" s="295">
        <f>$C$3-5</f>
        <v>2019</v>
      </c>
      <c r="E196" s="435">
        <f>$C$3-4</f>
        <v>2020</v>
      </c>
      <c r="F196" s="437"/>
      <c r="G196" s="435">
        <f>$C$3-3</f>
        <v>2021</v>
      </c>
      <c r="H196" s="437"/>
      <c r="I196" s="435">
        <f>$C$3+-2</f>
        <v>2022</v>
      </c>
      <c r="J196" s="437"/>
      <c r="K196" s="435">
        <f>$C$3-1</f>
        <v>2023</v>
      </c>
      <c r="L196" s="437"/>
      <c r="M196" s="523"/>
      <c r="N196" s="103"/>
      <c r="O196" s="435">
        <f>$C$3</f>
        <v>2024</v>
      </c>
      <c r="P196" s="437"/>
      <c r="Q196" s="435">
        <f>$C$3+1</f>
        <v>2025</v>
      </c>
      <c r="R196" s="437"/>
      <c r="S196" s="435">
        <f>$C$3+2</f>
        <v>2026</v>
      </c>
      <c r="T196" s="437"/>
      <c r="U196" s="435">
        <f>$C$3+3</f>
        <v>2027</v>
      </c>
      <c r="V196" s="437"/>
      <c r="W196" s="435">
        <f>$C$3+4</f>
        <v>2028</v>
      </c>
      <c r="X196" s="437"/>
      <c r="Y196" s="523"/>
    </row>
    <row r="197" spans="1:33" ht="15" customHeight="1" outlineLevel="1" x14ac:dyDescent="0.35">
      <c r="B197" s="449"/>
      <c r="C197" s="483"/>
      <c r="D197" s="295" t="s">
        <v>252</v>
      </c>
      <c r="E197" s="295" t="s">
        <v>252</v>
      </c>
      <c r="F197" s="67" t="s">
        <v>173</v>
      </c>
      <c r="G197" s="295" t="s">
        <v>252</v>
      </c>
      <c r="H197" s="67" t="s">
        <v>173</v>
      </c>
      <c r="I197" s="295" t="s">
        <v>252</v>
      </c>
      <c r="J197" s="67" t="s">
        <v>173</v>
      </c>
      <c r="K197" s="295" t="s">
        <v>252</v>
      </c>
      <c r="L197" s="67" t="s">
        <v>173</v>
      </c>
      <c r="M197" s="524"/>
      <c r="O197" s="295" t="s">
        <v>252</v>
      </c>
      <c r="P197" s="67" t="s">
        <v>173</v>
      </c>
      <c r="Q197" s="295" t="s">
        <v>252</v>
      </c>
      <c r="R197" s="67" t="s">
        <v>173</v>
      </c>
      <c r="S197" s="295" t="s">
        <v>252</v>
      </c>
      <c r="T197" s="67" t="s">
        <v>173</v>
      </c>
      <c r="U197" s="295" t="s">
        <v>252</v>
      </c>
      <c r="V197" s="67" t="s">
        <v>173</v>
      </c>
      <c r="W197" s="295" t="s">
        <v>252</v>
      </c>
      <c r="X197" s="67" t="s">
        <v>173</v>
      </c>
      <c r="Y197" s="524"/>
    </row>
    <row r="198" spans="1:33" outlineLevel="1" x14ac:dyDescent="0.35">
      <c r="B198" s="48" t="s">
        <v>74</v>
      </c>
      <c r="C198" s="62" t="s">
        <v>253</v>
      </c>
      <c r="D198" s="190">
        <f>'Ενεργές συνδέσεις'!E14/'Παραδοχές διείσδυσης - κάλυψης'!D76</f>
        <v>0.32737101184827072</v>
      </c>
      <c r="E198" s="191">
        <f>IFERROR('Ενεργές συνδέσεις'!G14/'Παραδοχές διείσδυσης - κάλυψης'!E76,0)</f>
        <v>0.34780606753331944</v>
      </c>
      <c r="F198" s="161">
        <f>IFERROR((E198-D198)/D198,0)</f>
        <v>6.2421701816775151E-2</v>
      </c>
      <c r="G198" s="191">
        <f>IFERROR('Ενεργές συνδέσεις'!J14/'Παραδοχές διείσδυσης - κάλυψης'!F76,0)</f>
        <v>0.36507303542504449</v>
      </c>
      <c r="H198" s="161">
        <f>IFERROR((G198-E198)/E198,0)</f>
        <v>4.9645390070921898E-2</v>
      </c>
      <c r="I198" s="191">
        <f>IFERROR('Ενεργές συνδέσεις'!M14/'Παραδοχές διείσδυσης - κάλυψης'!G76,0)</f>
        <v>0.34809443372122612</v>
      </c>
      <c r="J198" s="161">
        <f>IFERROR((I198-G198)/G198,0)</f>
        <v>-4.6507411000789624E-2</v>
      </c>
      <c r="K198" s="191">
        <f>IFERROR('Ενεργές συνδέσεις'!P14/'Παραδοχές διείσδυσης - κάλυψης'!H76,0)</f>
        <v>0.33533447684391082</v>
      </c>
      <c r="L198" s="161">
        <f>IFERROR((K198-I198)/I198,0)</f>
        <v>-3.6656595570655391E-2</v>
      </c>
      <c r="M198" s="192">
        <f t="shared" ref="M198:M247" si="60">IFERROR((K198/D198)^(1/4)-1,0)</f>
        <v>6.0266756522338039E-3</v>
      </c>
      <c r="O198" s="191">
        <f>IFERROR('Ενεργές συνδέσεις'!X14/'Παραδοχές διείσδυσης - κάλυψης'!I76,0)</f>
        <v>0.33950257289879932</v>
      </c>
      <c r="P198" s="161">
        <f>IFERROR((O198-K198)/K198,0)</f>
        <v>1.242966751918154E-2</v>
      </c>
      <c r="Q198" s="191">
        <f>IFERROR('Ενεργές συνδέσεις'!AC14/'Παραδοχές διείσδυσης - κάλυψης'!J76,0)</f>
        <v>0.3134478808705613</v>
      </c>
      <c r="R198" s="161">
        <f>IFERROR((Q198-O198)/O198,0)</f>
        <v>-7.6743724814140157E-2</v>
      </c>
      <c r="S198" s="191">
        <f>IFERROR('Ενεργές συνδέσεις'!AH14/'Παραδοχές διείσδυσης - κάλυψης'!K76,0)</f>
        <v>0.2947672064777328</v>
      </c>
      <c r="T198" s="161">
        <f>IFERROR((S198-Q198)/Q198,0)</f>
        <v>-5.9597386145809381E-2</v>
      </c>
      <c r="U198" s="191">
        <f>IFERROR('Ενεργές συνδέσεις'!AM14/'Παραδοχές διείσδυσης - κάλυψης'!L76,0)</f>
        <v>0.31070512820512824</v>
      </c>
      <c r="V198" s="161">
        <f>IFERROR((U198-S198)/S198,0)</f>
        <v>5.4069521226064274E-2</v>
      </c>
      <c r="W198" s="191">
        <f>IFERROR('Ενεργές συνδέσεις'!AR14/'Παραδοχές διείσδυσης - κάλυψης'!M76,0)</f>
        <v>0.31234431040104338</v>
      </c>
      <c r="X198" s="161">
        <f>IFERROR((W198-U198)/U198,0)</f>
        <v>5.2756843937025151E-3</v>
      </c>
      <c r="Y198" s="192">
        <f>IFERROR((W198/O198)^(1/4)-1,0)</f>
        <v>-2.0628115304478389E-2</v>
      </c>
    </row>
    <row r="199" spans="1:33" s="52" customFormat="1" outlineLevel="1" x14ac:dyDescent="0.35">
      <c r="A199"/>
      <c r="B199" s="48" t="s">
        <v>75</v>
      </c>
      <c r="C199" s="62" t="s">
        <v>253</v>
      </c>
      <c r="D199" s="190">
        <f>'Ενεργές συνδέσεις'!E15/'Παραδοχές διείσδυσης - κάλυψης'!D77</f>
        <v>0.51829341608685808</v>
      </c>
      <c r="E199" s="191">
        <f>IFERROR('Ενεργές συνδέσεις'!G15/'Παραδοχές διείσδυσης - κάλυψης'!E77,0)</f>
        <v>0.52098273569879305</v>
      </c>
      <c r="F199" s="161">
        <f t="shared" ref="F199:F247" si="61">IFERROR((E199-D199)/D199,0)</f>
        <v>5.1887975584167592E-3</v>
      </c>
      <c r="G199" s="191">
        <f>IFERROR('Ενεργές συνδέσεις'!J15/'Παραδοχές διείσδυσης - κάλυψης'!F77,0)</f>
        <v>0.50791127294408922</v>
      </c>
      <c r="H199" s="161">
        <f t="shared" ref="H199:H247" si="62">IFERROR((G199-E199)/E199,0)</f>
        <v>-2.5090011355503188E-2</v>
      </c>
      <c r="I199" s="191">
        <f>IFERROR('Ενεργές συνδέσεις'!M15/'Παραδοχές διείσδυσης - κάλυψης'!G77,0)</f>
        <v>0.51486055535915232</v>
      </c>
      <c r="J199" s="161">
        <f t="shared" ref="J199:J247" si="63">IFERROR((I199-G199)/G199,0)</f>
        <v>1.3682079499401211E-2</v>
      </c>
      <c r="K199" s="191">
        <f>IFERROR('Ενεργές συνδέσεις'!P15/'Παραδοχές διείσδυσης - κάλυψης'!H77,0)</f>
        <v>0.52186896188301424</v>
      </c>
      <c r="L199" s="161">
        <f t="shared" ref="L199:L247" si="64">IFERROR((K199-I199)/I199,0)</f>
        <v>1.361224209334322E-2</v>
      </c>
      <c r="M199" s="192">
        <f t="shared" si="60"/>
        <v>1.7202287184878706E-3</v>
      </c>
      <c r="N199"/>
      <c r="O199" s="191">
        <f>IFERROR('Ενεργές συνδέσεις'!X15/'Παραδοχές διείσδυσης - κάλυψης'!I77,0)</f>
        <v>0.54288623595505625</v>
      </c>
      <c r="P199" s="161">
        <f t="shared" ref="P199:P247" si="65">IFERROR((O199-K199)/K199,0)</f>
        <v>4.0273086937776904E-2</v>
      </c>
      <c r="Q199" s="191">
        <f>IFERROR('Ενεργές συνδέσεις'!AC15/'Παραδοχές διείσδυσης - κάλυψης'!J77,0)</f>
        <v>0.55973828258638381</v>
      </c>
      <c r="R199" s="161">
        <f t="shared" ref="R199:R247" si="66">IFERROR((Q199-O199)/O199,0)</f>
        <v>3.1041580197149591E-2</v>
      </c>
      <c r="S199" s="191">
        <f>IFERROR('Ενεργές συνδέσεις'!AH15/'Παραδοχές διείσδυσης - κάλυψης'!K77,0)</f>
        <v>0.58747706422018342</v>
      </c>
      <c r="T199" s="161">
        <f t="shared" ref="T199:T247" si="67">IFERROR((S199-Q199)/Q199,0)</f>
        <v>4.9556699080196859E-2</v>
      </c>
      <c r="U199" s="191">
        <f>IFERROR('Ενεργές συνδέσεις'!AM15/'Παραδοχές διείσδυσης - κάλυψης'!L77,0)</f>
        <v>0.60646347607052897</v>
      </c>
      <c r="V199" s="161">
        <f t="shared" ref="V199:V247" si="68">IFERROR((U199-S199)/S199,0)</f>
        <v>3.2318558470955966E-2</v>
      </c>
      <c r="W199" s="191">
        <f>IFERROR('Ενεργές συνδέσεις'!AR15/'Παραδοχές διείσδυσης - κάλυψης'!M77,0)</f>
        <v>0.62435146443514644</v>
      </c>
      <c r="X199" s="161">
        <f t="shared" ref="X199:X247" si="69">IFERROR((W199-U199)/U199,0)</f>
        <v>2.9495574045974662E-2</v>
      </c>
      <c r="Y199" s="192">
        <f t="shared" ref="Y199:Y247" si="70">IFERROR((W199/O199)^(1/4)-1,0)</f>
        <v>3.5571467215942176E-2</v>
      </c>
    </row>
    <row r="200" spans="1:33" s="52" customFormat="1" outlineLevel="1" x14ac:dyDescent="0.35">
      <c r="A200"/>
      <c r="B200" s="48" t="s">
        <v>76</v>
      </c>
      <c r="C200" s="62" t="s">
        <v>253</v>
      </c>
      <c r="D200" s="190">
        <f>'Ενεργές συνδέσεις'!E16/'Παραδοχές διείσδυσης - κάλυψης'!D78</f>
        <v>0.30922922387786828</v>
      </c>
      <c r="E200" s="191">
        <f>IFERROR('Ενεργές συνδέσεις'!G16/'Παραδοχές διείσδυσης - κάλυψης'!E78,0)</f>
        <v>0.31741498830635467</v>
      </c>
      <c r="F200" s="161">
        <f t="shared" si="61"/>
        <v>2.6471509794040064E-2</v>
      </c>
      <c r="G200" s="191">
        <f>IFERROR('Ενεργές συνδέσεις'!J16/'Παραδοχές διείσδυσης - κάλυψης'!F78,0)</f>
        <v>0.32820619337205237</v>
      </c>
      <c r="H200" s="161">
        <f t="shared" si="62"/>
        <v>3.3997150302437856E-2</v>
      </c>
      <c r="I200" s="191">
        <f>IFERROR('Ενεργές συνδέσεις'!M16/'Παραδοχές διείσδυσης - κάλυψης'!G78,0)</f>
        <v>0.34652207210966529</v>
      </c>
      <c r="J200" s="161">
        <f t="shared" si="63"/>
        <v>5.5806011914132786E-2</v>
      </c>
      <c r="K200" s="191">
        <f>IFERROR('Ενεργές συνδέσεις'!P16/'Παραδοχές διείσδυσης - κάλυψης'!H78,0)</f>
        <v>0.34024390243902441</v>
      </c>
      <c r="L200" s="161">
        <f t="shared" si="64"/>
        <v>-1.811766169011594E-2</v>
      </c>
      <c r="M200" s="192">
        <f t="shared" si="60"/>
        <v>2.4182745865500399E-2</v>
      </c>
      <c r="N200"/>
      <c r="O200" s="191">
        <f>IFERROR('Ενεργές συνδέσεις'!X16/'Παραδοχές διείσδυσης - κάλυψης'!I78,0)</f>
        <v>0.34938684953610327</v>
      </c>
      <c r="P200" s="161">
        <f t="shared" si="65"/>
        <v>2.6871744156289113E-2</v>
      </c>
      <c r="Q200" s="191">
        <f>IFERROR('Ενεργές συνδέσεις'!AC16/'Παραδοχές διείσδυσης - κάλυψης'!J78,0)</f>
        <v>0.3475652505239093</v>
      </c>
      <c r="R200" s="161">
        <f t="shared" si="66"/>
        <v>-5.2137022747495926E-3</v>
      </c>
      <c r="S200" s="191">
        <f>IFERROR('Ενεργές συνδέσεις'!AH16/'Παραδοχές διείσδυσης - κάλυψης'!K78,0)</f>
        <v>0.3339199318568995</v>
      </c>
      <c r="T200" s="161">
        <f t="shared" si="67"/>
        <v>-3.9259732227089041E-2</v>
      </c>
      <c r="U200" s="191">
        <f>IFERROR('Ενεργές συνδέσεις'!AM16/'Παραδοχές διείσδυσης - κάλυψης'!L78,0)</f>
        <v>0.34341211225997043</v>
      </c>
      <c r="V200" s="161">
        <f t="shared" si="68"/>
        <v>2.8426516351646763E-2</v>
      </c>
      <c r="W200" s="191">
        <f>IFERROR('Ενεργές συνδέσεις'!AR16/'Παραδοχές διείσδυσης - κάλυψης'!M78,0)</f>
        <v>0.34453215008562976</v>
      </c>
      <c r="X200" s="161">
        <f t="shared" si="69"/>
        <v>3.2614977331126976E-3</v>
      </c>
      <c r="Y200" s="192">
        <f t="shared" si="70"/>
        <v>-3.4919762478835548E-3</v>
      </c>
    </row>
    <row r="201" spans="1:33" outlineLevel="1" x14ac:dyDescent="0.35">
      <c r="B201" s="48" t="s">
        <v>77</v>
      </c>
      <c r="C201" s="62" t="s">
        <v>253</v>
      </c>
      <c r="D201" s="190">
        <f>'Ενεργές συνδέσεις'!E17/'Παραδοχές διείσδυσης - κάλυψης'!D79</f>
        <v>0.23289685717366448</v>
      </c>
      <c r="E201" s="191">
        <f>IFERROR('Ενεργές συνδέσεις'!G17/'Παραδοχές διείσδυσης - κάλυψης'!E79,0)</f>
        <v>0.2528946080299333</v>
      </c>
      <c r="F201" s="161">
        <f t="shared" si="61"/>
        <v>8.5865267135644796E-2</v>
      </c>
      <c r="G201" s="191">
        <f>IFERROR('Ενεργές συνδέσεις'!J17/'Παραδοχές διείσδυσης - κάλυψης'!F79,0)</f>
        <v>0.25945962282379265</v>
      </c>
      <c r="H201" s="161">
        <f t="shared" si="62"/>
        <v>2.5959488994254452E-2</v>
      </c>
      <c r="I201" s="191">
        <f>IFERROR('Ενεργές συνδέσεις'!M17/'Παραδοχές διείσδυσης - κάλυψης'!G79,0)</f>
        <v>0.27260476703865816</v>
      </c>
      <c r="J201" s="161">
        <f t="shared" si="63"/>
        <v>5.0663544762002528E-2</v>
      </c>
      <c r="K201" s="191">
        <f>IFERROR('Ενεργές συνδέσεις'!P17/'Παραδοχές διείσδυσης - κάλυψης'!H79,0)</f>
        <v>0.27905531385954008</v>
      </c>
      <c r="L201" s="161">
        <f t="shared" si="64"/>
        <v>2.3662633969886396E-2</v>
      </c>
      <c r="M201" s="192">
        <f t="shared" si="60"/>
        <v>4.6240836449870537E-2</v>
      </c>
      <c r="O201" s="191">
        <f>IFERROR('Ενεργές συνδέσεις'!X17/'Παραδοχές διείσδυσης - κάλυψης'!I79,0)</f>
        <v>0.28643878185208205</v>
      </c>
      <c r="P201" s="161">
        <f t="shared" si="65"/>
        <v>2.6458797327394278E-2</v>
      </c>
      <c r="Q201" s="191">
        <f>IFERROR('Ενεργές συνδέσεις'!AC17/'Παραδοχές διείσδυσης - κάλυψης'!J79,0)</f>
        <v>0.29553138595400869</v>
      </c>
      <c r="R201" s="161">
        <f t="shared" si="66"/>
        <v>3.1743620899149366E-2</v>
      </c>
      <c r="S201" s="191">
        <f>IFERROR('Ενεργές συνδέσεις'!AH17/'Παραδοχές διείσδυσης - κάλυψης'!K79,0)</f>
        <v>0.2847265400115141</v>
      </c>
      <c r="T201" s="161">
        <f t="shared" si="67"/>
        <v>-3.6560739251485341E-2</v>
      </c>
      <c r="U201" s="191">
        <f>IFERROR('Ενεργές συνδέσεις'!AM17/'Παραδοχές διείσδυσης - κάλυψης'!L79,0)</f>
        <v>0.28681716833890747</v>
      </c>
      <c r="V201" s="161">
        <f t="shared" si="68"/>
        <v>7.3425832636073553E-3</v>
      </c>
      <c r="W201" s="191">
        <f>IFERROR('Ενεργές συνδέσεις'!AR17/'Παραδοχές διείσδυσης - κάλυψης'!M79,0)</f>
        <v>0.29498327759197329</v>
      </c>
      <c r="X201" s="161">
        <f t="shared" si="69"/>
        <v>2.8471479933923013E-2</v>
      </c>
      <c r="Y201" s="192">
        <f t="shared" si="70"/>
        <v>7.3755239711725817E-3</v>
      </c>
    </row>
    <row r="202" spans="1:33" s="52" customFormat="1" outlineLevel="1" x14ac:dyDescent="0.35">
      <c r="A202"/>
      <c r="B202" s="48" t="s">
        <v>78</v>
      </c>
      <c r="C202" s="62" t="s">
        <v>253</v>
      </c>
      <c r="D202" s="190">
        <f>'Ενεργές συνδέσεις'!E18/'Παραδοχές διείσδυσης - κάλυψης'!D80</f>
        <v>0.48681810332452452</v>
      </c>
      <c r="E202" s="191">
        <f>IFERROR('Ενεργές συνδέσεις'!G18/'Παραδοχές διείσδυσης - κάλυψης'!E80,0)</f>
        <v>0.51187058941475128</v>
      </c>
      <c r="F202" s="161">
        <f t="shared" si="61"/>
        <v>5.1461697745299691E-2</v>
      </c>
      <c r="G202" s="191">
        <f>IFERROR('Ενεργές συνδέσεις'!J18/'Παραδοχές διείσδυσης - κάλυψης'!F80,0)</f>
        <v>0.52564997761930943</v>
      </c>
      <c r="H202" s="161">
        <f t="shared" si="62"/>
        <v>2.6919671669968098E-2</v>
      </c>
      <c r="I202" s="191">
        <f>IFERROR('Ενεργές συνδέσεις'!M18/'Παραδοχές διείσδυσης - κάλυψης'!G80,0)</f>
        <v>0.53621058406712052</v>
      </c>
      <c r="J202" s="161">
        <f t="shared" si="63"/>
        <v>2.0090567673265239E-2</v>
      </c>
      <c r="K202" s="191">
        <f>IFERROR('Ενεργές συνδέσεις'!P18/'Παραδοχές διείσδυσης - κάλυψης'!H80,0)</f>
        <v>0.54532137383935819</v>
      </c>
      <c r="L202" s="161">
        <f t="shared" si="64"/>
        <v>1.6991066649846696E-2</v>
      </c>
      <c r="M202" s="192">
        <f t="shared" si="60"/>
        <v>2.8777482589992243E-2</v>
      </c>
      <c r="N202"/>
      <c r="O202" s="191">
        <f>IFERROR('Ενεργές συνδέσεις'!X18/'Παραδοχές διείσδυσης - κάλυψης'!I80,0)</f>
        <v>0.55894696817195644</v>
      </c>
      <c r="P202" s="161">
        <f t="shared" si="65"/>
        <v>2.4986356644462096E-2</v>
      </c>
      <c r="Q202" s="191">
        <f>IFERROR('Ενεργές συνδέσεις'!AC18/'Παραδοχές διείσδυσης - κάλυψης'!J80,0)</f>
        <v>0.57389725967045557</v>
      </c>
      <c r="R202" s="161">
        <f t="shared" si="66"/>
        <v>2.6747244997847048E-2</v>
      </c>
      <c r="S202" s="191">
        <f>IFERROR('Ενεργές συνδέσεις'!AH18/'Παραδοχές διείσδυσης - κάλυψης'!K80,0)</f>
        <v>0.58980405771943145</v>
      </c>
      <c r="T202" s="161">
        <f t="shared" si="67"/>
        <v>2.7717152819495796E-2</v>
      </c>
      <c r="U202" s="191">
        <f>IFERROR('Ενεργές συνδέσεις'!AM18/'Παραδοχές διείσδυσης - κάλυψης'!L80,0)</f>
        <v>0.59838288307392173</v>
      </c>
      <c r="V202" s="161">
        <f t="shared" si="68"/>
        <v>1.4545212502710878E-2</v>
      </c>
      <c r="W202" s="191">
        <f>IFERROR('Ενεργές συνδέσεις'!AR18/'Παραδοχές διείσδυσης - κάλυψης'!M80,0)</f>
        <v>0.61000272342565054</v>
      </c>
      <c r="X202" s="161">
        <f t="shared" si="69"/>
        <v>1.941873786903316E-2</v>
      </c>
      <c r="Y202" s="192">
        <f t="shared" si="70"/>
        <v>2.2092713685964993E-2</v>
      </c>
    </row>
    <row r="203" spans="1:33" outlineLevel="1" x14ac:dyDescent="0.35">
      <c r="B203" s="48" t="s">
        <v>79</v>
      </c>
      <c r="C203" s="62" t="s">
        <v>253</v>
      </c>
      <c r="D203" s="190">
        <f>'Ενεργές συνδέσεις'!E19/'Παραδοχές διείσδυσης - κάλυψης'!D81</f>
        <v>0.26099600704911036</v>
      </c>
      <c r="E203" s="191">
        <f>IFERROR('Ενεργές συνδέσεις'!G19/'Παραδοχές διείσδυσης - κάλυψης'!E81,0)</f>
        <v>0.27795036355387231</v>
      </c>
      <c r="F203" s="161">
        <f t="shared" si="61"/>
        <v>6.4960214129144656E-2</v>
      </c>
      <c r="G203" s="191">
        <f>IFERROR('Ενεργές συνδέσεις'!J19/'Παραδοχές διείσδυσης - κάλυψης'!F81,0)</f>
        <v>0.29997090506785917</v>
      </c>
      <c r="H203" s="161">
        <f t="shared" si="62"/>
        <v>7.9224726431123507E-2</v>
      </c>
      <c r="I203" s="191">
        <f>IFERROR('Ενεργές συνδέσεις'!M19/'Παραδοχές διείσδυσης - κάλυψης'!G81,0)</f>
        <v>0.30779408778543438</v>
      </c>
      <c r="J203" s="161">
        <f t="shared" si="63"/>
        <v>2.6079805025775588E-2</v>
      </c>
      <c r="K203" s="191">
        <f>IFERROR('Ενεργές συνδέσεις'!P19/'Παραδοχές διείσδυσης - κάλυψης'!H81,0)</f>
        <v>0.3107521278443634</v>
      </c>
      <c r="L203" s="161">
        <f t="shared" si="64"/>
        <v>9.6104511955119026E-3</v>
      </c>
      <c r="M203" s="192">
        <f t="shared" si="60"/>
        <v>4.4588071047285016E-2</v>
      </c>
      <c r="O203" s="191">
        <f>IFERROR('Ενεργές συνδέσεις'!X19/'Παραδοχές διείσδυσης - κάλυψης'!I81,0)</f>
        <v>0.31624295010845987</v>
      </c>
      <c r="P203" s="161">
        <f t="shared" si="65"/>
        <v>1.7669459907436218E-2</v>
      </c>
      <c r="Q203" s="191">
        <f>IFERROR('Ενεργές συνδέσεις'!AC19/'Παραδοχές διείσδυσης - κάλυψης'!J81,0)</f>
        <v>0.32350281995661606</v>
      </c>
      <c r="R203" s="161">
        <f t="shared" si="66"/>
        <v>2.2956621944192949E-2</v>
      </c>
      <c r="S203" s="191">
        <f>IFERROR('Ενεργές συνδέσεις'!AH19/'Παραδοχές διείσδυσης - κάλυψης'!K81,0)</f>
        <v>0.33042689804772235</v>
      </c>
      <c r="T203" s="161">
        <f t="shared" si="67"/>
        <v>2.1403455129185137E-2</v>
      </c>
      <c r="U203" s="191">
        <f>IFERROR('Ενεργές συνδέσεις'!AM19/'Παραδοχές διείσδυσης - κάλυψης'!L81,0)</f>
        <v>0.33586811279826467</v>
      </c>
      <c r="V203" s="161">
        <f t="shared" si="68"/>
        <v>1.6467227040809697E-2</v>
      </c>
      <c r="W203" s="191">
        <f>IFERROR('Ενεργές συνδέσεις'!AR19/'Παραδοχές διείσδυσης - κάλυψης'!M81,0)</f>
        <v>0.33563870637426402</v>
      </c>
      <c r="X203" s="161">
        <f t="shared" si="69"/>
        <v>-6.8302531636412237E-4</v>
      </c>
      <c r="Y203" s="192">
        <f t="shared" si="70"/>
        <v>1.499241421453501E-2</v>
      </c>
    </row>
    <row r="204" spans="1:33" outlineLevel="1" x14ac:dyDescent="0.35">
      <c r="B204" s="48" t="s">
        <v>80</v>
      </c>
      <c r="C204" s="62" t="s">
        <v>253</v>
      </c>
      <c r="D204" s="190">
        <f>'Ενεργές συνδέσεις'!E20/'Παραδοχές διείσδυσης - κάλυψης'!D82</f>
        <v>0.37799781459122223</v>
      </c>
      <c r="E204" s="191">
        <f>IFERROR('Ενεργές συνδέσεις'!G20/'Παραδοχές διείσδυσης - κάλυψης'!E82,0)</f>
        <v>0.37232260665836381</v>
      </c>
      <c r="F204" s="161">
        <f t="shared" si="61"/>
        <v>-1.50138644028822E-2</v>
      </c>
      <c r="G204" s="191">
        <f>IFERROR('Ενεργές συνδέσεις'!J20/'Παραδοχές διείσδυσης - κάλυψης'!F82,0)</f>
        <v>0.38821144076000169</v>
      </c>
      <c r="H204" s="161">
        <f t="shared" si="62"/>
        <v>4.2674910997862608E-2</v>
      </c>
      <c r="I204" s="191">
        <f>IFERROR('Ενεργές συνδέσεις'!M20/'Παραδοχές διείσδυσης - κάλυψης'!G82,0)</f>
        <v>0.41025499260126363</v>
      </c>
      <c r="J204" s="161">
        <f t="shared" si="63"/>
        <v>5.6782334384858094E-2</v>
      </c>
      <c r="K204" s="191">
        <f>IFERROR('Ενεργές συνδέσεις'!P20/'Παραδοχές διείσδυσης - κάλυψης'!H82,0)</f>
        <v>0.35199193141704488</v>
      </c>
      <c r="L204" s="161">
        <f t="shared" si="64"/>
        <v>-0.1420167023801365</v>
      </c>
      <c r="M204" s="192">
        <f t="shared" si="60"/>
        <v>-1.7662202251931824E-2</v>
      </c>
      <c r="O204" s="191">
        <f>IFERROR('Ενεργές συνδέσεις'!X20/'Παραδοχές διείσδυσης - κάλυψης'!I82,0)</f>
        <v>0.36764985014985013</v>
      </c>
      <c r="P204" s="161">
        <f t="shared" si="65"/>
        <v>4.4483743334029824E-2</v>
      </c>
      <c r="Q204" s="191">
        <f>IFERROR('Ενεργές συνδέσεις'!AC20/'Παραδοχές διείσδυσης - κάλυψης'!J82,0)</f>
        <v>0.38567819475104242</v>
      </c>
      <c r="R204" s="161">
        <f t="shared" si="66"/>
        <v>4.9036725008439773E-2</v>
      </c>
      <c r="S204" s="191">
        <f>IFERROR('Ενεργές συνδέσεις'!AH20/'Παραδοχές διείσδυσης - κάλυψης'!K82,0)</f>
        <v>0.40744140624999997</v>
      </c>
      <c r="T204" s="161">
        <f t="shared" si="67"/>
        <v>5.642842088338914E-2</v>
      </c>
      <c r="U204" s="191">
        <f>IFERROR('Ενεργές συνδέσεις'!AM20/'Παραδοχές διείσδυσης - κάλυψης'!L82,0)</f>
        <v>0.42585205078124999</v>
      </c>
      <c r="V204" s="161">
        <f t="shared" si="68"/>
        <v>4.5185993001294333E-2</v>
      </c>
      <c r="W204" s="191">
        <f>IFERROR('Ενεργές συνδέσεις'!AR20/'Παραδοχές διείσδυσης - κάλυψης'!M82,0)</f>
        <v>0.43199426111908173</v>
      </c>
      <c r="X204" s="161">
        <f t="shared" si="69"/>
        <v>1.4423343333825696E-2</v>
      </c>
      <c r="Y204" s="192">
        <f t="shared" si="70"/>
        <v>4.1144228601402766E-2</v>
      </c>
    </row>
    <row r="205" spans="1:33" outlineLevel="1" x14ac:dyDescent="0.35">
      <c r="B205" s="48" t="s">
        <v>81</v>
      </c>
      <c r="C205" s="62" t="s">
        <v>253</v>
      </c>
      <c r="D205" s="190">
        <f>'Ενεργές συνδέσεις'!E21/'Παραδοχές διείσδυσης - κάλυψης'!D83</f>
        <v>0.48879456556182288</v>
      </c>
      <c r="E205" s="191">
        <f>IFERROR('Ενεργές συνδέσεις'!G21/'Παραδοχές διείσδυσης - κάλυψης'!E83,0)</f>
        <v>0.51017498293825625</v>
      </c>
      <c r="F205" s="161">
        <f t="shared" si="61"/>
        <v>4.3741111057277432E-2</v>
      </c>
      <c r="G205" s="191">
        <f>IFERROR('Ενεργές συνδέσεις'!J21/'Παραδοχές διείσδυσης - κάλυψης'!F83,0)</f>
        <v>0.52318538467355891</v>
      </c>
      <c r="H205" s="161">
        <f t="shared" si="62"/>
        <v>2.5501841858986716E-2</v>
      </c>
      <c r="I205" s="191">
        <f>IFERROR('Ενεργές συνδέσεις'!M21/'Παραδοχές διείσδυσης - κάλυψης'!G83,0)</f>
        <v>0.53105631886035909</v>
      </c>
      <c r="J205" s="161">
        <f t="shared" si="63"/>
        <v>1.5044254708512634E-2</v>
      </c>
      <c r="K205" s="191">
        <f>IFERROR('Ενεργές συνδέσεις'!P21/'Παραδοχές διείσδυσης - κάλυψης'!H83,0)</f>
        <v>0.53204955561540535</v>
      </c>
      <c r="L205" s="161">
        <f t="shared" si="64"/>
        <v>1.870303995587005E-3</v>
      </c>
      <c r="M205" s="192">
        <f t="shared" si="60"/>
        <v>2.1424872376697213E-2</v>
      </c>
      <c r="O205" s="191">
        <f>IFERROR('Ενεργές συνδέσεις'!X21/'Παραδοχές διείσδυσης - κάλυψης'!I83,0)</f>
        <v>0.54176212040490146</v>
      </c>
      <c r="P205" s="161">
        <f t="shared" si="65"/>
        <v>1.8255000285193151E-2</v>
      </c>
      <c r="Q205" s="191">
        <f>IFERROR('Ενεργές συνδέσεις'!AC21/'Παραδοχές διείσδυσης - κάλυψης'!J83,0)</f>
        <v>0.55927292026005038</v>
      </c>
      <c r="R205" s="161">
        <f t="shared" si="66"/>
        <v>3.2321934656601166E-2</v>
      </c>
      <c r="S205" s="191">
        <f>IFERROR('Ενεργές συνδέσεις'!AH21/'Παραδοχές διείσδυσης - κάλυψης'!K83,0)</f>
        <v>0.57707759533898306</v>
      </c>
      <c r="T205" s="161">
        <f t="shared" si="67"/>
        <v>3.1835396340401889E-2</v>
      </c>
      <c r="U205" s="191">
        <f>IFERROR('Ενεργές συνδέσεις'!AM21/'Παραδοχές διείσδυσης - κάλυψης'!L83,0)</f>
        <v>0.59181806144067794</v>
      </c>
      <c r="V205" s="161">
        <f t="shared" si="68"/>
        <v>2.5543299931850821E-2</v>
      </c>
      <c r="W205" s="191">
        <f>IFERROR('Ενεργές συνδέσεις'!AR21/'Παραδοχές διείσδυσης - κάλυψης'!M83,0)</f>
        <v>0.60140102997491085</v>
      </c>
      <c r="X205" s="161">
        <f t="shared" si="69"/>
        <v>1.6192423243901747E-2</v>
      </c>
      <c r="Y205" s="192">
        <f t="shared" si="70"/>
        <v>2.6452561505934113E-2</v>
      </c>
    </row>
    <row r="206" spans="1:33" outlineLevel="1" x14ac:dyDescent="0.35">
      <c r="B206" s="48" t="s">
        <v>82</v>
      </c>
      <c r="C206" s="62" t="s">
        <v>253</v>
      </c>
      <c r="D206" s="190">
        <f>'Ενεργές συνδέσεις'!E22/'Παραδοχές διείσδυσης - κάλυψης'!D84</f>
        <v>3.0653474422217435E-2</v>
      </c>
      <c r="E206" s="191">
        <f>IFERROR('Ενεργές συνδέσεις'!G22/'Παραδοχές διείσδυσης - κάλυψης'!E84,0)</f>
        <v>3.2266815181281515E-2</v>
      </c>
      <c r="F206" s="161">
        <f t="shared" si="61"/>
        <v>5.2631578947368578E-2</v>
      </c>
      <c r="G206" s="191">
        <f>IFERROR('Ενεργές συνδέσεις'!J22/'Παραδοχές διείσδυσης - κάλυψης'!F84,0)</f>
        <v>3.3880155940345588E-2</v>
      </c>
      <c r="H206" s="161">
        <f t="shared" si="62"/>
        <v>4.9999999999999926E-2</v>
      </c>
      <c r="I206" s="191">
        <f>IFERROR('Ενεργές συνδέσεις'!M22/'Παραδοχές διείσδυσης - κάλυψης'!G84,0)</f>
        <v>3.3880155940345588E-2</v>
      </c>
      <c r="J206" s="161">
        <f t="shared" si="63"/>
        <v>0</v>
      </c>
      <c r="K206" s="191">
        <f>IFERROR('Ενεργές συνδέσεις'!P22/'Παραδοχές διείσδυσης - κάλυψης'!H84,0)</f>
        <v>3.2258064516129031E-2</v>
      </c>
      <c r="L206" s="161">
        <f t="shared" si="64"/>
        <v>-4.7877330525651969E-2</v>
      </c>
      <c r="M206" s="192">
        <f t="shared" si="60"/>
        <v>1.2837213721605956E-2</v>
      </c>
      <c r="O206" s="191">
        <f>IFERROR('Ενεργές συνδέσεις'!X22/'Παραδοχές διείσδυσης - κάλυψης'!I84,0)</f>
        <v>3.2258064516129031E-2</v>
      </c>
      <c r="P206" s="161">
        <f t="shared" si="65"/>
        <v>0</v>
      </c>
      <c r="Q206" s="191">
        <f>IFERROR('Ενεργές συνδέσεις'!AC22/'Παραδοχές διείσδυσης - κάλυψης'!J84,0)</f>
        <v>3.2258064516129031E-2</v>
      </c>
      <c r="R206" s="161">
        <f t="shared" si="66"/>
        <v>0</v>
      </c>
      <c r="S206" s="191">
        <f>IFERROR('Ενεργές συνδέσεις'!AH22/'Παραδοχές διείσδυσης - κάλυψης'!K84,0)</f>
        <v>3.2258064516129031E-2</v>
      </c>
      <c r="T206" s="161">
        <f t="shared" si="67"/>
        <v>0</v>
      </c>
      <c r="U206" s="191">
        <f>IFERROR('Ενεργές συνδέσεις'!AM22/'Παραδοχές διείσδυσης - κάλυψης'!L84,0)</f>
        <v>3.2258064516129031E-2</v>
      </c>
      <c r="V206" s="161">
        <f t="shared" si="68"/>
        <v>0</v>
      </c>
      <c r="W206" s="191">
        <f>IFERROR('Ενεργές συνδέσεις'!AR22/'Παραδοχές διείσδυσης - κάλυψης'!M84,0)</f>
        <v>3.2258064516129031E-2</v>
      </c>
      <c r="X206" s="161">
        <f t="shared" si="69"/>
        <v>0</v>
      </c>
      <c r="Y206" s="192">
        <f t="shared" si="70"/>
        <v>0</v>
      </c>
    </row>
    <row r="207" spans="1:33" outlineLevel="1" x14ac:dyDescent="0.35">
      <c r="B207" s="48" t="s">
        <v>83</v>
      </c>
      <c r="C207" s="62" t="s">
        <v>253</v>
      </c>
      <c r="D207" s="190">
        <f>'Ενεργές συνδέσεις'!E23/'Παραδοχές διείσδυσης - κάλυψης'!D85</f>
        <v>0.47389740460385826</v>
      </c>
      <c r="E207" s="191">
        <f>IFERROR('Ενεργές συνδέσεις'!G23/'Παραδοχές διείσδυσης - κάλυψης'!E85,0)</f>
        <v>0.50130565001937988</v>
      </c>
      <c r="F207" s="161">
        <f t="shared" si="61"/>
        <v>5.7835820895522305E-2</v>
      </c>
      <c r="G207" s="191">
        <f>IFERROR('Ενεργές συνδέσεις'!J23/'Παραδοχές διείσδυσης - κάλυψης'!F85,0)</f>
        <v>0.50508783715068739</v>
      </c>
      <c r="H207" s="161">
        <f t="shared" si="62"/>
        <v>7.5446728580882702E-3</v>
      </c>
      <c r="I207" s="191">
        <f>IFERROR('Ενεργές συνδέσεις'!M23/'Παραδοχές διείσδυσης - κάλυψης'!G85,0)</f>
        <v>0.52004390677866885</v>
      </c>
      <c r="J207" s="161">
        <f t="shared" si="63"/>
        <v>2.9610829103214938E-2</v>
      </c>
      <c r="K207" s="191">
        <f>IFERROR('Ενεργές συνδέσεις'!P23/'Παραδοχές διείσδυσης - κάλυψης'!H85,0)</f>
        <v>0.45565410199556539</v>
      </c>
      <c r="L207" s="161">
        <f t="shared" si="64"/>
        <v>-0.12381609311020698</v>
      </c>
      <c r="M207" s="192">
        <f t="shared" si="60"/>
        <v>-9.7662174260541024E-3</v>
      </c>
      <c r="O207" s="191">
        <f>IFERROR('Ενεργές συνδέσεις'!X23/'Παραδοχές διείσδυσης - κάλυψης'!I85,0)</f>
        <v>0.46190687361419069</v>
      </c>
      <c r="P207" s="161">
        <f t="shared" si="65"/>
        <v>1.3722627737226345E-2</v>
      </c>
      <c r="Q207" s="191">
        <f>IFERROR('Ενεργές συνδέσεις'!AC23/'Παραδοχές διείσδυσης - κάλυψης'!J85,0)</f>
        <v>0.41480955455132351</v>
      </c>
      <c r="R207" s="161">
        <f t="shared" si="66"/>
        <v>-0.10196280192661818</v>
      </c>
      <c r="S207" s="191">
        <f>IFERROR('Ενεργές συνδέσεις'!AH23/'Παραδοχές διείσδυσης - κάλυψης'!K85,0)</f>
        <v>0.41495619524405514</v>
      </c>
      <c r="T207" s="161">
        <f t="shared" si="67"/>
        <v>3.535132957345657E-4</v>
      </c>
      <c r="U207" s="191">
        <f>IFERROR('Ενεργές συνδέσεις'!AM23/'Παραδοχές διείσδυσης - κάλυψης'!L85,0)</f>
        <v>0.38447878617589221</v>
      </c>
      <c r="V207" s="161">
        <f t="shared" si="68"/>
        <v>-7.3447292551537258E-2</v>
      </c>
      <c r="W207" s="191">
        <f>IFERROR('Ενεργές συνδέσεις'!AR23/'Παραδοχές διείσδυσης - κάλυψης'!M85,0)</f>
        <v>0.38095857026807484</v>
      </c>
      <c r="X207" s="161">
        <f t="shared" si="69"/>
        <v>-9.155813101758321E-3</v>
      </c>
      <c r="Y207" s="192">
        <f t="shared" si="70"/>
        <v>-4.7026485271600249E-2</v>
      </c>
    </row>
    <row r="208" spans="1:33" outlineLevel="1" x14ac:dyDescent="0.35">
      <c r="B208" s="48" t="s">
        <v>84</v>
      </c>
      <c r="C208" s="62" t="s">
        <v>253</v>
      </c>
      <c r="D208" s="190">
        <f>'Ενεργές συνδέσεις'!E24/'Παραδοχές διείσδυσης - κάλυψης'!D86</f>
        <v>0.34109272320292677</v>
      </c>
      <c r="E208" s="191">
        <f>IFERROR('Ενεργές συνδέσεις'!G24/'Παραδοχές διείσδυσης - κάλυψης'!E86,0)</f>
        <v>0.37947684614380245</v>
      </c>
      <c r="F208" s="161">
        <f t="shared" si="61"/>
        <v>0.11253281096248939</v>
      </c>
      <c r="G208" s="191">
        <f>IFERROR('Ενεργές συνδέσεις'!J24/'Παραδοχές διείσδυσης - κάλυψης'!F86,0)</f>
        <v>0.37301665210507973</v>
      </c>
      <c r="H208" s="161">
        <f t="shared" si="62"/>
        <v>-1.7023947849178225E-2</v>
      </c>
      <c r="I208" s="191">
        <f>IFERROR('Ενεργές συνδέσεις'!M24/'Παραδοχές διείσδυσης - κάλυψης'!G86,0)</f>
        <v>0.35895823877324096</v>
      </c>
      <c r="J208" s="161">
        <f t="shared" si="63"/>
        <v>-3.7688433619522378E-2</v>
      </c>
      <c r="K208" s="191">
        <f>IFERROR('Ενεργές συνδέσεις'!P24/'Παραδοχές διείσδυσης - κάλυψης'!H86,0)</f>
        <v>0.35756897837434748</v>
      </c>
      <c r="L208" s="161">
        <f t="shared" si="64"/>
        <v>-3.8702563385683781E-3</v>
      </c>
      <c r="M208" s="192">
        <f t="shared" si="60"/>
        <v>1.1863300858082404E-2</v>
      </c>
      <c r="O208" s="191">
        <f>IFERROR('Ενεργές συνδέσεις'!X24/'Παραδοχές διείσδυσης - κάλυψης'!I86,0)</f>
        <v>0.35014119308153901</v>
      </c>
      <c r="P208" s="161">
        <f t="shared" si="65"/>
        <v>-2.0773013717739628E-2</v>
      </c>
      <c r="Q208" s="191">
        <f>IFERROR('Ενεργές συνδέσεις'!AC24/'Παραδοχές διείσδυσης - κάλυψης'!J86,0)</f>
        <v>0.34673848193569773</v>
      </c>
      <c r="R208" s="161">
        <f t="shared" si="66"/>
        <v>-9.7181114735302825E-3</v>
      </c>
      <c r="S208" s="191">
        <f>IFERROR('Ενεργές συνδέσεις'!AH24/'Παραδοχές διείσδυσης - κάλυψης'!K86,0)</f>
        <v>0.34180163785259327</v>
      </c>
      <c r="T208" s="161">
        <f t="shared" si="67"/>
        <v>-1.4237946868614357E-2</v>
      </c>
      <c r="U208" s="191">
        <f>IFERROR('Ενεργές συνδέσεις'!AM24/'Παραδοχές διείσδυσης - κάλυψης'!L86,0)</f>
        <v>0.34088820397870556</v>
      </c>
      <c r="V208" s="161">
        <f t="shared" si="68"/>
        <v>-2.6724092945442078E-3</v>
      </c>
      <c r="W208" s="191">
        <f>IFERROR('Ενεργές συνδέσεις'!AR24/'Παραδοχές διείσδυσης - κάλυψης'!M86,0)</f>
        <v>0.35647545504688366</v>
      </c>
      <c r="X208" s="161">
        <f t="shared" si="69"/>
        <v>4.5725404652464288E-2</v>
      </c>
      <c r="Y208" s="192">
        <f t="shared" si="70"/>
        <v>4.4922866383310112E-3</v>
      </c>
    </row>
    <row r="209" spans="2:25" outlineLevel="1" x14ac:dyDescent="0.35">
      <c r="B209" s="48" t="s">
        <v>85</v>
      </c>
      <c r="C209" s="62" t="s">
        <v>253</v>
      </c>
      <c r="D209" s="190">
        <f>'Ενεργές συνδέσεις'!E25/'Παραδοχές διείσδυσης - κάλυψης'!D87</f>
        <v>0.43460560948781463</v>
      </c>
      <c r="E209" s="191">
        <f>IFERROR('Ενεργές συνδέσεις'!G25/'Παραδοχές διείσδυσης - κάλυψης'!E87,0)</f>
        <v>0.43754253920815994</v>
      </c>
      <c r="F209" s="161">
        <f t="shared" si="61"/>
        <v>6.7576893998365683E-3</v>
      </c>
      <c r="G209" s="191">
        <f>IFERROR('Ενεργές συνδέσεις'!J25/'Παραδοχές διείσδυσης - κάλυψης'!F87,0)</f>
        <v>0.49865654667474779</v>
      </c>
      <c r="H209" s="161">
        <f t="shared" si="62"/>
        <v>0.13967557892128288</v>
      </c>
      <c r="I209" s="191">
        <f>IFERROR('Ενεργές συνδέσεις'!M25/'Παραδοχές διείσδυσης - κάλυψης'!G87,0)</f>
        <v>0.5166242443015614</v>
      </c>
      <c r="J209" s="161">
        <f t="shared" si="63"/>
        <v>3.6032210439489447E-2</v>
      </c>
      <c r="K209" s="191">
        <f>IFERROR('Ενεργές συνδέσεις'!P25/'Παραδοχές διείσδυσης - κάλυψης'!H87,0)</f>
        <v>0.52072232089994075</v>
      </c>
      <c r="L209" s="161">
        <f t="shared" si="64"/>
        <v>7.9324124711174851E-3</v>
      </c>
      <c r="M209" s="192">
        <f t="shared" si="60"/>
        <v>4.623131939491687E-2</v>
      </c>
      <c r="O209" s="191">
        <f>IFERROR('Ενεργές συνδέσεις'!X25/'Παραδοχές διείσδυσης - κάλυψης'!I87,0)</f>
        <v>0.53582398109864149</v>
      </c>
      <c r="P209" s="161">
        <f t="shared" si="65"/>
        <v>2.9001369045600398E-2</v>
      </c>
      <c r="Q209" s="191">
        <f>IFERROR('Ενεργές συνδέσεις'!AC25/'Παραδοχές διείσδυσης - κάλυψης'!J87,0)</f>
        <v>0.5479953717095748</v>
      </c>
      <c r="R209" s="161">
        <f t="shared" si="66"/>
        <v>2.2715277852957162E-2</v>
      </c>
      <c r="S209" s="191">
        <f>IFERROR('Ενεργές συνδέσεις'!AH25/'Παραδοχές διείσδυσης - κάλυψης'!K87,0)</f>
        <v>0.57069713624529939</v>
      </c>
      <c r="T209" s="161">
        <f t="shared" si="67"/>
        <v>4.1426927502876819E-2</v>
      </c>
      <c r="U209" s="191">
        <f>IFERROR('Ενεργές συνδέσεις'!AM25/'Παραδοχές διείσδυσης - κάλυψης'!L87,0)</f>
        <v>0.58629864514269248</v>
      </c>
      <c r="V209" s="161">
        <f t="shared" si="68"/>
        <v>2.7337633057067219E-2</v>
      </c>
      <c r="W209" s="191">
        <f>IFERROR('Ενεργές συνδέσεις'!AR25/'Παραδοχές διείσδυσης - κάλυψης'!M87,0)</f>
        <v>0.59662940670679288</v>
      </c>
      <c r="X209" s="161">
        <f t="shared" si="69"/>
        <v>1.76203060499758E-2</v>
      </c>
      <c r="Y209" s="192">
        <f t="shared" si="70"/>
        <v>2.7236936690162805E-2</v>
      </c>
    </row>
    <row r="210" spans="2:25" outlineLevel="1" x14ac:dyDescent="0.35">
      <c r="B210" s="48" t="s">
        <v>86</v>
      </c>
      <c r="C210" s="62" t="s">
        <v>253</v>
      </c>
      <c r="D210" s="190">
        <f>'Ενεργές συνδέσεις'!E26/'Παραδοχές διείσδυσης - κάλυψης'!D88</f>
        <v>0.40766779777846995</v>
      </c>
      <c r="E210" s="191">
        <f>IFERROR('Ενεργές συνδέσεις'!G26/'Παραδοχές διείσδυσης - κάλυψης'!E88,0)</f>
        <v>0.43073238084134219</v>
      </c>
      <c r="F210" s="161">
        <f t="shared" si="61"/>
        <v>5.6576906953552705E-2</v>
      </c>
      <c r="G210" s="191">
        <f>IFERROR('Ενεργές συνδέσεις'!J26/'Παραδοχές διείσδυσης - κάλυψης'!F88,0)</f>
        <v>0.38833377024649862</v>
      </c>
      <c r="H210" s="161">
        <f t="shared" si="62"/>
        <v>-9.8433766488665392E-2</v>
      </c>
      <c r="I210" s="191">
        <f>IFERROR('Ενεργές συνδέσεις'!M26/'Παραδοχές διείσδυσης - κάλυψης'!G88,0)</f>
        <v>0.39155553750307848</v>
      </c>
      <c r="J210" s="161">
        <f t="shared" si="63"/>
        <v>8.296387034624382E-3</v>
      </c>
      <c r="K210" s="191">
        <f>IFERROR('Ενεργές συνδέσεις'!P26/'Παραδοχές διείσδυσης - κάλυψης'!H88,0)</f>
        <v>0.41226415094339625</v>
      </c>
      <c r="L210" s="161">
        <f t="shared" si="64"/>
        <v>5.2888061735443991E-2</v>
      </c>
      <c r="M210" s="192">
        <f t="shared" si="60"/>
        <v>2.8068481818659397E-3</v>
      </c>
      <c r="O210" s="191">
        <f>IFERROR('Ενεργές συνδέσεις'!X26/'Παραδοχές διείσδυσης - κάλυψης'!I88,0)</f>
        <v>0.42779333955804544</v>
      </c>
      <c r="P210" s="161">
        <f t="shared" si="65"/>
        <v>3.7668054763222297E-2</v>
      </c>
      <c r="Q210" s="191">
        <f>IFERROR('Ενεργές συνδέσεις'!AC26/'Παραδοχές διείσδυσης - κάλυψης'!J88,0)</f>
        <v>0.42080000000000001</v>
      </c>
      <c r="R210" s="161">
        <f t="shared" si="66"/>
        <v>-1.6347471807930135E-2</v>
      </c>
      <c r="S210" s="191">
        <f>IFERROR('Ενεργές συνδέσεις'!AH26/'Παραδοχές διείσδυσης - κάλυψης'!K88,0)</f>
        <v>0.43847662141779792</v>
      </c>
      <c r="T210" s="161">
        <f t="shared" si="67"/>
        <v>4.2007180175375261E-2</v>
      </c>
      <c r="U210" s="191">
        <f>IFERROR('Ενεργές συνδέσεις'!AM26/'Παραδοχές διείσδυσης - κάλυψης'!L88,0)</f>
        <v>0.4690526568886752</v>
      </c>
      <c r="V210" s="161">
        <f t="shared" si="68"/>
        <v>6.9732418964575132E-2</v>
      </c>
      <c r="W210" s="191">
        <f>IFERROR('Ενεργές συνδέσεις'!AR26/'Παραδοχές διείσδυσης - κάλυψης'!M88,0)</f>
        <v>0.49615564932020639</v>
      </c>
      <c r="X210" s="161">
        <f t="shared" si="69"/>
        <v>5.778240893316975E-2</v>
      </c>
      <c r="Y210" s="192">
        <f t="shared" si="70"/>
        <v>3.7757738358034976E-2</v>
      </c>
    </row>
    <row r="211" spans="2:25" outlineLevel="1" x14ac:dyDescent="0.35">
      <c r="B211" s="48" t="s">
        <v>87</v>
      </c>
      <c r="C211" s="62" t="s">
        <v>253</v>
      </c>
      <c r="D211" s="190">
        <f>'Ενεργές συνδέσεις'!E27/'Παραδοχές διείσδυσης - κάλυψης'!D89</f>
        <v>0.41445409277594097</v>
      </c>
      <c r="E211" s="191">
        <f>IFERROR('Ενεργές συνδέσεις'!G27/'Παραδοχές διείσδυσης - κάλυψης'!E89,0)</f>
        <v>0.45773424208708607</v>
      </c>
      <c r="F211" s="161">
        <f t="shared" si="61"/>
        <v>0.10442688361758533</v>
      </c>
      <c r="G211" s="191">
        <f>IFERROR('Ενεργές συνδέσεις'!J27/'Παραδοχές διείσδυσης - κάλυψης'!F89,0)</f>
        <v>0.48359936193104813</v>
      </c>
      <c r="H211" s="161">
        <f t="shared" si="62"/>
        <v>5.6506849315068497E-2</v>
      </c>
      <c r="I211" s="191">
        <f>IFERROR('Ενεργές συνδέσεις'!M27/'Παραδοχές διείσδυσης - κάλυψης'!G89,0)</f>
        <v>0.49892683075127314</v>
      </c>
      <c r="J211" s="161">
        <f t="shared" si="63"/>
        <v>3.1694559643381845E-2</v>
      </c>
      <c r="K211" s="191">
        <f>IFERROR('Ενεργές συνδέσεις'!P27/'Παραδοχές διείσδυσης - κάλυψης'!H89,0)</f>
        <v>0.50154479917610706</v>
      </c>
      <c r="L211" s="161">
        <f t="shared" si="64"/>
        <v>5.2471991151324462E-3</v>
      </c>
      <c r="M211" s="192">
        <f t="shared" si="60"/>
        <v>4.883778493739066E-2</v>
      </c>
      <c r="O211" s="191">
        <f>IFERROR('Ενεργές συνδέσεις'!X27/'Παραδοχές διείσδυσης - κάλυψης'!I89,0)</f>
        <v>0.51473576192919446</v>
      </c>
      <c r="P211" s="161">
        <f t="shared" si="65"/>
        <v>2.6300667008722516E-2</v>
      </c>
      <c r="Q211" s="191">
        <f>IFERROR('Ενεργές συνδέσεις'!AC27/'Παραδοχές διείσδυσης - κάλυψης'!J89,0)</f>
        <v>0.51146200241254525</v>
      </c>
      <c r="R211" s="161">
        <f t="shared" si="66"/>
        <v>-6.3600778472810661E-3</v>
      </c>
      <c r="S211" s="191">
        <f>IFERROR('Ενεργές συνδέσεις'!AH27/'Παραδοχές διείσδυσης - κάλυψης'!K89,0)</f>
        <v>0.53986248492159228</v>
      </c>
      <c r="T211" s="161">
        <f t="shared" si="67"/>
        <v>5.5528039962075622E-2</v>
      </c>
      <c r="U211" s="191">
        <f>IFERROR('Ενεργές συνδέσεις'!AM27/'Παραδοχές διείσδυσης - κάλυψης'!L89,0)</f>
        <v>0.56034740651387216</v>
      </c>
      <c r="V211" s="161">
        <f t="shared" si="68"/>
        <v>3.7944702890876071E-2</v>
      </c>
      <c r="W211" s="191">
        <f>IFERROR('Ενεργές συνδέσεις'!AR27/'Παραδοχές διείσδυσης - κάλυψης'!M89,0)</f>
        <v>0.55502529898804043</v>
      </c>
      <c r="X211" s="161">
        <f t="shared" si="69"/>
        <v>-9.4978712562310674E-3</v>
      </c>
      <c r="Y211" s="192">
        <f t="shared" si="70"/>
        <v>1.9018595429064478E-2</v>
      </c>
    </row>
    <row r="212" spans="2:25" outlineLevel="1" x14ac:dyDescent="0.35">
      <c r="B212" s="48" t="s">
        <v>88</v>
      </c>
      <c r="C212" s="62" t="s">
        <v>253</v>
      </c>
      <c r="D212" s="190">
        <f>'Ενεργές συνδέσεις'!E28/'Παραδοχές διείσδυσης - κάλυψης'!D90</f>
        <v>0.35609071286023236</v>
      </c>
      <c r="E212" s="191">
        <f>IFERROR('Ενεργές συνδέσεις'!G28/'Παραδοχές διείσδυσης - κάλυψης'!E90,0)</f>
        <v>0.38835145869068521</v>
      </c>
      <c r="F212" s="161">
        <f t="shared" si="61"/>
        <v>9.0596987411787344E-2</v>
      </c>
      <c r="G212" s="191">
        <f>IFERROR('Ενεργές συνδέσεις'!J28/'Παραδοχές διείσδυσης - κάλυψης'!F90,0)</f>
        <v>0.41656781387717173</v>
      </c>
      <c r="H212" s="161">
        <f t="shared" si="62"/>
        <v>7.2656750876170462E-2</v>
      </c>
      <c r="I212" s="191">
        <f>IFERROR('Ενεργές συνδέσεις'!M28/'Παραδοχές διείσδυσης - κάλυψης'!G90,0)</f>
        <v>0.38230002967250881</v>
      </c>
      <c r="J212" s="161">
        <f t="shared" si="63"/>
        <v>-8.2262198525897265E-2</v>
      </c>
      <c r="K212" s="191">
        <f>IFERROR('Ενεργές συνδέσεις'!P28/'Παραδοχές διείσδυσης - κάλυψης'!H90,0)</f>
        <v>0.38027035725780495</v>
      </c>
      <c r="L212" s="161">
        <f t="shared" si="64"/>
        <v>-5.3091087030324091E-3</v>
      </c>
      <c r="M212" s="192">
        <f t="shared" si="60"/>
        <v>1.6559858383346171E-2</v>
      </c>
      <c r="O212" s="191">
        <f>IFERROR('Ενεργές συνδέσεις'!X28/'Παραδοχές διείσδυσης - κάλυψης'!I90,0)</f>
        <v>0.39262037184172893</v>
      </c>
      <c r="P212" s="161">
        <f t="shared" si="65"/>
        <v>3.247693213055592E-2</v>
      </c>
      <c r="Q212" s="191">
        <f>IFERROR('Ενεργές συνδέσεις'!AC28/'Παραδοχές διείσδυσης - κάλυψης'!J90,0)</f>
        <v>0.39020076764098027</v>
      </c>
      <c r="R212" s="161">
        <f t="shared" si="66"/>
        <v>-6.162706711826043E-3</v>
      </c>
      <c r="S212" s="191">
        <f>IFERROR('Ενεργές συνδέσεις'!AH28/'Παραδοχές διείσδυσης - κάλυψης'!K90,0)</f>
        <v>0.39290713695232848</v>
      </c>
      <c r="T212" s="161">
        <f t="shared" si="67"/>
        <v>6.9358379987563583E-3</v>
      </c>
      <c r="U212" s="191">
        <f>IFERROR('Ενεργές συνδέσεις'!AM28/'Παραδοχές διείσδυσης - κάλυψης'!L90,0)</f>
        <v>0.4164880132267843</v>
      </c>
      <c r="V212" s="161">
        <f t="shared" si="68"/>
        <v>6.0016411148359705E-2</v>
      </c>
      <c r="W212" s="191">
        <f>IFERROR('Ενεργές συνδέσεις'!AR28/'Παραδοχές διείσδυσης - κάλυψης'!M90,0)</f>
        <v>0.40910645410131141</v>
      </c>
      <c r="X212" s="161">
        <f t="shared" si="69"/>
        <v>-1.7723341107186957E-2</v>
      </c>
      <c r="Y212" s="192">
        <f t="shared" si="70"/>
        <v>1.0336110103144058E-2</v>
      </c>
    </row>
    <row r="213" spans="2:25" outlineLevel="1" x14ac:dyDescent="0.35">
      <c r="B213" s="48" t="s">
        <v>89</v>
      </c>
      <c r="C213" s="62" t="s">
        <v>253</v>
      </c>
      <c r="D213" s="190">
        <f>'Ενεργές συνδέσεις'!E29/'Παραδοχές διείσδυσης - κάλυψης'!D91</f>
        <v>0.3127295003608242</v>
      </c>
      <c r="E213" s="191">
        <f>IFERROR('Ενεργές συνδέσεις'!G29/'Παραδοχές διείσδυσης - κάλυψης'!E91,0)</f>
        <v>0.33911166141331817</v>
      </c>
      <c r="F213" s="161">
        <f t="shared" si="61"/>
        <v>8.4360960581123606E-2</v>
      </c>
      <c r="G213" s="191">
        <f>IFERROR('Ενεργές συνδέσεις'!J29/'Παραδοχές διείσδυσης - κάλυψης'!F91,0)</f>
        <v>0.36460910034558397</v>
      </c>
      <c r="H213" s="161">
        <f t="shared" si="62"/>
        <v>7.5188918086744466E-2</v>
      </c>
      <c r="I213" s="191">
        <f>IFERROR('Ενεργές συνδέσεις'!M29/'Παραδοχές διείσδυσης - κάλυψης'!G91,0)</f>
        <v>0.37257345154893418</v>
      </c>
      <c r="J213" s="161">
        <f t="shared" si="63"/>
        <v>2.1843533789478734E-2</v>
      </c>
      <c r="K213" s="191">
        <f>IFERROR('Ενεργές συνδέσεις'!P29/'Παραδοχές διείσδυσης - κάλυψης'!H91,0)</f>
        <v>0.38342087234528432</v>
      </c>
      <c r="L213" s="161">
        <f t="shared" si="64"/>
        <v>2.911485171917956E-2</v>
      </c>
      <c r="M213" s="192">
        <f t="shared" si="60"/>
        <v>5.22688759016261E-2</v>
      </c>
      <c r="O213" s="191">
        <f>IFERROR('Ενεργές συνδέσεις'!X29/'Παραδοχές διείσδυσης - κάλυψης'!I91,0)</f>
        <v>0.38655141445891333</v>
      </c>
      <c r="P213" s="161">
        <f t="shared" si="65"/>
        <v>8.1647670730085938E-3</v>
      </c>
      <c r="Q213" s="191">
        <f>IFERROR('Ενεργές συνδέσεις'!AC29/'Παραδοχές διείσδυσης - κάλυψης'!J91,0)</f>
        <v>0.3926879823594267</v>
      </c>
      <c r="R213" s="161">
        <f t="shared" si="66"/>
        <v>1.5875166073582237E-2</v>
      </c>
      <c r="S213" s="191">
        <f>IFERROR('Ενεργές συνδέσεις'!AH29/'Παραδοχές διείσδυσης - κάλυψης'!K91,0)</f>
        <v>0.39194667795175625</v>
      </c>
      <c r="T213" s="161">
        <f t="shared" si="67"/>
        <v>-1.8877695294274026E-3</v>
      </c>
      <c r="U213" s="191">
        <f>IFERROR('Ενεργές συνδέσεις'!AM29/'Παραδοχές διείσδυσης - κάλυψης'!L91,0)</f>
        <v>0.38404653012527346</v>
      </c>
      <c r="V213" s="161">
        <f t="shared" si="68"/>
        <v>-2.015618009002542E-2</v>
      </c>
      <c r="W213" s="191">
        <f>IFERROR('Ενεργές συνδέσεις'!AR29/'Παραδοχές διείσδυσης - κάλυψης'!M91,0)</f>
        <v>0.39153801055305842</v>
      </c>
      <c r="X213" s="161">
        <f t="shared" si="69"/>
        <v>1.9506699944252321E-2</v>
      </c>
      <c r="Y213" s="192">
        <f t="shared" si="70"/>
        <v>3.2095684969868365E-3</v>
      </c>
    </row>
    <row r="214" spans="2:25" outlineLevel="1" x14ac:dyDescent="0.35">
      <c r="B214" s="48" t="s">
        <v>90</v>
      </c>
      <c r="C214" s="62" t="s">
        <v>253</v>
      </c>
      <c r="D214" s="190">
        <f>'Ενεργές συνδέσεις'!E30/'Παραδοχές διείσδυσης - κάλυψης'!D92</f>
        <v>7.3496525228571141E-2</v>
      </c>
      <c r="E214" s="191">
        <f>IFERROR('Ενεργές συνδέσεις'!G30/'Παραδοχές διείσδυσης - κάλυψης'!E92,0)</f>
        <v>7.669202632546554E-2</v>
      </c>
      <c r="F214" s="161">
        <f t="shared" si="61"/>
        <v>4.3478260869565237E-2</v>
      </c>
      <c r="G214" s="191">
        <f>IFERROR('Ενεργές συνδέσεις'!J30/'Παραδοχές διείσδυσης - κάλυψης'!F92,0)</f>
        <v>7.669202632546554E-2</v>
      </c>
      <c r="H214" s="161">
        <f t="shared" si="62"/>
        <v>0</v>
      </c>
      <c r="I214" s="191">
        <f>IFERROR('Ενεργές συνδέσεις'!M30/'Παραδοχές διείσδυσης - κάλυψης'!G92,0)</f>
        <v>8.3083028519254337E-2</v>
      </c>
      <c r="J214" s="161">
        <f t="shared" si="63"/>
        <v>8.333333333333337E-2</v>
      </c>
      <c r="K214" s="191">
        <f>IFERROR('Ενεργές συνδέσεις'!P30/'Παραδοχές διείσδυσης - κάλυψης'!H92,0)</f>
        <v>8.3601286173633438E-2</v>
      </c>
      <c r="L214" s="161">
        <f t="shared" si="64"/>
        <v>6.2378281535439622E-3</v>
      </c>
      <c r="M214" s="192">
        <f t="shared" si="60"/>
        <v>3.2729393317778799E-2</v>
      </c>
      <c r="O214" s="191">
        <f>IFERROR('Ενεργές συνδέσεις'!X30/'Παραδοχές διείσδυσης - κάλυψης'!I92,0)</f>
        <v>8.457943925233645E-2</v>
      </c>
      <c r="P214" s="161">
        <f t="shared" si="65"/>
        <v>1.1700215672178334E-2</v>
      </c>
      <c r="Q214" s="191">
        <f>IFERROR('Ενεργές συνδέσεις'!AC30/'Παραδοχές διείσδυσης - κάλυψης'!J92,0)</f>
        <v>7.5496183206106876E-2</v>
      </c>
      <c r="R214" s="161">
        <f t="shared" si="66"/>
        <v>-0.10739319303276955</v>
      </c>
      <c r="S214" s="191">
        <f>IFERROR('Ενεργές συνδέσεις'!AH30/'Παραδοχές διείσδυσης - κάλυψης'!K92,0)</f>
        <v>8.3104325699745532E-2</v>
      </c>
      <c r="T214" s="161">
        <f t="shared" si="67"/>
        <v>0.10077519379844933</v>
      </c>
      <c r="U214" s="191">
        <f>IFERROR('Ενεργές συνδέσεις'!AM30/'Παραδοχές διείσδυσης - κάλυψης'!L92,0)</f>
        <v>6.9981651376146786E-2</v>
      </c>
      <c r="V214" s="161">
        <f t="shared" si="68"/>
        <v>-0.15790603212413681</v>
      </c>
      <c r="W214" s="191">
        <f>IFERROR('Ενεργές συνδέσεις'!AR30/'Παραδοχές διείσδυσης - κάλυψης'!M92,0)</f>
        <v>7.9871559633027528E-2</v>
      </c>
      <c r="X214" s="161">
        <f t="shared" si="69"/>
        <v>0.14132144729942328</v>
      </c>
      <c r="Y214" s="192">
        <f t="shared" si="70"/>
        <v>-1.4215827755872712E-2</v>
      </c>
    </row>
    <row r="215" spans="2:25" outlineLevel="1" x14ac:dyDescent="0.35">
      <c r="B215" s="294" t="s">
        <v>91</v>
      </c>
      <c r="C215" s="62" t="s">
        <v>253</v>
      </c>
      <c r="D215" s="190">
        <f>'Ενεργές συνδέσεις'!E31/'Παραδοχές διείσδυσης - κάλυψης'!D93</f>
        <v>0.10128913562412001</v>
      </c>
      <c r="E215" s="191">
        <f>IFERROR('Ενεργές συνδέσεις'!G31/'Παραδοχές διείσδυσης - κάλυψης'!E93,0)</f>
        <v>0.11668508423898624</v>
      </c>
      <c r="F215" s="161">
        <f t="shared" si="61"/>
        <v>0.15199999999999994</v>
      </c>
      <c r="G215" s="191">
        <f>IFERROR('Ενεργές συνδέσεις'!J31/'Παραδοχές διείσδυσης - κάλυψης'!F93,0)</f>
        <v>0.1292026412240502</v>
      </c>
      <c r="H215" s="161">
        <f t="shared" si="62"/>
        <v>0.10727641040586108</v>
      </c>
      <c r="I215" s="191">
        <f>IFERROR('Ενεργές συνδέσεις'!M31/'Παραδοχές διείσδυσης - κάλυψης'!G93,0)</f>
        <v>0.13311787277629414</v>
      </c>
      <c r="J215" s="161">
        <f t="shared" si="63"/>
        <v>3.0303030303030231E-2</v>
      </c>
      <c r="K215" s="191">
        <f>IFERROR('Ενεργές συνδέσεις'!P31/'Παραδοχές διείσδυσης - κάλυψης'!H93,0)</f>
        <v>0.13629283489096572</v>
      </c>
      <c r="L215" s="161">
        <f t="shared" si="64"/>
        <v>2.3850757591410251E-2</v>
      </c>
      <c r="M215" s="192">
        <f t="shared" si="60"/>
        <v>7.7029354027170038E-2</v>
      </c>
      <c r="O215" s="191">
        <f>IFERROR('Ενεργές συνδέσεις'!X31/'Παραδοχές διείσδυσης - κάλυψης'!I93,0)</f>
        <v>0.12583745583038869</v>
      </c>
      <c r="P215" s="161">
        <f t="shared" si="65"/>
        <v>-7.6712609793033765E-2</v>
      </c>
      <c r="Q215" s="191">
        <f>IFERROR('Ενεργές συνδέσεις'!AC31/'Παραδοχές διείσδυσης - κάλυψης'!J93,0)</f>
        <v>0.12481532147742817</v>
      </c>
      <c r="R215" s="161">
        <f t="shared" si="66"/>
        <v>-8.12265589935488E-3</v>
      </c>
      <c r="S215" s="191">
        <f>IFERROR('Ενεργές συνδέσεις'!AH31/'Παραδοχές διείσδυσης - κάλυψης'!K93,0)</f>
        <v>0.12522546419098143</v>
      </c>
      <c r="T215" s="161">
        <f t="shared" si="67"/>
        <v>3.2859965323041797E-3</v>
      </c>
      <c r="U215" s="191">
        <f>IFERROR('Ενεργές συνδέσεις'!AM31/'Παραδοχές διείσδυσης - κάλυψης'!L93,0)</f>
        <v>0.12881299734748011</v>
      </c>
      <c r="V215" s="161">
        <f t="shared" si="68"/>
        <v>2.8648591400127134E-2</v>
      </c>
      <c r="W215" s="191">
        <f>IFERROR('Ενεργές συνδέσεις'!AR31/'Παραδοχές διείσδυσης - κάλυψης'!M93,0)</f>
        <v>0.12841698841698843</v>
      </c>
      <c r="X215" s="161">
        <f t="shared" si="69"/>
        <v>-3.0742932673434435E-3</v>
      </c>
      <c r="Y215" s="192">
        <f t="shared" si="70"/>
        <v>5.085801505593901E-3</v>
      </c>
    </row>
    <row r="216" spans="2:25" outlineLevel="1" x14ac:dyDescent="0.35">
      <c r="B216" s="294" t="s">
        <v>92</v>
      </c>
      <c r="C216" s="62" t="s">
        <v>253</v>
      </c>
      <c r="D216" s="190">
        <f>'Ενεργές συνδέσεις'!E32/'Παραδοχές διείσδυσης - κάλυψης'!D94</f>
        <v>0.26405471747729725</v>
      </c>
      <c r="E216" s="191">
        <f>IFERROR('Ενεργές συνδέσεις'!G32/'Παραδοχές διείσδυσης - κάλυψης'!E94,0)</f>
        <v>0.22761428756444771</v>
      </c>
      <c r="F216" s="161">
        <f t="shared" si="61"/>
        <v>-0.13800332848051691</v>
      </c>
      <c r="G216" s="191">
        <f>IFERROR('Ενεργές συνδέσεις'!J32/'Παραδοχές διείσδυσης - κάλυψης'!F94,0)</f>
        <v>0.2549233096541173</v>
      </c>
      <c r="H216" s="161">
        <f t="shared" si="62"/>
        <v>0.11997938434307291</v>
      </c>
      <c r="I216" s="191">
        <f>IFERROR('Ενεργές συνδέσεις'!M32/'Παραδοχές διείσδυσης - κάλυψης'!G94,0)</f>
        <v>0.2715183172629736</v>
      </c>
      <c r="J216" s="161">
        <f t="shared" si="63"/>
        <v>6.5098039215686396E-2</v>
      </c>
      <c r="K216" s="191">
        <f>IFERROR('Ενεργές συνδέσεις'!P32/'Παραδοχές διείσδυσης - κάλυψης'!H94,0)</f>
        <v>0.26156357699981864</v>
      </c>
      <c r="L216" s="161">
        <f t="shared" si="64"/>
        <v>-3.6663236438348637E-2</v>
      </c>
      <c r="M216" s="192">
        <f t="shared" si="60"/>
        <v>-2.3669360300163644E-3</v>
      </c>
      <c r="O216" s="191">
        <f>IFERROR('Ενεργές συνδέσεις'!X32/'Παραδοχές διείσδυσης - κάλυψης'!I94,0)</f>
        <v>0.27406368735299441</v>
      </c>
      <c r="P216" s="161">
        <f t="shared" si="65"/>
        <v>4.7789950330830819E-2</v>
      </c>
      <c r="Q216" s="191">
        <f>IFERROR('Ενεργές συνδέσεις'!AC32/'Παραδοχές διείσδυσης - κάλυψης'!J94,0)</f>
        <v>0.28604692185570646</v>
      </c>
      <c r="R216" s="161">
        <f t="shared" si="66"/>
        <v>4.3724269415078058E-2</v>
      </c>
      <c r="S216" s="191">
        <f>IFERROR('Ενεργές συνδέσεις'!AH32/'Παραδοχές διείσδυσης - κάλυψης'!K94,0)</f>
        <v>0.2999467079250473</v>
      </c>
      <c r="T216" s="161">
        <f t="shared" si="67"/>
        <v>4.8592678359085595E-2</v>
      </c>
      <c r="U216" s="191">
        <f>IFERROR('Ενεργές συνδέσεις'!AM32/'Παραδοχές διείσδυσης - κάλυψης'!L94,0)</f>
        <v>0.31722537390407424</v>
      </c>
      <c r="V216" s="161">
        <f t="shared" si="68"/>
        <v>5.7605786369706216E-2</v>
      </c>
      <c r="W216" s="191">
        <f>IFERROR('Ενεργές συνδέσεις'!AR32/'Παραδοχές διείσδυσης - κάλυψης'!M94,0)</f>
        <v>0.32784423994546691</v>
      </c>
      <c r="X216" s="161">
        <f t="shared" si="69"/>
        <v>3.3474201356300429E-2</v>
      </c>
      <c r="Y216" s="192">
        <f t="shared" si="70"/>
        <v>4.5812950043058187E-2</v>
      </c>
    </row>
    <row r="217" spans="2:25" outlineLevel="1" x14ac:dyDescent="0.35">
      <c r="B217" s="294" t="s">
        <v>93</v>
      </c>
      <c r="C217" s="62" t="s">
        <v>253</v>
      </c>
      <c r="D217" s="190">
        <f>'Ενεργές συνδέσεις'!E33/'Παραδοχές διείσδυσης - κάλυψης'!D95</f>
        <v>0.44241485655751389</v>
      </c>
      <c r="E217" s="191">
        <f>IFERROR('Ενεργές συνδέσεις'!G33/'Παραδοχές διείσδυσης - κάλυψης'!E95,0)</f>
        <v>0.41433093472658067</v>
      </c>
      <c r="F217" s="161">
        <f t="shared" si="61"/>
        <v>-6.3478704240309158E-2</v>
      </c>
      <c r="G217" s="191">
        <f>IFERROR('Ενεργές συνδέσεις'!J33/'Παραδοχές διείσδυσης - κάλυψης'!F95,0)</f>
        <v>0.40752096357544393</v>
      </c>
      <c r="H217" s="161">
        <f t="shared" si="62"/>
        <v>-1.6436067356714937E-2</v>
      </c>
      <c r="I217" s="191">
        <f>IFERROR('Ενεργές συνδέσεις'!M33/'Παραδοχές διείσδυσης - κάλυψης'!G95,0)</f>
        <v>0.44312642107200451</v>
      </c>
      <c r="J217" s="161">
        <f t="shared" si="63"/>
        <v>8.7370861082018858E-2</v>
      </c>
      <c r="K217" s="191">
        <f>IFERROR('Ενεργές συνδέσεις'!P33/'Παραδοχές διείσδυσης - κάλυψης'!H95,0)</f>
        <v>0.45495652173913043</v>
      </c>
      <c r="L217" s="161">
        <f t="shared" si="64"/>
        <v>2.6696897554667864E-2</v>
      </c>
      <c r="M217" s="192">
        <f t="shared" si="60"/>
        <v>7.0129328449533013E-3</v>
      </c>
      <c r="O217" s="191">
        <f>IFERROR('Ενεργές συνδέσεις'!X33/'Παραδοχές διείσδυσης - κάλυψης'!I95,0)</f>
        <v>0.48303827751196171</v>
      </c>
      <c r="P217" s="161">
        <f t="shared" si="65"/>
        <v>6.1724042696399042E-2</v>
      </c>
      <c r="Q217" s="191">
        <f>IFERROR('Ενεργές συνδέσεις'!AC33/'Παραδοχές διείσδυσης - κάλυψης'!J95,0)</f>
        <v>0.51890783863561818</v>
      </c>
      <c r="R217" s="161">
        <f t="shared" si="66"/>
        <v>7.4258216778210109E-2</v>
      </c>
      <c r="S217" s="191">
        <f>IFERROR('Ενεργές συνδέσεις'!AH33/'Παραδοχές διείσδυσης - κάλυψης'!K95,0)</f>
        <v>0.54076989869753977</v>
      </c>
      <c r="T217" s="161">
        <f t="shared" si="67"/>
        <v>4.2130911183389026E-2</v>
      </c>
      <c r="U217" s="191">
        <f>IFERROR('Ενεργές συνδέσεις'!AM33/'Παραδοχές διείσδυσης - κάλυψης'!L95,0)</f>
        <v>0.60559787174460944</v>
      </c>
      <c r="V217" s="161">
        <f t="shared" si="68"/>
        <v>0.11988088316899619</v>
      </c>
      <c r="W217" s="191">
        <f>IFERROR('Ενεργές συνδέσεις'!AR33/'Παραδοχές διείσδυσης - κάλυψης'!M95,0)</f>
        <v>0.65385555253869132</v>
      </c>
      <c r="X217" s="161">
        <f t="shared" si="69"/>
        <v>7.9686014508374856E-2</v>
      </c>
      <c r="Y217" s="192">
        <f t="shared" si="70"/>
        <v>7.8636388177339311E-2</v>
      </c>
    </row>
    <row r="218" spans="2:25" outlineLevel="1" x14ac:dyDescent="0.35">
      <c r="B218" s="294" t="s">
        <v>94</v>
      </c>
      <c r="C218" s="62" t="s">
        <v>253</v>
      </c>
      <c r="D218" s="190">
        <f>'Ενεργές συνδέσεις'!E34/'Παραδοχές διείσδυσης - κάλυψης'!D96</f>
        <v>0.36597927053154239</v>
      </c>
      <c r="E218" s="191">
        <f>IFERROR('Ενεργές συνδέσεις'!G34/'Παραδοχές διείσδυσης - κάλυψης'!E96,0)</f>
        <v>0.39476250513011257</v>
      </c>
      <c r="F218" s="161">
        <f t="shared" si="61"/>
        <v>7.864717189245686E-2</v>
      </c>
      <c r="G218" s="191">
        <f>IFERROR('Ενεργές συνδέσεις'!J34/'Παραδοχές διείσδυσης - κάλυψης'!F96,0)</f>
        <v>0.41503548126219064</v>
      </c>
      <c r="H218" s="161">
        <f t="shared" si="62"/>
        <v>5.1354867467456551E-2</v>
      </c>
      <c r="I218" s="191">
        <f>IFERROR('Ενεργές συνδέσεις'!M34/'Παραδοχές διείσδυσης - κάλυψης'!G96,0)</f>
        <v>0.4258219177956678</v>
      </c>
      <c r="J218" s="161">
        <f t="shared" si="63"/>
        <v>2.5989191335337999E-2</v>
      </c>
      <c r="K218" s="191">
        <f>IFERROR('Ενεργές συνδέσεις'!P34/'Παραδοχές διείσδυσης - κάλυψης'!H96,0)</f>
        <v>0.40821174075330846</v>
      </c>
      <c r="L218" s="161">
        <f t="shared" si="64"/>
        <v>-4.1355731836259423E-2</v>
      </c>
      <c r="M218" s="192">
        <f t="shared" si="60"/>
        <v>2.7678453395257874E-2</v>
      </c>
      <c r="O218" s="191">
        <f>IFERROR('Ενεργές συνδέσεις'!X34/'Παραδοχές διείσδυσης - κάλυψης'!I96,0)</f>
        <v>0.4199203794680671</v>
      </c>
      <c r="P218" s="161">
        <f t="shared" si="65"/>
        <v>2.8682758347791933E-2</v>
      </c>
      <c r="Q218" s="191">
        <f>IFERROR('Ενεργές συνδέσεις'!AC34/'Παραδοχές διείσδυσης - κάλυψης'!J96,0)</f>
        <v>0.41875967741935483</v>
      </c>
      <c r="R218" s="161">
        <f t="shared" si="66"/>
        <v>-2.7641003044019579E-3</v>
      </c>
      <c r="S218" s="191">
        <f>IFERROR('Ενεργές συνδέσεις'!AH34/'Παραδοχές διείσδυσης - κάλυψης'!K96,0)</f>
        <v>0.42679469164715067</v>
      </c>
      <c r="T218" s="161">
        <f t="shared" si="67"/>
        <v>1.9187650246825009E-2</v>
      </c>
      <c r="U218" s="191">
        <f>IFERROR('Ενεργές συνδέσεις'!AM34/'Παραδοχές διείσδυσης - κάλυψης'!L96,0)</f>
        <v>0.42912528132033007</v>
      </c>
      <c r="V218" s="161">
        <f t="shared" si="68"/>
        <v>5.4606810224954554E-3</v>
      </c>
      <c r="W218" s="191">
        <f>IFERROR('Ενεργές συνδέσεις'!AR34/'Παραδοχές διείσδυσης - κάλυψης'!M96,0)</f>
        <v>0.43433976044405487</v>
      </c>
      <c r="X218" s="161">
        <f t="shared" si="69"/>
        <v>1.2151414402062084E-2</v>
      </c>
      <c r="Y218" s="192">
        <f t="shared" si="70"/>
        <v>8.476212723753207E-3</v>
      </c>
    </row>
    <row r="219" spans="2:25" outlineLevel="1" x14ac:dyDescent="0.35">
      <c r="B219" s="294" t="s">
        <v>95</v>
      </c>
      <c r="C219" s="62" t="s">
        <v>253</v>
      </c>
      <c r="D219" s="190">
        <f>'Ενεργές συνδέσεις'!E35/'Παραδοχές διείσδυσης - κάλυψης'!D97</f>
        <v>0.46956284500989781</v>
      </c>
      <c r="E219" s="191">
        <f>IFERROR('Ενεργές συνδέσεις'!G35/'Παραδοχές διείσδυσης - κάλυψης'!E97,0)</f>
        <v>0.496606691281753</v>
      </c>
      <c r="F219" s="161">
        <f t="shared" si="61"/>
        <v>5.7593667299816145E-2</v>
      </c>
      <c r="G219" s="191">
        <f>IFERROR('Ενεργές συνδέσεις'!J35/'Παραδοχές διείσδυσης - κάλυψης'!F97,0)</f>
        <v>0.48788075698256073</v>
      </c>
      <c r="H219" s="161">
        <f t="shared" si="62"/>
        <v>-1.7571117047719274E-2</v>
      </c>
      <c r="I219" s="191">
        <f>IFERROR('Ενεργές συνδέσεις'!M35/'Παραδοχές διείσδυσης - κάλυψης'!G97,0)</f>
        <v>0.47487714868385106</v>
      </c>
      <c r="J219" s="161">
        <f t="shared" si="63"/>
        <v>-2.6653251050798219E-2</v>
      </c>
      <c r="K219" s="191">
        <f>IFERROR('Ενεργές συνδέσεις'!P35/'Παραδοχές διείσδυσης - κάλυψης'!H97,0)</f>
        <v>0.48372219207813349</v>
      </c>
      <c r="L219" s="161">
        <f t="shared" si="64"/>
        <v>1.8625961301353362E-2</v>
      </c>
      <c r="M219" s="192">
        <f t="shared" si="60"/>
        <v>7.4548031492853717E-3</v>
      </c>
      <c r="O219" s="191">
        <f>IFERROR('Ενεργές συνδέσεις'!X35/'Παραδοχές διείσδυσης - κάλυψης'!I97,0)</f>
        <v>0.49191403081914031</v>
      </c>
      <c r="P219" s="161">
        <f t="shared" si="65"/>
        <v>1.6935007066377527E-2</v>
      </c>
      <c r="Q219" s="191">
        <f>IFERROR('Ενεργές συνδέσεις'!AC35/'Παραδοχές διείσδυσης - κάλυψης'!J97,0)</f>
        <v>0.49429776021080368</v>
      </c>
      <c r="R219" s="161">
        <f t="shared" si="66"/>
        <v>4.8458251692759377E-3</v>
      </c>
      <c r="S219" s="191">
        <f>IFERROR('Ενεργές συνδέσεις'!AH35/'Παραδοχές διείσδυσης - κάλυψης'!K97,0)</f>
        <v>0.49308879332152789</v>
      </c>
      <c r="T219" s="161">
        <f t="shared" si="67"/>
        <v>-2.4458271645014296E-3</v>
      </c>
      <c r="U219" s="191">
        <f>IFERROR('Ενεργές συνδέσεις'!AM35/'Παραδοχές διείσδυσης - κάλυψης'!L97,0)</f>
        <v>0.49304527750730276</v>
      </c>
      <c r="V219" s="161">
        <f t="shared" si="68"/>
        <v>-8.8251476842529715E-5</v>
      </c>
      <c r="W219" s="191">
        <f>IFERROR('Ενεργές συνδέσεις'!AR35/'Παραδοχές διείσδυσης - κάλυψης'!M97,0)</f>
        <v>0.50737098344693277</v>
      </c>
      <c r="X219" s="161">
        <f t="shared" si="69"/>
        <v>2.9055558572747553E-2</v>
      </c>
      <c r="Y219" s="192">
        <f t="shared" si="70"/>
        <v>7.764612382675562E-3</v>
      </c>
    </row>
    <row r="220" spans="2:25" outlineLevel="1" x14ac:dyDescent="0.35">
      <c r="B220" s="294" t="s">
        <v>96</v>
      </c>
      <c r="C220" s="62" t="s">
        <v>253</v>
      </c>
      <c r="D220" s="190">
        <f>'Ενεργές συνδέσεις'!E36/'Παραδοχές διείσδυσης - κάλυψης'!D98</f>
        <v>0.40914427905491763</v>
      </c>
      <c r="E220" s="191">
        <f>IFERROR('Ενεργές συνδέσεις'!G36/'Παραδοχές διείσδυσης - κάλυψης'!E98,0)</f>
        <v>0.44179064032095544</v>
      </c>
      <c r="F220" s="161">
        <f t="shared" si="61"/>
        <v>7.9791806795997844E-2</v>
      </c>
      <c r="G220" s="191">
        <f>IFERROR('Ενεργές συνδέσεις'!J36/'Παραδοχές διείσδυσης - κάλυψης'!F98,0)</f>
        <v>0.47145084673683313</v>
      </c>
      <c r="H220" s="161">
        <f t="shared" si="62"/>
        <v>6.7136339498568634E-2</v>
      </c>
      <c r="I220" s="191">
        <f>IFERROR('Ενεργές συνδέσεις'!M36/'Παραδοχές διείσδυσης - κάλυψης'!G98,0)</f>
        <v>0.45375500125259494</v>
      </c>
      <c r="J220" s="161">
        <f t="shared" si="63"/>
        <v>-3.7534868389187827E-2</v>
      </c>
      <c r="K220" s="191">
        <f>IFERROR('Ενεργές συνδέσεις'!P36/'Παραδοχές διείσδυσης - κάλυψης'!H98,0)</f>
        <v>0.46223958333333331</v>
      </c>
      <c r="L220" s="161">
        <f t="shared" si="64"/>
        <v>1.8698597386952454E-2</v>
      </c>
      <c r="M220" s="192">
        <f t="shared" si="60"/>
        <v>3.0973880154052003E-2</v>
      </c>
      <c r="O220" s="191">
        <f>IFERROR('Ενεργές συνδέσεις'!X36/'Παραδοχές διείσδυσης - κάλυψης'!I98,0)</f>
        <v>0.47981336805555558</v>
      </c>
      <c r="P220" s="161">
        <f t="shared" si="65"/>
        <v>3.8018779342723096E-2</v>
      </c>
      <c r="Q220" s="191">
        <f>IFERROR('Ενεργές συνδέσεις'!AC36/'Παραδοχές διείσδυσης - κάλυψης'!J98,0)</f>
        <v>0.49129722921914359</v>
      </c>
      <c r="R220" s="161">
        <f t="shared" si="66"/>
        <v>2.3934016699297858E-2</v>
      </c>
      <c r="S220" s="191">
        <f>IFERROR('Ενεργές συνδέσεις'!AH36/'Παραδοχές διείσδυσης - κάλυψης'!K98,0)</f>
        <v>0.50179712460063897</v>
      </c>
      <c r="T220" s="161">
        <f t="shared" si="67"/>
        <v>2.1371778135577238E-2</v>
      </c>
      <c r="U220" s="191">
        <f>IFERROR('Ενεργές συνδέσεις'!AM36/'Παραδοχές διείσδυσης - κάλυψης'!L98,0)</f>
        <v>0.53147763578274754</v>
      </c>
      <c r="V220" s="161">
        <f t="shared" si="68"/>
        <v>5.9148428173497705E-2</v>
      </c>
      <c r="W220" s="191">
        <f>IFERROR('Ενεργές συνδέσεις'!AR36/'Παραδοχές διείσδυσης - κάλυψης'!M98,0)</f>
        <v>0.54152621359223296</v>
      </c>
      <c r="X220" s="161">
        <f t="shared" si="69"/>
        <v>1.8906868573474633E-2</v>
      </c>
      <c r="Y220" s="192">
        <f t="shared" si="70"/>
        <v>3.0710701428153797E-2</v>
      </c>
    </row>
    <row r="221" spans="2:25" outlineLevel="1" x14ac:dyDescent="0.35">
      <c r="B221" s="294" t="s">
        <v>97</v>
      </c>
      <c r="C221" s="62" t="s">
        <v>253</v>
      </c>
      <c r="D221" s="190">
        <f>'Ενεργές συνδέσεις'!E37/'Παραδοχές διείσδυσης - κάλυψης'!D99</f>
        <v>0.35960366300419716</v>
      </c>
      <c r="E221" s="191">
        <f>IFERROR('Ενεργές συνδέσεις'!G37/'Παραδοχές διείσδυσης - κάλυψης'!E99,0)</f>
        <v>0.3925185054313704</v>
      </c>
      <c r="F221" s="161">
        <f t="shared" si="61"/>
        <v>9.1530887511535361E-2</v>
      </c>
      <c r="G221" s="191">
        <f>IFERROR('Ενεργές συνδέσεις'!J37/'Παραδοχές διείσδυσης - κάλυψης'!F99,0)</f>
        <v>0.39495868497174186</v>
      </c>
      <c r="H221" s="161">
        <f t="shared" si="62"/>
        <v>6.2167248336221642E-3</v>
      </c>
      <c r="I221" s="191">
        <f>IFERROR('Ενεργές συνδέσεις'!M37/'Παραδοχές διείσδυσης - κάλυψης'!G99,0)</f>
        <v>0.41103052677904423</v>
      </c>
      <c r="J221" s="161">
        <f t="shared" si="63"/>
        <v>4.0692463335632839E-2</v>
      </c>
      <c r="K221" s="191">
        <f>IFERROR('Ενεργές συνδέσεις'!P37/'Παραδοχές διείσδυσης - κάλυψης'!H99,0)</f>
        <v>0.41123159087230943</v>
      </c>
      <c r="L221" s="161">
        <f t="shared" si="64"/>
        <v>4.8917070671319505E-4</v>
      </c>
      <c r="M221" s="192">
        <f t="shared" si="60"/>
        <v>3.4107268593135842E-2</v>
      </c>
      <c r="O221" s="191">
        <f>IFERROR('Ενεργές συνδέσεις'!X37/'Παραδοχές διείσδυσης - κάλυψης'!I99,0)</f>
        <v>0.4209642970991393</v>
      </c>
      <c r="P221" s="161">
        <f t="shared" si="65"/>
        <v>2.3667214394168343E-2</v>
      </c>
      <c r="Q221" s="191">
        <f>IFERROR('Ενεργές συνδέσεις'!AC37/'Παραδοχές διείσδυσης - κάλυψης'!J99,0)</f>
        <v>0.42646528403967543</v>
      </c>
      <c r="R221" s="161">
        <f t="shared" si="66"/>
        <v>1.3067585489893988E-2</v>
      </c>
      <c r="S221" s="191">
        <f>IFERROR('Ενεργές συνδέσεις'!AH37/'Παραδοχές διείσδυσης - κάλυψης'!K99,0)</f>
        <v>0.45522005072355665</v>
      </c>
      <c r="T221" s="161">
        <f t="shared" si="67"/>
        <v>6.7425808758693875E-2</v>
      </c>
      <c r="U221" s="191">
        <f>IFERROR('Ενεργές συνδέσεις'!AM37/'Παραδοχές διείσδυσης - κάλυψης'!L99,0)</f>
        <v>0.47884976876025659</v>
      </c>
      <c r="V221" s="161">
        <f t="shared" si="68"/>
        <v>5.1908341908800629E-2</v>
      </c>
      <c r="W221" s="191">
        <f>IFERROR('Ενεργές συνδέσεις'!AR37/'Παραδοχές διείσδυσης - κάλυψης'!M99,0)</f>
        <v>0.48034100596760443</v>
      </c>
      <c r="X221" s="161">
        <f t="shared" si="69"/>
        <v>3.1142068027069474E-3</v>
      </c>
      <c r="Y221" s="192">
        <f t="shared" si="70"/>
        <v>3.3537169232675135E-2</v>
      </c>
    </row>
    <row r="222" spans="2:25" outlineLevel="1" x14ac:dyDescent="0.35">
      <c r="B222" s="294" t="s">
        <v>98</v>
      </c>
      <c r="C222" s="62" t="s">
        <v>253</v>
      </c>
      <c r="D222" s="190">
        <f>'Ενεργές συνδέσεις'!E38/'Παραδοχές διείσδυσης - κάλυψης'!D100</f>
        <v>0.17301826388843761</v>
      </c>
      <c r="E222" s="191">
        <f>IFERROR('Ενεργές συνδέσεις'!G38/'Παραδοχές διείσδυσης - κάλυψης'!E100,0)</f>
        <v>0.18553767516835348</v>
      </c>
      <c r="F222" s="161">
        <f t="shared" si="61"/>
        <v>7.2358900144717714E-2</v>
      </c>
      <c r="G222" s="191">
        <f>IFERROR('Ενεργές συνδέσεις'!J38/'Παραδοχές διείσδυσης - κάλυψης'!F100,0)</f>
        <v>0.20162676928977491</v>
      </c>
      <c r="H222" s="161">
        <f t="shared" si="62"/>
        <v>8.6716048947053356E-2</v>
      </c>
      <c r="I222" s="191">
        <f>IFERROR('Ενεργές συνδέσεις'!M38/'Παραδοχές διείσδυσης - κάλυψης'!G100,0)</f>
        <v>0.209222401999137</v>
      </c>
      <c r="J222" s="161">
        <f t="shared" si="63"/>
        <v>3.7671747338498297E-2</v>
      </c>
      <c r="K222" s="191">
        <f>IFERROR('Ενεργές συνδέσεις'!P38/'Παραδοχές διείσδυσης - κάλυψης'!H100,0)</f>
        <v>0.19269549630293525</v>
      </c>
      <c r="L222" s="161">
        <f t="shared" si="64"/>
        <v>-7.8992046445723885E-2</v>
      </c>
      <c r="M222" s="192">
        <f t="shared" si="60"/>
        <v>2.729435965183713E-2</v>
      </c>
      <c r="O222" s="191">
        <f>IFERROR('Ενεργές συνδέσεις'!X38/'Παραδοχές διείσδυσης - κάλυψης'!I100,0)</f>
        <v>0.19580888888888889</v>
      </c>
      <c r="P222" s="161">
        <f t="shared" si="65"/>
        <v>1.6157059431524526E-2</v>
      </c>
      <c r="Q222" s="191">
        <f>IFERROR('Ενεργές συνδέσεις'!AC38/'Παραδοχές διείσδυσης - κάλυψης'!J100,0)</f>
        <v>0.18968616262482169</v>
      </c>
      <c r="R222" s="161">
        <f t="shared" si="66"/>
        <v>-3.1268888245117046E-2</v>
      </c>
      <c r="S222" s="191">
        <f>IFERROR('Ενεργές συνδέσεις'!AH38/'Παραδοχές διείσδυσης - κάλυψης'!K100,0)</f>
        <v>0.19134314100114636</v>
      </c>
      <c r="T222" s="161">
        <f t="shared" si="67"/>
        <v>8.7353676904835167E-3</v>
      </c>
      <c r="U222" s="191">
        <f>IFERROR('Ενεργές συνδέσεις'!AM38/'Παραδοχές διείσδυσης - κάλυψης'!L100,0)</f>
        <v>0.19467648127953474</v>
      </c>
      <c r="V222" s="161">
        <f t="shared" si="68"/>
        <v>1.7420746105387783E-2</v>
      </c>
      <c r="W222" s="191">
        <f>IFERROR('Ενεργές συνδέσεις'!AR38/'Παραδοχές διείσδυσης - κάλυψης'!M100,0)</f>
        <v>0.19537014874337494</v>
      </c>
      <c r="X222" s="161">
        <f t="shared" si="69"/>
        <v>3.5631806126810183E-3</v>
      </c>
      <c r="Y222" s="192">
        <f t="shared" si="70"/>
        <v>-5.60635015170452E-4</v>
      </c>
    </row>
    <row r="223" spans="2:25" outlineLevel="1" x14ac:dyDescent="0.35">
      <c r="B223" s="294" t="s">
        <v>99</v>
      </c>
      <c r="C223" s="62" t="s">
        <v>253</v>
      </c>
      <c r="D223" s="190">
        <f>'Ενεργές συνδέσεις'!E39/'Παραδοχές διείσδυσης - κάλυψης'!D101</f>
        <v>0.45682796165900352</v>
      </c>
      <c r="E223" s="191">
        <f>IFERROR('Ενεργές συνδέσεις'!G39/'Παραδοχές διείσδυσης - κάλυψης'!E101,0)</f>
        <v>0.45419995569698413</v>
      </c>
      <c r="F223" s="161">
        <f t="shared" si="61"/>
        <v>-5.7527257142395687E-3</v>
      </c>
      <c r="G223" s="191">
        <f>IFERROR('Ενεργές συνδέσεις'!J39/'Παραδοχές διείσδυσης - κάλυψης'!F101,0)</f>
        <v>0.45766162534006605</v>
      </c>
      <c r="H223" s="161">
        <f t="shared" si="62"/>
        <v>7.6214662719856071E-3</v>
      </c>
      <c r="I223" s="191">
        <f>IFERROR('Ενεργές συνδέσεις'!M39/'Παραδοχές διείσδυσης - κάλυψης'!G101,0)</f>
        <v>0.45695964008647177</v>
      </c>
      <c r="J223" s="161">
        <f t="shared" si="63"/>
        <v>-1.5338521185224165E-3</v>
      </c>
      <c r="K223" s="191">
        <f>IFERROR('Ενεργές συνδέσεις'!P39/'Παραδοχές διείσδυσης - κάλυψης'!H101,0)</f>
        <v>0.45939393939393941</v>
      </c>
      <c r="L223" s="161">
        <f t="shared" si="64"/>
        <v>5.3271647951381139E-3</v>
      </c>
      <c r="M223" s="192">
        <f t="shared" si="60"/>
        <v>1.4012881939111654E-3</v>
      </c>
      <c r="O223" s="191">
        <f>IFERROR('Ενεργές συνδέσεις'!X39/'Παραδοχές διείσδυσης - κάλυψης'!I101,0)</f>
        <v>0.46240935026688751</v>
      </c>
      <c r="P223" s="161">
        <f t="shared" si="65"/>
        <v>6.563889103383065E-3</v>
      </c>
      <c r="Q223" s="191">
        <f>IFERROR('Ενεργές συνδέσεις'!AC39/'Παραδοχές διείσδυσης - κάλυψης'!J101,0)</f>
        <v>0.46670707436222181</v>
      </c>
      <c r="R223" s="161">
        <f t="shared" si="66"/>
        <v>9.2941980798048173E-3</v>
      </c>
      <c r="S223" s="191">
        <f>IFERROR('Ενεργές συνδέσεις'!AH39/'Παραδοχές διείσδυσης - κάλυψης'!K101,0)</f>
        <v>0.47345415587893935</v>
      </c>
      <c r="T223" s="161">
        <f t="shared" si="67"/>
        <v>1.4456780039037902E-2</v>
      </c>
      <c r="U223" s="191">
        <f>IFERROR('Ενεργές συνδέσεις'!AM39/'Παραδοχές διείσδυσης - κάλυψης'!L101,0)</f>
        <v>0.47222984115962152</v>
      </c>
      <c r="V223" s="161">
        <f t="shared" si="68"/>
        <v>-2.5859203137523728E-3</v>
      </c>
      <c r="W223" s="191">
        <f>IFERROR('Ενεργές συνδέσεις'!AR39/'Παραδοχές διείσδυσης - κάλυψης'!M101,0)</f>
        <v>0.47998962834917885</v>
      </c>
      <c r="X223" s="161">
        <f t="shared" si="69"/>
        <v>1.6432225397916764E-2</v>
      </c>
      <c r="Y223" s="192">
        <f t="shared" si="70"/>
        <v>9.37213540486459E-3</v>
      </c>
    </row>
    <row r="224" spans="2:25" outlineLevel="1" x14ac:dyDescent="0.35">
      <c r="B224" s="294" t="s">
        <v>100</v>
      </c>
      <c r="C224" s="62" t="s">
        <v>253</v>
      </c>
      <c r="D224" s="190">
        <f>'Ενεργές συνδέσεις'!E40/'Παραδοχές διείσδυσης - κάλυψης'!D102</f>
        <v>0.27296405063799384</v>
      </c>
      <c r="E224" s="191">
        <f>IFERROR('Ενεργές συνδέσεις'!G40/'Παραδοχές διείσδυσης - κάλυψης'!E102,0)</f>
        <v>0.29895635835610784</v>
      </c>
      <c r="F224" s="161">
        <f t="shared" si="61"/>
        <v>9.5222457526412965E-2</v>
      </c>
      <c r="G224" s="191">
        <f>IFERROR('Ενεργές συνδέσεις'!J40/'Παραδοχές διείσδυσης - κάλυψης'!F102,0)</f>
        <v>0.3236999118254909</v>
      </c>
      <c r="H224" s="161">
        <f t="shared" si="62"/>
        <v>8.276643990929701E-2</v>
      </c>
      <c r="I224" s="191">
        <f>IFERROR('Ενεργές συνδέσεις'!M40/'Παραδοχές διείσδυσης - κάλυψης'!G102,0)</f>
        <v>0.32244436300709278</v>
      </c>
      <c r="J224" s="161">
        <f t="shared" si="63"/>
        <v>-3.8787431584936553E-3</v>
      </c>
      <c r="K224" s="191">
        <f>IFERROR('Ενεργές συνδέσεις'!P40/'Παραδοχές διείσδυσης - κάλυψης'!H102,0)</f>
        <v>0.30702280912364949</v>
      </c>
      <c r="L224" s="161">
        <f t="shared" si="64"/>
        <v>-4.7827022744708576E-2</v>
      </c>
      <c r="M224" s="192">
        <f t="shared" si="60"/>
        <v>2.9831796404661937E-2</v>
      </c>
      <c r="O224" s="191">
        <f>IFERROR('Ενεργές συνδέσεις'!X40/'Παραδοχές διείσδυσης - κάλυψης'!I102,0)</f>
        <v>0.31307212822796082</v>
      </c>
      <c r="P224" s="161">
        <f t="shared" si="65"/>
        <v>1.9703158607590778E-2</v>
      </c>
      <c r="Q224" s="191">
        <f>IFERROR('Ενεργές συνδέσεις'!AC40/'Παραδοχές διείσδυσης - κάλυψης'!J102,0)</f>
        <v>0.29995475113122172</v>
      </c>
      <c r="R224" s="161">
        <f t="shared" si="66"/>
        <v>-4.1898897774725559E-2</v>
      </c>
      <c r="S224" s="191">
        <f>IFERROR('Ενεργές συνδέσεις'!AH40/'Παραδοχές διείσδυσης - κάλυψης'!K102,0)</f>
        <v>0.30667752442996743</v>
      </c>
      <c r="T224" s="161">
        <f t="shared" si="67"/>
        <v>2.2412624815549887E-2</v>
      </c>
      <c r="U224" s="191">
        <f>IFERROR('Ενεργές συνδέσεις'!AM40/'Παραδοχές διείσδυσης - κάλυψης'!L102,0)</f>
        <v>0.31528917686585073</v>
      </c>
      <c r="V224" s="161">
        <f t="shared" si="68"/>
        <v>2.808048112391049E-2</v>
      </c>
      <c r="W224" s="191">
        <f>IFERROR('Ενεργές συνδέσεις'!AR40/'Παραδοχές διείσδυσης - κάλυψης'!M102,0)</f>
        <v>0.29938426215821329</v>
      </c>
      <c r="X224" s="161">
        <f t="shared" si="69"/>
        <v>-5.0445482670039975E-2</v>
      </c>
      <c r="Y224" s="192">
        <f t="shared" si="70"/>
        <v>-1.1114200696983212E-2</v>
      </c>
    </row>
    <row r="225" spans="2:25" outlineLevel="1" x14ac:dyDescent="0.35">
      <c r="B225" s="294" t="s">
        <v>101</v>
      </c>
      <c r="C225" s="62" t="s">
        <v>253</v>
      </c>
      <c r="D225" s="190">
        <f>'Ενεργές συνδέσεις'!E41/'Παραδοχές διείσδυσης - κάλυψης'!D103</f>
        <v>6.4716780162076173E-2</v>
      </c>
      <c r="E225" s="191">
        <f>IFERROR('Ενεργές συνδέσεις'!G41/'Παραδοχές διείσδυσης - κάλυψης'!E103,0)</f>
        <v>6.9694994020697412E-2</v>
      </c>
      <c r="F225" s="161">
        <f t="shared" si="61"/>
        <v>7.6923076923076844E-2</v>
      </c>
      <c r="G225" s="191">
        <f>IFERROR('Ενεργές συνδέσεις'!J41/'Παραδοχές διείσδυσης - κάλυψης'!F103,0)</f>
        <v>7.7992017118399495E-2</v>
      </c>
      <c r="H225" s="161">
        <f t="shared" si="62"/>
        <v>0.11904761904761919</v>
      </c>
      <c r="I225" s="191">
        <f>IFERROR('Ενεργές συνδέσεις'!M41/'Παραδοχές διείσδυσης - κάλυψης'!G103,0)</f>
        <v>7.7992017118399495E-2</v>
      </c>
      <c r="J225" s="161">
        <f t="shared" si="63"/>
        <v>0</v>
      </c>
      <c r="K225" s="191">
        <f>IFERROR('Ενεργές συνδέσεις'!P41/'Παραδοχές διείσδυσης - κάλυψης'!H103,0)</f>
        <v>7.9207920792079209E-2</v>
      </c>
      <c r="L225" s="161">
        <f t="shared" si="64"/>
        <v>1.5590104200457503E-2</v>
      </c>
      <c r="M225" s="192">
        <f t="shared" si="60"/>
        <v>5.1811531444266201E-2</v>
      </c>
      <c r="O225" s="191">
        <f>IFERROR('Ενεργές συνδέσεις'!X41/'Παραδοχές διείσδυσης - κάλυψης'!I103,0)</f>
        <v>8.4009900990099001E-2</v>
      </c>
      <c r="P225" s="161">
        <f t="shared" si="65"/>
        <v>6.062499999999988E-2</v>
      </c>
      <c r="Q225" s="191">
        <f>IFERROR('Ενεργές συνδέσεις'!AC41/'Παραδοχές διείσδυσης - κάλυψης'!J103,0)</f>
        <v>8.5907590759075905E-2</v>
      </c>
      <c r="R225" s="161">
        <f t="shared" si="66"/>
        <v>2.258888234138684E-2</v>
      </c>
      <c r="S225" s="191">
        <f>IFERROR('Ενεργές συνδέσεις'!AH41/'Παραδοχές διείσδυσης - κάλυψης'!K103,0)</f>
        <v>8.7722772277227717E-2</v>
      </c>
      <c r="T225" s="161">
        <f t="shared" si="67"/>
        <v>2.1129466000768309E-2</v>
      </c>
      <c r="U225" s="191">
        <f>IFERROR('Ενεργές συνδέσεις'!AM41/'Παραδοχές διείσδυσης - κάλυψης'!L103,0)</f>
        <v>8.9158415841584154E-2</v>
      </c>
      <c r="V225" s="161">
        <f t="shared" si="68"/>
        <v>1.6365688487584667E-2</v>
      </c>
      <c r="W225" s="191">
        <f>IFERROR('Ενεργές συνδέσεις'!AR41/'Παραδοχές διείσδυσης - κάλυψης'!M103,0)</f>
        <v>9.0231023102310237E-2</v>
      </c>
      <c r="X225" s="161">
        <f t="shared" si="69"/>
        <v>1.2030353507310868E-2</v>
      </c>
      <c r="Y225" s="192">
        <f t="shared" si="70"/>
        <v>1.8020098426871467E-2</v>
      </c>
    </row>
    <row r="226" spans="2:25" outlineLevel="1" x14ac:dyDescent="0.35">
      <c r="B226" s="294" t="s">
        <v>102</v>
      </c>
      <c r="C226" s="62" t="s">
        <v>253</v>
      </c>
      <c r="D226" s="190">
        <f>'Ενεργές συνδέσεις'!E42/'Παραδοχές διείσδυσης - κάλυψης'!D104</f>
        <v>0.49870644011654564</v>
      </c>
      <c r="E226" s="191">
        <f>IFERROR('Ενεργές συνδέσεις'!G42/'Παραδοχές διείσδυσης - κάλυψης'!E104,0)</f>
        <v>0.52287038800786068</v>
      </c>
      <c r="F226" s="161">
        <f t="shared" si="61"/>
        <v>4.8453250143848207E-2</v>
      </c>
      <c r="G226" s="191">
        <f>IFERROR('Ενεργές συνδέσεις'!J42/'Παραδοχές διείσδυσης - κάλυψης'!F104,0)</f>
        <v>0.55082916457690589</v>
      </c>
      <c r="H226" s="161">
        <f t="shared" si="62"/>
        <v>5.3471715381642332E-2</v>
      </c>
      <c r="I226" s="191">
        <f>IFERROR('Ενεργές συνδέσεις'!M42/'Παραδοχές διείσδυσης - κάλυψης'!G104,0)</f>
        <v>0.55996608902237788</v>
      </c>
      <c r="J226" s="161">
        <f t="shared" si="63"/>
        <v>1.6587582925987755E-2</v>
      </c>
      <c r="K226" s="191">
        <f>IFERROR('Ενεργές συνδέσεις'!P42/'Παραδοχές διείσδυσης - κάλυψης'!H104,0)</f>
        <v>0.55702917771883287</v>
      </c>
      <c r="L226" s="161">
        <f t="shared" si="64"/>
        <v>-5.244802071269072E-3</v>
      </c>
      <c r="M226" s="192">
        <f t="shared" si="60"/>
        <v>2.8035807879022823E-2</v>
      </c>
      <c r="O226" s="191">
        <f>IFERROR('Ενεργές συνδέσεις'!X42/'Παραδοχές διείσδυσης - κάλυψης'!I104,0)</f>
        <v>0.56653834851601526</v>
      </c>
      <c r="P226" s="161">
        <f t="shared" si="65"/>
        <v>1.7071225669227429E-2</v>
      </c>
      <c r="Q226" s="191">
        <f>IFERROR('Ενεργές συνδέσεις'!AC42/'Παραδοχές διείσδυσης - κάλυψης'!J104,0)</f>
        <v>0.58038495445195415</v>
      </c>
      <c r="R226" s="161">
        <f t="shared" si="66"/>
        <v>2.4440721395486382E-2</v>
      </c>
      <c r="S226" s="191">
        <f>IFERROR('Ενεργές συνδέσεις'!AH42/'Παραδοχές διείσδυσης - κάλυψης'!K104,0)</f>
        <v>0.58951340326340329</v>
      </c>
      <c r="T226" s="161">
        <f t="shared" si="67"/>
        <v>1.5728265768138239E-2</v>
      </c>
      <c r="U226" s="191">
        <f>IFERROR('Ενεργές συνδέσεις'!AM42/'Παραδοχές διείσδυσης - κάλυψης'!L104,0)</f>
        <v>0.60101107226107231</v>
      </c>
      <c r="V226" s="161">
        <f t="shared" si="68"/>
        <v>1.9503660025405208E-2</v>
      </c>
      <c r="W226" s="191">
        <f>IFERROR('Ενεργές συνδέσεις'!AR42/'Παραδοχές διείσδυσης - κάλυψης'!M104,0)</f>
        <v>0.60934440559440561</v>
      </c>
      <c r="X226" s="161">
        <f t="shared" si="69"/>
        <v>1.3865523811370649E-2</v>
      </c>
      <c r="Y226" s="192">
        <f t="shared" si="70"/>
        <v>1.8376523427597879E-2</v>
      </c>
    </row>
    <row r="227" spans="2:25" outlineLevel="1" x14ac:dyDescent="0.35">
      <c r="B227" s="294" t="s">
        <v>103</v>
      </c>
      <c r="C227" s="62" t="s">
        <v>253</v>
      </c>
      <c r="D227" s="190">
        <f>'Ενεργές συνδέσεις'!E43/'Παραδοχές διείσδυσης - κάλυψης'!D105</f>
        <v>8.6476369952457027E-2</v>
      </c>
      <c r="E227" s="191">
        <f>IFERROR('Ενεργές συνδέσεις'!G43/'Παραδοχές διείσδυσης - κάλυψης'!E105,0)</f>
        <v>7.9444202397139202E-2</v>
      </c>
      <c r="F227" s="161">
        <f t="shared" si="61"/>
        <v>-8.1318949433052873E-2</v>
      </c>
      <c r="G227" s="191">
        <f>IFERROR('Ενεργές συνδέσεις'!J43/'Παραδοχές διείσδυσης - κάλυψης'!F105,0)</f>
        <v>8.4117390773441506E-2</v>
      </c>
      <c r="H227" s="161">
        <f t="shared" si="62"/>
        <v>5.8823529411764677E-2</v>
      </c>
      <c r="I227" s="191">
        <f>IFERROR('Ενεργές συνδέσεις'!M43/'Παραδοχές διείσδυσης - κάλυψης'!G105,0)</f>
        <v>8.4117390773441506E-2</v>
      </c>
      <c r="J227" s="161">
        <f t="shared" si="63"/>
        <v>0</v>
      </c>
      <c r="K227" s="191">
        <f>IFERROR('Ενεργές συνδέσεις'!P43/'Παραδοχές διείσδυσης - κάλυψης'!H105,0)</f>
        <v>8.0952380952380956E-2</v>
      </c>
      <c r="L227" s="161">
        <f t="shared" si="64"/>
        <v>-3.7626105517051318E-2</v>
      </c>
      <c r="M227" s="192">
        <f t="shared" si="60"/>
        <v>-1.636710540592845E-2</v>
      </c>
      <c r="O227" s="191">
        <f>IFERROR('Ενεργές συνδέσεις'!X43/'Παραδοχές διείσδυσης - κάλυψης'!I105,0)</f>
        <v>8.0952380952380956E-2</v>
      </c>
      <c r="P227" s="161">
        <f t="shared" si="65"/>
        <v>0</v>
      </c>
      <c r="Q227" s="191">
        <f>IFERROR('Ενεργές συνδέσεις'!AC43/'Παραδοχές διείσδυσης - κάλυψης'!J105,0)</f>
        <v>8.0952380952380956E-2</v>
      </c>
      <c r="R227" s="161">
        <f t="shared" si="66"/>
        <v>0</v>
      </c>
      <c r="S227" s="191">
        <f>IFERROR('Ενεργές συνδέσεις'!AH43/'Παραδοχές διείσδυσης - κάλυψης'!K105,0)</f>
        <v>8.0952380952380956E-2</v>
      </c>
      <c r="T227" s="161">
        <f t="shared" si="67"/>
        <v>0</v>
      </c>
      <c r="U227" s="191">
        <f>IFERROR('Ενεργές συνδέσεις'!AM43/'Παραδοχές διείσδυσης - κάλυψης'!L105,0)</f>
        <v>8.0952380952380956E-2</v>
      </c>
      <c r="V227" s="161">
        <f t="shared" si="68"/>
        <v>0</v>
      </c>
      <c r="W227" s="191">
        <f>IFERROR('Ενεργές συνδέσεις'!AR43/'Παραδοχές διείσδυσης - κάλυψης'!M105,0)</f>
        <v>8.0952380952380956E-2</v>
      </c>
      <c r="X227" s="161">
        <f t="shared" si="69"/>
        <v>0</v>
      </c>
      <c r="Y227" s="192">
        <f t="shared" si="70"/>
        <v>0</v>
      </c>
    </row>
    <row r="228" spans="2:25" outlineLevel="1" x14ac:dyDescent="0.35">
      <c r="B228" s="294" t="s">
        <v>104</v>
      </c>
      <c r="C228" s="62" t="s">
        <v>253</v>
      </c>
      <c r="D228" s="191">
        <f>IFERROR('Ενεργές συνδέσεις'!F44/'Παραδοχές διείσδυσης - κάλυψης'!D106,0)</f>
        <v>0</v>
      </c>
      <c r="E228" s="191">
        <f>IFERROR('Ενεργές συνδέσεις'!G44/'Παραδοχές διείσδυσης - κάλυψης'!E106,0)</f>
        <v>0</v>
      </c>
      <c r="F228" s="161">
        <f t="shared" si="61"/>
        <v>0</v>
      </c>
      <c r="G228" s="191">
        <f>IFERROR('Ενεργές συνδέσεις'!J44/'Παραδοχές διείσδυσης - κάλυψης'!F106,0)</f>
        <v>0</v>
      </c>
      <c r="H228" s="161">
        <f t="shared" si="62"/>
        <v>0</v>
      </c>
      <c r="I228" s="191">
        <f>IFERROR('Ενεργές συνδέσεις'!M44/'Παραδοχές διείσδυσης - κάλυψης'!G106,0)</f>
        <v>0</v>
      </c>
      <c r="J228" s="161">
        <f t="shared" si="63"/>
        <v>0</v>
      </c>
      <c r="K228" s="191">
        <f>IFERROR('Ενεργές συνδέσεις'!P44/'Παραδοχές διείσδυσης - κάλυψης'!H106,0)</f>
        <v>0</v>
      </c>
      <c r="L228" s="161">
        <f t="shared" si="64"/>
        <v>0</v>
      </c>
      <c r="M228" s="192">
        <f t="shared" si="60"/>
        <v>0</v>
      </c>
      <c r="O228" s="191">
        <f>IFERROR('Ενεργές συνδέσεις'!X44/'Παραδοχές διείσδυσης - κάλυψης'!I106,0)</f>
        <v>0</v>
      </c>
      <c r="P228" s="161">
        <f t="shared" si="65"/>
        <v>0</v>
      </c>
      <c r="Q228" s="191">
        <f>IFERROR('Ενεργές συνδέσεις'!AC44/'Παραδοχές διείσδυσης - κάλυψης'!J106,0)</f>
        <v>0</v>
      </c>
      <c r="R228" s="161">
        <f t="shared" si="66"/>
        <v>0</v>
      </c>
      <c r="S228" s="191">
        <f>IFERROR('Ενεργές συνδέσεις'!AH44/'Παραδοχές διείσδυσης - κάλυψης'!K106,0)</f>
        <v>0</v>
      </c>
      <c r="T228" s="161">
        <f t="shared" si="67"/>
        <v>0</v>
      </c>
      <c r="U228" s="191">
        <f>IFERROR('Ενεργές συνδέσεις'!AM44/'Παραδοχές διείσδυσης - κάλυψης'!L106,0)</f>
        <v>0</v>
      </c>
      <c r="V228" s="161">
        <f t="shared" si="68"/>
        <v>0</v>
      </c>
      <c r="W228" s="191">
        <f>IFERROR('Ενεργές συνδέσεις'!AR44/'Παραδοχές διείσδυσης - κάλυψης'!M106,0)</f>
        <v>0</v>
      </c>
      <c r="X228" s="161">
        <f t="shared" si="69"/>
        <v>0</v>
      </c>
      <c r="Y228" s="192">
        <f t="shared" si="70"/>
        <v>0</v>
      </c>
    </row>
    <row r="229" spans="2:25" outlineLevel="1" x14ac:dyDescent="0.35">
      <c r="B229" s="294" t="s">
        <v>136</v>
      </c>
      <c r="C229" s="62" t="s">
        <v>253</v>
      </c>
      <c r="D229" s="191">
        <f>IFERROR('Ενεργές συνδέσεις'!F45/'Παραδοχές διείσδυσης - κάλυψης'!D107,0)</f>
        <v>0</v>
      </c>
      <c r="E229" s="191">
        <f>IFERROR('Ενεργές συνδέσεις'!G45/'Παραδοχές διείσδυσης - κάλυψης'!E107,0)</f>
        <v>0</v>
      </c>
      <c r="F229" s="161">
        <f t="shared" si="61"/>
        <v>0</v>
      </c>
      <c r="G229" s="191">
        <f>IFERROR('Ενεργές συνδέσεις'!J45/'Παραδοχές διείσδυσης - κάλυψης'!F107,0)</f>
        <v>0</v>
      </c>
      <c r="H229" s="161">
        <f t="shared" si="62"/>
        <v>0</v>
      </c>
      <c r="I229" s="191">
        <f>IFERROR('Ενεργές συνδέσεις'!M45/'Παραδοχές διείσδυσης - κάλυψης'!G107,0)</f>
        <v>0</v>
      </c>
      <c r="J229" s="161">
        <f t="shared" si="63"/>
        <v>0</v>
      </c>
      <c r="K229" s="191">
        <f>IFERROR('Ενεργές συνδέσεις'!P45/'Παραδοχές διείσδυσης - κάλυψης'!H107,0)</f>
        <v>0</v>
      </c>
      <c r="L229" s="161">
        <f t="shared" si="64"/>
        <v>0</v>
      </c>
      <c r="M229" s="192">
        <f t="shared" si="60"/>
        <v>0</v>
      </c>
      <c r="O229" s="191">
        <f>IFERROR('Ενεργές συνδέσεις'!X45/'Παραδοχές διείσδυσης - κάλυψης'!I107,0)</f>
        <v>0</v>
      </c>
      <c r="P229" s="161">
        <f t="shared" si="65"/>
        <v>0</v>
      </c>
      <c r="Q229" s="191">
        <f>IFERROR('Ενεργές συνδέσεις'!AC45/'Παραδοχές διείσδυσης - κάλυψης'!J107,0)</f>
        <v>0</v>
      </c>
      <c r="R229" s="161">
        <f t="shared" si="66"/>
        <v>0</v>
      </c>
      <c r="S229" s="191">
        <f>IFERROR('Ενεργές συνδέσεις'!AH45/'Παραδοχές διείσδυσης - κάλυψης'!K107,0)</f>
        <v>0</v>
      </c>
      <c r="T229" s="161">
        <f t="shared" si="67"/>
        <v>0</v>
      </c>
      <c r="U229" s="191">
        <f>IFERROR('Ενεργές συνδέσεις'!AM45/'Παραδοχές διείσδυσης - κάλυψης'!L107,0)</f>
        <v>0</v>
      </c>
      <c r="V229" s="161">
        <f t="shared" si="68"/>
        <v>0</v>
      </c>
      <c r="W229" s="191">
        <f>IFERROR('Ενεργές συνδέσεις'!AR45/'Παραδοχές διείσδυσης - κάλυψης'!M107,0)</f>
        <v>0</v>
      </c>
      <c r="X229" s="161">
        <f t="shared" si="69"/>
        <v>0</v>
      </c>
      <c r="Y229" s="192">
        <f t="shared" si="70"/>
        <v>0</v>
      </c>
    </row>
    <row r="230" spans="2:25" outlineLevel="1" x14ac:dyDescent="0.35">
      <c r="B230" s="294" t="s">
        <v>106</v>
      </c>
      <c r="C230" s="62" t="s">
        <v>253</v>
      </c>
      <c r="D230" s="190">
        <f>'Ενεργές συνδέσεις'!E46/'Παραδοχές διείσδυσης - κάλυψης'!D108</f>
        <v>0.3723148171989914</v>
      </c>
      <c r="E230" s="191">
        <f>IFERROR('Ενεργές συνδέσεις'!G46/'Παραδοχές διείσδυσης - κάλυψης'!E108,0)</f>
        <v>0.4071179064470859</v>
      </c>
      <c r="F230" s="161">
        <f t="shared" si="61"/>
        <v>9.3477583057064481E-2</v>
      </c>
      <c r="G230" s="191">
        <f>IFERROR('Ενεργές συνδέσεις'!J46/'Παραδοχές διείσδυσης - κάλυψης'!F108,0)</f>
        <v>0.41035625962130357</v>
      </c>
      <c r="H230" s="161">
        <f t="shared" si="62"/>
        <v>7.9543373625560829E-3</v>
      </c>
      <c r="I230" s="191">
        <f>IFERROR('Ενεργές συνδέσεις'!M46/'Παραδοχές διείσδυσης - κάλυψης'!G108,0)</f>
        <v>0.41711239665856364</v>
      </c>
      <c r="J230" s="161">
        <f t="shared" si="63"/>
        <v>1.6464076954729449E-2</v>
      </c>
      <c r="K230" s="191">
        <f>IFERROR('Ενεργές συνδέσεις'!P46/'Παραδοχές διείσδυσης - κάλυψης'!H108,0)</f>
        <v>0.3761693746922698</v>
      </c>
      <c r="L230" s="161">
        <f t="shared" si="64"/>
        <v>-9.8158247739178653E-2</v>
      </c>
      <c r="M230" s="192">
        <f t="shared" si="60"/>
        <v>2.578249833643298E-3</v>
      </c>
      <c r="O230" s="191">
        <f>IFERROR('Ενεργές συνδέσεις'!X46/'Παραδοχές διείσδυσης - κάλυψης'!I108,0)</f>
        <v>0.38373712604217758</v>
      </c>
      <c r="P230" s="161">
        <f t="shared" si="65"/>
        <v>2.0117935852961653E-2</v>
      </c>
      <c r="Q230" s="191">
        <f>IFERROR('Ενεργές συνδέσεις'!AC46/'Παραδοχές διείσδυσης - κάλυψης'!J108,0)</f>
        <v>0.38601046124583932</v>
      </c>
      <c r="R230" s="161">
        <f t="shared" si="66"/>
        <v>5.9241992744060766E-3</v>
      </c>
      <c r="S230" s="191">
        <f>IFERROR('Ενεργές συνδέσεις'!AH46/'Παραδοχές διείσδυσης - κάλυψης'!K108,0)</f>
        <v>0.39938183547313366</v>
      </c>
      <c r="T230" s="161">
        <f t="shared" si="67"/>
        <v>3.4639927073837735E-2</v>
      </c>
      <c r="U230" s="191">
        <f>IFERROR('Ενεργές συνδέσεις'!AM46/'Παραδοχές διείσδυσης - κάλυψης'!L108,0)</f>
        <v>0.40188661710037182</v>
      </c>
      <c r="V230" s="161">
        <f t="shared" si="68"/>
        <v>6.2716463413285553E-3</v>
      </c>
      <c r="W230" s="191">
        <f>IFERROR('Ενεργές συνδέσεις'!AR46/'Παραδοχές διείσδυσης - κάλυψης'!M108,0)</f>
        <v>0.38215012722646313</v>
      </c>
      <c r="X230" s="161">
        <f t="shared" si="69"/>
        <v>-4.9109597170237378E-2</v>
      </c>
      <c r="Y230" s="192">
        <f t="shared" si="70"/>
        <v>-1.0355174699107073E-3</v>
      </c>
    </row>
    <row r="231" spans="2:25" outlineLevel="1" x14ac:dyDescent="0.35">
      <c r="B231" s="294" t="s">
        <v>107</v>
      </c>
      <c r="C231" s="62" t="s">
        <v>253</v>
      </c>
      <c r="D231" s="190">
        <f>'Ενεργές συνδέσεις'!E47/'Παραδοχές διείσδυσης - κάλυψης'!D109</f>
        <v>0.28422120713376187</v>
      </c>
      <c r="E231" s="191">
        <f>IFERROR('Ενεργές συνδέσεις'!G47/'Παραδοχές διείσδυσης - κάλυψης'!E109,0)</f>
        <v>0.29100815645434874</v>
      </c>
      <c r="F231" s="161">
        <f t="shared" si="61"/>
        <v>2.3879109476136882E-2</v>
      </c>
      <c r="G231" s="191">
        <f>IFERROR('Ενεργές συνδέσεις'!J47/'Παραδοχές διείσδυσης - κάλυψης'!F109,0)</f>
        <v>0.27237879862540004</v>
      </c>
      <c r="H231" s="161">
        <f t="shared" si="62"/>
        <v>-6.4016617458181588E-2</v>
      </c>
      <c r="I231" s="191">
        <f>IFERROR('Ενεργές συνδέσεις'!M47/'Παραδοχές διείσδυσης - κάλυψης'!G109,0)</f>
        <v>0.29167334093833086</v>
      </c>
      <c r="J231" s="161">
        <f t="shared" si="63"/>
        <v>7.0837166513339447E-2</v>
      </c>
      <c r="K231" s="191">
        <f>IFERROR('Ενεργές συνδέσεις'!P47/'Παραδοχές διείσδυσης - κάλυψης'!H109,0)</f>
        <v>0.29691738594327988</v>
      </c>
      <c r="L231" s="161">
        <f t="shared" si="64"/>
        <v>1.797917145282666E-2</v>
      </c>
      <c r="M231" s="192">
        <f t="shared" si="60"/>
        <v>1.0985175010038262E-2</v>
      </c>
      <c r="O231" s="191">
        <f>IFERROR('Ενεργές συνδέσεις'!X47/'Παραδοχές διείσδυσης - κάλυψης'!I109,0)</f>
        <v>0.30462935689739812</v>
      </c>
      <c r="P231" s="161">
        <f t="shared" si="65"/>
        <v>2.5973456992482949E-2</v>
      </c>
      <c r="Q231" s="191">
        <f>IFERROR('Ενεργές συνδέσεις'!AC47/'Παραδοχές διείσδυσης - κάλυψης'!J109,0)</f>
        <v>0.30971007604562739</v>
      </c>
      <c r="R231" s="161">
        <f t="shared" si="66"/>
        <v>1.6678363503687219E-2</v>
      </c>
      <c r="S231" s="191">
        <f>IFERROR('Ενεργές συνδέσεις'!AH47/'Παραδοχές διείσδυσης - κάλυψης'!K109,0)</f>
        <v>0.32368308858360967</v>
      </c>
      <c r="T231" s="161">
        <f t="shared" si="67"/>
        <v>4.5116428617336078E-2</v>
      </c>
      <c r="U231" s="191">
        <f>IFERROR('Ενεργές συνδέσεις'!AM47/'Παραδοχές διείσδυσης - κάλυψης'!L109,0)</f>
        <v>0.33509711037423023</v>
      </c>
      <c r="V231" s="161">
        <f t="shared" si="68"/>
        <v>3.5262953775455713E-2</v>
      </c>
      <c r="W231" s="191">
        <f>IFERROR('Ενεργές συνδέσεις'!AR47/'Παραδοχές διείσδυσης - κάλυψης'!M109,0)</f>
        <v>0.34174046161092791</v>
      </c>
      <c r="X231" s="161">
        <f t="shared" si="69"/>
        <v>1.9825152264901686E-2</v>
      </c>
      <c r="Y231" s="192">
        <f t="shared" si="70"/>
        <v>2.9155885508670432E-2</v>
      </c>
    </row>
    <row r="232" spans="2:25" outlineLevel="1" x14ac:dyDescent="0.35">
      <c r="B232" s="294" t="s">
        <v>108</v>
      </c>
      <c r="C232" s="62" t="s">
        <v>253</v>
      </c>
      <c r="D232" s="190">
        <f>'Ενεργές συνδέσεις'!E48/'Παραδοχές διείσδυσης - κάλυψης'!D110</f>
        <v>0.32168484492404453</v>
      </c>
      <c r="E232" s="191">
        <f>IFERROR('Ενεργές συνδέσεις'!G48/'Παραδοχές διείσδυσης - κάλυψης'!E110,0)</f>
        <v>0.31908435709406269</v>
      </c>
      <c r="F232" s="161">
        <f t="shared" si="61"/>
        <v>-8.0839612776780548E-3</v>
      </c>
      <c r="G232" s="191">
        <f>IFERROR('Ενεργές συνδέσεις'!J48/'Παραδοχές διείσδυσης - κάλυψης'!F110,0)</f>
        <v>0.35470040364817607</v>
      </c>
      <c r="H232" s="161">
        <f t="shared" si="62"/>
        <v>0.11161953183312633</v>
      </c>
      <c r="I232" s="191">
        <f>IFERROR('Ενεργές συνδέσεις'!M48/'Παραδοχές διείσδυσης - κάλυψης'!G110,0)</f>
        <v>0.36884404477762789</v>
      </c>
      <c r="J232" s="161">
        <f t="shared" si="63"/>
        <v>3.9874894372775409E-2</v>
      </c>
      <c r="K232" s="191">
        <f>IFERROR('Ενεργές συνδέσεις'!P48/'Παραδοχές διείσδυσης - κάλυψης'!H110,0)</f>
        <v>0.3543745203376823</v>
      </c>
      <c r="L232" s="161">
        <f t="shared" si="64"/>
        <v>-3.9229383379821445E-2</v>
      </c>
      <c r="M232" s="192">
        <f t="shared" si="60"/>
        <v>2.4490585492210393E-2</v>
      </c>
      <c r="O232" s="191">
        <f>IFERROR('Ενεργές συνδέσεις'!X48/'Παραδοχές διείσδυσης - κάλυψης'!I110,0)</f>
        <v>0.35482261640798224</v>
      </c>
      <c r="P232" s="161">
        <f t="shared" si="65"/>
        <v>1.2644703402291796E-3</v>
      </c>
      <c r="Q232" s="191">
        <f>IFERROR('Ενεργές συνδέσεις'!AC48/'Παραδοχές διείσδυσης - κάλυψης'!J110,0)</f>
        <v>0.37117331855136731</v>
      </c>
      <c r="R232" s="161">
        <f t="shared" si="66"/>
        <v>4.6081341457064023E-2</v>
      </c>
      <c r="S232" s="191">
        <f>IFERROR('Ενεργές συνδέσεις'!AH48/'Παραδοχές διείσδυσης - κάλυψης'!K110,0)</f>
        <v>0.34853222925799637</v>
      </c>
      <c r="T232" s="161">
        <f t="shared" si="67"/>
        <v>-6.0998698348619589E-2</v>
      </c>
      <c r="U232" s="191">
        <f>IFERROR('Ενεργές συνδέσεις'!AM48/'Παραδοχές διείσδυσης - κάλυψης'!L110,0)</f>
        <v>0.33880344374726395</v>
      </c>
      <c r="V232" s="161">
        <f t="shared" si="68"/>
        <v>-2.7913589315525865E-2</v>
      </c>
      <c r="W232" s="191">
        <f>IFERROR('Ενεργές συνδέσεις'!AR48/'Παραδοχές διείσδυσης - κάλυψης'!M110,0)</f>
        <v>0.35330005704506556</v>
      </c>
      <c r="X232" s="161">
        <f t="shared" si="69"/>
        <v>4.2787679893288209E-2</v>
      </c>
      <c r="Y232" s="192">
        <f t="shared" si="70"/>
        <v>-1.0744914899009084E-3</v>
      </c>
    </row>
    <row r="233" spans="2:25" outlineLevel="1" x14ac:dyDescent="0.35">
      <c r="B233" s="294" t="s">
        <v>109</v>
      </c>
      <c r="C233" s="62" t="s">
        <v>253</v>
      </c>
      <c r="D233" s="190">
        <f>'Ενεργές συνδέσεις'!E49/'Παραδοχές διείσδυσης - κάλυψης'!D111</f>
        <v>0.50200704132063134</v>
      </c>
      <c r="E233" s="191">
        <f>IFERROR('Ενεργές συνδέσεις'!G49/'Παραδοχές διείσδυσης - κάλυψης'!E111,0)</f>
        <v>0.54031007688392052</v>
      </c>
      <c r="F233" s="161">
        <f t="shared" si="61"/>
        <v>7.6299797434166011E-2</v>
      </c>
      <c r="G233" s="191">
        <f>IFERROR('Ενεργές συνδέσεις'!J49/'Παραδοχές διείσδυσης - κάλυψης'!F111,0)</f>
        <v>0.57151774459506688</v>
      </c>
      <c r="H233" s="161">
        <f t="shared" si="62"/>
        <v>5.7758811183251303E-2</v>
      </c>
      <c r="I233" s="191">
        <f>IFERROR('Ενεργές συνδέσεις'!M49/'Παραδοχές διείσδυσης - κάλυψης'!G111,0)</f>
        <v>0.58896478896178051</v>
      </c>
      <c r="J233" s="161">
        <f t="shared" si="63"/>
        <v>3.052756372258441E-2</v>
      </c>
      <c r="K233" s="191">
        <f>IFERROR('Ενεργές συνδέσεις'!P49/'Παραδοχές διείσδυσης - κάλυψης'!H111,0)</f>
        <v>0.59431913116123647</v>
      </c>
      <c r="L233" s="161">
        <f t="shared" si="64"/>
        <v>9.091107481814879E-3</v>
      </c>
      <c r="M233" s="192">
        <f t="shared" si="60"/>
        <v>4.3103674850611728E-2</v>
      </c>
      <c r="O233" s="191">
        <f>IFERROR('Ενεργές συνδέσεις'!X49/'Παραδοχές διείσδυσης - κάλυψης'!I111,0)</f>
        <v>0.6175388471177945</v>
      </c>
      <c r="P233" s="161">
        <f t="shared" si="65"/>
        <v>3.9069440539780655E-2</v>
      </c>
      <c r="Q233" s="191">
        <f>IFERROR('Ενεργές συνδέσεις'!AC49/'Παραδοχές διείσδυσης - κάλυψης'!J111,0)</f>
        <v>0.64660150375939851</v>
      </c>
      <c r="R233" s="161">
        <f t="shared" si="66"/>
        <v>4.7062070309012251E-2</v>
      </c>
      <c r="S233" s="191">
        <f>IFERROR('Ενεργές συνδέσεις'!AH49/'Παραδοχές διείσδυσης - κάλυψης'!K111,0)</f>
        <v>0.66962092368813109</v>
      </c>
      <c r="T233" s="161">
        <f t="shared" si="67"/>
        <v>3.5600628509051754E-2</v>
      </c>
      <c r="U233" s="191">
        <f>IFERROR('Ενεργές συνδέσεις'!AM49/'Παραδοχές διείσδυσης - κάλυψης'!L111,0)</f>
        <v>0.69298294984274122</v>
      </c>
      <c r="V233" s="161">
        <f t="shared" si="68"/>
        <v>3.4888435125260152E-2</v>
      </c>
      <c r="W233" s="191">
        <f>IFERROR('Ενεργές συνδέσεις'!AR49/'Παραδοχές διείσδυσης - κάλυψης'!M111,0)</f>
        <v>0.71048998510180428</v>
      </c>
      <c r="X233" s="161">
        <f t="shared" si="69"/>
        <v>2.5263298704587073E-2</v>
      </c>
      <c r="Y233" s="192">
        <f t="shared" si="70"/>
        <v>3.5674824662494942E-2</v>
      </c>
    </row>
    <row r="234" spans="2:25" outlineLevel="1" x14ac:dyDescent="0.35">
      <c r="B234" s="294" t="s">
        <v>110</v>
      </c>
      <c r="C234" s="62" t="s">
        <v>253</v>
      </c>
      <c r="D234" s="190">
        <f>'Ενεργές συνδέσεις'!E50/'Παραδοχές διείσδυσης - κάλυψης'!D112</f>
        <v>0.37317105308546694</v>
      </c>
      <c r="E234" s="191">
        <f>IFERROR('Ενεργές συνδέσεις'!G50/'Παραδοχές διείσδυσης - κάλυψης'!E112,0)</f>
        <v>0.39929155838918451</v>
      </c>
      <c r="F234" s="161">
        <f t="shared" si="61"/>
        <v>6.9996065042416941E-2</v>
      </c>
      <c r="G234" s="191">
        <f>IFERROR('Ενεργές συνδέσεις'!J50/'Παραδοχές διείσδυσης - κάλυψης'!F112,0)</f>
        <v>0.41920287457561994</v>
      </c>
      <c r="H234" s="161">
        <f t="shared" si="62"/>
        <v>4.9866609418845069E-2</v>
      </c>
      <c r="I234" s="191">
        <f>IFERROR('Ενεργές συνδέσεις'!M50/'Παραδοχές διείσδυσης - κάλυψης'!G112,0)</f>
        <v>0.4330447506745897</v>
      </c>
      <c r="J234" s="161">
        <f t="shared" si="63"/>
        <v>3.30195161781335E-2</v>
      </c>
      <c r="K234" s="191">
        <f>IFERROR('Ενεργές συνδέσεις'!P50/'Παραδοχές διείσδυσης - κάλυψης'!H112,0)</f>
        <v>0.4147442326980943</v>
      </c>
      <c r="L234" s="161">
        <f t="shared" si="64"/>
        <v>-4.2260108101962138E-2</v>
      </c>
      <c r="M234" s="192">
        <f t="shared" si="60"/>
        <v>2.6758015401532331E-2</v>
      </c>
      <c r="O234" s="191">
        <f>IFERROR('Ενεργές συνδέσεις'!X50/'Παραδοχές διείσδυσης - κάλυψης'!I112,0)</f>
        <v>0.4221335992023928</v>
      </c>
      <c r="P234" s="161">
        <f t="shared" si="65"/>
        <v>1.7816682961996625E-2</v>
      </c>
      <c r="Q234" s="191">
        <f>IFERROR('Ενεργές συνδέσεις'!AC50/'Παραδοχές διείσδυσης - κάλυψης'!J112,0)</f>
        <v>0.43337986041874371</v>
      </c>
      <c r="R234" s="161">
        <f t="shared" si="66"/>
        <v>2.6641473783656049E-2</v>
      </c>
      <c r="S234" s="191">
        <f>IFERROR('Ενεργές συνδέσεις'!AH50/'Παραδοχές διείσδυσης - κάλυψης'!K112,0)</f>
        <v>0.43662597656249996</v>
      </c>
      <c r="T234" s="161">
        <f t="shared" si="67"/>
        <v>7.4902330270256723E-3</v>
      </c>
      <c r="U234" s="191">
        <f>IFERROR('Ενεργές συνδέσεις'!AM50/'Παραδοχές διείσδυσης - κάλυψης'!L112,0)</f>
        <v>0.44729003906249998</v>
      </c>
      <c r="V234" s="161">
        <f t="shared" si="68"/>
        <v>2.4423793068742278E-2</v>
      </c>
      <c r="W234" s="191">
        <f>IFERROR('Ενεργές συνδέσεις'!AR50/'Παραδοχές διείσδυσης - κάλυψης'!M112,0)</f>
        <v>0.44113764044943821</v>
      </c>
      <c r="X234" s="161">
        <f t="shared" si="69"/>
        <v>-1.375483036903063E-2</v>
      </c>
      <c r="Y234" s="192">
        <f t="shared" si="70"/>
        <v>1.1069591228311415E-2</v>
      </c>
    </row>
    <row r="235" spans="2:25" outlineLevel="1" x14ac:dyDescent="0.35">
      <c r="B235" s="294" t="s">
        <v>111</v>
      </c>
      <c r="C235" s="62" t="s">
        <v>253</v>
      </c>
      <c r="D235" s="190">
        <f>'Ενεργές συνδέσεις'!E51/'Παραδοχές διείσδυσης - κάλυψης'!D113</f>
        <v>0.23216443144344728</v>
      </c>
      <c r="E235" s="191">
        <f>IFERROR('Ενεργές συνδέσεις'!G51/'Παραδοχές διείσδυσης - κάλυψης'!E113,0)</f>
        <v>0.26037581993380254</v>
      </c>
      <c r="F235" s="161">
        <f t="shared" si="61"/>
        <v>0.12151468816715469</v>
      </c>
      <c r="G235" s="191">
        <f>IFERROR('Ενεργές συνδέσεις'!J51/'Παραδοχές διείσδυσης - κάλυψης'!F113,0)</f>
        <v>0.28033423743603858</v>
      </c>
      <c r="H235" s="161">
        <f t="shared" si="62"/>
        <v>7.6652346240561914E-2</v>
      </c>
      <c r="I235" s="191">
        <f>IFERROR('Ενεργές συνδέσεις'!M51/'Παραδοχές διείσδυσης - κάλυψης'!G113,0)</f>
        <v>0.29462242486906809</v>
      </c>
      <c r="J235" s="161">
        <f t="shared" si="63"/>
        <v>5.0968399592252876E-2</v>
      </c>
      <c r="K235" s="191">
        <f>IFERROR('Ενεργές συνδέσεις'!P51/'Παραδοχές διείσδυσης - κάλυψης'!H113,0)</f>
        <v>0.29455650732246474</v>
      </c>
      <c r="L235" s="161">
        <f t="shared" si="64"/>
        <v>-2.2373567332031405E-4</v>
      </c>
      <c r="M235" s="192">
        <f t="shared" si="60"/>
        <v>6.1312389731670525E-2</v>
      </c>
      <c r="O235" s="191">
        <f>IFERROR('Ενεργές συνδέσεις'!X51/'Παραδοχές διείσδυσης - κάλυψης'!I113,0)</f>
        <v>0.30026170798898072</v>
      </c>
      <c r="P235" s="161">
        <f t="shared" si="65"/>
        <v>1.9368781624879282E-2</v>
      </c>
      <c r="Q235" s="191">
        <f>IFERROR('Ενεργές συνδέσεις'!AC51/'Παραδοχές διείσδυσης - κάλυψης'!J113,0)</f>
        <v>0.29423437500000005</v>
      </c>
      <c r="R235" s="161">
        <f t="shared" si="66"/>
        <v>-2.0073598559566804E-2</v>
      </c>
      <c r="S235" s="191">
        <f>IFERROR('Ενεργές συνδέσεις'!AH51/'Παραδοχές διείσδυσης - κάλυψης'!K113,0)</f>
        <v>0.28394453741333975</v>
      </c>
      <c r="T235" s="161">
        <f t="shared" si="67"/>
        <v>-3.4971568453415064E-2</v>
      </c>
      <c r="U235" s="191">
        <f>IFERROR('Ενεργές συνδέσεις'!AM51/'Παραδοχές διείσδυσης - κάλυψης'!L113,0)</f>
        <v>0.29616543150848679</v>
      </c>
      <c r="V235" s="161">
        <f t="shared" si="68"/>
        <v>4.3039722498189888E-2</v>
      </c>
      <c r="W235" s="191">
        <f>IFERROR('Ενεργές συνδέσεις'!AR51/'Παραδοχές διείσδυσης - κάλυψης'!M113,0)</f>
        <v>0.29999295939920212</v>
      </c>
      <c r="X235" s="161">
        <f t="shared" si="69"/>
        <v>1.2923614586686333E-2</v>
      </c>
      <c r="Y235" s="192">
        <f t="shared" si="70"/>
        <v>-2.2383710053319739E-4</v>
      </c>
    </row>
    <row r="236" spans="2:25" outlineLevel="1" x14ac:dyDescent="0.35">
      <c r="B236" s="294" t="s">
        <v>112</v>
      </c>
      <c r="C236" s="62" t="s">
        <v>253</v>
      </c>
      <c r="D236" s="190">
        <f>'Ενεργές συνδέσεις'!E52/'Παραδοχές διείσδυσης - κάλυψης'!D114</f>
        <v>0.23617265229675918</v>
      </c>
      <c r="E236" s="191">
        <f>IFERROR('Ενεργές συνδέσεις'!G52/'Παραδοχές διείσδυσης - κάλυψης'!E114,0)</f>
        <v>0.24943419042718523</v>
      </c>
      <c r="F236" s="161">
        <f t="shared" si="61"/>
        <v>5.6151878727103692E-2</v>
      </c>
      <c r="G236" s="191">
        <f>IFERROR('Ενεργές συνδέσεις'!J52/'Παραδοχές διείσδυσης - κάλυψης'!F114,0)</f>
        <v>0.27373651030667323</v>
      </c>
      <c r="H236" s="161">
        <f t="shared" si="62"/>
        <v>9.7429786341108382E-2</v>
      </c>
      <c r="I236" s="191">
        <f>IFERROR('Ενεργές συνδέσεις'!M52/'Παραδοχές διείσδυσης - κάλυψης'!G114,0)</f>
        <v>0.27201302331920391</v>
      </c>
      <c r="J236" s="161">
        <f t="shared" si="63"/>
        <v>-6.296153134773521E-3</v>
      </c>
      <c r="K236" s="191">
        <f>IFERROR('Ενεργές συνδέσεις'!P52/'Παραδοχές διείσδυσης - κάλυψης'!H114,0)</f>
        <v>0.26810477657935283</v>
      </c>
      <c r="L236" s="161">
        <f t="shared" si="64"/>
        <v>-1.4367866259347422E-2</v>
      </c>
      <c r="M236" s="192">
        <f t="shared" si="60"/>
        <v>3.221160185921268E-2</v>
      </c>
      <c r="O236" s="191">
        <f>IFERROR('Ενεργές συνδέσεις'!X52/'Παραδοχές διείσδυσης - κάλυψης'!I114,0)</f>
        <v>0.27227175572519086</v>
      </c>
      <c r="P236" s="161">
        <f t="shared" si="65"/>
        <v>1.5542353250855618E-2</v>
      </c>
      <c r="Q236" s="191">
        <f>IFERROR('Ενεργές συνδέσεις'!AC52/'Παραδοχές διείσδυσης - κάλυψης'!J114,0)</f>
        <v>0.27139538281706604</v>
      </c>
      <c r="R236" s="161">
        <f t="shared" si="66"/>
        <v>-3.2187433683328942E-3</v>
      </c>
      <c r="S236" s="191">
        <f>IFERROR('Ενεργές συνδέσεις'!AH52/'Παραδοχές διείσδυσης - κάλυψης'!K114,0)</f>
        <v>0.27456209518445507</v>
      </c>
      <c r="T236" s="161">
        <f t="shared" si="67"/>
        <v>1.16682617608257E-2</v>
      </c>
      <c r="U236" s="191">
        <f>IFERROR('Ενεργές συνδέσεις'!AM52/'Παραδοχές διείσδυσης - κάλυψης'!L114,0)</f>
        <v>0.27736491084796516</v>
      </c>
      <c r="V236" s="161">
        <f t="shared" si="68"/>
        <v>1.0208312482562895E-2</v>
      </c>
      <c r="W236" s="191">
        <f>IFERROR('Ενεργές συνδέσεις'!AR52/'Παραδοχές διείσδυσης - κάλυψης'!M114,0)</f>
        <v>0.27733281188893233</v>
      </c>
      <c r="X236" s="161">
        <f t="shared" si="69"/>
        <v>-1.1572826185799789E-4</v>
      </c>
      <c r="Y236" s="192">
        <f t="shared" si="70"/>
        <v>4.6150171621706093E-3</v>
      </c>
    </row>
    <row r="237" spans="2:25" outlineLevel="1" x14ac:dyDescent="0.35">
      <c r="B237" s="294" t="s">
        <v>113</v>
      </c>
      <c r="C237" s="62" t="s">
        <v>253</v>
      </c>
      <c r="D237" s="190">
        <f>'Ενεργές συνδέσεις'!E53/'Παραδοχές διείσδυσης - κάλυψης'!D115</f>
        <v>0.20511605845705622</v>
      </c>
      <c r="E237" s="191">
        <f>IFERROR('Ενεργές συνδέσεις'!G53/'Παραδοχές διείσδυσης - κάλυψης'!E115,0)</f>
        <v>0.20511605845705622</v>
      </c>
      <c r="F237" s="161">
        <f t="shared" si="61"/>
        <v>0</v>
      </c>
      <c r="G237" s="191">
        <f>IFERROR('Ενεργές συνδέσεις'!J53/'Παραδοχές διείσδυσης - κάλυψης'!F115,0)</f>
        <v>0.20511605845705622</v>
      </c>
      <c r="H237" s="161">
        <f t="shared" si="62"/>
        <v>0</v>
      </c>
      <c r="I237" s="191">
        <f>IFERROR('Ενεργές συνδέσεις'!M53/'Παραδοχές διείσδυσης - κάλυψης'!G115,0)</f>
        <v>0.20511605845705622</v>
      </c>
      <c r="J237" s="161">
        <f t="shared" si="63"/>
        <v>0</v>
      </c>
      <c r="K237" s="191">
        <f>IFERROR('Ενεργές συνδέσεις'!P53/'Παραδοχές διείσδυσης - κάλυψης'!H115,0)</f>
        <v>9.5890410958904104E-2</v>
      </c>
      <c r="L237" s="161">
        <f t="shared" si="64"/>
        <v>-0.53250656394131113</v>
      </c>
      <c r="M237" s="192">
        <f t="shared" si="60"/>
        <v>-0.17311735021664421</v>
      </c>
      <c r="O237" s="191">
        <f>IFERROR('Ενεργές συνδέσεις'!X53/'Παραδοχές διείσδυσης - κάλυψης'!I115,0)</f>
        <v>9.5890410958904104E-2</v>
      </c>
      <c r="P237" s="161">
        <f t="shared" si="65"/>
        <v>0</v>
      </c>
      <c r="Q237" s="191">
        <f>IFERROR('Ενεργές συνδέσεις'!AC53/'Παραδοχές διείσδυσης - κάλυψης'!J115,0)</f>
        <v>9.5890410958904104E-2</v>
      </c>
      <c r="R237" s="161">
        <f t="shared" si="66"/>
        <v>0</v>
      </c>
      <c r="S237" s="191">
        <f>IFERROR('Ενεργές συνδέσεις'!AH53/'Παραδοχές διείσδυσης - κάλυψης'!K115,0)</f>
        <v>0.1095890410958904</v>
      </c>
      <c r="T237" s="161">
        <f t="shared" si="67"/>
        <v>0.14285714285714285</v>
      </c>
      <c r="U237" s="191">
        <f>IFERROR('Ενεργές συνδέσεις'!AM53/'Παραδοχές διείσδυσης - κάλυψης'!L115,0)</f>
        <v>0.1095890410958904</v>
      </c>
      <c r="V237" s="161">
        <f t="shared" si="68"/>
        <v>0</v>
      </c>
      <c r="W237" s="191">
        <f>IFERROR('Ενεργές συνδέσεις'!AR53/'Παραδοχές διείσδυσης - κάλυψης'!M115,0)</f>
        <v>0.1095890410958904</v>
      </c>
      <c r="X237" s="161">
        <f t="shared" si="69"/>
        <v>0</v>
      </c>
      <c r="Y237" s="192">
        <f t="shared" si="70"/>
        <v>3.3946307914341167E-2</v>
      </c>
    </row>
    <row r="238" spans="2:25" outlineLevel="1" x14ac:dyDescent="0.35">
      <c r="B238" s="294" t="s">
        <v>114</v>
      </c>
      <c r="C238" s="62" t="s">
        <v>253</v>
      </c>
      <c r="D238" s="190">
        <f>'Ενεργές συνδέσεις'!E54/'Παραδοχές διείσδυσης - κάλυψης'!D116</f>
        <v>0.48875046470366262</v>
      </c>
      <c r="E238" s="191">
        <f>IFERROR('Ενεργές συνδέσεις'!G54/'Παραδοχές διείσδυσης - κάλυψης'!E116,0)</f>
        <v>0.5196284590315281</v>
      </c>
      <c r="F238" s="161">
        <f t="shared" si="61"/>
        <v>6.317742193163399E-2</v>
      </c>
      <c r="G238" s="191">
        <f>IFERROR('Ενεργές συνδέσεις'!J54/'Παραδοχές διείσδυσης - κάλυψης'!F116,0)</f>
        <v>0.54229914438512794</v>
      </c>
      <c r="H238" s="161">
        <f t="shared" si="62"/>
        <v>4.3628644581655433E-2</v>
      </c>
      <c r="I238" s="191">
        <f>IFERROR('Ενεργές συνδέσεις'!M54/'Παραδοχές διείσδυσης - κάλυψης'!G116,0)</f>
        <v>0.56140260522477148</v>
      </c>
      <c r="J238" s="161">
        <f t="shared" si="63"/>
        <v>3.522679509535924E-2</v>
      </c>
      <c r="K238" s="191">
        <f>IFERROR('Ενεργές συνδέσεις'!P54/'Παραδοχές διείσδυσης - κάλυψης'!H116,0)</f>
        <v>0.56877897990726434</v>
      </c>
      <c r="L238" s="161">
        <f t="shared" si="64"/>
        <v>1.313918854997038E-2</v>
      </c>
      <c r="M238" s="192">
        <f t="shared" si="60"/>
        <v>3.8637715064950617E-2</v>
      </c>
      <c r="O238" s="191">
        <f>IFERROR('Ενεργές συνδέσεις'!X54/'Παραδοχές διείσδυσης - κάλυψης'!I116,0)</f>
        <v>0.59213635583032809</v>
      </c>
      <c r="P238" s="161">
        <f t="shared" si="65"/>
        <v>4.1065821256038706E-2</v>
      </c>
      <c r="Q238" s="191">
        <f>IFERROR('Ενεργές συνδέσεις'!AC54/'Παραδοχές διείσδυσης - κάλυψης'!J116,0)</f>
        <v>0.62159368023355666</v>
      </c>
      <c r="R238" s="161">
        <f t="shared" si="66"/>
        <v>4.9747535534989729E-2</v>
      </c>
      <c r="S238" s="191">
        <f>IFERROR('Ενεργές συνδέσεις'!AH54/'Παραδοχές διείσδυσης - κάλυψης'!K116,0)</f>
        <v>0.64967542503863995</v>
      </c>
      <c r="T238" s="161">
        <f t="shared" si="67"/>
        <v>4.5177011443443098E-2</v>
      </c>
      <c r="U238" s="191">
        <f>IFERROR('Ενεργές συνδέσεις'!AM54/'Παραδοχές διείσδυσης - κάλυψης'!L116,0)</f>
        <v>0.67166752533058571</v>
      </c>
      <c r="V238" s="161">
        <f t="shared" si="68"/>
        <v>3.3850903765734658E-2</v>
      </c>
      <c r="W238" s="191">
        <f>IFERROR('Ενεργές συνδέσεις'!AR54/'Παραδοχές διείσδυσης - κάλυψης'!M116,0)</f>
        <v>0.68827580285076428</v>
      </c>
      <c r="X238" s="161">
        <f t="shared" si="69"/>
        <v>2.4726932438789862E-2</v>
      </c>
      <c r="Y238" s="192">
        <f t="shared" si="70"/>
        <v>3.8329501993941362E-2</v>
      </c>
    </row>
    <row r="239" spans="2:25" outlineLevel="1" x14ac:dyDescent="0.35">
      <c r="B239" s="294" t="s">
        <v>115</v>
      </c>
      <c r="C239" s="62" t="s">
        <v>253</v>
      </c>
      <c r="D239" s="190">
        <f>'Ενεργές συνδέσεις'!E55/'Παραδοχές διείσδυσης - κάλυψης'!D117</f>
        <v>0.16352060480039038</v>
      </c>
      <c r="E239" s="191">
        <f>IFERROR('Ενεργές συνδέσεις'!G55/'Παραδοχές διείσδυσης - κάλυψης'!E117,0)</f>
        <v>0.26879568893016487</v>
      </c>
      <c r="F239" s="161">
        <f t="shared" si="61"/>
        <v>0.64380317243985119</v>
      </c>
      <c r="G239" s="191">
        <f>IFERROR('Ενεργές συνδέσεις'!J55/'Παραδοχές διείσδυσης - κάλυψης'!F117,0)</f>
        <v>0.31445905362087362</v>
      </c>
      <c r="H239" s="161">
        <f t="shared" si="62"/>
        <v>0.16988131347066521</v>
      </c>
      <c r="I239" s="191">
        <f>IFERROR('Ενεργές συνδέσεις'!M55/'Παραδοχές διείσδυσης - κάλυψης'!G117,0)</f>
        <v>0.30527516301874913</v>
      </c>
      <c r="J239" s="161">
        <f t="shared" si="63"/>
        <v>-2.9205362340106171E-2</v>
      </c>
      <c r="K239" s="191">
        <f>IFERROR('Ενεργές συνδέσεις'!P55/'Παραδοχές διείσδυσης - κάλυψης'!H117,0)</f>
        <v>0.31201450025893318</v>
      </c>
      <c r="L239" s="161">
        <f t="shared" si="64"/>
        <v>2.2076271038696131E-2</v>
      </c>
      <c r="M239" s="192">
        <f t="shared" si="60"/>
        <v>0.17530497142688795</v>
      </c>
      <c r="O239" s="191">
        <f>IFERROR('Ενεργές συνδέσεις'!X55/'Παραδοχές διείσδυσης - κάλυψης'!I117,0)</f>
        <v>0.31814159292035399</v>
      </c>
      <c r="P239" s="161">
        <f t="shared" si="65"/>
        <v>1.9637204861748681E-2</v>
      </c>
      <c r="Q239" s="191">
        <f>IFERROR('Ενεργές συνδέσεις'!AC55/'Παραδοχές διείσδυσης - κάλυψης'!J117,0)</f>
        <v>0.32167467563671309</v>
      </c>
      <c r="R239" s="161">
        <f t="shared" si="66"/>
        <v>1.1105378218319297E-2</v>
      </c>
      <c r="S239" s="191">
        <f>IFERROR('Ενεργές συνδέσεις'!AH55/'Παραδοχές διείσδυσης - κάλυψης'!K117,0)</f>
        <v>0.3348625792811839</v>
      </c>
      <c r="T239" s="161">
        <f t="shared" si="67"/>
        <v>4.09976434059258E-2</v>
      </c>
      <c r="U239" s="191">
        <f>IFERROR('Ενεργές συνδέσεις'!AM55/'Παραδοχές διείσδυσης - κάλυψης'!L117,0)</f>
        <v>0.33640080428954422</v>
      </c>
      <c r="V239" s="161">
        <f t="shared" si="68"/>
        <v>4.5936007889035282E-3</v>
      </c>
      <c r="W239" s="191">
        <f>IFERROR('Ενεργές συνδέσεις'!AR55/'Παραδοχές διείσδυσης - κάλυψης'!M117,0)</f>
        <v>0.342104807275877</v>
      </c>
      <c r="X239" s="161">
        <f t="shared" si="69"/>
        <v>1.6955973093997941E-2</v>
      </c>
      <c r="Y239" s="192">
        <f t="shared" si="70"/>
        <v>1.8320956554548573E-2</v>
      </c>
    </row>
    <row r="240" spans="2:25" outlineLevel="1" x14ac:dyDescent="0.35">
      <c r="B240" s="294" t="s">
        <v>116</v>
      </c>
      <c r="C240" s="62" t="s">
        <v>253</v>
      </c>
      <c r="D240" s="190">
        <f>'Ενεργές συνδέσεις'!E56/'Παραδοχές διείσδυσης - κάλυψης'!D118</f>
        <v>0.59055411058739016</v>
      </c>
      <c r="E240" s="191">
        <f>IFERROR('Ενεργές συνδέσεις'!G56/'Παραδοχές διείσδυσης - κάλυψης'!E118,0)</f>
        <v>0.61330897400523721</v>
      </c>
      <c r="F240" s="161">
        <f t="shared" si="61"/>
        <v>3.8531377582342277E-2</v>
      </c>
      <c r="G240" s="191">
        <f>IFERROR('Ενεργές συνδέσεις'!J56/'Παραδοχές διείσδυσης - κάλυψης'!F118,0)</f>
        <v>0.63569319841032568</v>
      </c>
      <c r="H240" s="161">
        <f t="shared" si="62"/>
        <v>3.6497467595993996E-2</v>
      </c>
      <c r="I240" s="191">
        <f>IFERROR('Ενεργές συνδέσεις'!M56/'Παραδοχές διείσδυσης - κάλυψης'!G118,0)</f>
        <v>0.65104453255872752</v>
      </c>
      <c r="J240" s="161">
        <f t="shared" si="63"/>
        <v>2.4148967122490587E-2</v>
      </c>
      <c r="K240" s="191">
        <f>IFERROR('Ενεργές συνδέσεις'!P56/'Παραδοχές διείσδυσης - κάλυψης'!H118,0)</f>
        <v>0.66857670979667283</v>
      </c>
      <c r="L240" s="161">
        <f t="shared" si="64"/>
        <v>2.6929305694405506E-2</v>
      </c>
      <c r="M240" s="192">
        <f t="shared" si="60"/>
        <v>3.1508679679612239E-2</v>
      </c>
      <c r="O240" s="191">
        <f>IFERROR('Ενεργές συνδέσεις'!X56/'Παραδοχές διείσδυσης - κάλυψης'!I118,0)</f>
        <v>0.6877929759704251</v>
      </c>
      <c r="P240" s="161">
        <f t="shared" si="65"/>
        <v>2.8742051423831849E-2</v>
      </c>
      <c r="Q240" s="191">
        <f>IFERROR('Ενεργές συνδέσεις'!AC56/'Παραδοχές διείσδυσης - κάλυψης'!J118,0)</f>
        <v>0.7114972273567467</v>
      </c>
      <c r="R240" s="161">
        <f t="shared" si="66"/>
        <v>3.4464224286205665E-2</v>
      </c>
      <c r="S240" s="191">
        <f>IFERROR('Ενεργές συνδέσεις'!AH56/'Παραδοχές διείσδυσης - κάλυψης'!K118,0)</f>
        <v>0.73404990757855826</v>
      </c>
      <c r="T240" s="161">
        <f t="shared" si="67"/>
        <v>3.1697495583498013E-2</v>
      </c>
      <c r="U240" s="191">
        <f>IFERROR('Ενεργές συνδέσεις'!AM56/'Παραδοχές διείσδυσης - κάλυψης'!L118,0)</f>
        <v>0.75173567467652491</v>
      </c>
      <c r="V240" s="161">
        <f t="shared" si="68"/>
        <v>2.4093412335283098E-2</v>
      </c>
      <c r="W240" s="191">
        <f>IFERROR('Ενεργές συνδέσεις'!AR56/'Παραδοχές διείσδυσης - κάλυψης'!M118,0)</f>
        <v>0.76515157116451005</v>
      </c>
      <c r="X240" s="161">
        <f t="shared" si="69"/>
        <v>1.7846560885590609E-2</v>
      </c>
      <c r="Y240" s="192">
        <f t="shared" si="70"/>
        <v>2.7004708041813652E-2</v>
      </c>
    </row>
    <row r="241" spans="2:33" outlineLevel="1" x14ac:dyDescent="0.35">
      <c r="B241" s="294" t="s">
        <v>117</v>
      </c>
      <c r="C241" s="62" t="s">
        <v>253</v>
      </c>
      <c r="D241" s="190">
        <f>'Ενεργές συνδέσεις'!E57/'Παραδοχές διείσδυσης - κάλυψης'!D119</f>
        <v>0.25353469186879912</v>
      </c>
      <c r="E241" s="191">
        <f>IFERROR('Ενεργές συνδέσεις'!G57/'Παραδοχές διείσδυσης - κάλυψης'!E119,0)</f>
        <v>0.27764688481213101</v>
      </c>
      <c r="F241" s="161">
        <f t="shared" si="61"/>
        <v>9.5104116780237835E-2</v>
      </c>
      <c r="G241" s="191">
        <f>IFERROR('Ενεργές συνδέσεις'!J57/'Παραδοχές διείσδυσης - κάλυψης'!F119,0)</f>
        <v>0.29457277948303762</v>
      </c>
      <c r="H241" s="161">
        <f t="shared" si="62"/>
        <v>6.0961946979378012E-2</v>
      </c>
      <c r="I241" s="191">
        <f>IFERROR('Ενεργές συνδέσεις'!M57/'Παραδοχές διείσδυσης - κάλυψης'!G119,0)</f>
        <v>0.30737192344620129</v>
      </c>
      <c r="J241" s="161">
        <f t="shared" si="63"/>
        <v>4.3449852989219211E-2</v>
      </c>
      <c r="K241" s="191">
        <f>IFERROR('Ενεργές συνδέσεις'!P57/'Παραδοχές διείσδυσης - κάλυψης'!H119,0)</f>
        <v>0.30764961613171771</v>
      </c>
      <c r="L241" s="161">
        <f t="shared" si="64"/>
        <v>9.0344193575969689E-4</v>
      </c>
      <c r="M241" s="192">
        <f t="shared" si="60"/>
        <v>4.9553898222066239E-2</v>
      </c>
      <c r="O241" s="191">
        <f>IFERROR('Ενεργές συνδέσεις'!X57/'Παραδοχές διείσδυσης - κάλυψης'!I119,0)</f>
        <v>0.31336444363899962</v>
      </c>
      <c r="P241" s="161">
        <f t="shared" si="65"/>
        <v>1.8575766741198076E-2</v>
      </c>
      <c r="Q241" s="191">
        <f>IFERROR('Ενεργές συνδέσεις'!AC57/'Παραδοχές διείσδυσης - κάλυψης'!J119,0)</f>
        <v>0.31184947145877379</v>
      </c>
      <c r="R241" s="161">
        <f t="shared" si="66"/>
        <v>-4.8345375838846202E-3</v>
      </c>
      <c r="S241" s="191">
        <f>IFERROR('Ενεργές συνδέσεις'!AH57/'Παραδοχές διείσδυσης - κάλυψης'!K119,0)</f>
        <v>0.32079448723145521</v>
      </c>
      <c r="T241" s="161">
        <f t="shared" si="67"/>
        <v>2.8683761209657661E-2</v>
      </c>
      <c r="U241" s="191">
        <f>IFERROR('Ενεργές συνδέσεις'!AM57/'Παραδοχές διείσδυσης - κάλυψης'!L119,0)</f>
        <v>0.31374566132486525</v>
      </c>
      <c r="V241" s="161">
        <f t="shared" si="68"/>
        <v>-2.1973026928932788E-2</v>
      </c>
      <c r="W241" s="191">
        <f>IFERROR('Ενεργές συνδέσεις'!AR57/'Παραδοχές διείσδυσης - κάλυψης'!M119,0)</f>
        <v>0.32548010380622833</v>
      </c>
      <c r="X241" s="161">
        <f t="shared" si="69"/>
        <v>3.7401130685956303E-2</v>
      </c>
      <c r="Y241" s="192">
        <f t="shared" si="70"/>
        <v>9.5287282048821531E-3</v>
      </c>
    </row>
    <row r="242" spans="2:33" outlineLevel="1" x14ac:dyDescent="0.35">
      <c r="B242" s="294" t="s">
        <v>118</v>
      </c>
      <c r="C242" s="62" t="s">
        <v>253</v>
      </c>
      <c r="D242" s="190">
        <f>'Ενεργές συνδέσεις'!E58/'Παραδοχές διείσδυσης - κάλυψης'!D120</f>
        <v>0.48053167787692325</v>
      </c>
      <c r="E242" s="191">
        <f>IFERROR('Ενεργές συνδέσεις'!G58/'Παραδοχές διείσδυσης - κάλυψης'!E120,0)</f>
        <v>0.49228319224221406</v>
      </c>
      <c r="F242" s="161">
        <f t="shared" si="61"/>
        <v>2.445523345559892E-2</v>
      </c>
      <c r="G242" s="191">
        <f>IFERROR('Ενεργές συνδέσεις'!J58/'Παραδοχές διείσδυσης - κάλυψης'!F120,0)</f>
        <v>0.50019202699483667</v>
      </c>
      <c r="H242" s="161">
        <f t="shared" si="62"/>
        <v>1.6065620109027179E-2</v>
      </c>
      <c r="I242" s="191">
        <f>IFERROR('Ενεργές συνδέσεις'!M58/'Παραδοχές διείσδυσης - κάλυψης'!G120,0)</f>
        <v>0.48664692638228391</v>
      </c>
      <c r="J242" s="161">
        <f t="shared" si="63"/>
        <v>-2.707980111944604E-2</v>
      </c>
      <c r="K242" s="191">
        <f>IFERROR('Ενεργές συνδέσεις'!P58/'Παραδοχές διείσδυσης - κάλυψης'!H120,0)</f>
        <v>0.49087728067983005</v>
      </c>
      <c r="L242" s="161">
        <f t="shared" si="64"/>
        <v>8.6928614324032639E-3</v>
      </c>
      <c r="M242" s="192">
        <f t="shared" si="60"/>
        <v>5.3394558291068872E-3</v>
      </c>
      <c r="O242" s="191">
        <f>IFERROR('Ενεργές συνδέσεις'!X58/'Παραδοχές διείσδυσης - κάλυψης'!I120,0)</f>
        <v>0.5025443639090228</v>
      </c>
      <c r="P242" s="161">
        <f t="shared" si="65"/>
        <v>2.3767820773930838E-2</v>
      </c>
      <c r="Q242" s="191">
        <f>IFERROR('Ενεργές συνδέσεις'!AC58/'Παραδοχές διείσδυσης - κάλυψης'!J120,0)</f>
        <v>0.51710072481879532</v>
      </c>
      <c r="R242" s="161">
        <f t="shared" si="66"/>
        <v>2.8965325163626172E-2</v>
      </c>
      <c r="S242" s="191">
        <f>IFERROR('Ενεργές συνδέσεις'!AH58/'Παραδοχές διείσδυσης - κάλυψης'!K120,0)</f>
        <v>0.53076980754811298</v>
      </c>
      <c r="T242" s="161">
        <f t="shared" si="67"/>
        <v>2.6434081549794076E-2</v>
      </c>
      <c r="U242" s="191">
        <f>IFERROR('Ενεργές συνδέσεις'!AM58/'Παραδοχές διείσδυσης - κάλυψης'!L120,0)</f>
        <v>0.54149712571857045</v>
      </c>
      <c r="V242" s="161">
        <f t="shared" si="68"/>
        <v>2.0210867343815636E-2</v>
      </c>
      <c r="W242" s="191">
        <f>IFERROR('Ενεργές συνδέσεις'!AR58/'Παραδοχές διείσδυσης - κάλυψης'!M120,0)</f>
        <v>0.54436264822134395</v>
      </c>
      <c r="X242" s="161">
        <f t="shared" si="69"/>
        <v>5.2918517323077762E-3</v>
      </c>
      <c r="Y242" s="192">
        <f t="shared" si="70"/>
        <v>2.0183929187802097E-2</v>
      </c>
    </row>
    <row r="243" spans="2:33" outlineLevel="1" x14ac:dyDescent="0.35">
      <c r="B243" s="294" t="s">
        <v>119</v>
      </c>
      <c r="C243" s="62" t="s">
        <v>253</v>
      </c>
      <c r="D243" s="191">
        <f>IFERROR('Ενεργές συνδέσεις'!F59/'Παραδοχές διείσδυσης - κάλυψης'!D121,0)</f>
        <v>0</v>
      </c>
      <c r="E243" s="191">
        <f>IFERROR('Ενεργές συνδέσεις'!G59/'Παραδοχές διείσδυσης - κάλυψης'!E121,0)</f>
        <v>0</v>
      </c>
      <c r="F243" s="161">
        <f t="shared" si="61"/>
        <v>0</v>
      </c>
      <c r="G243" s="191">
        <f>IFERROR('Ενεργές συνδέσεις'!J59/'Παραδοχές διείσδυσης - κάλυψης'!F121,0)</f>
        <v>0</v>
      </c>
      <c r="H243" s="161">
        <f t="shared" si="62"/>
        <v>0</v>
      </c>
      <c r="I243" s="191">
        <f>IFERROR('Ενεργές συνδέσεις'!M59/'Παραδοχές διείσδυσης - κάλυψης'!G121,0)</f>
        <v>0</v>
      </c>
      <c r="J243" s="161">
        <f t="shared" si="63"/>
        <v>0</v>
      </c>
      <c r="K243" s="191">
        <f>IFERROR('Ενεργές συνδέσεις'!P59/'Παραδοχές διείσδυσης - κάλυψης'!H121,0)</f>
        <v>0</v>
      </c>
      <c r="L243" s="161">
        <f t="shared" si="64"/>
        <v>0</v>
      </c>
      <c r="M243" s="192">
        <f t="shared" si="60"/>
        <v>0</v>
      </c>
      <c r="O243" s="191">
        <f>IFERROR('Ενεργές συνδέσεις'!X59/'Παραδοχές διείσδυσης - κάλυψης'!I121,0)</f>
        <v>0</v>
      </c>
      <c r="P243" s="161">
        <f t="shared" si="65"/>
        <v>0</v>
      </c>
      <c r="Q243" s="191">
        <f>IFERROR('Ενεργές συνδέσεις'!AC59/'Παραδοχές διείσδυσης - κάλυψης'!J121,0)</f>
        <v>0</v>
      </c>
      <c r="R243" s="161">
        <f t="shared" si="66"/>
        <v>0</v>
      </c>
      <c r="S243" s="191">
        <f>IFERROR('Ενεργές συνδέσεις'!AH59/'Παραδοχές διείσδυσης - κάλυψης'!K121,0)</f>
        <v>0</v>
      </c>
      <c r="T243" s="161">
        <f t="shared" si="67"/>
        <v>0</v>
      </c>
      <c r="U243" s="191">
        <f>IFERROR('Ενεργές συνδέσεις'!AM59/'Παραδοχές διείσδυσης - κάλυψης'!L121,0)</f>
        <v>0</v>
      </c>
      <c r="V243" s="161">
        <f t="shared" si="68"/>
        <v>0</v>
      </c>
      <c r="W243" s="191">
        <f>IFERROR('Ενεργές συνδέσεις'!AR59/'Παραδοχές διείσδυσης - κάλυψης'!M121,0)</f>
        <v>0</v>
      </c>
      <c r="X243" s="161">
        <f t="shared" si="69"/>
        <v>0</v>
      </c>
      <c r="Y243" s="192">
        <f t="shared" si="70"/>
        <v>0</v>
      </c>
    </row>
    <row r="244" spans="2:33" outlineLevel="1" x14ac:dyDescent="0.35">
      <c r="B244" s="294" t="s">
        <v>120</v>
      </c>
      <c r="C244" s="62" t="s">
        <v>253</v>
      </c>
      <c r="D244" s="190">
        <f>'Ενεργές συνδέσεις'!E60/'Παραδοχές διείσδυσης - κάλυψης'!D122</f>
        <v>0.26710093563267312</v>
      </c>
      <c r="E244" s="191">
        <f>IFERROR('Ενεργές συνδέσεις'!G60/'Παραδοχές διείσδυσης - κάλυψης'!E122,0)</f>
        <v>0.29075594282921668</v>
      </c>
      <c r="F244" s="161">
        <f t="shared" si="61"/>
        <v>8.8562052920229326E-2</v>
      </c>
      <c r="G244" s="191">
        <f>IFERROR('Ενεργές συνδέσεις'!J60/'Παραδοχές διείσδυσης - κάλυψης'!F122,0)</f>
        <v>0.30944042612798356</v>
      </c>
      <c r="H244" s="161">
        <f t="shared" si="62"/>
        <v>6.4261741710097076E-2</v>
      </c>
      <c r="I244" s="191">
        <f>IFERROR('Ενεργές συνδέσεις'!M60/'Παραδοχές διείσδυσης - κάλυψης'!G122,0)</f>
        <v>0.32080072864462106</v>
      </c>
      <c r="J244" s="161">
        <f t="shared" si="63"/>
        <v>3.6712405870133191E-2</v>
      </c>
      <c r="K244" s="191">
        <f>IFERROR('Ενεργές συνδέσεις'!P60/'Παραδοχές διείσδυσης - κάλυψης'!H122,0)</f>
        <v>0.31836955785767485</v>
      </c>
      <c r="L244" s="161">
        <f t="shared" si="64"/>
        <v>-7.5784453396283676E-3</v>
      </c>
      <c r="M244" s="192">
        <f t="shared" si="60"/>
        <v>4.4874261395642545E-2</v>
      </c>
      <c r="O244" s="191">
        <f>IFERROR('Ενεργές συνδέσεις'!X60/'Παραδοχές διείσδυσης - κάλυψης'!I122,0)</f>
        <v>0.32360002682583328</v>
      </c>
      <c r="P244" s="161">
        <f t="shared" si="65"/>
        <v>1.6428923052048461E-2</v>
      </c>
      <c r="Q244" s="191">
        <f>IFERROR('Ενεργές συνδέσεις'!AC60/'Παραδοχές διείσδυσης - κάλυψης'!J122,0)</f>
        <v>0.32725996852046169</v>
      </c>
      <c r="R244" s="161">
        <f t="shared" si="66"/>
        <v>1.1310078464852073E-2</v>
      </c>
      <c r="S244" s="191">
        <f>IFERROR('Ενεργές συνδέσεις'!AH60/'Παραδοχές διείσδυσης - κάλυψης'!K122,0)</f>
        <v>0.33071346301510107</v>
      </c>
      <c r="T244" s="161">
        <f t="shared" si="67"/>
        <v>1.0552755689162328E-2</v>
      </c>
      <c r="U244" s="191">
        <f>IFERROR('Ενεργές συνδέσεις'!AM60/'Παραδοχές διείσδυσης - κάλυψης'!L122,0)</f>
        <v>0.33601225443749605</v>
      </c>
      <c r="V244" s="161">
        <f t="shared" si="68"/>
        <v>1.6022303338019909E-2</v>
      </c>
      <c r="W244" s="191">
        <f>IFERROR('Ενεργές συνδέσεις'!AR60/'Παραδοχές διείσδυσης - κάλυψης'!M122,0)</f>
        <v>0.33575501909102107</v>
      </c>
      <c r="X244" s="161">
        <f t="shared" si="69"/>
        <v>-7.6555346740436292E-4</v>
      </c>
      <c r="Y244" s="192">
        <f t="shared" si="70"/>
        <v>9.2609991437491157E-3</v>
      </c>
    </row>
    <row r="245" spans="2:33" outlineLevel="1" x14ac:dyDescent="0.35">
      <c r="B245" s="294" t="s">
        <v>121</v>
      </c>
      <c r="C245" s="62" t="s">
        <v>253</v>
      </c>
      <c r="D245" s="190">
        <f>'Ενεργές συνδέσεις'!E61/'Παραδοχές διείσδυσης - κάλυψης'!D123</f>
        <v>0.33050539339414298</v>
      </c>
      <c r="E245" s="191">
        <f>IFERROR('Ενεργές συνδέσεις'!G61/'Παραδοχές διείσδυσης - κάλυψης'!E123,0)</f>
        <v>0.27476054730191307</v>
      </c>
      <c r="F245" s="161">
        <f t="shared" si="61"/>
        <v>-0.16866546569711072</v>
      </c>
      <c r="G245" s="191">
        <f>IFERROR('Ενεργές συνδέσεις'!J61/'Παραδοχές διείσδυσης - κάλυψης'!F123,0)</f>
        <v>0.27812237909143467</v>
      </c>
      <c r="H245" s="161">
        <f t="shared" si="62"/>
        <v>1.2235496771767383E-2</v>
      </c>
      <c r="I245" s="191">
        <f>IFERROR('Ενεργές συνδέσεις'!M61/'Παραδοχές διείσδυσης - κάλυψης'!G123,0)</f>
        <v>0.32402654049042384</v>
      </c>
      <c r="J245" s="161">
        <f t="shared" si="63"/>
        <v>0.16505022554800547</v>
      </c>
      <c r="K245" s="191">
        <f>IFERROR('Ενεργές συνδέσεις'!P61/'Παραδοχές διείσδυσης - κάλυψης'!H123,0)</f>
        <v>0.31441590720795359</v>
      </c>
      <c r="L245" s="161">
        <f t="shared" si="64"/>
        <v>-2.9660018799460897E-2</v>
      </c>
      <c r="M245" s="192">
        <f t="shared" si="60"/>
        <v>-1.2399070985690819E-2</v>
      </c>
      <c r="O245" s="191">
        <f>IFERROR('Ενεργές συνδέσεις'!X61/'Παραδοχές διείσδυσης - κάλυψης'!I123,0)</f>
        <v>0.32534722222222223</v>
      </c>
      <c r="P245" s="161">
        <f t="shared" si="65"/>
        <v>3.4767054604011194E-2</v>
      </c>
      <c r="Q245" s="191">
        <f>IFERROR('Ενεργές συνδέσεις'!AC61/'Παραδοχές διείσδυσης - κάλυψης'!J123,0)</f>
        <v>0.32716469239587315</v>
      </c>
      <c r="R245" s="161">
        <f t="shared" si="66"/>
        <v>5.5862477055652442E-3</v>
      </c>
      <c r="S245" s="191">
        <f>IFERROR('Ενεργές συνδέσεις'!AH61/'Παραδοχές διείσδυσης - κάλυψης'!K123,0)</f>
        <v>0.32792970123022847</v>
      </c>
      <c r="T245" s="161">
        <f t="shared" si="67"/>
        <v>2.3382988816826504E-3</v>
      </c>
      <c r="U245" s="191">
        <f>IFERROR('Ενεργές συνδέσεις'!AM61/'Παραδοχές διείσδυσης - κάλυψης'!L123,0)</f>
        <v>0.33425772168714712</v>
      </c>
      <c r="V245" s="161">
        <f t="shared" si="68"/>
        <v>1.9296881109515506E-2</v>
      </c>
      <c r="W245" s="191">
        <f>IFERROR('Ενεργές συνδέσεις'!AR61/'Παραδοχές διείσδυσης - κάλυψης'!M123,0)</f>
        <v>0.32291431959679812</v>
      </c>
      <c r="X245" s="161">
        <f t="shared" si="69"/>
        <v>-3.3936095875642967E-2</v>
      </c>
      <c r="Y245" s="192">
        <f t="shared" si="70"/>
        <v>-1.8747316070194531E-3</v>
      </c>
    </row>
    <row r="246" spans="2:33" outlineLevel="1" x14ac:dyDescent="0.35">
      <c r="B246" s="294" t="s">
        <v>137</v>
      </c>
      <c r="C246" s="62" t="s">
        <v>253</v>
      </c>
      <c r="D246" s="191">
        <f>IFERROR('Ενεργές συνδέσεις'!F62/'Παραδοχές διείσδυσης - κάλυψης'!D124,0)</f>
        <v>0</v>
      </c>
      <c r="E246" s="191">
        <f>IFERROR('Ενεργές συνδέσεις'!G62/'Παραδοχές διείσδυσης - κάλυψης'!E124,0)</f>
        <v>0</v>
      </c>
      <c r="F246" s="161">
        <f t="shared" si="61"/>
        <v>0</v>
      </c>
      <c r="G246" s="191">
        <f>IFERROR('Ενεργές συνδέσεις'!J62/'Παραδοχές διείσδυσης - κάλυψης'!F124,0)</f>
        <v>0</v>
      </c>
      <c r="H246" s="161">
        <f t="shared" si="62"/>
        <v>0</v>
      </c>
      <c r="I246" s="191">
        <f>IFERROR('Ενεργές συνδέσεις'!M62/'Παραδοχές διείσδυσης - κάλυψης'!G124,0)</f>
        <v>0</v>
      </c>
      <c r="J246" s="161">
        <f t="shared" si="63"/>
        <v>0</v>
      </c>
      <c r="K246" s="191">
        <f>IFERROR('Ενεργές συνδέσεις'!P62/'Παραδοχές διείσδυσης - κάλυψης'!H124,0)</f>
        <v>0</v>
      </c>
      <c r="L246" s="161">
        <f t="shared" si="64"/>
        <v>0</v>
      </c>
      <c r="M246" s="192">
        <f t="shared" si="60"/>
        <v>0</v>
      </c>
      <c r="O246" s="191">
        <f>IFERROR('Ενεργές συνδέσεις'!X62/'Παραδοχές διείσδυσης - κάλυψης'!I124,0)</f>
        <v>0</v>
      </c>
      <c r="P246" s="161">
        <f t="shared" si="65"/>
        <v>0</v>
      </c>
      <c r="Q246" s="191">
        <f>IFERROR('Ενεργές συνδέσεις'!AC62/'Παραδοχές διείσδυσης - κάλυψης'!J124,0)</f>
        <v>0</v>
      </c>
      <c r="R246" s="161">
        <f t="shared" si="66"/>
        <v>0</v>
      </c>
      <c r="S246" s="191">
        <f>IFERROR('Ενεργές συνδέσεις'!AH62/'Παραδοχές διείσδυσης - κάλυψης'!K124,0)</f>
        <v>0</v>
      </c>
      <c r="T246" s="161">
        <f t="shared" si="67"/>
        <v>0</v>
      </c>
      <c r="U246" s="191">
        <f>IFERROR('Ενεργές συνδέσεις'!AM62/'Παραδοχές διείσδυσης - κάλυψης'!L124,0)</f>
        <v>0</v>
      </c>
      <c r="V246" s="161">
        <f t="shared" si="68"/>
        <v>0</v>
      </c>
      <c r="W246" s="191">
        <f>IFERROR('Ενεργές συνδέσεις'!AR62/'Παραδοχές διείσδυσης - κάλυψης'!M124,0)</f>
        <v>0</v>
      </c>
      <c r="X246" s="161">
        <f t="shared" si="69"/>
        <v>0</v>
      </c>
      <c r="Y246" s="192">
        <f t="shared" si="70"/>
        <v>0</v>
      </c>
    </row>
    <row r="247" spans="2:33" outlineLevel="1" x14ac:dyDescent="0.35">
      <c r="B247" s="294" t="s">
        <v>123</v>
      </c>
      <c r="C247" s="62" t="s">
        <v>253</v>
      </c>
      <c r="D247" s="190">
        <f>'Ενεργές συνδέσεις'!E63/'Παραδοχές διείσδυσης - κάλυψης'!D125</f>
        <v>0.54421292145419042</v>
      </c>
      <c r="E247" s="191">
        <f>IFERROR('Ενεργές συνδέσεις'!G63/'Παραδοχές διείσδυσης - κάλυψης'!E125,0)</f>
        <v>0.55299143924782579</v>
      </c>
      <c r="F247" s="161">
        <f t="shared" si="61"/>
        <v>1.6130667699286342E-2</v>
      </c>
      <c r="G247" s="191">
        <f>IFERROR('Ενεργές συνδέσεις'!J63/'Παραδοχές διείσδυσης - κάλυψης'!F125,0)</f>
        <v>0.57674310264328454</v>
      </c>
      <c r="H247" s="161">
        <f t="shared" si="62"/>
        <v>4.2951231628043943E-2</v>
      </c>
      <c r="I247" s="191">
        <f>IFERROR('Ενεργές συνδέσεις'!M63/'Παραδοχές διείσδυσης - κάλυψης'!G125,0)</f>
        <v>0.57676720351192567</v>
      </c>
      <c r="J247" s="161">
        <f t="shared" si="63"/>
        <v>4.1787874931963859E-5</v>
      </c>
      <c r="K247" s="191">
        <f>IFERROR('Ενεργές συνδέσεις'!P63/'Παραδοχές διείσδυσης - κάλυψης'!H125,0)</f>
        <v>0.56094420600858375</v>
      </c>
      <c r="L247" s="161">
        <f t="shared" si="64"/>
        <v>-2.7433941123898804E-2</v>
      </c>
      <c r="M247" s="192">
        <f t="shared" si="60"/>
        <v>7.5989455598284295E-3</v>
      </c>
      <c r="O247" s="191">
        <f>IFERROR('Ενεργές συνδέσεις'!X63/'Παραδοχές διείσδυσης - κάλυψης'!I125,0)</f>
        <v>0.56794680851063828</v>
      </c>
      <c r="P247" s="161">
        <f t="shared" si="65"/>
        <v>1.2483598951635089E-2</v>
      </c>
      <c r="Q247" s="191">
        <f>IFERROR('Ενεργές συνδέσεις'!AC63/'Παραδοχές διείσδυσης - κάλυψης'!J125,0)</f>
        <v>0.57471093422706332</v>
      </c>
      <c r="R247" s="161">
        <f t="shared" si="66"/>
        <v>1.1909787351676509E-2</v>
      </c>
      <c r="S247" s="191">
        <f>IFERROR('Ενεργές συνδέσεις'!AH63/'Παραδοχές διείσδυσης - κάλυψης'!K125,0)</f>
        <v>0.57012900624874019</v>
      </c>
      <c r="T247" s="161">
        <f t="shared" si="67"/>
        <v>-7.9725783962774754E-3</v>
      </c>
      <c r="U247" s="191">
        <f>IFERROR('Ενεργές συνδέσεις'!AM63/'Παραδοχές διείσδυσης - κάλυψης'!L125,0)</f>
        <v>0.58439225962507557</v>
      </c>
      <c r="V247" s="161">
        <f t="shared" si="68"/>
        <v>2.5017589387677116E-2</v>
      </c>
      <c r="W247" s="191">
        <f>IFERROR('Ενεργές συνδέσεις'!AR63/'Παραδοχές διείσδυσης - κάλυψης'!M125,0)</f>
        <v>0.57893604537453547</v>
      </c>
      <c r="X247" s="161">
        <f t="shared" si="69"/>
        <v>-9.336561463084073E-3</v>
      </c>
      <c r="Y247" s="192">
        <f t="shared" si="70"/>
        <v>4.8025572590679744E-3</v>
      </c>
    </row>
    <row r="248" spans="2:33" outlineLevel="1" x14ac:dyDescent="0.35">
      <c r="B248" s="294" t="s">
        <v>124</v>
      </c>
      <c r="C248" s="62" t="s">
        <v>253</v>
      </c>
      <c r="D248" s="190">
        <f>'Ενεργές συνδέσεις'!E64/'Παραδοχές διείσδυσης - κάλυψης'!D126</f>
        <v>0.21090126961011355</v>
      </c>
      <c r="E248" s="191">
        <f>IFERROR('Ενεργές συνδέσεις'!G64/'Παραδοχές διείσδυσης - κάλυψης'!E126,0)</f>
        <v>0.19838372434892962</v>
      </c>
      <c r="F248" s="161">
        <f t="shared" ref="F248:F252" si="71">IFERROR((E248-D248)/D248,0)</f>
        <v>-5.93526311355295E-2</v>
      </c>
      <c r="G248" s="191">
        <f>IFERROR('Ενεργές συνδέσεις'!J64/'Παραδοχές διείσδυσης - κάλυψης'!F126,0)</f>
        <v>0.23208805997187348</v>
      </c>
      <c r="H248" s="161">
        <f t="shared" ref="H248:H252" si="72">IFERROR((G248-E248)/E248,0)</f>
        <v>0.16989466113491541</v>
      </c>
      <c r="I248" s="191">
        <f>IFERROR('Ενεργές συνδέσεις'!M64/'Παραδοχές διείσδυσης - κάλυψης'!G126,0)</f>
        <v>0.25488242300482533</v>
      </c>
      <c r="J248" s="161">
        <f t="shared" ref="J248:J252" si="73">IFERROR((I248-G248)/G248,0)</f>
        <v>9.8214285714285657E-2</v>
      </c>
      <c r="K248" s="191">
        <f>IFERROR('Ενεργές συνδέσεις'!P64/'Παραδοχές διείσδυσης - κάλυψης'!H126,0)</f>
        <v>0.25465838509316768</v>
      </c>
      <c r="L248" s="161">
        <f t="shared" ref="L248:L252" si="74">IFERROR((K248-I248)/I248,0)</f>
        <v>-8.7898533377253369E-4</v>
      </c>
      <c r="M248" s="192">
        <f t="shared" ref="M248:M252" si="75">IFERROR((K248/D248)^(1/4)-1,0)</f>
        <v>4.8261647431951715E-2</v>
      </c>
      <c r="O248" s="191">
        <f>IFERROR('Ενεργές συνδέσεις'!X64/'Παραδοχές διείσδυσης - κάλυψης'!I126,0)</f>
        <v>0.26192546583850934</v>
      </c>
      <c r="P248" s="161">
        <f t="shared" ref="P248:P252" si="76">IFERROR((O248-K248)/K248,0)</f>
        <v>2.8536585365853833E-2</v>
      </c>
      <c r="Q248" s="191">
        <f>IFERROR('Ενεργές συνδέσεις'!AC64/'Παραδοχές διείσδυσης - κάλυψης'!J126,0)</f>
        <v>0.26399585921325053</v>
      </c>
      <c r="R248" s="161">
        <f t="shared" ref="R248:R252" si="77">IFERROR((Q248-O248)/O248,0)</f>
        <v>7.9045134771954222E-3</v>
      </c>
      <c r="S248" s="191">
        <f>IFERROR('Ενεργές συνδέσεις'!AH64/'Παραδοχές διείσδυσης - κάλυψης'!K126,0)</f>
        <v>0.26985507246376811</v>
      </c>
      <c r="T248" s="161">
        <f t="shared" ref="T248:T252" si="78">IFERROR((S248-Q248)/Q248,0)</f>
        <v>2.2194337699003933E-2</v>
      </c>
      <c r="U248" s="191">
        <f>IFERROR('Ενεργές συνδέσεις'!AM64/'Παραδοχές διείσδυσης - κάλυψης'!L126,0)</f>
        <v>0.27488612836438925</v>
      </c>
      <c r="V248" s="161">
        <f t="shared" ref="V248:V252" si="79">IFERROR((U248-S248)/S248,0)</f>
        <v>1.8643547644621838E-2</v>
      </c>
      <c r="W248" s="191">
        <f>IFERROR('Ενεργές συνδέσεις'!AR64/'Παραδοχές διείσδυσης - κάλυψης'!M126,0)</f>
        <v>0.27919254658385095</v>
      </c>
      <c r="X248" s="161">
        <f t="shared" ref="X248:X252" si="80">IFERROR((W248-U248)/U248,0)</f>
        <v>1.5666189651276669E-2</v>
      </c>
      <c r="Y248" s="192">
        <f t="shared" ref="Y248:Y252" si="81">IFERROR((W248/O248)^(1/4)-1,0)</f>
        <v>1.6088471171355367E-2</v>
      </c>
    </row>
    <row r="249" spans="2:33" outlineLevel="1" x14ac:dyDescent="0.35">
      <c r="B249" s="294" t="s">
        <v>125</v>
      </c>
      <c r="C249" s="62" t="s">
        <v>253</v>
      </c>
      <c r="D249" s="190">
        <f>'Ενεργές συνδέσεις'!E65/'Παραδοχές διείσδυσης - κάλυψης'!D127</f>
        <v>0.30502576066252318</v>
      </c>
      <c r="E249" s="191">
        <f>IFERROR('Ενεργές συνδέσεις'!G65/'Παραδοχές διείσδυσης - κάλυψης'!E127,0)</f>
        <v>0.30182542352010366</v>
      </c>
      <c r="F249" s="161">
        <f t="shared" si="71"/>
        <v>-1.04920224949798E-2</v>
      </c>
      <c r="G249" s="191">
        <f>IFERROR('Ενεργές συνδέσεις'!J65/'Παραδοχές διείσδυσης - κάλυψης'!F127,0)</f>
        <v>0.33854464669790379</v>
      </c>
      <c r="H249" s="161">
        <f t="shared" si="72"/>
        <v>0.12165715780186548</v>
      </c>
      <c r="I249" s="191">
        <f>IFERROR('Ενεργές συνδέσεις'!M65/'Παραδοχές διείσδυσης - κάλυψης'!G127,0)</f>
        <v>0.33189858501471192</v>
      </c>
      <c r="J249" s="161">
        <f t="shared" si="73"/>
        <v>-1.9631270935801876E-2</v>
      </c>
      <c r="K249" s="191">
        <f>IFERROR('Ενεργές συνδέσεις'!P65/'Παραδοχές διείσδυσης - κάλυψης'!H127,0)</f>
        <v>0.32759381898454748</v>
      </c>
      <c r="L249" s="161">
        <f t="shared" si="74"/>
        <v>-1.2970124684242407E-2</v>
      </c>
      <c r="M249" s="192">
        <f t="shared" si="75"/>
        <v>1.8004727982105839E-2</v>
      </c>
      <c r="O249" s="191">
        <f>IFERROR('Ενεργές συνδέσεις'!X65/'Παραδοχές διείσδυσης - κάλυψης'!I127,0)</f>
        <v>0.33362053959965188</v>
      </c>
      <c r="P249" s="161">
        <f t="shared" si="76"/>
        <v>1.8396930179530268E-2</v>
      </c>
      <c r="Q249" s="191">
        <f>IFERROR('Ενεργές συνδέσεις'!AC65/'Παραδοχές διείσδυσης - κάλυψης'!J127,0)</f>
        <v>0.33333472280116716</v>
      </c>
      <c r="R249" s="161">
        <f t="shared" si="77"/>
        <v>-8.5671223608624401E-4</v>
      </c>
      <c r="S249" s="191">
        <f>IFERROR('Ενεργές συνδέσεις'!AH65/'Παραδοχές διείσδυσης - κάλυψης'!K127,0)</f>
        <v>0.33615198059822149</v>
      </c>
      <c r="T249" s="161">
        <f t="shared" si="78"/>
        <v>8.4517381609080424E-3</v>
      </c>
      <c r="U249" s="191">
        <f>IFERROR('Ενεργές συνδέσεις'!AM65/'Παραδοχές διείσδυσης - κάλυψης'!L127,0)</f>
        <v>0.33373250388802489</v>
      </c>
      <c r="V249" s="161">
        <f t="shared" si="79"/>
        <v>-7.1975679152354241E-3</v>
      </c>
      <c r="W249" s="191">
        <f>IFERROR('Ενεργές συνδέσεις'!AR65/'Παραδοχές διείσδυσης - κάλυψης'!M127,0)</f>
        <v>0.34139191290824261</v>
      </c>
      <c r="X249" s="161">
        <f t="shared" si="80"/>
        <v>2.2950743277878723E-2</v>
      </c>
      <c r="Y249" s="192">
        <f t="shared" si="81"/>
        <v>5.7733227406995269E-3</v>
      </c>
    </row>
    <row r="250" spans="2:33" outlineLevel="1" x14ac:dyDescent="0.35">
      <c r="B250" s="294" t="s">
        <v>126</v>
      </c>
      <c r="C250" s="62" t="s">
        <v>253</v>
      </c>
      <c r="D250" s="190">
        <f>'Ενεργές συνδέσεις'!E66/'Παραδοχές διείσδυσης - κάλυψης'!D128</f>
        <v>0.48472878082923038</v>
      </c>
      <c r="E250" s="191">
        <f>IFERROR('Ενεργές συνδέσεις'!G66/'Παραδοχές διείσδυσης - κάλυψης'!E128,0)</f>
        <v>0.44503919235633715</v>
      </c>
      <c r="F250" s="161">
        <f t="shared" si="71"/>
        <v>-8.1879991538764935E-2</v>
      </c>
      <c r="G250" s="191">
        <f>IFERROR('Ενεργές συνδέσεις'!J66/'Παραδοχές διείσδυσης - κάλυψης'!F128,0)</f>
        <v>0.48061935555406232</v>
      </c>
      <c r="H250" s="161">
        <f t="shared" si="72"/>
        <v>7.9948381645535138E-2</v>
      </c>
      <c r="I250" s="191">
        <f>IFERROR('Ενεργές συνδέσεις'!M66/'Παραδοχές διείσδυσης - κάλυψης'!G128,0)</f>
        <v>0.46848447635122886</v>
      </c>
      <c r="J250" s="161">
        <f t="shared" si="73"/>
        <v>-2.5248419695549425E-2</v>
      </c>
      <c r="K250" s="191">
        <f>IFERROR('Ενεργές συνδέσεις'!P66/'Παραδοχές διείσδυσης - κάλυψης'!H128,0)</f>
        <v>0.46488388458831809</v>
      </c>
      <c r="L250" s="161">
        <f t="shared" si="74"/>
        <v>-7.6856159481608231E-3</v>
      </c>
      <c r="M250" s="192">
        <f t="shared" si="75"/>
        <v>-1.0396047598069891E-2</v>
      </c>
      <c r="O250" s="191">
        <f>IFERROR('Ενεργές συνδέσεις'!X66/'Παραδοχές διείσδυσης - κάλυψης'!I128,0)</f>
        <v>0.48065566895009088</v>
      </c>
      <c r="P250" s="161">
        <f t="shared" si="76"/>
        <v>3.3926287584134324E-2</v>
      </c>
      <c r="Q250" s="191">
        <f>IFERROR('Ενεργές συνδέσεις'!AC66/'Παραδοχές διείσδυσης - κάλυψης'!J128,0)</f>
        <v>0.49284179023262142</v>
      </c>
      <c r="R250" s="161">
        <f t="shared" si="77"/>
        <v>2.5353120892444736E-2</v>
      </c>
      <c r="S250" s="191">
        <f>IFERROR('Ενεργές συνδέσεις'!AH66/'Παραδοχές διείσδυσης - κάλυψης'!K128,0)</f>
        <v>0.51222237160527029</v>
      </c>
      <c r="T250" s="161">
        <f t="shared" si="78"/>
        <v>3.9324143684124728E-2</v>
      </c>
      <c r="U250" s="191">
        <f>IFERROR('Ενεργές συνδέσεις'!AM66/'Παραδοχές διείσδυσης - κάλυψης'!L128,0)</f>
        <v>0.52214813836810148</v>
      </c>
      <c r="V250" s="161">
        <f t="shared" si="79"/>
        <v>1.9377847031016054E-2</v>
      </c>
      <c r="W250" s="191">
        <f>IFERROR('Ενεργές συνδέσεις'!AR66/'Παραδοχές διείσδυσης - κάλυψης'!M128,0)</f>
        <v>0.52498134088276938</v>
      </c>
      <c r="X250" s="161">
        <f t="shared" si="80"/>
        <v>5.4260511653314771E-3</v>
      </c>
      <c r="Y250" s="192">
        <f t="shared" si="81"/>
        <v>2.2297855441131942E-2</v>
      </c>
    </row>
    <row r="251" spans="2:33" ht="16.5" customHeight="1" outlineLevel="1" x14ac:dyDescent="0.35">
      <c r="B251" s="294" t="s">
        <v>127</v>
      </c>
      <c r="C251" s="62" t="s">
        <v>253</v>
      </c>
      <c r="D251" s="190" t="e">
        <f>'Ενεργές συνδέσεις'!E67/'Παραδοχές διείσδυσης - κάλυψης'!D129</f>
        <v>#DIV/0!</v>
      </c>
      <c r="E251" s="191">
        <f>IFERROR('Ενεργές συνδέσεις'!G67/'Παραδοχές διείσδυσης - κάλυψης'!E129,0)</f>
        <v>0</v>
      </c>
      <c r="F251" s="161">
        <f t="shared" si="71"/>
        <v>0</v>
      </c>
      <c r="G251" s="191">
        <f>IFERROR('Ενεργές συνδέσεις'!J67/'Παραδοχές διείσδυσης - κάλυψης'!F129,0)</f>
        <v>0</v>
      </c>
      <c r="H251" s="161">
        <f t="shared" si="72"/>
        <v>0</v>
      </c>
      <c r="I251" s="191">
        <f>IFERROR('Ενεργές συνδέσεις'!M67/'Παραδοχές διείσδυσης - κάλυψης'!G129,0)</f>
        <v>0</v>
      </c>
      <c r="J251" s="161">
        <f t="shared" si="73"/>
        <v>0</v>
      </c>
      <c r="K251" s="191">
        <f>IFERROR('Ενεργές συνδέσεις'!P67/'Παραδοχές διείσδυσης - κάλυψης'!H129,0)</f>
        <v>0</v>
      </c>
      <c r="L251" s="161">
        <f t="shared" si="74"/>
        <v>0</v>
      </c>
      <c r="M251" s="192">
        <f t="shared" si="75"/>
        <v>0</v>
      </c>
      <c r="O251" s="191">
        <f>IFERROR('Ενεργές συνδέσεις'!X67/'Παραδοχές διείσδυσης - κάλυψης'!I129,0)</f>
        <v>0</v>
      </c>
      <c r="P251" s="161">
        <f t="shared" si="76"/>
        <v>0</v>
      </c>
      <c r="Q251" s="191">
        <f>IFERROR('Ενεργές συνδέσεις'!AC67/'Παραδοχές διείσδυσης - κάλυψης'!J129,0)</f>
        <v>0</v>
      </c>
      <c r="R251" s="161">
        <f t="shared" si="77"/>
        <v>0</v>
      </c>
      <c r="S251" s="191">
        <f>IFERROR('Ενεργές συνδέσεις'!AH67/'Παραδοχές διείσδυσης - κάλυψης'!K129,0)</f>
        <v>0</v>
      </c>
      <c r="T251" s="161">
        <f t="shared" si="78"/>
        <v>0</v>
      </c>
      <c r="U251" s="191">
        <f>IFERROR('Ενεργές συνδέσεις'!AM67/'Παραδοχές διείσδυσης - κάλυψης'!L129,0)</f>
        <v>0</v>
      </c>
      <c r="V251" s="161">
        <f t="shared" si="79"/>
        <v>0</v>
      </c>
      <c r="W251" s="191">
        <f>IFERROR('Ενεργές συνδέσεις'!AR67/'Παραδοχές διείσδυσης - κάλυψης'!M129,0)</f>
        <v>0</v>
      </c>
      <c r="X251" s="161">
        <f t="shared" si="80"/>
        <v>0</v>
      </c>
      <c r="Y251" s="192">
        <f t="shared" si="81"/>
        <v>0</v>
      </c>
    </row>
    <row r="252" spans="2:33" s="345" customFormat="1" ht="15" customHeight="1" outlineLevel="1" x14ac:dyDescent="0.35">
      <c r="B252" s="346" t="s">
        <v>138</v>
      </c>
      <c r="C252" s="354" t="s">
        <v>253</v>
      </c>
      <c r="D252" s="190">
        <f>'Ενεργές συνδέσεις'!E68/'Παραδοχές διείσδυσης - κάλυψης'!D130</f>
        <v>0.38683745125529129</v>
      </c>
      <c r="E252" s="191">
        <f>IFERROR('Ενεργές συνδέσεις'!G68/'Παραδοχές διείσδυσης - κάλυψης'!E130,0)</f>
        <v>0.40456486121864982</v>
      </c>
      <c r="F252" s="161">
        <f t="shared" si="71"/>
        <v>4.5826509056537609E-2</v>
      </c>
      <c r="G252" s="191">
        <f>IFERROR('Ενεργές συνδέσεις'!J68/'Παραδοχές διείσδυσης - κάλυψης'!F130,0)</f>
        <v>0.41974403677936867</v>
      </c>
      <c r="H252" s="161">
        <f t="shared" si="72"/>
        <v>3.7519757684825628E-2</v>
      </c>
      <c r="I252" s="191">
        <f>IFERROR('Ενεργές συνδέσεις'!M68/'Παραδοχές διείσδυσης - κάλυψης'!G130,0)</f>
        <v>0.42706496194437449</v>
      </c>
      <c r="J252" s="161">
        <f t="shared" si="73"/>
        <v>1.7441403625833858E-2</v>
      </c>
      <c r="K252" s="191">
        <f>IFERROR('Ενεργές συνδέσεις'!P68/'Παραδοχές διείσδυσης - κάλυψης'!H130,0)</f>
        <v>0.42486598168416351</v>
      </c>
      <c r="L252" s="161">
        <f t="shared" si="74"/>
        <v>-5.1490533201302511E-3</v>
      </c>
      <c r="M252" s="192">
        <f t="shared" si="75"/>
        <v>2.3719230387081458E-2</v>
      </c>
      <c r="N252"/>
      <c r="O252" s="191">
        <f>IFERROR('Ενεργές συνδέσεις'!X68/'Παραδοχές διείσδυσης - κάλυψης'!I130,0)</f>
        <v>0.43461462770792003</v>
      </c>
      <c r="P252" s="161">
        <f t="shared" si="76"/>
        <v>2.2945226127808614E-2</v>
      </c>
      <c r="Q252" s="191">
        <f>IFERROR('Ενεργές συνδέσεις'!AC68/'Παραδοχές διείσδυσης - κάλυψης'!J130,0)</f>
        <v>0.44043650520223249</v>
      </c>
      <c r="R252" s="161">
        <f t="shared" si="77"/>
        <v>1.3395493669911659E-2</v>
      </c>
      <c r="S252" s="191">
        <f>IFERROR('Ενεργές συνδέσεις'!AH68/'Παραδοχές διείσδυσης - κάλυψης'!K130,0)</f>
        <v>0.44858372619622111</v>
      </c>
      <c r="T252" s="161">
        <f t="shared" si="78"/>
        <v>1.8498060214712935E-2</v>
      </c>
      <c r="U252" s="191">
        <f>IFERROR('Ενεργές συνδέσεις'!AM68/'Παραδοχές διείσδυσης - κάλυψης'!L130,0)</f>
        <v>0.45529223780567074</v>
      </c>
      <c r="V252" s="161">
        <f t="shared" si="79"/>
        <v>1.4954870668926515E-2</v>
      </c>
      <c r="W252" s="191">
        <f>IFERROR('Ενεργές συνδέσεις'!AR68/'Παραδοχές διείσδυσης - κάλυψης'!M130,0)</f>
        <v>0.45988749340369395</v>
      </c>
      <c r="X252" s="161">
        <f t="shared" si="80"/>
        <v>1.0092980324396763E-2</v>
      </c>
      <c r="Y252" s="192">
        <f t="shared" si="81"/>
        <v>1.4230846696756672E-2</v>
      </c>
    </row>
    <row r="253" spans="2:33" x14ac:dyDescent="0.35">
      <c r="B253" s="294"/>
      <c r="N253" s="52"/>
    </row>
    <row r="254" spans="2:33" ht="15.5" x14ac:dyDescent="0.35">
      <c r="B254" s="419" t="s">
        <v>255</v>
      </c>
      <c r="C254" s="419"/>
      <c r="D254" s="419"/>
      <c r="E254" s="419"/>
      <c r="F254" s="419"/>
      <c r="G254" s="419"/>
      <c r="H254" s="419"/>
      <c r="I254" s="419"/>
      <c r="J254" s="419"/>
      <c r="K254" s="419"/>
      <c r="L254" s="419"/>
      <c r="M254" s="419"/>
      <c r="N254" s="419"/>
      <c r="O254" s="419"/>
      <c r="P254" s="419"/>
      <c r="Q254" s="419"/>
      <c r="R254" s="419"/>
      <c r="S254" s="419"/>
      <c r="T254" s="419"/>
      <c r="U254" s="419"/>
      <c r="V254" s="419"/>
      <c r="W254" s="419"/>
      <c r="X254" s="419"/>
      <c r="Y254" s="419"/>
    </row>
    <row r="255" spans="2:33" ht="5.9" customHeight="1" outlineLevel="1" x14ac:dyDescent="0.35">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row>
    <row r="256" spans="2:33" ht="14.25" customHeight="1" outlineLevel="1" x14ac:dyDescent="0.35">
      <c r="B256" s="447"/>
      <c r="C256" s="481" t="s">
        <v>134</v>
      </c>
      <c r="D256" s="435" t="s">
        <v>169</v>
      </c>
      <c r="E256" s="436"/>
      <c r="F256" s="436"/>
      <c r="G256" s="436"/>
      <c r="H256" s="436"/>
      <c r="I256" s="436"/>
      <c r="J256" s="437"/>
      <c r="K256" s="436"/>
      <c r="L256" s="437"/>
      <c r="M256" s="522" t="str">
        <f>"Ετήσιος ρυθμός ανάπτυξης (CAGR) "&amp;($C$3-5)&amp;" - "&amp;(($C$3-1))</f>
        <v>Ετήσιος ρυθμός ανάπτυξης (CAGR) 2019 - 2023</v>
      </c>
      <c r="N256" s="103"/>
      <c r="O256" s="525" t="s">
        <v>170</v>
      </c>
      <c r="P256" s="526"/>
      <c r="Q256" s="526"/>
      <c r="R256" s="526"/>
      <c r="S256" s="526"/>
      <c r="T256" s="526"/>
      <c r="U256" s="526"/>
      <c r="V256" s="526"/>
      <c r="W256" s="526"/>
      <c r="X256" s="527"/>
      <c r="Y256" s="522" t="str">
        <f>"Ετήσιος ρυθμός ανάπτυξης (CAGR) "&amp;$C$3&amp;" - "&amp;$E$3</f>
        <v>Ετήσιος ρυθμός ανάπτυξης (CAGR) 2024 - 2028</v>
      </c>
    </row>
    <row r="257" spans="1:25" ht="15.75" customHeight="1" outlineLevel="1" x14ac:dyDescent="0.35">
      <c r="B257" s="448"/>
      <c r="C257" s="482"/>
      <c r="D257" s="295">
        <f>$C$3-5</f>
        <v>2019</v>
      </c>
      <c r="E257" s="435">
        <f>$C$3-4</f>
        <v>2020</v>
      </c>
      <c r="F257" s="437"/>
      <c r="G257" s="435">
        <f>$C$3-3</f>
        <v>2021</v>
      </c>
      <c r="H257" s="437"/>
      <c r="I257" s="435">
        <f>$C$3+-2</f>
        <v>2022</v>
      </c>
      <c r="J257" s="437"/>
      <c r="K257" s="435">
        <f>$C$3-1</f>
        <v>2023</v>
      </c>
      <c r="L257" s="437"/>
      <c r="M257" s="523"/>
      <c r="N257" s="103"/>
      <c r="O257" s="435">
        <f>$C$3</f>
        <v>2024</v>
      </c>
      <c r="P257" s="437"/>
      <c r="Q257" s="435">
        <f>$C$3+1</f>
        <v>2025</v>
      </c>
      <c r="R257" s="437"/>
      <c r="S257" s="435">
        <f>$C$3+2</f>
        <v>2026</v>
      </c>
      <c r="T257" s="437"/>
      <c r="U257" s="435">
        <f>$C$3+3</f>
        <v>2027</v>
      </c>
      <c r="V257" s="437"/>
      <c r="W257" s="435">
        <f>$C$3+4</f>
        <v>2028</v>
      </c>
      <c r="X257" s="437"/>
      <c r="Y257" s="523"/>
    </row>
    <row r="258" spans="1:25" outlineLevel="1" x14ac:dyDescent="0.35">
      <c r="B258" s="449"/>
      <c r="C258" s="483"/>
      <c r="D258" s="295" t="s">
        <v>252</v>
      </c>
      <c r="E258" s="295" t="s">
        <v>252</v>
      </c>
      <c r="F258" s="67" t="s">
        <v>173</v>
      </c>
      <c r="G258" s="295" t="s">
        <v>252</v>
      </c>
      <c r="H258" s="67" t="s">
        <v>173</v>
      </c>
      <c r="I258" s="295" t="s">
        <v>252</v>
      </c>
      <c r="J258" s="67" t="s">
        <v>173</v>
      </c>
      <c r="K258" s="295" t="s">
        <v>252</v>
      </c>
      <c r="L258" s="67" t="s">
        <v>173</v>
      </c>
      <c r="M258" s="524"/>
      <c r="O258" s="295" t="s">
        <v>252</v>
      </c>
      <c r="P258" s="67" t="s">
        <v>173</v>
      </c>
      <c r="Q258" s="295" t="s">
        <v>252</v>
      </c>
      <c r="R258" s="67" t="s">
        <v>173</v>
      </c>
      <c r="S258" s="295" t="s">
        <v>252</v>
      </c>
      <c r="T258" s="67" t="s">
        <v>173</v>
      </c>
      <c r="U258" s="295" t="s">
        <v>252</v>
      </c>
      <c r="V258" s="67" t="s">
        <v>173</v>
      </c>
      <c r="W258" s="295" t="s">
        <v>252</v>
      </c>
      <c r="X258" s="67" t="s">
        <v>173</v>
      </c>
      <c r="Y258" s="524"/>
    </row>
    <row r="259" spans="1:25" outlineLevel="1" x14ac:dyDescent="0.35">
      <c r="B259" s="48" t="s">
        <v>74</v>
      </c>
      <c r="C259" s="62" t="s">
        <v>253</v>
      </c>
      <c r="D259" s="190">
        <f>IFERROR('Παραδοχές διείσδυσης - κάλυψης'!D136/'Παραδοχές διείσδυσης - κάλυψης'!D196,0)</f>
        <v>0.99196632423665076</v>
      </c>
      <c r="E259" s="190">
        <f>IFERROR('Παραδοχές διείσδυσης - κάλυψης'!E136/'Παραδοχές διείσδυσης - κάλυψης'!E196,0)</f>
        <v>0.99196632423665076</v>
      </c>
      <c r="F259" s="161">
        <f>IFERROR((E259-D259)/D259,0)</f>
        <v>0</v>
      </c>
      <c r="G259" s="191">
        <f>IFERROR('Παραδοχές διείσδυσης - κάλυψης'!F136/'Παραδοχές διείσδυσης - κάλυψης'!F196,0)</f>
        <v>0.99196632423665076</v>
      </c>
      <c r="H259" s="161">
        <f>IFERROR((G259-E259)/E259,0)</f>
        <v>0</v>
      </c>
      <c r="I259" s="191">
        <f>IFERROR('Παραδοχές διείσδυσης - κάλυψης'!G136/'Παραδοχές διείσδυσης - κάλυψης'!G196,0)</f>
        <v>0.99196632423665076</v>
      </c>
      <c r="J259" s="161">
        <f>IFERROR((I259-G259)/G259,0)</f>
        <v>0</v>
      </c>
      <c r="K259" s="191">
        <f>IFERROR('Παραδοχές διείσδυσης - κάλυψης'!I136/'Παραδοχές διείσδυσης - κάλυψης'!I196,0)</f>
        <v>0.99196632423665076</v>
      </c>
      <c r="L259" s="161">
        <f>IFERROR((K259-I259)/I259,0)</f>
        <v>0</v>
      </c>
      <c r="M259" s="192">
        <f t="shared" ref="M259:M308" si="82">IFERROR((K259/D259)^(1/4)-1,0)</f>
        <v>0</v>
      </c>
      <c r="O259" s="191">
        <f>IFERROR('Παραδοχές διείσδυσης - κάλυψης'!I136/'Παραδοχές διείσδυσης - κάλυψης'!I196,0)</f>
        <v>0.99196632423665076</v>
      </c>
      <c r="P259" s="161">
        <f>IFERROR((O259-K259)/K259,0)</f>
        <v>0</v>
      </c>
      <c r="Q259" s="191">
        <f>IFERROR('Παραδοχές διείσδυσης - κάλυψης'!J136/'Παραδοχές διείσδυσης - κάλυψης'!J196,0)</f>
        <v>0.99196632423665076</v>
      </c>
      <c r="R259" s="161">
        <f>IFERROR((Q259-O259)/O259,0)</f>
        <v>0</v>
      </c>
      <c r="S259" s="191">
        <f>IFERROR('Παραδοχές διείσδυσης - κάλυψης'!K136/'Παραδοχές διείσδυσης - κάλυψης'!K196,0)</f>
        <v>0.99196632423665076</v>
      </c>
      <c r="T259" s="161">
        <f>IFERROR((S259-Q259)/Q259,0)</f>
        <v>0</v>
      </c>
      <c r="U259" s="191">
        <f>IFERROR('Παραδοχές διείσδυσης - κάλυψης'!L136/'Παραδοχές διείσδυσης - κάλυψης'!L196,0)</f>
        <v>0.99196632423665076</v>
      </c>
      <c r="V259" s="161">
        <f>IFERROR((U259-S259)/S259,0)</f>
        <v>0</v>
      </c>
      <c r="W259" s="191">
        <f>IFERROR('Παραδοχές διείσδυσης - κάλυψης'!M136/'Παραδοχές διείσδυσης - κάλυψης'!M196,0)</f>
        <v>0.99196632423665076</v>
      </c>
      <c r="X259" s="161">
        <f>IFERROR((W259-U259)/U259,0)</f>
        <v>0</v>
      </c>
      <c r="Y259" s="192">
        <f>IFERROR((W259/O259)^(1/4)-1,0)</f>
        <v>0</v>
      </c>
    </row>
    <row r="260" spans="1:25" s="52" customFormat="1" outlineLevel="1" x14ac:dyDescent="0.35">
      <c r="A260"/>
      <c r="B260" s="48" t="s">
        <v>75</v>
      </c>
      <c r="C260" s="62" t="s">
        <v>253</v>
      </c>
      <c r="D260" s="190">
        <f>IFERROR('Παραδοχές διείσδυσης - κάλυψης'!D137/'Παραδοχές διείσδυσης - κάλυψης'!D197,0)</f>
        <v>0.98320364433728957</v>
      </c>
      <c r="E260" s="190">
        <f>IFERROR('Παραδοχές διείσδυσης - κάλυψης'!E137/'Παραδοχές διείσδυσης - κάλυψης'!E197,0)</f>
        <v>0.98320364433728957</v>
      </c>
      <c r="F260" s="161">
        <f t="shared" ref="F260:F308" si="83">IFERROR((E260-D260)/D260,0)</f>
        <v>0</v>
      </c>
      <c r="G260" s="191">
        <f>IFERROR('Παραδοχές διείσδυσης - κάλυψης'!F137/'Παραδοχές διείσδυσης - κάλυψης'!F197,0)</f>
        <v>0.98320364433728957</v>
      </c>
      <c r="H260" s="161">
        <f t="shared" ref="H260:H308" si="84">IFERROR((G260-E260)/E260,0)</f>
        <v>0</v>
      </c>
      <c r="I260" s="191">
        <f>IFERROR('Παραδοχές διείσδυσης - κάλυψης'!G137/'Παραδοχές διείσδυσης - κάλυψης'!G197,0)</f>
        <v>0.98320364433728957</v>
      </c>
      <c r="J260" s="161">
        <f t="shared" ref="J260:J308" si="85">IFERROR((I260-G260)/G260,0)</f>
        <v>0</v>
      </c>
      <c r="K260" s="191">
        <f>IFERROR('Παραδοχές διείσδυσης - κάλυψης'!I137/'Παραδοχές διείσδυσης - κάλυψης'!I197,0)</f>
        <v>0.98320364433728957</v>
      </c>
      <c r="L260" s="161">
        <f t="shared" ref="L260:L308" si="86">IFERROR((K260-I260)/I260,0)</f>
        <v>0</v>
      </c>
      <c r="M260" s="192">
        <f t="shared" si="82"/>
        <v>0</v>
      </c>
      <c r="N260"/>
      <c r="O260" s="191">
        <f>IFERROR('Παραδοχές διείσδυσης - κάλυψης'!I137/'Παραδοχές διείσδυσης - κάλυψης'!I197,0)</f>
        <v>0.98320364433728957</v>
      </c>
      <c r="P260" s="161">
        <f t="shared" ref="P260:P308" si="87">IFERROR((O260-K260)/K260,0)</f>
        <v>0</v>
      </c>
      <c r="Q260" s="191">
        <f>IFERROR('Παραδοχές διείσδυσης - κάλυψης'!J137/'Παραδοχές διείσδυσης - κάλυψης'!J197,0)</f>
        <v>0.98320364433728957</v>
      </c>
      <c r="R260" s="161">
        <f t="shared" ref="R260:R308" si="88">IFERROR((Q260-O260)/O260,0)</f>
        <v>0</v>
      </c>
      <c r="S260" s="191">
        <f>IFERROR('Παραδοχές διείσδυσης - κάλυψης'!K137/'Παραδοχές διείσδυσης - κάλυψης'!K197,0)</f>
        <v>0.98320364433728957</v>
      </c>
      <c r="T260" s="161">
        <f t="shared" ref="T260:T308" si="89">IFERROR((S260-Q260)/Q260,0)</f>
        <v>0</v>
      </c>
      <c r="U260" s="191">
        <f>IFERROR('Παραδοχές διείσδυσης - κάλυψης'!L137/'Παραδοχές διείσδυσης - κάλυψης'!L197,0)</f>
        <v>0.98320364433728957</v>
      </c>
      <c r="V260" s="161">
        <f t="shared" ref="V260:V308" si="90">IFERROR((U260-S260)/S260,0)</f>
        <v>0</v>
      </c>
      <c r="W260" s="191">
        <f>IFERROR('Παραδοχές διείσδυσης - κάλυψης'!M137/'Παραδοχές διείσδυσης - κάλυψης'!M197,0)</f>
        <v>0.98320364433728957</v>
      </c>
      <c r="X260" s="161">
        <f t="shared" ref="X260:X308" si="91">IFERROR((W260-U260)/U260,0)</f>
        <v>0</v>
      </c>
      <c r="Y260" s="192">
        <f t="shared" ref="Y260:Y308" si="92">IFERROR((W260/O260)^(1/4)-1,0)</f>
        <v>0</v>
      </c>
    </row>
    <row r="261" spans="1:25" s="52" customFormat="1" outlineLevel="1" x14ac:dyDescent="0.35">
      <c r="A261"/>
      <c r="B261" s="48" t="s">
        <v>76</v>
      </c>
      <c r="C261" s="62" t="s">
        <v>253</v>
      </c>
      <c r="D261" s="190">
        <f>IFERROR('Παραδοχές διείσδυσης - κάλυψης'!D138/'Παραδοχές διείσδυσης - κάλυψης'!D198,0)</f>
        <v>0.98709807485904855</v>
      </c>
      <c r="E261" s="190">
        <f>IFERROR('Παραδοχές διείσδυσης - κάλυψης'!E138/'Παραδοχές διείσδυσης - κάλυψης'!E198,0)</f>
        <v>0.98709807485904855</v>
      </c>
      <c r="F261" s="161">
        <f t="shared" si="83"/>
        <v>0</v>
      </c>
      <c r="G261" s="191">
        <f>IFERROR('Παραδοχές διείσδυσης - κάλυψης'!F138/'Παραδοχές διείσδυσης - κάλυψης'!F198,0)</f>
        <v>0.98709807485904855</v>
      </c>
      <c r="H261" s="161">
        <f t="shared" si="84"/>
        <v>0</v>
      </c>
      <c r="I261" s="191">
        <f>IFERROR('Παραδοχές διείσδυσης - κάλυψης'!G138/'Παραδοχές διείσδυσης - κάλυψης'!G198,0)</f>
        <v>0.98709807485904855</v>
      </c>
      <c r="J261" s="161">
        <f t="shared" si="85"/>
        <v>0</v>
      </c>
      <c r="K261" s="191">
        <f>IFERROR('Παραδοχές διείσδυσης - κάλυψης'!I138/'Παραδοχές διείσδυσης - κάλυψης'!I198,0)</f>
        <v>0.98709807485904855</v>
      </c>
      <c r="L261" s="161">
        <f t="shared" si="86"/>
        <v>0</v>
      </c>
      <c r="M261" s="192">
        <f t="shared" si="82"/>
        <v>0</v>
      </c>
      <c r="N261"/>
      <c r="O261" s="191">
        <f>IFERROR('Παραδοχές διείσδυσης - κάλυψης'!I138/'Παραδοχές διείσδυσης - κάλυψης'!I198,0)</f>
        <v>0.98709807485904855</v>
      </c>
      <c r="P261" s="161">
        <f t="shared" si="87"/>
        <v>0</v>
      </c>
      <c r="Q261" s="191">
        <f>IFERROR('Παραδοχές διείσδυσης - κάλυψης'!J138/'Παραδοχές διείσδυσης - κάλυψης'!J198,0)</f>
        <v>0.98709807485904855</v>
      </c>
      <c r="R261" s="161">
        <f t="shared" si="88"/>
        <v>0</v>
      </c>
      <c r="S261" s="191">
        <f>IFERROR('Παραδοχές διείσδυσης - κάλυψης'!K138/'Παραδοχές διείσδυσης - κάλυψης'!K198,0)</f>
        <v>0.98709807485904855</v>
      </c>
      <c r="T261" s="161">
        <f t="shared" si="89"/>
        <v>0</v>
      </c>
      <c r="U261" s="191">
        <f>IFERROR('Παραδοχές διείσδυσης - κάλυψης'!L138/'Παραδοχές διείσδυσης - κάλυψης'!L198,0)</f>
        <v>0.98709807485904855</v>
      </c>
      <c r="V261" s="161">
        <f t="shared" si="90"/>
        <v>0</v>
      </c>
      <c r="W261" s="191">
        <f>IFERROR('Παραδοχές διείσδυσης - κάλυψης'!M138/'Παραδοχές διείσδυσης - κάλυψης'!M198,0)</f>
        <v>0.98709807485904855</v>
      </c>
      <c r="X261" s="161">
        <f t="shared" si="91"/>
        <v>0</v>
      </c>
      <c r="Y261" s="192">
        <f t="shared" si="92"/>
        <v>0</v>
      </c>
    </row>
    <row r="262" spans="1:25" outlineLevel="1" x14ac:dyDescent="0.35">
      <c r="B262" s="48" t="s">
        <v>77</v>
      </c>
      <c r="C262" s="62" t="s">
        <v>253</v>
      </c>
      <c r="D262" s="190">
        <f>IFERROR('Παραδοχές διείσδυσης - κάλυψης'!D139/'Παραδοχές διείσδυσης - κάλυψης'!D199,0)</f>
        <v>0.76628753549999995</v>
      </c>
      <c r="E262" s="190">
        <f>IFERROR('Παραδοχές διείσδυσης - κάλυψης'!E139/'Παραδοχές διείσδυσης - κάλυψης'!E199,0)</f>
        <v>0.76628753549999995</v>
      </c>
      <c r="F262" s="161">
        <f t="shared" si="83"/>
        <v>0</v>
      </c>
      <c r="G262" s="191">
        <f>IFERROR('Παραδοχές διείσδυσης - κάλυψης'!F139/'Παραδοχές διείσδυσης - κάλυψης'!F199,0)</f>
        <v>0.76628753549999995</v>
      </c>
      <c r="H262" s="161">
        <f t="shared" si="84"/>
        <v>0</v>
      </c>
      <c r="I262" s="191">
        <f>IFERROR('Παραδοχές διείσδυσης - κάλυψης'!G139/'Παραδοχές διείσδυσης - κάλυψης'!G199,0)</f>
        <v>0.76628753549999995</v>
      </c>
      <c r="J262" s="161">
        <f t="shared" si="85"/>
        <v>0</v>
      </c>
      <c r="K262" s="191">
        <f>IFERROR('Παραδοχές διείσδυσης - κάλυψης'!I139/'Παραδοχές διείσδυσης - κάλυψης'!I199,0)</f>
        <v>0.76628753549999995</v>
      </c>
      <c r="L262" s="161">
        <f t="shared" si="86"/>
        <v>0</v>
      </c>
      <c r="M262" s="192">
        <f t="shared" si="82"/>
        <v>0</v>
      </c>
      <c r="O262" s="191">
        <f>IFERROR('Παραδοχές διείσδυσης - κάλυψης'!I139/'Παραδοχές διείσδυσης - κάλυψης'!I199,0)</f>
        <v>0.76628753549999995</v>
      </c>
      <c r="P262" s="161">
        <f t="shared" si="87"/>
        <v>0</v>
      </c>
      <c r="Q262" s="191">
        <f>IFERROR('Παραδοχές διείσδυσης - κάλυψης'!J139/'Παραδοχές διείσδυσης - κάλυψης'!J199,0)</f>
        <v>0.76628753549999995</v>
      </c>
      <c r="R262" s="161">
        <f t="shared" si="88"/>
        <v>0</v>
      </c>
      <c r="S262" s="191">
        <f>IFERROR('Παραδοχές διείσδυσης - κάλυψης'!K139/'Παραδοχές διείσδυσης - κάλυψης'!K199,0)</f>
        <v>0.76628753549999995</v>
      </c>
      <c r="T262" s="161">
        <f t="shared" si="89"/>
        <v>0</v>
      </c>
      <c r="U262" s="191">
        <f>IFERROR('Παραδοχές διείσδυσης - κάλυψης'!L139/'Παραδοχές διείσδυσης - κάλυψης'!L199,0)</f>
        <v>0.76628753549999995</v>
      </c>
      <c r="V262" s="161">
        <f t="shared" si="90"/>
        <v>0</v>
      </c>
      <c r="W262" s="191">
        <f>IFERROR('Παραδοχές διείσδυσης - κάλυψης'!M139/'Παραδοχές διείσδυσης - κάλυψης'!M199,0)</f>
        <v>0.76628753549999995</v>
      </c>
      <c r="X262" s="161">
        <f t="shared" si="91"/>
        <v>0</v>
      </c>
      <c r="Y262" s="192">
        <f t="shared" si="92"/>
        <v>0</v>
      </c>
    </row>
    <row r="263" spans="1:25" s="52" customFormat="1" outlineLevel="1" x14ac:dyDescent="0.35">
      <c r="A263"/>
      <c r="B263" s="48" t="s">
        <v>78</v>
      </c>
      <c r="C263" s="62" t="s">
        <v>253</v>
      </c>
      <c r="D263" s="190">
        <f>IFERROR('Παραδοχές διείσδυσης - κάλυψης'!D140/'Παραδοχές διείσδυσης - κάλυψης'!D200,0)</f>
        <v>0.97790906299212776</v>
      </c>
      <c r="E263" s="190">
        <f>IFERROR('Παραδοχές διείσδυσης - κάλυψης'!E140/'Παραδοχές διείσδυσης - κάλυψης'!E200,0)</f>
        <v>0.97790906299212776</v>
      </c>
      <c r="F263" s="161">
        <f t="shared" si="83"/>
        <v>0</v>
      </c>
      <c r="G263" s="191">
        <f>IFERROR('Παραδοχές διείσδυσης - κάλυψης'!F140/'Παραδοχές διείσδυσης - κάλυψης'!F200,0)</f>
        <v>0.97790906299212776</v>
      </c>
      <c r="H263" s="161">
        <f t="shared" si="84"/>
        <v>0</v>
      </c>
      <c r="I263" s="191">
        <f>IFERROR('Παραδοχές διείσδυσης - κάλυψης'!G140/'Παραδοχές διείσδυσης - κάλυψης'!G200,0)</f>
        <v>0.97790906299212776</v>
      </c>
      <c r="J263" s="161">
        <f t="shared" si="85"/>
        <v>0</v>
      </c>
      <c r="K263" s="191">
        <f>IFERROR('Παραδοχές διείσδυσης - κάλυψης'!I140/'Παραδοχές διείσδυσης - κάλυψης'!I200,0)</f>
        <v>0.97790906299212776</v>
      </c>
      <c r="L263" s="161">
        <f t="shared" si="86"/>
        <v>0</v>
      </c>
      <c r="M263" s="192">
        <f t="shared" si="82"/>
        <v>0</v>
      </c>
      <c r="N263"/>
      <c r="O263" s="191">
        <f>IFERROR('Παραδοχές διείσδυσης - κάλυψης'!I140/'Παραδοχές διείσδυσης - κάλυψης'!I200,0)</f>
        <v>0.97790906299212776</v>
      </c>
      <c r="P263" s="161">
        <f t="shared" si="87"/>
        <v>0</v>
      </c>
      <c r="Q263" s="191">
        <f>IFERROR('Παραδοχές διείσδυσης - κάλυψης'!J140/'Παραδοχές διείσδυσης - κάλυψης'!J200,0)</f>
        <v>0.97790906299212776</v>
      </c>
      <c r="R263" s="161">
        <f t="shared" si="88"/>
        <v>0</v>
      </c>
      <c r="S263" s="191">
        <f>IFERROR('Παραδοχές διείσδυσης - κάλυψης'!K140/'Παραδοχές διείσδυσης - κάλυψης'!K200,0)</f>
        <v>0.97790906299212776</v>
      </c>
      <c r="T263" s="161">
        <f t="shared" si="89"/>
        <v>0</v>
      </c>
      <c r="U263" s="191">
        <f>IFERROR('Παραδοχές διείσδυσης - κάλυψης'!L140/'Παραδοχές διείσδυσης - κάλυψης'!L200,0)</f>
        <v>0.97790906299212776</v>
      </c>
      <c r="V263" s="161">
        <f t="shared" si="90"/>
        <v>0</v>
      </c>
      <c r="W263" s="191">
        <f>IFERROR('Παραδοχές διείσδυσης - κάλυψης'!M140/'Παραδοχές διείσδυσης - κάλυψης'!M200,0)</f>
        <v>0.97790906299212776</v>
      </c>
      <c r="X263" s="161">
        <f t="shared" si="91"/>
        <v>0</v>
      </c>
      <c r="Y263" s="192">
        <f t="shared" si="92"/>
        <v>0</v>
      </c>
    </row>
    <row r="264" spans="1:25" outlineLevel="1" x14ac:dyDescent="0.35">
      <c r="B264" s="48" t="s">
        <v>79</v>
      </c>
      <c r="C264" s="62" t="s">
        <v>253</v>
      </c>
      <c r="D264" s="190">
        <f>IFERROR('Παραδοχές διείσδυσης - κάλυψης'!D141/'Παραδοχές διείσδυσης - κάλυψης'!D201,0)</f>
        <v>0.97456682574686992</v>
      </c>
      <c r="E264" s="190">
        <f>IFERROR('Παραδοχές διείσδυσης - κάλυψης'!E141/'Παραδοχές διείσδυσης - κάλυψης'!E201,0)</f>
        <v>0.97456682574686992</v>
      </c>
      <c r="F264" s="161">
        <f t="shared" si="83"/>
        <v>0</v>
      </c>
      <c r="G264" s="191">
        <f>IFERROR('Παραδοχές διείσδυσης - κάλυψης'!F141/'Παραδοχές διείσδυσης - κάλυψης'!F201,0)</f>
        <v>0.97456682574686992</v>
      </c>
      <c r="H264" s="161">
        <f t="shared" si="84"/>
        <v>0</v>
      </c>
      <c r="I264" s="191">
        <f>IFERROR('Παραδοχές διείσδυσης - κάλυψης'!G141/'Παραδοχές διείσδυσης - κάλυψης'!G201,0)</f>
        <v>0.97456682574686992</v>
      </c>
      <c r="J264" s="161">
        <f t="shared" si="85"/>
        <v>0</v>
      </c>
      <c r="K264" s="191">
        <f>IFERROR('Παραδοχές διείσδυσης - κάλυψης'!I141/'Παραδοχές διείσδυσης - κάλυψης'!I201,0)</f>
        <v>0.97456682574686992</v>
      </c>
      <c r="L264" s="161">
        <f t="shared" si="86"/>
        <v>0</v>
      </c>
      <c r="M264" s="192">
        <f t="shared" si="82"/>
        <v>0</v>
      </c>
      <c r="O264" s="191">
        <f>IFERROR('Παραδοχές διείσδυσης - κάλυψης'!I141/'Παραδοχές διείσδυσης - κάλυψης'!I201,0)</f>
        <v>0.97456682574686992</v>
      </c>
      <c r="P264" s="161">
        <f t="shared" si="87"/>
        <v>0</v>
      </c>
      <c r="Q264" s="191">
        <f>IFERROR('Παραδοχές διείσδυσης - κάλυψης'!J141/'Παραδοχές διείσδυσης - κάλυψης'!J201,0)</f>
        <v>0.97456682574686992</v>
      </c>
      <c r="R264" s="161">
        <f t="shared" si="88"/>
        <v>0</v>
      </c>
      <c r="S264" s="191">
        <f>IFERROR('Παραδοχές διείσδυσης - κάλυψης'!K141/'Παραδοχές διείσδυσης - κάλυψης'!K201,0)</f>
        <v>0.97456682574686992</v>
      </c>
      <c r="T264" s="161">
        <f t="shared" si="89"/>
        <v>0</v>
      </c>
      <c r="U264" s="191">
        <f>IFERROR('Παραδοχές διείσδυσης - κάλυψης'!L141/'Παραδοχές διείσδυσης - κάλυψης'!L201,0)</f>
        <v>0.97456682574686992</v>
      </c>
      <c r="V264" s="161">
        <f t="shared" si="90"/>
        <v>0</v>
      </c>
      <c r="W264" s="191">
        <f>IFERROR('Παραδοχές διείσδυσης - κάλυψης'!M141/'Παραδοχές διείσδυσης - κάλυψης'!M201,0)</f>
        <v>0.97456682574686992</v>
      </c>
      <c r="X264" s="161">
        <f t="shared" si="91"/>
        <v>0</v>
      </c>
      <c r="Y264" s="192">
        <f t="shared" si="92"/>
        <v>0</v>
      </c>
    </row>
    <row r="265" spans="1:25" outlineLevel="1" x14ac:dyDescent="0.35">
      <c r="B265" s="48" t="s">
        <v>80</v>
      </c>
      <c r="C265" s="62" t="s">
        <v>253</v>
      </c>
      <c r="D265" s="190">
        <f>IFERROR('Παραδοχές διείσδυσης - κάλυψης'!D142/'Παραδοχές διείσδυσης - κάλυψης'!D202,0)</f>
        <v>0.96246310963122772</v>
      </c>
      <c r="E265" s="190">
        <f>IFERROR('Παραδοχές διείσδυσης - κάλυψης'!E142/'Παραδοχές διείσδυσης - κάλυψης'!E202,0)</f>
        <v>0.96246310963122772</v>
      </c>
      <c r="F265" s="161">
        <f t="shared" si="83"/>
        <v>0</v>
      </c>
      <c r="G265" s="191">
        <f>IFERROR('Παραδοχές διείσδυσης - κάλυψης'!F142/'Παραδοχές διείσδυσης - κάλυψης'!F202,0)</f>
        <v>0.96246310963122772</v>
      </c>
      <c r="H265" s="161">
        <f t="shared" si="84"/>
        <v>0</v>
      </c>
      <c r="I265" s="191">
        <f>IFERROR('Παραδοχές διείσδυσης - κάλυψης'!G142/'Παραδοχές διείσδυσης - κάλυψης'!G202,0)</f>
        <v>0.96246310963122772</v>
      </c>
      <c r="J265" s="161">
        <f t="shared" si="85"/>
        <v>0</v>
      </c>
      <c r="K265" s="191">
        <f>IFERROR('Παραδοχές διείσδυσης - κάλυψης'!I142/'Παραδοχές διείσδυσης - κάλυψης'!I202,0)</f>
        <v>0.96246310963122772</v>
      </c>
      <c r="L265" s="161">
        <f t="shared" si="86"/>
        <v>0</v>
      </c>
      <c r="M265" s="192">
        <f t="shared" si="82"/>
        <v>0</v>
      </c>
      <c r="O265" s="191">
        <f>IFERROR('Παραδοχές διείσδυσης - κάλυψης'!I142/'Παραδοχές διείσδυσης - κάλυψης'!I202,0)</f>
        <v>0.96246310963122772</v>
      </c>
      <c r="P265" s="161">
        <f t="shared" si="87"/>
        <v>0</v>
      </c>
      <c r="Q265" s="191">
        <f>IFERROR('Παραδοχές διείσδυσης - κάλυψης'!J142/'Παραδοχές διείσδυσης - κάλυψης'!J202,0)</f>
        <v>0.96246310963122772</v>
      </c>
      <c r="R265" s="161">
        <f t="shared" si="88"/>
        <v>0</v>
      </c>
      <c r="S265" s="191">
        <f>IFERROR('Παραδοχές διείσδυσης - κάλυψης'!K142/'Παραδοχές διείσδυσης - κάλυψης'!K202,0)</f>
        <v>0.96246310963122772</v>
      </c>
      <c r="T265" s="161">
        <f t="shared" si="89"/>
        <v>0</v>
      </c>
      <c r="U265" s="191">
        <f>IFERROR('Παραδοχές διείσδυσης - κάλυψης'!L142/'Παραδοχές διείσδυσης - κάλυψης'!L202,0)</f>
        <v>0.96246310963122772</v>
      </c>
      <c r="V265" s="161">
        <f t="shared" si="90"/>
        <v>0</v>
      </c>
      <c r="W265" s="191">
        <f>IFERROR('Παραδοχές διείσδυσης - κάλυψης'!M142/'Παραδοχές διείσδυσης - κάλυψης'!M202,0)</f>
        <v>0.96246310963122772</v>
      </c>
      <c r="X265" s="161">
        <f t="shared" si="91"/>
        <v>0</v>
      </c>
      <c r="Y265" s="192">
        <f t="shared" si="92"/>
        <v>0</v>
      </c>
    </row>
    <row r="266" spans="1:25" outlineLevel="1" x14ac:dyDescent="0.35">
      <c r="B266" s="48" t="s">
        <v>81</v>
      </c>
      <c r="C266" s="62" t="s">
        <v>253</v>
      </c>
      <c r="D266" s="190">
        <f>IFERROR('Παραδοχές διείσδυσης - κάλυψης'!D143/'Παραδοχές διείσδυσης - κάλυψης'!D203,0)</f>
        <v>0.9745324007236148</v>
      </c>
      <c r="E266" s="190">
        <f>IFERROR('Παραδοχές διείσδυσης - κάλυψης'!E143/'Παραδοχές διείσδυσης - κάλυψης'!E203,0)</f>
        <v>0.9745324007236148</v>
      </c>
      <c r="F266" s="161">
        <f t="shared" si="83"/>
        <v>0</v>
      </c>
      <c r="G266" s="191">
        <f>IFERROR('Παραδοχές διείσδυσης - κάλυψης'!F143/'Παραδοχές διείσδυσης - κάλυψης'!F203,0)</f>
        <v>0.9745324007236148</v>
      </c>
      <c r="H266" s="161">
        <f t="shared" si="84"/>
        <v>0</v>
      </c>
      <c r="I266" s="191">
        <f>IFERROR('Παραδοχές διείσδυσης - κάλυψης'!G143/'Παραδοχές διείσδυσης - κάλυψης'!G203,0)</f>
        <v>0.9745324007236148</v>
      </c>
      <c r="J266" s="161">
        <f t="shared" si="85"/>
        <v>0</v>
      </c>
      <c r="K266" s="191">
        <f>IFERROR('Παραδοχές διείσδυσης - κάλυψης'!I143/'Παραδοχές διείσδυσης - κάλυψης'!I203,0)</f>
        <v>0.9745324007236148</v>
      </c>
      <c r="L266" s="161">
        <f t="shared" si="86"/>
        <v>0</v>
      </c>
      <c r="M266" s="192">
        <f t="shared" si="82"/>
        <v>0</v>
      </c>
      <c r="O266" s="191">
        <f>IFERROR('Παραδοχές διείσδυσης - κάλυψης'!I143/'Παραδοχές διείσδυσης - κάλυψης'!I203,0)</f>
        <v>0.9745324007236148</v>
      </c>
      <c r="P266" s="161">
        <f t="shared" si="87"/>
        <v>0</v>
      </c>
      <c r="Q266" s="191">
        <f>IFERROR('Παραδοχές διείσδυσης - κάλυψης'!J143/'Παραδοχές διείσδυσης - κάλυψης'!J203,0)</f>
        <v>0.9745324007236148</v>
      </c>
      <c r="R266" s="161">
        <f t="shared" si="88"/>
        <v>0</v>
      </c>
      <c r="S266" s="191">
        <f>IFERROR('Παραδοχές διείσδυσης - κάλυψης'!K143/'Παραδοχές διείσδυσης - κάλυψης'!K203,0)</f>
        <v>0.9745324007236148</v>
      </c>
      <c r="T266" s="161">
        <f t="shared" si="89"/>
        <v>0</v>
      </c>
      <c r="U266" s="191">
        <f>IFERROR('Παραδοχές διείσδυσης - κάλυψης'!L143/'Παραδοχές διείσδυσης - κάλυψης'!L203,0)</f>
        <v>0.9745324007236148</v>
      </c>
      <c r="V266" s="161">
        <f t="shared" si="90"/>
        <v>0</v>
      </c>
      <c r="W266" s="191">
        <f>IFERROR('Παραδοχές διείσδυσης - κάλυψης'!M143/'Παραδοχές διείσδυσης - κάλυψης'!M203,0)</f>
        <v>0.9745324007236148</v>
      </c>
      <c r="X266" s="161">
        <f t="shared" si="91"/>
        <v>0</v>
      </c>
      <c r="Y266" s="192">
        <f t="shared" si="92"/>
        <v>0</v>
      </c>
    </row>
    <row r="267" spans="1:25" outlineLevel="1" x14ac:dyDescent="0.35">
      <c r="B267" s="48" t="s">
        <v>82</v>
      </c>
      <c r="C267" s="62" t="s">
        <v>253</v>
      </c>
      <c r="D267" s="190">
        <f>IFERROR('Παραδοχές διείσδυσης - κάλυψης'!D144/'Παραδοχές διείσδυσης - κάλυψης'!D204,0)</f>
        <v>0.23936865476923078</v>
      </c>
      <c r="E267" s="190">
        <f>IFERROR('Παραδοχές διείσδυσης - κάλυψης'!E144/'Παραδοχές διείσδυσης - κάλυψης'!E204,0)</f>
        <v>0.23936865476923078</v>
      </c>
      <c r="F267" s="161">
        <f t="shared" si="83"/>
        <v>0</v>
      </c>
      <c r="G267" s="191">
        <f>IFERROR('Παραδοχές διείσδυσης - κάλυψης'!F144/'Παραδοχές διείσδυσης - κάλυψης'!F204,0)</f>
        <v>0.23936865476923078</v>
      </c>
      <c r="H267" s="161">
        <f t="shared" si="84"/>
        <v>0</v>
      </c>
      <c r="I267" s="191">
        <f>IFERROR('Παραδοχές διείσδυσης - κάλυψης'!G144/'Παραδοχές διείσδυσης - κάλυψης'!G204,0)</f>
        <v>0.23936865476923078</v>
      </c>
      <c r="J267" s="161">
        <f t="shared" si="85"/>
        <v>0</v>
      </c>
      <c r="K267" s="191">
        <f>IFERROR('Παραδοχές διείσδυσης - κάλυψης'!I144/'Παραδοχές διείσδυσης - κάλυψης'!I204,0)</f>
        <v>0.23936865476923078</v>
      </c>
      <c r="L267" s="161">
        <f t="shared" si="86"/>
        <v>0</v>
      </c>
      <c r="M267" s="192">
        <f t="shared" si="82"/>
        <v>0</v>
      </c>
      <c r="O267" s="191">
        <f>IFERROR('Παραδοχές διείσδυσης - κάλυψης'!I144/'Παραδοχές διείσδυσης - κάλυψης'!I204,0)</f>
        <v>0.23936865476923078</v>
      </c>
      <c r="P267" s="161">
        <f t="shared" si="87"/>
        <v>0</v>
      </c>
      <c r="Q267" s="191">
        <f>IFERROR('Παραδοχές διείσδυσης - κάλυψης'!J144/'Παραδοχές διείσδυσης - κάλυψης'!J204,0)</f>
        <v>0.23936865476923078</v>
      </c>
      <c r="R267" s="161">
        <f t="shared" si="88"/>
        <v>0</v>
      </c>
      <c r="S267" s="191">
        <f>IFERROR('Παραδοχές διείσδυσης - κάλυψης'!K144/'Παραδοχές διείσδυσης - κάλυψης'!K204,0)</f>
        <v>0.23936865476923078</v>
      </c>
      <c r="T267" s="161">
        <f t="shared" si="89"/>
        <v>0</v>
      </c>
      <c r="U267" s="191">
        <f>IFERROR('Παραδοχές διείσδυσης - κάλυψης'!L144/'Παραδοχές διείσδυσης - κάλυψης'!L204,0)</f>
        <v>0.23936865476923078</v>
      </c>
      <c r="V267" s="161">
        <f t="shared" si="90"/>
        <v>0</v>
      </c>
      <c r="W267" s="191">
        <f>IFERROR('Παραδοχές διείσδυσης - κάλυψης'!M144/'Παραδοχές διείσδυσης - κάλυψης'!M204,0)</f>
        <v>0.23936865476923078</v>
      </c>
      <c r="X267" s="161">
        <f t="shared" si="91"/>
        <v>0</v>
      </c>
      <c r="Y267" s="192">
        <f t="shared" si="92"/>
        <v>0</v>
      </c>
    </row>
    <row r="268" spans="1:25" outlineLevel="1" x14ac:dyDescent="0.35">
      <c r="B268" s="48" t="s">
        <v>83</v>
      </c>
      <c r="C268" s="62" t="s">
        <v>253</v>
      </c>
      <c r="D268" s="190">
        <f>IFERROR('Παραδοχές διείσδυσης - κάλυψης'!D145/'Παραδοχές διείσδυσης - κάλυψης'!D205,0)</f>
        <v>0.95114265480276461</v>
      </c>
      <c r="E268" s="190">
        <f>IFERROR('Παραδοχές διείσδυσης - κάλυψης'!E145/'Παραδοχές διείσδυσης - κάλυψης'!E205,0)</f>
        <v>0.95114265480276461</v>
      </c>
      <c r="F268" s="161">
        <f t="shared" si="83"/>
        <v>0</v>
      </c>
      <c r="G268" s="191">
        <f>IFERROR('Παραδοχές διείσδυσης - κάλυψης'!F145/'Παραδοχές διείσδυσης - κάλυψης'!F205,0)</f>
        <v>0.95114265480276461</v>
      </c>
      <c r="H268" s="161">
        <f t="shared" si="84"/>
        <v>0</v>
      </c>
      <c r="I268" s="191">
        <f>IFERROR('Παραδοχές διείσδυσης - κάλυψης'!G145/'Παραδοχές διείσδυσης - κάλυψης'!G205,0)</f>
        <v>0.95114265480276461</v>
      </c>
      <c r="J268" s="161">
        <f t="shared" si="85"/>
        <v>0</v>
      </c>
      <c r="K268" s="191">
        <f>IFERROR('Παραδοχές διείσδυσης - κάλυψης'!I145/'Παραδοχές διείσδυσης - κάλυψης'!I205,0)</f>
        <v>0.95114265480276461</v>
      </c>
      <c r="L268" s="161">
        <f t="shared" si="86"/>
        <v>0</v>
      </c>
      <c r="M268" s="192">
        <f t="shared" si="82"/>
        <v>0</v>
      </c>
      <c r="O268" s="191">
        <f>IFERROR('Παραδοχές διείσδυσης - κάλυψης'!I145/'Παραδοχές διείσδυσης - κάλυψης'!I205,0)</f>
        <v>0.95114265480276461</v>
      </c>
      <c r="P268" s="161">
        <f t="shared" si="87"/>
        <v>0</v>
      </c>
      <c r="Q268" s="191">
        <f>IFERROR('Παραδοχές διείσδυσης - κάλυψης'!J145/'Παραδοχές διείσδυσης - κάλυψης'!J205,0)</f>
        <v>0.95114265480276461</v>
      </c>
      <c r="R268" s="161">
        <f t="shared" si="88"/>
        <v>0</v>
      </c>
      <c r="S268" s="191">
        <f>IFERROR('Παραδοχές διείσδυσης - κάλυψης'!K145/'Παραδοχές διείσδυσης - κάλυψης'!K205,0)</f>
        <v>0.95114265480276461</v>
      </c>
      <c r="T268" s="161">
        <f t="shared" si="89"/>
        <v>0</v>
      </c>
      <c r="U268" s="191">
        <f>IFERROR('Παραδοχές διείσδυσης - κάλυψης'!L145/'Παραδοχές διείσδυσης - κάλυψης'!L205,0)</f>
        <v>0.95114265480276461</v>
      </c>
      <c r="V268" s="161">
        <f t="shared" si="90"/>
        <v>0</v>
      </c>
      <c r="W268" s="191">
        <f>IFERROR('Παραδοχές διείσδυσης - κάλυψης'!M145/'Παραδοχές διείσδυσης - κάλυψης'!M205,0)</f>
        <v>0.95114265480276461</v>
      </c>
      <c r="X268" s="161">
        <f t="shared" si="91"/>
        <v>0</v>
      </c>
      <c r="Y268" s="192">
        <f t="shared" si="92"/>
        <v>0</v>
      </c>
    </row>
    <row r="269" spans="1:25" outlineLevel="1" x14ac:dyDescent="0.35">
      <c r="B269" s="48" t="s">
        <v>84</v>
      </c>
      <c r="C269" s="62" t="s">
        <v>253</v>
      </c>
      <c r="D269" s="190">
        <f>IFERROR('Παραδοχές διείσδυσης - κάλυψης'!D146/'Παραδοχές διείσδυσης - κάλυψης'!D206,0)</f>
        <v>0.98045448473615215</v>
      </c>
      <c r="E269" s="190">
        <f>IFERROR('Παραδοχές διείσδυσης - κάλυψης'!E146/'Παραδοχές διείσδυσης - κάλυψης'!E206,0)</f>
        <v>0.98045448473615215</v>
      </c>
      <c r="F269" s="161">
        <f t="shared" si="83"/>
        <v>0</v>
      </c>
      <c r="G269" s="191">
        <f>IFERROR('Παραδοχές διείσδυσης - κάλυψης'!F146/'Παραδοχές διείσδυσης - κάλυψης'!F206,0)</f>
        <v>0.98045448473615215</v>
      </c>
      <c r="H269" s="161">
        <f t="shared" si="84"/>
        <v>0</v>
      </c>
      <c r="I269" s="191">
        <f>IFERROR('Παραδοχές διείσδυσης - κάλυψης'!G146/'Παραδοχές διείσδυσης - κάλυψης'!G206,0)</f>
        <v>0.98045448473615215</v>
      </c>
      <c r="J269" s="161">
        <f t="shared" si="85"/>
        <v>0</v>
      </c>
      <c r="K269" s="191">
        <f>IFERROR('Παραδοχές διείσδυσης - κάλυψης'!I146/'Παραδοχές διείσδυσης - κάλυψης'!I206,0)</f>
        <v>0.98045448473615215</v>
      </c>
      <c r="L269" s="161">
        <f t="shared" si="86"/>
        <v>0</v>
      </c>
      <c r="M269" s="192">
        <f t="shared" si="82"/>
        <v>0</v>
      </c>
      <c r="O269" s="191">
        <f>IFERROR('Παραδοχές διείσδυσης - κάλυψης'!I146/'Παραδοχές διείσδυσης - κάλυψης'!I206,0)</f>
        <v>0.98045448473615215</v>
      </c>
      <c r="P269" s="161">
        <f t="shared" si="87"/>
        <v>0</v>
      </c>
      <c r="Q269" s="191">
        <f>IFERROR('Παραδοχές διείσδυσης - κάλυψης'!J146/'Παραδοχές διείσδυσης - κάλυψης'!J206,0)</f>
        <v>0.98045448473615215</v>
      </c>
      <c r="R269" s="161">
        <f t="shared" si="88"/>
        <v>0</v>
      </c>
      <c r="S269" s="191">
        <f>IFERROR('Παραδοχές διείσδυσης - κάλυψης'!K146/'Παραδοχές διείσδυσης - κάλυψης'!K206,0)</f>
        <v>0.98045448473615215</v>
      </c>
      <c r="T269" s="161">
        <f t="shared" si="89"/>
        <v>0</v>
      </c>
      <c r="U269" s="191">
        <f>IFERROR('Παραδοχές διείσδυσης - κάλυψης'!L146/'Παραδοχές διείσδυσης - κάλυψης'!L206,0)</f>
        <v>0.98045448473615215</v>
      </c>
      <c r="V269" s="161">
        <f t="shared" si="90"/>
        <v>0</v>
      </c>
      <c r="W269" s="191">
        <f>IFERROR('Παραδοχές διείσδυσης - κάλυψης'!M146/'Παραδοχές διείσδυσης - κάλυψης'!M206,0)</f>
        <v>0.98045448473615215</v>
      </c>
      <c r="X269" s="161">
        <f t="shared" si="91"/>
        <v>0</v>
      </c>
      <c r="Y269" s="192">
        <f t="shared" si="92"/>
        <v>0</v>
      </c>
    </row>
    <row r="270" spans="1:25" outlineLevel="1" x14ac:dyDescent="0.35">
      <c r="B270" s="48" t="s">
        <v>85</v>
      </c>
      <c r="C270" s="62" t="s">
        <v>253</v>
      </c>
      <c r="D270" s="190">
        <f>IFERROR('Παραδοχές διείσδυσης - κάλυψης'!D147/'Παραδοχές διείσδυσης - κάλυψης'!D207,0)</f>
        <v>0.97556204171689631</v>
      </c>
      <c r="E270" s="190">
        <f>IFERROR('Παραδοχές διείσδυσης - κάλυψης'!E147/'Παραδοχές διείσδυσης - κάλυψης'!E207,0)</f>
        <v>0.97556204171689631</v>
      </c>
      <c r="F270" s="161">
        <f t="shared" si="83"/>
        <v>0</v>
      </c>
      <c r="G270" s="191">
        <f>IFERROR('Παραδοχές διείσδυσης - κάλυψης'!F147/'Παραδοχές διείσδυσης - κάλυψης'!F207,0)</f>
        <v>0.97556204171689631</v>
      </c>
      <c r="H270" s="161">
        <f t="shared" si="84"/>
        <v>0</v>
      </c>
      <c r="I270" s="191">
        <f>IFERROR('Παραδοχές διείσδυσης - κάλυψης'!G147/'Παραδοχές διείσδυσης - κάλυψης'!G207,0)</f>
        <v>0.97556204171689631</v>
      </c>
      <c r="J270" s="161">
        <f t="shared" si="85"/>
        <v>0</v>
      </c>
      <c r="K270" s="191">
        <f>IFERROR('Παραδοχές διείσδυσης - κάλυψης'!I147/'Παραδοχές διείσδυσης - κάλυψης'!I207,0)</f>
        <v>0.97556204171689631</v>
      </c>
      <c r="L270" s="161">
        <f t="shared" si="86"/>
        <v>0</v>
      </c>
      <c r="M270" s="192">
        <f t="shared" si="82"/>
        <v>0</v>
      </c>
      <c r="O270" s="191">
        <f>IFERROR('Παραδοχές διείσδυσης - κάλυψης'!I147/'Παραδοχές διείσδυσης - κάλυψης'!I207,0)</f>
        <v>0.97556204171689631</v>
      </c>
      <c r="P270" s="161">
        <f t="shared" si="87"/>
        <v>0</v>
      </c>
      <c r="Q270" s="191">
        <f>IFERROR('Παραδοχές διείσδυσης - κάλυψης'!J147/'Παραδοχές διείσδυσης - κάλυψης'!J207,0)</f>
        <v>0.97556204171689631</v>
      </c>
      <c r="R270" s="161">
        <f t="shared" si="88"/>
        <v>0</v>
      </c>
      <c r="S270" s="191">
        <f>IFERROR('Παραδοχές διείσδυσης - κάλυψης'!K147/'Παραδοχές διείσδυσης - κάλυψης'!K207,0)</f>
        <v>0.97556204171689631</v>
      </c>
      <c r="T270" s="161">
        <f t="shared" si="89"/>
        <v>0</v>
      </c>
      <c r="U270" s="191">
        <f>IFERROR('Παραδοχές διείσδυσης - κάλυψης'!L147/'Παραδοχές διείσδυσης - κάλυψης'!L207,0)</f>
        <v>0.97556204171689631</v>
      </c>
      <c r="V270" s="161">
        <f t="shared" si="90"/>
        <v>0</v>
      </c>
      <c r="W270" s="191">
        <f>IFERROR('Παραδοχές διείσδυσης - κάλυψης'!M147/'Παραδοχές διείσδυσης - κάλυψης'!M207,0)</f>
        <v>0.97556204171689631</v>
      </c>
      <c r="X270" s="161">
        <f t="shared" si="91"/>
        <v>0</v>
      </c>
      <c r="Y270" s="192">
        <f t="shared" si="92"/>
        <v>0</v>
      </c>
    </row>
    <row r="271" spans="1:25" outlineLevel="1" x14ac:dyDescent="0.35">
      <c r="B271" s="48" t="s">
        <v>86</v>
      </c>
      <c r="C271" s="62" t="s">
        <v>253</v>
      </c>
      <c r="D271" s="190">
        <f>IFERROR('Παραδοχές διείσδυσης - κάλυψης'!D148/'Παραδοχές διείσδυσης - κάλυψης'!D208,0)</f>
        <v>0.98526813203242447</v>
      </c>
      <c r="E271" s="190">
        <f>IFERROR('Παραδοχές διείσδυσης - κάλυψης'!E148/'Παραδοχές διείσδυσης - κάλυψης'!E208,0)</f>
        <v>0.98526813203242447</v>
      </c>
      <c r="F271" s="161">
        <f t="shared" si="83"/>
        <v>0</v>
      </c>
      <c r="G271" s="191">
        <f>IFERROR('Παραδοχές διείσδυσης - κάλυψης'!F148/'Παραδοχές διείσδυσης - κάλυψης'!F208,0)</f>
        <v>0.98526813203242447</v>
      </c>
      <c r="H271" s="161">
        <f t="shared" si="84"/>
        <v>0</v>
      </c>
      <c r="I271" s="191">
        <f>IFERROR('Παραδοχές διείσδυσης - κάλυψης'!G148/'Παραδοχές διείσδυσης - κάλυψης'!G208,0)</f>
        <v>0.98526813203242447</v>
      </c>
      <c r="J271" s="161">
        <f t="shared" si="85"/>
        <v>0</v>
      </c>
      <c r="K271" s="191">
        <f>IFERROR('Παραδοχές διείσδυσης - κάλυψης'!I148/'Παραδοχές διείσδυσης - κάλυψης'!I208,0)</f>
        <v>0.98526813203242447</v>
      </c>
      <c r="L271" s="161">
        <f t="shared" si="86"/>
        <v>0</v>
      </c>
      <c r="M271" s="192">
        <f t="shared" si="82"/>
        <v>0</v>
      </c>
      <c r="O271" s="191">
        <f>IFERROR('Παραδοχές διείσδυσης - κάλυψης'!I148/'Παραδοχές διείσδυσης - κάλυψης'!I208,0)</f>
        <v>0.98526813203242447</v>
      </c>
      <c r="P271" s="161">
        <f t="shared" si="87"/>
        <v>0</v>
      </c>
      <c r="Q271" s="191">
        <f>IFERROR('Παραδοχές διείσδυσης - κάλυψης'!J148/'Παραδοχές διείσδυσης - κάλυψης'!J208,0)</f>
        <v>0.98526813203242447</v>
      </c>
      <c r="R271" s="161">
        <f t="shared" si="88"/>
        <v>0</v>
      </c>
      <c r="S271" s="191">
        <f>IFERROR('Παραδοχές διείσδυσης - κάλυψης'!K148/'Παραδοχές διείσδυσης - κάλυψης'!K208,0)</f>
        <v>0.98526813203242447</v>
      </c>
      <c r="T271" s="161">
        <f t="shared" si="89"/>
        <v>0</v>
      </c>
      <c r="U271" s="191">
        <f>IFERROR('Παραδοχές διείσδυσης - κάλυψης'!L148/'Παραδοχές διείσδυσης - κάλυψης'!L208,0)</f>
        <v>0.98526813203242447</v>
      </c>
      <c r="V271" s="161">
        <f t="shared" si="90"/>
        <v>0</v>
      </c>
      <c r="W271" s="191">
        <f>IFERROR('Παραδοχές διείσδυσης - κάλυψης'!M148/'Παραδοχές διείσδυσης - κάλυψης'!M208,0)</f>
        <v>0.98526813203242447</v>
      </c>
      <c r="X271" s="161">
        <f t="shared" si="91"/>
        <v>0</v>
      </c>
      <c r="Y271" s="192">
        <f t="shared" si="92"/>
        <v>0</v>
      </c>
    </row>
    <row r="272" spans="1:25" outlineLevel="1" x14ac:dyDescent="0.35">
      <c r="B272" s="48" t="s">
        <v>87</v>
      </c>
      <c r="C272" s="62" t="s">
        <v>253</v>
      </c>
      <c r="D272" s="190">
        <f>IFERROR('Παραδοχές διείσδυσης - κάλυψης'!D149/'Παραδοχές διείσδυσης - κάλυψης'!D209,0)</f>
        <v>0.97110952815656959</v>
      </c>
      <c r="E272" s="190">
        <f>IFERROR('Παραδοχές διείσδυσης - κάλυψης'!E149/'Παραδοχές διείσδυσης - κάλυψης'!E209,0)</f>
        <v>0.97110952815656959</v>
      </c>
      <c r="F272" s="161">
        <f t="shared" si="83"/>
        <v>0</v>
      </c>
      <c r="G272" s="191">
        <f>IFERROR('Παραδοχές διείσδυσης - κάλυψης'!F149/'Παραδοχές διείσδυσης - κάλυψης'!F209,0)</f>
        <v>0.97110952815656959</v>
      </c>
      <c r="H272" s="161">
        <f t="shared" si="84"/>
        <v>0</v>
      </c>
      <c r="I272" s="191">
        <f>IFERROR('Παραδοχές διείσδυσης - κάλυψης'!G149/'Παραδοχές διείσδυσης - κάλυψης'!G209,0)</f>
        <v>0.97110952815656959</v>
      </c>
      <c r="J272" s="161">
        <f t="shared" si="85"/>
        <v>0</v>
      </c>
      <c r="K272" s="191">
        <f>IFERROR('Παραδοχές διείσδυσης - κάλυψης'!I149/'Παραδοχές διείσδυσης - κάλυψης'!I209,0)</f>
        <v>0.97110952815656959</v>
      </c>
      <c r="L272" s="161">
        <f t="shared" si="86"/>
        <v>0</v>
      </c>
      <c r="M272" s="192">
        <f t="shared" si="82"/>
        <v>0</v>
      </c>
      <c r="O272" s="191">
        <f>IFERROR('Παραδοχές διείσδυσης - κάλυψης'!I149/'Παραδοχές διείσδυσης - κάλυψης'!I209,0)</f>
        <v>0.97110952815656959</v>
      </c>
      <c r="P272" s="161">
        <f t="shared" si="87"/>
        <v>0</v>
      </c>
      <c r="Q272" s="191">
        <f>IFERROR('Παραδοχές διείσδυσης - κάλυψης'!J149/'Παραδοχές διείσδυσης - κάλυψης'!J209,0)</f>
        <v>0.97110952815656959</v>
      </c>
      <c r="R272" s="161">
        <f t="shared" si="88"/>
        <v>0</v>
      </c>
      <c r="S272" s="191">
        <f>IFERROR('Παραδοχές διείσδυσης - κάλυψης'!K149/'Παραδοχές διείσδυσης - κάλυψης'!K209,0)</f>
        <v>0.97110952815656959</v>
      </c>
      <c r="T272" s="161">
        <f t="shared" si="89"/>
        <v>0</v>
      </c>
      <c r="U272" s="191">
        <f>IFERROR('Παραδοχές διείσδυσης - κάλυψης'!L149/'Παραδοχές διείσδυσης - κάλυψης'!L209,0)</f>
        <v>0.97110952815656959</v>
      </c>
      <c r="V272" s="161">
        <f t="shared" si="90"/>
        <v>0</v>
      </c>
      <c r="W272" s="191">
        <f>IFERROR('Παραδοχές διείσδυσης - κάλυψης'!M149/'Παραδοχές διείσδυσης - κάλυψης'!M209,0)</f>
        <v>0.97110952815656959</v>
      </c>
      <c r="X272" s="161">
        <f t="shared" si="91"/>
        <v>0</v>
      </c>
      <c r="Y272" s="192">
        <f t="shared" si="92"/>
        <v>0</v>
      </c>
    </row>
    <row r="273" spans="2:25" outlineLevel="1" x14ac:dyDescent="0.35">
      <c r="B273" s="48" t="s">
        <v>88</v>
      </c>
      <c r="C273" s="62" t="s">
        <v>253</v>
      </c>
      <c r="D273" s="190">
        <f>IFERROR('Παραδοχές διείσδυσης - κάλυψης'!D150/'Παραδοχές διείσδυσης - κάλυψης'!D210,0)</f>
        <v>0.97265442192057661</v>
      </c>
      <c r="E273" s="190">
        <f>IFERROR('Παραδοχές διείσδυσης - κάλυψης'!E150/'Παραδοχές διείσδυσης - κάλυψης'!E210,0)</f>
        <v>0.97265442192057661</v>
      </c>
      <c r="F273" s="161">
        <f t="shared" si="83"/>
        <v>0</v>
      </c>
      <c r="G273" s="191">
        <f>IFERROR('Παραδοχές διείσδυσης - κάλυψης'!F150/'Παραδοχές διείσδυσης - κάλυψης'!F210,0)</f>
        <v>0.97265442192057661</v>
      </c>
      <c r="H273" s="161">
        <f t="shared" si="84"/>
        <v>0</v>
      </c>
      <c r="I273" s="191">
        <f>IFERROR('Παραδοχές διείσδυσης - κάλυψης'!G150/'Παραδοχές διείσδυσης - κάλυψης'!G210,0)</f>
        <v>0.97265442192057661</v>
      </c>
      <c r="J273" s="161">
        <f t="shared" si="85"/>
        <v>0</v>
      </c>
      <c r="K273" s="191">
        <f>IFERROR('Παραδοχές διείσδυσης - κάλυψης'!I150/'Παραδοχές διείσδυσης - κάλυψης'!I210,0)</f>
        <v>0.97265442192057661</v>
      </c>
      <c r="L273" s="161">
        <f t="shared" si="86"/>
        <v>0</v>
      </c>
      <c r="M273" s="192">
        <f t="shared" si="82"/>
        <v>0</v>
      </c>
      <c r="O273" s="191">
        <f>IFERROR('Παραδοχές διείσδυσης - κάλυψης'!I150/'Παραδοχές διείσδυσης - κάλυψης'!I210,0)</f>
        <v>0.97265442192057661</v>
      </c>
      <c r="P273" s="161">
        <f t="shared" si="87"/>
        <v>0</v>
      </c>
      <c r="Q273" s="191">
        <f>IFERROR('Παραδοχές διείσδυσης - κάλυψης'!J150/'Παραδοχές διείσδυσης - κάλυψης'!J210,0)</f>
        <v>0.97265442192057661</v>
      </c>
      <c r="R273" s="161">
        <f t="shared" si="88"/>
        <v>0</v>
      </c>
      <c r="S273" s="191">
        <f>IFERROR('Παραδοχές διείσδυσης - κάλυψης'!K150/'Παραδοχές διείσδυσης - κάλυψης'!K210,0)</f>
        <v>0.97265442192057661</v>
      </c>
      <c r="T273" s="161">
        <f t="shared" si="89"/>
        <v>0</v>
      </c>
      <c r="U273" s="191">
        <f>IFERROR('Παραδοχές διείσδυσης - κάλυψης'!L150/'Παραδοχές διείσδυσης - κάλυψης'!L210,0)</f>
        <v>0.97265442192057661</v>
      </c>
      <c r="V273" s="161">
        <f t="shared" si="90"/>
        <v>0</v>
      </c>
      <c r="W273" s="191">
        <f>IFERROR('Παραδοχές διείσδυσης - κάλυψης'!M150/'Παραδοχές διείσδυσης - κάλυψης'!M210,0)</f>
        <v>0.97265442192057661</v>
      </c>
      <c r="X273" s="161">
        <f t="shared" si="91"/>
        <v>0</v>
      </c>
      <c r="Y273" s="192">
        <f t="shared" si="92"/>
        <v>0</v>
      </c>
    </row>
    <row r="274" spans="2:25" outlineLevel="1" x14ac:dyDescent="0.35">
      <c r="B274" s="48" t="s">
        <v>89</v>
      </c>
      <c r="C274" s="62" t="s">
        <v>253</v>
      </c>
      <c r="D274" s="190">
        <f>IFERROR('Παραδοχές διείσδυσης - κάλυψης'!D151/'Παραδοχές διείσδυσης - κάλυψης'!D211,0)</f>
        <v>0.99389887028851598</v>
      </c>
      <c r="E274" s="190">
        <f>IFERROR('Παραδοχές διείσδυσης - κάλυψης'!E151/'Παραδοχές διείσδυσης - κάλυψης'!E211,0)</f>
        <v>0.99389887028851598</v>
      </c>
      <c r="F274" s="161">
        <f t="shared" si="83"/>
        <v>0</v>
      </c>
      <c r="G274" s="191">
        <f>IFERROR('Παραδοχές διείσδυσης - κάλυψης'!F151/'Παραδοχές διείσδυσης - κάλυψης'!F211,0)</f>
        <v>0.99389887028851598</v>
      </c>
      <c r="H274" s="161">
        <f t="shared" si="84"/>
        <v>0</v>
      </c>
      <c r="I274" s="191">
        <f>IFERROR('Παραδοχές διείσδυσης - κάλυψης'!G151/'Παραδοχές διείσδυσης - κάλυψης'!G211,0)</f>
        <v>0.99389887028851598</v>
      </c>
      <c r="J274" s="161">
        <f t="shared" si="85"/>
        <v>0</v>
      </c>
      <c r="K274" s="191">
        <f>IFERROR('Παραδοχές διείσδυσης - κάλυψης'!I151/'Παραδοχές διείσδυσης - κάλυψης'!I211,0)</f>
        <v>0.99389887028851598</v>
      </c>
      <c r="L274" s="161">
        <f t="shared" si="86"/>
        <v>0</v>
      </c>
      <c r="M274" s="192">
        <f t="shared" si="82"/>
        <v>0</v>
      </c>
      <c r="O274" s="191">
        <f>IFERROR('Παραδοχές διείσδυσης - κάλυψης'!I151/'Παραδοχές διείσδυσης - κάλυψης'!I211,0)</f>
        <v>0.99389887028851598</v>
      </c>
      <c r="P274" s="161">
        <f t="shared" si="87"/>
        <v>0</v>
      </c>
      <c r="Q274" s="191">
        <f>IFERROR('Παραδοχές διείσδυσης - κάλυψης'!J151/'Παραδοχές διείσδυσης - κάλυψης'!J211,0)</f>
        <v>0.99389887028851598</v>
      </c>
      <c r="R274" s="161">
        <f t="shared" si="88"/>
        <v>0</v>
      </c>
      <c r="S274" s="191">
        <f>IFERROR('Παραδοχές διείσδυσης - κάλυψης'!K151/'Παραδοχές διείσδυσης - κάλυψης'!K211,0)</f>
        <v>0.99389887028851598</v>
      </c>
      <c r="T274" s="161">
        <f t="shared" si="89"/>
        <v>0</v>
      </c>
      <c r="U274" s="191">
        <f>IFERROR('Παραδοχές διείσδυσης - κάλυψης'!L151/'Παραδοχές διείσδυσης - κάλυψης'!L211,0)</f>
        <v>0.99389887028851598</v>
      </c>
      <c r="V274" s="161">
        <f t="shared" si="90"/>
        <v>0</v>
      </c>
      <c r="W274" s="191">
        <f>IFERROR('Παραδοχές διείσδυσης - κάλυψης'!M151/'Παραδοχές διείσδυσης - κάλυψης'!M211,0)</f>
        <v>0.99389887028851598</v>
      </c>
      <c r="X274" s="161">
        <f t="shared" si="91"/>
        <v>0</v>
      </c>
      <c r="Y274" s="192">
        <f t="shared" si="92"/>
        <v>0</v>
      </c>
    </row>
    <row r="275" spans="2:25" outlineLevel="1" x14ac:dyDescent="0.35">
      <c r="B275" s="48" t="s">
        <v>90</v>
      </c>
      <c r="C275" s="62" t="s">
        <v>253</v>
      </c>
      <c r="D275" s="190">
        <f>IFERROR('Παραδοχές διείσδυσης - κάλυψης'!D152/'Παραδοχές διείσδυσης - κάλυψης'!D212,0)</f>
        <v>0.90740636721682988</v>
      </c>
      <c r="E275" s="190">
        <f>IFERROR('Παραδοχές διείσδυσης - κάλυψης'!E152/'Παραδοχές διείσδυσης - κάλυψης'!E212,0)</f>
        <v>0.90740636721682988</v>
      </c>
      <c r="F275" s="161">
        <f t="shared" si="83"/>
        <v>0</v>
      </c>
      <c r="G275" s="191">
        <f>IFERROR('Παραδοχές διείσδυσης - κάλυψης'!F152/'Παραδοχές διείσδυσης - κάλυψης'!F212,0)</f>
        <v>0.90740636721682988</v>
      </c>
      <c r="H275" s="161">
        <f t="shared" si="84"/>
        <v>0</v>
      </c>
      <c r="I275" s="191">
        <f>IFERROR('Παραδοχές διείσδυσης - κάλυψης'!G152/'Παραδοχές διείσδυσης - κάλυψης'!G212,0)</f>
        <v>0.90740636721682988</v>
      </c>
      <c r="J275" s="161">
        <f t="shared" si="85"/>
        <v>0</v>
      </c>
      <c r="K275" s="191">
        <f>IFERROR('Παραδοχές διείσδυσης - κάλυψης'!I152/'Παραδοχές διείσδυσης - κάλυψης'!I212,0)</f>
        <v>0.90740636721682988</v>
      </c>
      <c r="L275" s="161">
        <f t="shared" si="86"/>
        <v>0</v>
      </c>
      <c r="M275" s="192">
        <f t="shared" si="82"/>
        <v>0</v>
      </c>
      <c r="O275" s="191">
        <f>IFERROR('Παραδοχές διείσδυσης - κάλυψης'!I152/'Παραδοχές διείσδυσης - κάλυψης'!I212,0)</f>
        <v>0.90740636721682988</v>
      </c>
      <c r="P275" s="161">
        <f t="shared" si="87"/>
        <v>0</v>
      </c>
      <c r="Q275" s="191">
        <f>IFERROR('Παραδοχές διείσδυσης - κάλυψης'!J152/'Παραδοχές διείσδυσης - κάλυψης'!J212,0)</f>
        <v>0.90740636721682988</v>
      </c>
      <c r="R275" s="161">
        <f t="shared" si="88"/>
        <v>0</v>
      </c>
      <c r="S275" s="191">
        <f>IFERROR('Παραδοχές διείσδυσης - κάλυψης'!K152/'Παραδοχές διείσδυσης - κάλυψης'!K212,0)</f>
        <v>0.90740636721682988</v>
      </c>
      <c r="T275" s="161">
        <f t="shared" si="89"/>
        <v>0</v>
      </c>
      <c r="U275" s="191">
        <f>IFERROR('Παραδοχές διείσδυσης - κάλυψης'!L152/'Παραδοχές διείσδυσης - κάλυψης'!L212,0)</f>
        <v>0.90740636721682988</v>
      </c>
      <c r="V275" s="161">
        <f t="shared" si="90"/>
        <v>0</v>
      </c>
      <c r="W275" s="191">
        <f>IFERROR('Παραδοχές διείσδυσης - κάλυψης'!M152/'Παραδοχές διείσδυσης - κάλυψης'!M212,0)</f>
        <v>0.90740636721682988</v>
      </c>
      <c r="X275" s="161">
        <f t="shared" si="91"/>
        <v>0</v>
      </c>
      <c r="Y275" s="192">
        <f t="shared" si="92"/>
        <v>0</v>
      </c>
    </row>
    <row r="276" spans="2:25" outlineLevel="1" x14ac:dyDescent="0.35">
      <c r="B276" s="294" t="s">
        <v>91</v>
      </c>
      <c r="C276" s="62" t="s">
        <v>253</v>
      </c>
      <c r="D276" s="190">
        <f>IFERROR('Παραδοχές διείσδυσης - κάλυψης'!D153/'Παραδοχές διείσδυσης - κάλυψης'!D213,0)</f>
        <v>0.98462314536975326</v>
      </c>
      <c r="E276" s="190">
        <f>IFERROR('Παραδοχές διείσδυσης - κάλυψης'!E153/'Παραδοχές διείσδυσης - κάλυψης'!E213,0)</f>
        <v>0.98462314536975326</v>
      </c>
      <c r="F276" s="161">
        <f t="shared" si="83"/>
        <v>0</v>
      </c>
      <c r="G276" s="191">
        <f>IFERROR('Παραδοχές διείσδυσης - κάλυψης'!F153/'Παραδοχές διείσδυσης - κάλυψης'!F213,0)</f>
        <v>0.98462314536975326</v>
      </c>
      <c r="H276" s="161">
        <f t="shared" si="84"/>
        <v>0</v>
      </c>
      <c r="I276" s="191">
        <f>IFERROR('Παραδοχές διείσδυσης - κάλυψης'!G153/'Παραδοχές διείσδυσης - κάλυψης'!G213,0)</f>
        <v>0.98462314536975326</v>
      </c>
      <c r="J276" s="161">
        <f t="shared" si="85"/>
        <v>0</v>
      </c>
      <c r="K276" s="191">
        <f>IFERROR('Παραδοχές διείσδυσης - κάλυψης'!I153/'Παραδοχές διείσδυσης - κάλυψης'!I213,0)</f>
        <v>0.98462314536975326</v>
      </c>
      <c r="L276" s="161">
        <f t="shared" si="86"/>
        <v>0</v>
      </c>
      <c r="M276" s="192">
        <f t="shared" si="82"/>
        <v>0</v>
      </c>
      <c r="O276" s="191">
        <f>IFERROR('Παραδοχές διείσδυσης - κάλυψης'!I153/'Παραδοχές διείσδυσης - κάλυψης'!I213,0)</f>
        <v>0.98462314536975326</v>
      </c>
      <c r="P276" s="161">
        <f t="shared" si="87"/>
        <v>0</v>
      </c>
      <c r="Q276" s="191">
        <f>IFERROR('Παραδοχές διείσδυσης - κάλυψης'!J153/'Παραδοχές διείσδυσης - κάλυψης'!J213,0)</f>
        <v>0.98462314536975326</v>
      </c>
      <c r="R276" s="161">
        <f t="shared" si="88"/>
        <v>0</v>
      </c>
      <c r="S276" s="191">
        <f>IFERROR('Παραδοχές διείσδυσης - κάλυψης'!K153/'Παραδοχές διείσδυσης - κάλυψης'!K213,0)</f>
        <v>0.98462314536975326</v>
      </c>
      <c r="T276" s="161">
        <f t="shared" si="89"/>
        <v>0</v>
      </c>
      <c r="U276" s="191">
        <f>IFERROR('Παραδοχές διείσδυσης - κάλυψης'!L153/'Παραδοχές διείσδυσης - κάλυψης'!L213,0)</f>
        <v>0.98462314536975326</v>
      </c>
      <c r="V276" s="161">
        <f t="shared" si="90"/>
        <v>0</v>
      </c>
      <c r="W276" s="191">
        <f>IFERROR('Παραδοχές διείσδυσης - κάλυψης'!M153/'Παραδοχές διείσδυσης - κάλυψης'!M213,0)</f>
        <v>0.98462314536975326</v>
      </c>
      <c r="X276" s="161">
        <f t="shared" si="91"/>
        <v>0</v>
      </c>
      <c r="Y276" s="192">
        <f t="shared" si="92"/>
        <v>0</v>
      </c>
    </row>
    <row r="277" spans="2:25" outlineLevel="1" x14ac:dyDescent="0.35">
      <c r="B277" s="294" t="s">
        <v>92</v>
      </c>
      <c r="C277" s="62" t="s">
        <v>253</v>
      </c>
      <c r="D277" s="190">
        <f>IFERROR('Παραδοχές διείσδυσης - κάλυψης'!D154/'Παραδοχές διείσδυσης - κάλυψης'!D214,0)</f>
        <v>0.95990291159890828</v>
      </c>
      <c r="E277" s="190">
        <f>IFERROR('Παραδοχές διείσδυσης - κάλυψης'!E154/'Παραδοχές διείσδυσης - κάλυψης'!E214,0)</f>
        <v>0.95990291159890828</v>
      </c>
      <c r="F277" s="161">
        <f t="shared" si="83"/>
        <v>0</v>
      </c>
      <c r="G277" s="191">
        <f>IFERROR('Παραδοχές διείσδυσης - κάλυψης'!F154/'Παραδοχές διείσδυσης - κάλυψης'!F214,0)</f>
        <v>0.95990291159890828</v>
      </c>
      <c r="H277" s="161">
        <f t="shared" si="84"/>
        <v>0</v>
      </c>
      <c r="I277" s="191">
        <f>IFERROR('Παραδοχές διείσδυσης - κάλυψης'!G154/'Παραδοχές διείσδυσης - κάλυψης'!G214,0)</f>
        <v>0.95990291159890828</v>
      </c>
      <c r="J277" s="161">
        <f t="shared" si="85"/>
        <v>0</v>
      </c>
      <c r="K277" s="191">
        <f>IFERROR('Παραδοχές διείσδυσης - κάλυψης'!I154/'Παραδοχές διείσδυσης - κάλυψης'!I214,0)</f>
        <v>0.95990291159890828</v>
      </c>
      <c r="L277" s="161">
        <f t="shared" si="86"/>
        <v>0</v>
      </c>
      <c r="M277" s="192">
        <f t="shared" si="82"/>
        <v>0</v>
      </c>
      <c r="O277" s="191">
        <f>IFERROR('Παραδοχές διείσδυσης - κάλυψης'!I154/'Παραδοχές διείσδυσης - κάλυψης'!I214,0)</f>
        <v>0.95990291159890828</v>
      </c>
      <c r="P277" s="161">
        <f t="shared" si="87"/>
        <v>0</v>
      </c>
      <c r="Q277" s="191">
        <f>IFERROR('Παραδοχές διείσδυσης - κάλυψης'!J154/'Παραδοχές διείσδυσης - κάλυψης'!J214,0)</f>
        <v>0.95990291159890828</v>
      </c>
      <c r="R277" s="161">
        <f t="shared" si="88"/>
        <v>0</v>
      </c>
      <c r="S277" s="191">
        <f>IFERROR('Παραδοχές διείσδυσης - κάλυψης'!K154/'Παραδοχές διείσδυσης - κάλυψης'!K214,0)</f>
        <v>0.95990291159890828</v>
      </c>
      <c r="T277" s="161">
        <f t="shared" si="89"/>
        <v>0</v>
      </c>
      <c r="U277" s="191">
        <f>IFERROR('Παραδοχές διείσδυσης - κάλυψης'!L154/'Παραδοχές διείσδυσης - κάλυψης'!L214,0)</f>
        <v>0.95990291159890828</v>
      </c>
      <c r="V277" s="161">
        <f t="shared" si="90"/>
        <v>0</v>
      </c>
      <c r="W277" s="191">
        <f>IFERROR('Παραδοχές διείσδυσης - κάλυψης'!M154/'Παραδοχές διείσδυσης - κάλυψης'!M214,0)</f>
        <v>0.95990291159890828</v>
      </c>
      <c r="X277" s="161">
        <f t="shared" si="91"/>
        <v>0</v>
      </c>
      <c r="Y277" s="192">
        <f t="shared" si="92"/>
        <v>0</v>
      </c>
    </row>
    <row r="278" spans="2:25" outlineLevel="1" x14ac:dyDescent="0.35">
      <c r="B278" s="294" t="s">
        <v>93</v>
      </c>
      <c r="C278" s="62" t="s">
        <v>253</v>
      </c>
      <c r="D278" s="190">
        <f>IFERROR('Παραδοχές διείσδυσης - κάλυψης'!D155/'Παραδοχές διείσδυσης - κάλυψης'!D215,0)</f>
        <v>0.98520109594053806</v>
      </c>
      <c r="E278" s="190">
        <f>IFERROR('Παραδοχές διείσδυσης - κάλυψης'!E155/'Παραδοχές διείσδυσης - κάλυψης'!E215,0)</f>
        <v>0.98520109594053806</v>
      </c>
      <c r="F278" s="161">
        <f t="shared" si="83"/>
        <v>0</v>
      </c>
      <c r="G278" s="191">
        <f>IFERROR('Παραδοχές διείσδυσης - κάλυψης'!F155/'Παραδοχές διείσδυσης - κάλυψης'!F215,0)</f>
        <v>0.98520109594053806</v>
      </c>
      <c r="H278" s="161">
        <f t="shared" si="84"/>
        <v>0</v>
      </c>
      <c r="I278" s="191">
        <f>IFERROR('Παραδοχές διείσδυσης - κάλυψης'!G155/'Παραδοχές διείσδυσης - κάλυψης'!G215,0)</f>
        <v>0.98520109594053806</v>
      </c>
      <c r="J278" s="161">
        <f t="shared" si="85"/>
        <v>0</v>
      </c>
      <c r="K278" s="191">
        <f>IFERROR('Παραδοχές διείσδυσης - κάλυψης'!I155/'Παραδοχές διείσδυσης - κάλυψης'!I215,0)</f>
        <v>0.98520109594053806</v>
      </c>
      <c r="L278" s="161">
        <f t="shared" si="86"/>
        <v>0</v>
      </c>
      <c r="M278" s="192">
        <f t="shared" si="82"/>
        <v>0</v>
      </c>
      <c r="O278" s="191">
        <f>IFERROR('Παραδοχές διείσδυσης - κάλυψης'!I155/'Παραδοχές διείσδυσης - κάλυψης'!I215,0)</f>
        <v>0.98520109594053806</v>
      </c>
      <c r="P278" s="161">
        <f t="shared" si="87"/>
        <v>0</v>
      </c>
      <c r="Q278" s="191">
        <f>IFERROR('Παραδοχές διείσδυσης - κάλυψης'!J155/'Παραδοχές διείσδυσης - κάλυψης'!J215,0)</f>
        <v>0.98520109594053806</v>
      </c>
      <c r="R278" s="161">
        <f t="shared" si="88"/>
        <v>0</v>
      </c>
      <c r="S278" s="191">
        <f>IFERROR('Παραδοχές διείσδυσης - κάλυψης'!K155/'Παραδοχές διείσδυσης - κάλυψης'!K215,0)</f>
        <v>0.98520109594053806</v>
      </c>
      <c r="T278" s="161">
        <f t="shared" si="89"/>
        <v>0</v>
      </c>
      <c r="U278" s="191">
        <f>IFERROR('Παραδοχές διείσδυσης - κάλυψης'!L155/'Παραδοχές διείσδυσης - κάλυψης'!L215,0)</f>
        <v>0.98520109594053806</v>
      </c>
      <c r="V278" s="161">
        <f t="shared" si="90"/>
        <v>0</v>
      </c>
      <c r="W278" s="191">
        <f>IFERROR('Παραδοχές διείσδυσης - κάλυψης'!M155/'Παραδοχές διείσδυσης - κάλυψης'!M215,0)</f>
        <v>0.98520109594053806</v>
      </c>
      <c r="X278" s="161">
        <f t="shared" si="91"/>
        <v>0</v>
      </c>
      <c r="Y278" s="192">
        <f t="shared" si="92"/>
        <v>0</v>
      </c>
    </row>
    <row r="279" spans="2:25" outlineLevel="1" x14ac:dyDescent="0.35">
      <c r="B279" s="294" t="s">
        <v>94</v>
      </c>
      <c r="C279" s="62" t="s">
        <v>253</v>
      </c>
      <c r="D279" s="190">
        <f>IFERROR('Παραδοχές διείσδυσης - κάλυψης'!D156/'Παραδοχές διείσδυσης - κάλυψης'!D216,0)</f>
        <v>0.95172683485635357</v>
      </c>
      <c r="E279" s="190">
        <f>IFERROR('Παραδοχές διείσδυσης - κάλυψης'!E156/'Παραδοχές διείσδυσης - κάλυψης'!E216,0)</f>
        <v>0.95172683485635357</v>
      </c>
      <c r="F279" s="161">
        <f t="shared" si="83"/>
        <v>0</v>
      </c>
      <c r="G279" s="191">
        <f>IFERROR('Παραδοχές διείσδυσης - κάλυψης'!F156/'Παραδοχές διείσδυσης - κάλυψης'!F216,0)</f>
        <v>0.95172683485635357</v>
      </c>
      <c r="H279" s="161">
        <f t="shared" si="84"/>
        <v>0</v>
      </c>
      <c r="I279" s="191">
        <f>IFERROR('Παραδοχές διείσδυσης - κάλυψης'!G156/'Παραδοχές διείσδυσης - κάλυψης'!G216,0)</f>
        <v>0.95172683485635357</v>
      </c>
      <c r="J279" s="161">
        <f t="shared" si="85"/>
        <v>0</v>
      </c>
      <c r="K279" s="191">
        <f>IFERROR('Παραδοχές διείσδυσης - κάλυψης'!I156/'Παραδοχές διείσδυσης - κάλυψης'!I216,0)</f>
        <v>0.95172683485635357</v>
      </c>
      <c r="L279" s="161">
        <f t="shared" si="86"/>
        <v>0</v>
      </c>
      <c r="M279" s="192">
        <f t="shared" si="82"/>
        <v>0</v>
      </c>
      <c r="O279" s="191">
        <f>IFERROR('Παραδοχές διείσδυσης - κάλυψης'!I156/'Παραδοχές διείσδυσης - κάλυψης'!I216,0)</f>
        <v>0.95172683485635357</v>
      </c>
      <c r="P279" s="161">
        <f t="shared" si="87"/>
        <v>0</v>
      </c>
      <c r="Q279" s="191">
        <f>IFERROR('Παραδοχές διείσδυσης - κάλυψης'!J156/'Παραδοχές διείσδυσης - κάλυψης'!J216,0)</f>
        <v>0.95172683485635357</v>
      </c>
      <c r="R279" s="161">
        <f t="shared" si="88"/>
        <v>0</v>
      </c>
      <c r="S279" s="191">
        <f>IFERROR('Παραδοχές διείσδυσης - κάλυψης'!K156/'Παραδοχές διείσδυσης - κάλυψης'!K216,0)</f>
        <v>0.95172683485635357</v>
      </c>
      <c r="T279" s="161">
        <f t="shared" si="89"/>
        <v>0</v>
      </c>
      <c r="U279" s="191">
        <f>IFERROR('Παραδοχές διείσδυσης - κάλυψης'!L156/'Παραδοχές διείσδυσης - κάλυψης'!L216,0)</f>
        <v>0.95172683485635357</v>
      </c>
      <c r="V279" s="161">
        <f t="shared" si="90"/>
        <v>0</v>
      </c>
      <c r="W279" s="191">
        <f>IFERROR('Παραδοχές διείσδυσης - κάλυψης'!M156/'Παραδοχές διείσδυσης - κάλυψης'!M216,0)</f>
        <v>0.95172683485635357</v>
      </c>
      <c r="X279" s="161">
        <f t="shared" si="91"/>
        <v>0</v>
      </c>
      <c r="Y279" s="192">
        <f t="shared" si="92"/>
        <v>0</v>
      </c>
    </row>
    <row r="280" spans="2:25" outlineLevel="1" x14ac:dyDescent="0.35">
      <c r="B280" s="294" t="s">
        <v>95</v>
      </c>
      <c r="C280" s="62" t="s">
        <v>253</v>
      </c>
      <c r="D280" s="190">
        <f>IFERROR('Παραδοχές διείσδυσης - κάλυψης'!D157/'Παραδοχές διείσδυσης - κάλυψης'!D217,0)</f>
        <v>0.98642492890782185</v>
      </c>
      <c r="E280" s="190">
        <f>IFERROR('Παραδοχές διείσδυσης - κάλυψης'!E157/'Παραδοχές διείσδυσης - κάλυψης'!E217,0)</f>
        <v>0.98642492890782185</v>
      </c>
      <c r="F280" s="161">
        <f t="shared" si="83"/>
        <v>0</v>
      </c>
      <c r="G280" s="191">
        <f>IFERROR('Παραδοχές διείσδυσης - κάλυψης'!F157/'Παραδοχές διείσδυσης - κάλυψης'!F217,0)</f>
        <v>0.98642492890782185</v>
      </c>
      <c r="H280" s="161">
        <f t="shared" si="84"/>
        <v>0</v>
      </c>
      <c r="I280" s="191">
        <f>IFERROR('Παραδοχές διείσδυσης - κάλυψης'!G157/'Παραδοχές διείσδυσης - κάλυψης'!G217,0)</f>
        <v>0.98642492890782185</v>
      </c>
      <c r="J280" s="161">
        <f t="shared" si="85"/>
        <v>0</v>
      </c>
      <c r="K280" s="191">
        <f>IFERROR('Παραδοχές διείσδυσης - κάλυψης'!I157/'Παραδοχές διείσδυσης - κάλυψης'!I217,0)</f>
        <v>0.98642492890782185</v>
      </c>
      <c r="L280" s="161">
        <f t="shared" si="86"/>
        <v>0</v>
      </c>
      <c r="M280" s="192">
        <f t="shared" si="82"/>
        <v>0</v>
      </c>
      <c r="O280" s="191">
        <f>IFERROR('Παραδοχές διείσδυσης - κάλυψης'!I157/'Παραδοχές διείσδυσης - κάλυψης'!I217,0)</f>
        <v>0.98642492890782185</v>
      </c>
      <c r="P280" s="161">
        <f t="shared" si="87"/>
        <v>0</v>
      </c>
      <c r="Q280" s="191">
        <f>IFERROR('Παραδοχές διείσδυσης - κάλυψης'!J157/'Παραδοχές διείσδυσης - κάλυψης'!J217,0)</f>
        <v>0.98642492890782185</v>
      </c>
      <c r="R280" s="161">
        <f t="shared" si="88"/>
        <v>0</v>
      </c>
      <c r="S280" s="191">
        <f>IFERROR('Παραδοχές διείσδυσης - κάλυψης'!K157/'Παραδοχές διείσδυσης - κάλυψης'!K217,0)</f>
        <v>0.98642492890782185</v>
      </c>
      <c r="T280" s="161">
        <f t="shared" si="89"/>
        <v>0</v>
      </c>
      <c r="U280" s="191">
        <f>IFERROR('Παραδοχές διείσδυσης - κάλυψης'!L157/'Παραδοχές διείσδυσης - κάλυψης'!L217,0)</f>
        <v>0.98642492890782185</v>
      </c>
      <c r="V280" s="161">
        <f t="shared" si="90"/>
        <v>0</v>
      </c>
      <c r="W280" s="191">
        <f>IFERROR('Παραδοχές διείσδυσης - κάλυψης'!M157/'Παραδοχές διείσδυσης - κάλυψης'!M217,0)</f>
        <v>0.98642492890782185</v>
      </c>
      <c r="X280" s="161">
        <f t="shared" si="91"/>
        <v>0</v>
      </c>
      <c r="Y280" s="192">
        <f t="shared" si="92"/>
        <v>0</v>
      </c>
    </row>
    <row r="281" spans="2:25" outlineLevel="1" x14ac:dyDescent="0.35">
      <c r="B281" s="294" t="s">
        <v>96</v>
      </c>
      <c r="C281" s="62" t="s">
        <v>253</v>
      </c>
      <c r="D281" s="190">
        <f>IFERROR('Παραδοχές διείσδυσης - κάλυψης'!D158/'Παραδοχές διείσδυσης - κάλυψης'!D218,0)</f>
        <v>0.99445634126871474</v>
      </c>
      <c r="E281" s="190">
        <f>IFERROR('Παραδοχές διείσδυσης - κάλυψης'!E158/'Παραδοχές διείσδυσης - κάλυψης'!E218,0)</f>
        <v>0.99445634126871474</v>
      </c>
      <c r="F281" s="161">
        <f t="shared" si="83"/>
        <v>0</v>
      </c>
      <c r="G281" s="191">
        <f>IFERROR('Παραδοχές διείσδυσης - κάλυψης'!F158/'Παραδοχές διείσδυσης - κάλυψης'!F218,0)</f>
        <v>0.99445634126871474</v>
      </c>
      <c r="H281" s="161">
        <f t="shared" si="84"/>
        <v>0</v>
      </c>
      <c r="I281" s="191">
        <f>IFERROR('Παραδοχές διείσδυσης - κάλυψης'!G158/'Παραδοχές διείσδυσης - κάλυψης'!G218,0)</f>
        <v>0.99445634126871474</v>
      </c>
      <c r="J281" s="161">
        <f t="shared" si="85"/>
        <v>0</v>
      </c>
      <c r="K281" s="191">
        <f>IFERROR('Παραδοχές διείσδυσης - κάλυψης'!I158/'Παραδοχές διείσδυσης - κάλυψης'!I218,0)</f>
        <v>0.99445634126871474</v>
      </c>
      <c r="L281" s="161">
        <f t="shared" si="86"/>
        <v>0</v>
      </c>
      <c r="M281" s="192">
        <f t="shared" si="82"/>
        <v>0</v>
      </c>
      <c r="O281" s="191">
        <f>IFERROR('Παραδοχές διείσδυσης - κάλυψης'!I158/'Παραδοχές διείσδυσης - κάλυψης'!I218,0)</f>
        <v>0.99445634126871474</v>
      </c>
      <c r="P281" s="161">
        <f t="shared" si="87"/>
        <v>0</v>
      </c>
      <c r="Q281" s="191">
        <f>IFERROR('Παραδοχές διείσδυσης - κάλυψης'!J158/'Παραδοχές διείσδυσης - κάλυψης'!J218,0)</f>
        <v>0.99445634126871474</v>
      </c>
      <c r="R281" s="161">
        <f t="shared" si="88"/>
        <v>0</v>
      </c>
      <c r="S281" s="191">
        <f>IFERROR('Παραδοχές διείσδυσης - κάλυψης'!K158/'Παραδοχές διείσδυσης - κάλυψης'!K218,0)</f>
        <v>0.99445634126871474</v>
      </c>
      <c r="T281" s="161">
        <f t="shared" si="89"/>
        <v>0</v>
      </c>
      <c r="U281" s="191">
        <f>IFERROR('Παραδοχές διείσδυσης - κάλυψης'!L158/'Παραδοχές διείσδυσης - κάλυψης'!L218,0)</f>
        <v>0.99445634126871474</v>
      </c>
      <c r="V281" s="161">
        <f t="shared" si="90"/>
        <v>0</v>
      </c>
      <c r="W281" s="191">
        <f>IFERROR('Παραδοχές διείσδυσης - κάλυψης'!M158/'Παραδοχές διείσδυσης - κάλυψης'!M218,0)</f>
        <v>0.99445634126871474</v>
      </c>
      <c r="X281" s="161">
        <f t="shared" si="91"/>
        <v>0</v>
      </c>
      <c r="Y281" s="192">
        <f t="shared" si="92"/>
        <v>0</v>
      </c>
    </row>
    <row r="282" spans="2:25" outlineLevel="1" x14ac:dyDescent="0.35">
      <c r="B282" s="294" t="s">
        <v>97</v>
      </c>
      <c r="C282" s="62" t="s">
        <v>253</v>
      </c>
      <c r="D282" s="190">
        <f>IFERROR('Παραδοχές διείσδυσης - κάλυψης'!D159/'Παραδοχές διείσδυσης - κάλυψης'!D219,0)</f>
        <v>0.94619229732690158</v>
      </c>
      <c r="E282" s="190">
        <f>IFERROR('Παραδοχές διείσδυσης - κάλυψης'!E159/'Παραδοχές διείσδυσης - κάλυψης'!E219,0)</f>
        <v>0.94619229732690158</v>
      </c>
      <c r="F282" s="161">
        <f t="shared" si="83"/>
        <v>0</v>
      </c>
      <c r="G282" s="191">
        <f>IFERROR('Παραδοχές διείσδυσης - κάλυψης'!F159/'Παραδοχές διείσδυσης - κάλυψης'!F219,0)</f>
        <v>0.94619229732690158</v>
      </c>
      <c r="H282" s="161">
        <f t="shared" si="84"/>
        <v>0</v>
      </c>
      <c r="I282" s="191">
        <f>IFERROR('Παραδοχές διείσδυσης - κάλυψης'!G159/'Παραδοχές διείσδυσης - κάλυψης'!G219,0)</f>
        <v>0.94619229732690158</v>
      </c>
      <c r="J282" s="161">
        <f t="shared" si="85"/>
        <v>0</v>
      </c>
      <c r="K282" s="191">
        <f>IFERROR('Παραδοχές διείσδυσης - κάλυψης'!I159/'Παραδοχές διείσδυσης - κάλυψης'!I219,0)</f>
        <v>0.94619229732690158</v>
      </c>
      <c r="L282" s="161">
        <f t="shared" si="86"/>
        <v>0</v>
      </c>
      <c r="M282" s="192">
        <f t="shared" si="82"/>
        <v>0</v>
      </c>
      <c r="O282" s="191">
        <f>IFERROR('Παραδοχές διείσδυσης - κάλυψης'!I159/'Παραδοχές διείσδυσης - κάλυψης'!I219,0)</f>
        <v>0.94619229732690158</v>
      </c>
      <c r="P282" s="161">
        <f t="shared" si="87"/>
        <v>0</v>
      </c>
      <c r="Q282" s="191">
        <f>IFERROR('Παραδοχές διείσδυσης - κάλυψης'!J159/'Παραδοχές διείσδυσης - κάλυψης'!J219,0)</f>
        <v>0.94619229732690158</v>
      </c>
      <c r="R282" s="161">
        <f t="shared" si="88"/>
        <v>0</v>
      </c>
      <c r="S282" s="191">
        <f>IFERROR('Παραδοχές διείσδυσης - κάλυψης'!K159/'Παραδοχές διείσδυσης - κάλυψης'!K219,0)</f>
        <v>0.94619229732690158</v>
      </c>
      <c r="T282" s="161">
        <f t="shared" si="89"/>
        <v>0</v>
      </c>
      <c r="U282" s="191">
        <f>IFERROR('Παραδοχές διείσδυσης - κάλυψης'!L159/'Παραδοχές διείσδυσης - κάλυψης'!L219,0)</f>
        <v>0.94619229732690158</v>
      </c>
      <c r="V282" s="161">
        <f t="shared" si="90"/>
        <v>0</v>
      </c>
      <c r="W282" s="191">
        <f>IFERROR('Παραδοχές διείσδυσης - κάλυψης'!M159/'Παραδοχές διείσδυσης - κάλυψης'!M219,0)</f>
        <v>0.94619229732690158</v>
      </c>
      <c r="X282" s="161">
        <f t="shared" si="91"/>
        <v>0</v>
      </c>
      <c r="Y282" s="192">
        <f t="shared" si="92"/>
        <v>0</v>
      </c>
    </row>
    <row r="283" spans="2:25" outlineLevel="1" x14ac:dyDescent="0.35">
      <c r="B283" s="294" t="s">
        <v>98</v>
      </c>
      <c r="C283" s="62" t="s">
        <v>253</v>
      </c>
      <c r="D283" s="190">
        <f>IFERROR('Παραδοχές διείσδυσης - κάλυψης'!D160/'Παραδοχές διείσδυσης - κάλυψης'!D220,0)</f>
        <v>0.97164527488929742</v>
      </c>
      <c r="E283" s="190">
        <f>IFERROR('Παραδοχές διείσδυσης - κάλυψης'!E160/'Παραδοχές διείσδυσης - κάλυψης'!E220,0)</f>
        <v>0.97164527488929742</v>
      </c>
      <c r="F283" s="161">
        <f t="shared" si="83"/>
        <v>0</v>
      </c>
      <c r="G283" s="191">
        <f>IFERROR('Παραδοχές διείσδυσης - κάλυψης'!F160/'Παραδοχές διείσδυσης - κάλυψης'!F220,0)</f>
        <v>0.97164527488929742</v>
      </c>
      <c r="H283" s="161">
        <f t="shared" si="84"/>
        <v>0</v>
      </c>
      <c r="I283" s="191">
        <f>IFERROR('Παραδοχές διείσδυσης - κάλυψης'!G160/'Παραδοχές διείσδυσης - κάλυψης'!G220,0)</f>
        <v>0.97164527488929742</v>
      </c>
      <c r="J283" s="161">
        <f t="shared" si="85"/>
        <v>0</v>
      </c>
      <c r="K283" s="191">
        <f>IFERROR('Παραδοχές διείσδυσης - κάλυψης'!I160/'Παραδοχές διείσδυσης - κάλυψης'!I220,0)</f>
        <v>0.97164527488929742</v>
      </c>
      <c r="L283" s="161">
        <f t="shared" si="86"/>
        <v>0</v>
      </c>
      <c r="M283" s="192">
        <f t="shared" si="82"/>
        <v>0</v>
      </c>
      <c r="O283" s="191">
        <f>IFERROR('Παραδοχές διείσδυσης - κάλυψης'!I160/'Παραδοχές διείσδυσης - κάλυψης'!I220,0)</f>
        <v>0.97164527488929742</v>
      </c>
      <c r="P283" s="161">
        <f t="shared" si="87"/>
        <v>0</v>
      </c>
      <c r="Q283" s="191">
        <f>IFERROR('Παραδοχές διείσδυσης - κάλυψης'!J160/'Παραδοχές διείσδυσης - κάλυψης'!J220,0)</f>
        <v>0.97164527488929742</v>
      </c>
      <c r="R283" s="161">
        <f t="shared" si="88"/>
        <v>0</v>
      </c>
      <c r="S283" s="191">
        <f>IFERROR('Παραδοχές διείσδυσης - κάλυψης'!K160/'Παραδοχές διείσδυσης - κάλυψης'!K220,0)</f>
        <v>0.97164527488929742</v>
      </c>
      <c r="T283" s="161">
        <f t="shared" si="89"/>
        <v>0</v>
      </c>
      <c r="U283" s="191">
        <f>IFERROR('Παραδοχές διείσδυσης - κάλυψης'!L160/'Παραδοχές διείσδυσης - κάλυψης'!L220,0)</f>
        <v>0.97164527488929742</v>
      </c>
      <c r="V283" s="161">
        <f t="shared" si="90"/>
        <v>0</v>
      </c>
      <c r="W283" s="191">
        <f>IFERROR('Παραδοχές διείσδυσης - κάλυψης'!M160/'Παραδοχές διείσδυσης - κάλυψης'!M220,0)</f>
        <v>0.97164527488929742</v>
      </c>
      <c r="X283" s="161">
        <f t="shared" si="91"/>
        <v>0</v>
      </c>
      <c r="Y283" s="192">
        <f t="shared" si="92"/>
        <v>0</v>
      </c>
    </row>
    <row r="284" spans="2:25" outlineLevel="1" x14ac:dyDescent="0.35">
      <c r="B284" s="294" t="s">
        <v>99</v>
      </c>
      <c r="C284" s="62" t="s">
        <v>253</v>
      </c>
      <c r="D284" s="190">
        <f>IFERROR('Παραδοχές διείσδυσης - κάλυψης'!D161/'Παραδοχές διείσδυσης - κάλυψης'!D221,0)</f>
        <v>0.98344103754635359</v>
      </c>
      <c r="E284" s="190">
        <f>IFERROR('Παραδοχές διείσδυσης - κάλυψης'!E161/'Παραδοχές διείσδυσης - κάλυψης'!E221,0)</f>
        <v>0.98344103754635359</v>
      </c>
      <c r="F284" s="161">
        <f t="shared" si="83"/>
        <v>0</v>
      </c>
      <c r="G284" s="191">
        <f>IFERROR('Παραδοχές διείσδυσης - κάλυψης'!F161/'Παραδοχές διείσδυσης - κάλυψης'!F221,0)</f>
        <v>0.98344103754635359</v>
      </c>
      <c r="H284" s="161">
        <f t="shared" si="84"/>
        <v>0</v>
      </c>
      <c r="I284" s="191">
        <f>IFERROR('Παραδοχές διείσδυσης - κάλυψης'!G161/'Παραδοχές διείσδυσης - κάλυψης'!G221,0)</f>
        <v>0.98344103754635359</v>
      </c>
      <c r="J284" s="161">
        <f t="shared" si="85"/>
        <v>0</v>
      </c>
      <c r="K284" s="191">
        <f>IFERROR('Παραδοχές διείσδυσης - κάλυψης'!I161/'Παραδοχές διείσδυσης - κάλυψης'!I221,0)</f>
        <v>0.98344103754635359</v>
      </c>
      <c r="L284" s="161">
        <f t="shared" si="86"/>
        <v>0</v>
      </c>
      <c r="M284" s="192">
        <f t="shared" si="82"/>
        <v>0</v>
      </c>
      <c r="O284" s="191">
        <f>IFERROR('Παραδοχές διείσδυσης - κάλυψης'!I161/'Παραδοχές διείσδυσης - κάλυψης'!I221,0)</f>
        <v>0.98344103754635359</v>
      </c>
      <c r="P284" s="161">
        <f t="shared" si="87"/>
        <v>0</v>
      </c>
      <c r="Q284" s="191">
        <f>IFERROR('Παραδοχές διείσδυσης - κάλυψης'!J161/'Παραδοχές διείσδυσης - κάλυψης'!J221,0)</f>
        <v>0.98344103754635359</v>
      </c>
      <c r="R284" s="161">
        <f t="shared" si="88"/>
        <v>0</v>
      </c>
      <c r="S284" s="191">
        <f>IFERROR('Παραδοχές διείσδυσης - κάλυψης'!K161/'Παραδοχές διείσδυσης - κάλυψης'!K221,0)</f>
        <v>0.98344103754635359</v>
      </c>
      <c r="T284" s="161">
        <f t="shared" si="89"/>
        <v>0</v>
      </c>
      <c r="U284" s="191">
        <f>IFERROR('Παραδοχές διείσδυσης - κάλυψης'!L161/'Παραδοχές διείσδυσης - κάλυψης'!L221,0)</f>
        <v>0.98344103754635359</v>
      </c>
      <c r="V284" s="161">
        <f t="shared" si="90"/>
        <v>0</v>
      </c>
      <c r="W284" s="191">
        <f>IFERROR('Παραδοχές διείσδυσης - κάλυψης'!M161/'Παραδοχές διείσδυσης - κάλυψης'!M221,0)</f>
        <v>0.98344103754635359</v>
      </c>
      <c r="X284" s="161">
        <f t="shared" si="91"/>
        <v>0</v>
      </c>
      <c r="Y284" s="192">
        <f t="shared" si="92"/>
        <v>0</v>
      </c>
    </row>
    <row r="285" spans="2:25" outlineLevel="1" x14ac:dyDescent="0.35">
      <c r="B285" s="294" t="s">
        <v>100</v>
      </c>
      <c r="C285" s="62" t="s">
        <v>253</v>
      </c>
      <c r="D285" s="190">
        <f>IFERROR('Παραδοχές διείσδυσης - κάλυψης'!D162/'Παραδοχές διείσδυσης - κάλυψης'!D222,0)</f>
        <v>0.97841956972299726</v>
      </c>
      <c r="E285" s="190">
        <f>IFERROR('Παραδοχές διείσδυσης - κάλυψης'!E162/'Παραδοχές διείσδυσης - κάλυψης'!E222,0)</f>
        <v>0.97841956972299726</v>
      </c>
      <c r="F285" s="161">
        <f t="shared" si="83"/>
        <v>0</v>
      </c>
      <c r="G285" s="191">
        <f>IFERROR('Παραδοχές διείσδυσης - κάλυψης'!F162/'Παραδοχές διείσδυσης - κάλυψης'!F222,0)</f>
        <v>0.97841956972299726</v>
      </c>
      <c r="H285" s="161">
        <f t="shared" si="84"/>
        <v>0</v>
      </c>
      <c r="I285" s="191">
        <f>IFERROR('Παραδοχές διείσδυσης - κάλυψης'!G162/'Παραδοχές διείσδυσης - κάλυψης'!G222,0)</f>
        <v>0.97841956972299726</v>
      </c>
      <c r="J285" s="161">
        <f t="shared" si="85"/>
        <v>0</v>
      </c>
      <c r="K285" s="191">
        <f>IFERROR('Παραδοχές διείσδυσης - κάλυψης'!I162/'Παραδοχές διείσδυσης - κάλυψης'!I222,0)</f>
        <v>0.97841956972299726</v>
      </c>
      <c r="L285" s="161">
        <f t="shared" si="86"/>
        <v>0</v>
      </c>
      <c r="M285" s="192">
        <f t="shared" si="82"/>
        <v>0</v>
      </c>
      <c r="O285" s="191">
        <f>IFERROR('Παραδοχές διείσδυσης - κάλυψης'!I162/'Παραδοχές διείσδυσης - κάλυψης'!I222,0)</f>
        <v>0.97841956972299726</v>
      </c>
      <c r="P285" s="161">
        <f t="shared" si="87"/>
        <v>0</v>
      </c>
      <c r="Q285" s="191">
        <f>IFERROR('Παραδοχές διείσδυσης - κάλυψης'!J162/'Παραδοχές διείσδυσης - κάλυψης'!J222,0)</f>
        <v>0.97841956972299726</v>
      </c>
      <c r="R285" s="161">
        <f t="shared" si="88"/>
        <v>0</v>
      </c>
      <c r="S285" s="191">
        <f>IFERROR('Παραδοχές διείσδυσης - κάλυψης'!K162/'Παραδοχές διείσδυσης - κάλυψης'!K222,0)</f>
        <v>0.97841956972299726</v>
      </c>
      <c r="T285" s="161">
        <f t="shared" si="89"/>
        <v>0</v>
      </c>
      <c r="U285" s="191">
        <f>IFERROR('Παραδοχές διείσδυσης - κάλυψης'!L162/'Παραδοχές διείσδυσης - κάλυψης'!L222,0)</f>
        <v>0.97841956972299726</v>
      </c>
      <c r="V285" s="161">
        <f t="shared" si="90"/>
        <v>0</v>
      </c>
      <c r="W285" s="191">
        <f>IFERROR('Παραδοχές διείσδυσης - κάλυψης'!M162/'Παραδοχές διείσδυσης - κάλυψης'!M222,0)</f>
        <v>0.97841956972299726</v>
      </c>
      <c r="X285" s="161">
        <f t="shared" si="91"/>
        <v>0</v>
      </c>
      <c r="Y285" s="192">
        <f t="shared" si="92"/>
        <v>0</v>
      </c>
    </row>
    <row r="286" spans="2:25" outlineLevel="1" x14ac:dyDescent="0.35">
      <c r="B286" s="294" t="s">
        <v>101</v>
      </c>
      <c r="C286" s="62" t="s">
        <v>253</v>
      </c>
      <c r="D286" s="190">
        <f>IFERROR('Παραδοχές διείσδυσης - κάλυψης'!D163/'Παραδοχές διείσδυσης - κάλυψης'!D223,0)</f>
        <v>0.97240189050291514</v>
      </c>
      <c r="E286" s="190">
        <f>IFERROR('Παραδοχές διείσδυσης - κάλυψης'!E163/'Παραδοχές διείσδυσης - κάλυψης'!E223,0)</f>
        <v>0.97240189050291514</v>
      </c>
      <c r="F286" s="161">
        <f t="shared" si="83"/>
        <v>0</v>
      </c>
      <c r="G286" s="191">
        <f>IFERROR('Παραδοχές διείσδυσης - κάλυψης'!F163/'Παραδοχές διείσδυσης - κάλυψης'!F223,0)</f>
        <v>0.97240189050291514</v>
      </c>
      <c r="H286" s="161">
        <f t="shared" si="84"/>
        <v>0</v>
      </c>
      <c r="I286" s="191">
        <f>IFERROR('Παραδοχές διείσδυσης - κάλυψης'!G163/'Παραδοχές διείσδυσης - κάλυψης'!G223,0)</f>
        <v>0.97240189050291514</v>
      </c>
      <c r="J286" s="161">
        <f t="shared" si="85"/>
        <v>0</v>
      </c>
      <c r="K286" s="191">
        <f>IFERROR('Παραδοχές διείσδυσης - κάλυψης'!I163/'Παραδοχές διείσδυσης - κάλυψης'!I223,0)</f>
        <v>0.97240189050291514</v>
      </c>
      <c r="L286" s="161">
        <f t="shared" si="86"/>
        <v>0</v>
      </c>
      <c r="M286" s="192">
        <f t="shared" si="82"/>
        <v>0</v>
      </c>
      <c r="O286" s="191">
        <f>IFERROR('Παραδοχές διείσδυσης - κάλυψης'!I163/'Παραδοχές διείσδυσης - κάλυψης'!I223,0)</f>
        <v>0.97240189050291514</v>
      </c>
      <c r="P286" s="161">
        <f t="shared" si="87"/>
        <v>0</v>
      </c>
      <c r="Q286" s="191">
        <f>IFERROR('Παραδοχές διείσδυσης - κάλυψης'!J163/'Παραδοχές διείσδυσης - κάλυψης'!J223,0)</f>
        <v>0.97240189050291514</v>
      </c>
      <c r="R286" s="161">
        <f t="shared" si="88"/>
        <v>0</v>
      </c>
      <c r="S286" s="191">
        <f>IFERROR('Παραδοχές διείσδυσης - κάλυψης'!K163/'Παραδοχές διείσδυσης - κάλυψης'!K223,0)</f>
        <v>0.97240189050291514</v>
      </c>
      <c r="T286" s="161">
        <f t="shared" si="89"/>
        <v>0</v>
      </c>
      <c r="U286" s="191">
        <f>IFERROR('Παραδοχές διείσδυσης - κάλυψης'!L163/'Παραδοχές διείσδυσης - κάλυψης'!L223,0)</f>
        <v>0.97240189050291514</v>
      </c>
      <c r="V286" s="161">
        <f t="shared" si="90"/>
        <v>0</v>
      </c>
      <c r="W286" s="191">
        <f>IFERROR('Παραδοχές διείσδυσης - κάλυψης'!M163/'Παραδοχές διείσδυσης - κάλυψης'!M223,0)</f>
        <v>0.97240189050291514</v>
      </c>
      <c r="X286" s="161">
        <f t="shared" si="91"/>
        <v>0</v>
      </c>
      <c r="Y286" s="192">
        <f t="shared" si="92"/>
        <v>0</v>
      </c>
    </row>
    <row r="287" spans="2:25" outlineLevel="1" x14ac:dyDescent="0.35">
      <c r="B287" s="294" t="s">
        <v>102</v>
      </c>
      <c r="C287" s="62" t="s">
        <v>253</v>
      </c>
      <c r="D287" s="190">
        <f>IFERROR('Παραδοχές διείσδυσης - κάλυψης'!D164/'Παραδοχές διείσδυσης - κάλυψης'!D224,0)</f>
        <v>0.99628497303929742</v>
      </c>
      <c r="E287" s="190">
        <f>IFERROR('Παραδοχές διείσδυσης - κάλυψης'!E164/'Παραδοχές διείσδυσης - κάλυψης'!E224,0)</f>
        <v>0.99628497303929742</v>
      </c>
      <c r="F287" s="161">
        <f t="shared" si="83"/>
        <v>0</v>
      </c>
      <c r="G287" s="191">
        <f>IFERROR('Παραδοχές διείσδυσης - κάλυψης'!F164/'Παραδοχές διείσδυσης - κάλυψης'!F224,0)</f>
        <v>0.99628497303929742</v>
      </c>
      <c r="H287" s="161">
        <f t="shared" si="84"/>
        <v>0</v>
      </c>
      <c r="I287" s="191">
        <f>IFERROR('Παραδοχές διείσδυσης - κάλυψης'!G164/'Παραδοχές διείσδυσης - κάλυψης'!G224,0)</f>
        <v>0.99628497303929742</v>
      </c>
      <c r="J287" s="161">
        <f t="shared" si="85"/>
        <v>0</v>
      </c>
      <c r="K287" s="191">
        <f>IFERROR('Παραδοχές διείσδυσης - κάλυψης'!I164/'Παραδοχές διείσδυσης - κάλυψης'!I224,0)</f>
        <v>0.99628497303929742</v>
      </c>
      <c r="L287" s="161">
        <f t="shared" si="86"/>
        <v>0</v>
      </c>
      <c r="M287" s="192">
        <f t="shared" si="82"/>
        <v>0</v>
      </c>
      <c r="O287" s="191">
        <f>IFERROR('Παραδοχές διείσδυσης - κάλυψης'!I164/'Παραδοχές διείσδυσης - κάλυψης'!I224,0)</f>
        <v>0.99628497303929742</v>
      </c>
      <c r="P287" s="161">
        <f t="shared" si="87"/>
        <v>0</v>
      </c>
      <c r="Q287" s="191">
        <f>IFERROR('Παραδοχές διείσδυσης - κάλυψης'!J164/'Παραδοχές διείσδυσης - κάλυψης'!J224,0)</f>
        <v>0.99628497303929742</v>
      </c>
      <c r="R287" s="161">
        <f t="shared" si="88"/>
        <v>0</v>
      </c>
      <c r="S287" s="191">
        <f>IFERROR('Παραδοχές διείσδυσης - κάλυψης'!K164/'Παραδοχές διείσδυσης - κάλυψης'!K224,0)</f>
        <v>0.99628497303929742</v>
      </c>
      <c r="T287" s="161">
        <f t="shared" si="89"/>
        <v>0</v>
      </c>
      <c r="U287" s="191">
        <f>IFERROR('Παραδοχές διείσδυσης - κάλυψης'!L164/'Παραδοχές διείσδυσης - κάλυψης'!L224,0)</f>
        <v>0.99628497303929742</v>
      </c>
      <c r="V287" s="161">
        <f t="shared" si="90"/>
        <v>0</v>
      </c>
      <c r="W287" s="191">
        <f>IFERROR('Παραδοχές διείσδυσης - κάλυψης'!M164/'Παραδοχές διείσδυσης - κάλυψης'!M224,0)</f>
        <v>0.99628497303929742</v>
      </c>
      <c r="X287" s="161">
        <f t="shared" si="91"/>
        <v>0</v>
      </c>
      <c r="Y287" s="192">
        <f t="shared" si="92"/>
        <v>0</v>
      </c>
    </row>
    <row r="288" spans="2:25" outlineLevel="1" x14ac:dyDescent="0.35">
      <c r="B288" s="294" t="s">
        <v>103</v>
      </c>
      <c r="C288" s="62" t="s">
        <v>253</v>
      </c>
      <c r="D288" s="190">
        <f>IFERROR('Παραδοχές διείσδυσης - κάλυψης'!D165/'Παραδοχές διείσδυσης - κάλυψης'!D225,0)</f>
        <v>0.86096305759493674</v>
      </c>
      <c r="E288" s="190">
        <f>IFERROR('Παραδοχές διείσδυσης - κάλυψης'!E165/'Παραδοχές διείσδυσης - κάλυψης'!E225,0)</f>
        <v>0.86096305759493674</v>
      </c>
      <c r="F288" s="161">
        <f t="shared" si="83"/>
        <v>0</v>
      </c>
      <c r="G288" s="191">
        <f>IFERROR('Παραδοχές διείσδυσης - κάλυψης'!F165/'Παραδοχές διείσδυσης - κάλυψης'!F225,0)</f>
        <v>0.86096305759493674</v>
      </c>
      <c r="H288" s="161">
        <f t="shared" si="84"/>
        <v>0</v>
      </c>
      <c r="I288" s="191">
        <f>IFERROR('Παραδοχές διείσδυσης - κάλυψης'!G165/'Παραδοχές διείσδυσης - κάλυψης'!G225,0)</f>
        <v>0.86096305759493674</v>
      </c>
      <c r="J288" s="161">
        <f t="shared" si="85"/>
        <v>0</v>
      </c>
      <c r="K288" s="191">
        <f>IFERROR('Παραδοχές διείσδυσης - κάλυψης'!I165/'Παραδοχές διείσδυσης - κάλυψης'!I225,0)</f>
        <v>0.86096305759493674</v>
      </c>
      <c r="L288" s="161">
        <f t="shared" si="86"/>
        <v>0</v>
      </c>
      <c r="M288" s="192">
        <f t="shared" si="82"/>
        <v>0</v>
      </c>
      <c r="O288" s="191">
        <f>IFERROR('Παραδοχές διείσδυσης - κάλυψης'!I165/'Παραδοχές διείσδυσης - κάλυψης'!I225,0)</f>
        <v>0.86096305759493674</v>
      </c>
      <c r="P288" s="161">
        <f t="shared" si="87"/>
        <v>0</v>
      </c>
      <c r="Q288" s="191">
        <f>IFERROR('Παραδοχές διείσδυσης - κάλυψης'!J165/'Παραδοχές διείσδυσης - κάλυψης'!J225,0)</f>
        <v>0.86096305759493674</v>
      </c>
      <c r="R288" s="161">
        <f t="shared" si="88"/>
        <v>0</v>
      </c>
      <c r="S288" s="191">
        <f>IFERROR('Παραδοχές διείσδυσης - κάλυψης'!K165/'Παραδοχές διείσδυσης - κάλυψης'!K225,0)</f>
        <v>0.86096305759493674</v>
      </c>
      <c r="T288" s="161">
        <f t="shared" si="89"/>
        <v>0</v>
      </c>
      <c r="U288" s="191">
        <f>IFERROR('Παραδοχές διείσδυσης - κάλυψης'!L165/'Παραδοχές διείσδυσης - κάλυψης'!L225,0)</f>
        <v>0.86096305759493674</v>
      </c>
      <c r="V288" s="161">
        <f t="shared" si="90"/>
        <v>0</v>
      </c>
      <c r="W288" s="191">
        <f>IFERROR('Παραδοχές διείσδυσης - κάλυψης'!M165/'Παραδοχές διείσδυσης - κάλυψης'!M225,0)</f>
        <v>0.86096305759493674</v>
      </c>
      <c r="X288" s="161">
        <f t="shared" si="91"/>
        <v>0</v>
      </c>
      <c r="Y288" s="192">
        <f t="shared" si="92"/>
        <v>0</v>
      </c>
    </row>
    <row r="289" spans="2:25" outlineLevel="1" x14ac:dyDescent="0.35">
      <c r="B289" s="294" t="s">
        <v>104</v>
      </c>
      <c r="C289" s="62" t="s">
        <v>253</v>
      </c>
      <c r="D289" s="190">
        <f>IFERROR('Παραδοχές διείσδυσης - κάλυψης'!D166/'Παραδοχές διείσδυσης - κάλυψης'!D226,0)</f>
        <v>0.99672535324299472</v>
      </c>
      <c r="E289" s="190">
        <f>IFERROR('Παραδοχές διείσδυσης - κάλυψης'!E166/'Παραδοχές διείσδυσης - κάλυψης'!E226,0)</f>
        <v>0.99672535324299472</v>
      </c>
      <c r="F289" s="161">
        <f t="shared" si="83"/>
        <v>0</v>
      </c>
      <c r="G289" s="191">
        <f>IFERROR('Παραδοχές διείσδυσης - κάλυψης'!F166/'Παραδοχές διείσδυσης - κάλυψης'!F226,0)</f>
        <v>0.99672535324299472</v>
      </c>
      <c r="H289" s="161">
        <f t="shared" si="84"/>
        <v>0</v>
      </c>
      <c r="I289" s="191">
        <f>IFERROR('Παραδοχές διείσδυσης - κάλυψης'!G166/'Παραδοχές διείσδυσης - κάλυψης'!G226,0)</f>
        <v>0.99672535324299472</v>
      </c>
      <c r="J289" s="161">
        <f t="shared" si="85"/>
        <v>0</v>
      </c>
      <c r="K289" s="191">
        <f>IFERROR('Παραδοχές διείσδυσης - κάλυψης'!I166/'Παραδοχές διείσδυσης - κάλυψης'!I226,0)</f>
        <v>0.99672535324299472</v>
      </c>
      <c r="L289" s="161">
        <f t="shared" si="86"/>
        <v>0</v>
      </c>
      <c r="M289" s="192">
        <f t="shared" si="82"/>
        <v>0</v>
      </c>
      <c r="O289" s="191">
        <f>IFERROR('Παραδοχές διείσδυσης - κάλυψης'!I166/'Παραδοχές διείσδυσης - κάλυψης'!I226,0)</f>
        <v>0.99672535324299472</v>
      </c>
      <c r="P289" s="161">
        <f t="shared" si="87"/>
        <v>0</v>
      </c>
      <c r="Q289" s="191">
        <f>IFERROR('Παραδοχές διείσδυσης - κάλυψης'!J166/'Παραδοχές διείσδυσης - κάλυψης'!J226,0)</f>
        <v>0.99672535324299472</v>
      </c>
      <c r="R289" s="161">
        <f t="shared" si="88"/>
        <v>0</v>
      </c>
      <c r="S289" s="191">
        <f>IFERROR('Παραδοχές διείσδυσης - κάλυψης'!K166/'Παραδοχές διείσδυσης - κάλυψης'!K226,0)</f>
        <v>0.99672535324299472</v>
      </c>
      <c r="T289" s="161">
        <f t="shared" si="89"/>
        <v>0</v>
      </c>
      <c r="U289" s="191">
        <f>IFERROR('Παραδοχές διείσδυσης - κάλυψης'!L166/'Παραδοχές διείσδυσης - κάλυψης'!L226,0)</f>
        <v>0.99672535324299472</v>
      </c>
      <c r="V289" s="161">
        <f t="shared" si="90"/>
        <v>0</v>
      </c>
      <c r="W289" s="191">
        <f>IFERROR('Παραδοχές διείσδυσης - κάλυψης'!M166/'Παραδοχές διείσδυσης - κάλυψης'!M226,0)</f>
        <v>0.99672535324299472</v>
      </c>
      <c r="X289" s="161">
        <f t="shared" si="91"/>
        <v>0</v>
      </c>
      <c r="Y289" s="192">
        <f t="shared" si="92"/>
        <v>0</v>
      </c>
    </row>
    <row r="290" spans="2:25" outlineLevel="1" x14ac:dyDescent="0.35">
      <c r="B290" s="294" t="s">
        <v>136</v>
      </c>
      <c r="C290" s="62" t="s">
        <v>253</v>
      </c>
      <c r="D290" s="190">
        <f>IFERROR('Παραδοχές διείσδυσης - κάλυψης'!D167/'Παραδοχές διείσδυσης - κάλυψης'!D227,0)</f>
        <v>0</v>
      </c>
      <c r="E290" s="190">
        <f>IFERROR('Παραδοχές διείσδυσης - κάλυψης'!E167/'Παραδοχές διείσδυσης - κάλυψης'!E227,0)</f>
        <v>0</v>
      </c>
      <c r="F290" s="161">
        <f t="shared" si="83"/>
        <v>0</v>
      </c>
      <c r="G290" s="191">
        <f>IFERROR('Παραδοχές διείσδυσης - κάλυψης'!F167/'Παραδοχές διείσδυσης - κάλυψης'!F227,0)</f>
        <v>0</v>
      </c>
      <c r="H290" s="161">
        <f t="shared" si="84"/>
        <v>0</v>
      </c>
      <c r="I290" s="191">
        <f>IFERROR('Παραδοχές διείσδυσης - κάλυψης'!G167/'Παραδοχές διείσδυσης - κάλυψης'!G227,0)</f>
        <v>0</v>
      </c>
      <c r="J290" s="161">
        <f t="shared" si="85"/>
        <v>0</v>
      </c>
      <c r="K290" s="191">
        <f>IFERROR('Παραδοχές διείσδυσης - κάλυψης'!I167/'Παραδοχές διείσδυσης - κάλυψης'!I227,0)</f>
        <v>0</v>
      </c>
      <c r="L290" s="161">
        <f t="shared" si="86"/>
        <v>0</v>
      </c>
      <c r="M290" s="192">
        <f t="shared" si="82"/>
        <v>0</v>
      </c>
      <c r="O290" s="191">
        <f>IFERROR('Παραδοχές διείσδυσης - κάλυψης'!I167/'Παραδοχές διείσδυσης - κάλυψης'!I227,0)</f>
        <v>0</v>
      </c>
      <c r="P290" s="161">
        <f t="shared" si="87"/>
        <v>0</v>
      </c>
      <c r="Q290" s="191">
        <f>IFERROR('Παραδοχές διείσδυσης - κάλυψης'!J167/'Παραδοχές διείσδυσης - κάλυψης'!J227,0)</f>
        <v>0</v>
      </c>
      <c r="R290" s="161">
        <f t="shared" si="88"/>
        <v>0</v>
      </c>
      <c r="S290" s="191">
        <f>IFERROR('Παραδοχές διείσδυσης - κάλυψης'!K167/'Παραδοχές διείσδυσης - κάλυψης'!K227,0)</f>
        <v>0</v>
      </c>
      <c r="T290" s="161">
        <f t="shared" si="89"/>
        <v>0</v>
      </c>
      <c r="U290" s="191">
        <f>IFERROR('Παραδοχές διείσδυσης - κάλυψης'!L167/'Παραδοχές διείσδυσης - κάλυψης'!L227,0)</f>
        <v>0</v>
      </c>
      <c r="V290" s="161">
        <f t="shared" si="90"/>
        <v>0</v>
      </c>
      <c r="W290" s="191">
        <f>IFERROR('Παραδοχές διείσδυσης - κάλυψης'!M167/'Παραδοχές διείσδυσης - κάλυψης'!M227,0)</f>
        <v>0</v>
      </c>
      <c r="X290" s="161">
        <f t="shared" si="91"/>
        <v>0</v>
      </c>
      <c r="Y290" s="192">
        <f t="shared" si="92"/>
        <v>0</v>
      </c>
    </row>
    <row r="291" spans="2:25" outlineLevel="1" x14ac:dyDescent="0.35">
      <c r="B291" s="294" t="s">
        <v>106</v>
      </c>
      <c r="C291" s="62" t="s">
        <v>253</v>
      </c>
      <c r="D291" s="190">
        <f>IFERROR('Παραδοχές διείσδυσης - κάλυψης'!D168/'Παραδοχές διείσδυσης - κάλυψης'!D228,0)</f>
        <v>0.99140186572861499</v>
      </c>
      <c r="E291" s="190">
        <f>IFERROR('Παραδοχές διείσδυσης - κάλυψης'!E168/'Παραδοχές διείσδυσης - κάλυψης'!E228,0)</f>
        <v>0.99140186572861499</v>
      </c>
      <c r="F291" s="161">
        <f t="shared" si="83"/>
        <v>0</v>
      </c>
      <c r="G291" s="191">
        <f>IFERROR('Παραδοχές διείσδυσης - κάλυψης'!F168/'Παραδοχές διείσδυσης - κάλυψης'!F228,0)</f>
        <v>0.99140186572861499</v>
      </c>
      <c r="H291" s="161">
        <f t="shared" si="84"/>
        <v>0</v>
      </c>
      <c r="I291" s="191">
        <f>IFERROR('Παραδοχές διείσδυσης - κάλυψης'!G168/'Παραδοχές διείσδυσης - κάλυψης'!G228,0)</f>
        <v>0.99140186572861499</v>
      </c>
      <c r="J291" s="161">
        <f t="shared" si="85"/>
        <v>0</v>
      </c>
      <c r="K291" s="191">
        <f>IFERROR('Παραδοχές διείσδυσης - κάλυψης'!I168/'Παραδοχές διείσδυσης - κάλυψης'!I228,0)</f>
        <v>0.99140186572861499</v>
      </c>
      <c r="L291" s="161">
        <f t="shared" si="86"/>
        <v>0</v>
      </c>
      <c r="M291" s="192">
        <f t="shared" si="82"/>
        <v>0</v>
      </c>
      <c r="O291" s="191">
        <f>IFERROR('Παραδοχές διείσδυσης - κάλυψης'!I168/'Παραδοχές διείσδυσης - κάλυψης'!I228,0)</f>
        <v>0.99140186572861499</v>
      </c>
      <c r="P291" s="161">
        <f t="shared" si="87"/>
        <v>0</v>
      </c>
      <c r="Q291" s="191">
        <f>IFERROR('Παραδοχές διείσδυσης - κάλυψης'!J168/'Παραδοχές διείσδυσης - κάλυψης'!J228,0)</f>
        <v>0.99140186572861499</v>
      </c>
      <c r="R291" s="161">
        <f t="shared" si="88"/>
        <v>0</v>
      </c>
      <c r="S291" s="191">
        <f>IFERROR('Παραδοχές διείσδυσης - κάλυψης'!K168/'Παραδοχές διείσδυσης - κάλυψης'!K228,0)</f>
        <v>0.99140186572861499</v>
      </c>
      <c r="T291" s="161">
        <f t="shared" si="89"/>
        <v>0</v>
      </c>
      <c r="U291" s="191">
        <f>IFERROR('Παραδοχές διείσδυσης - κάλυψης'!L168/'Παραδοχές διείσδυσης - κάλυψης'!L228,0)</f>
        <v>0.99140186572861499</v>
      </c>
      <c r="V291" s="161">
        <f t="shared" si="90"/>
        <v>0</v>
      </c>
      <c r="W291" s="191">
        <f>IFERROR('Παραδοχές διείσδυσης - κάλυψης'!M168/'Παραδοχές διείσδυσης - κάλυψης'!M228,0)</f>
        <v>0.99140186572861499</v>
      </c>
      <c r="X291" s="161">
        <f t="shared" si="91"/>
        <v>0</v>
      </c>
      <c r="Y291" s="192">
        <f t="shared" si="92"/>
        <v>0</v>
      </c>
    </row>
    <row r="292" spans="2:25" outlineLevel="1" x14ac:dyDescent="0.35">
      <c r="B292" s="294" t="s">
        <v>107</v>
      </c>
      <c r="C292" s="62" t="s">
        <v>253</v>
      </c>
      <c r="D292" s="190">
        <f>IFERROR('Παραδοχές διείσδυσης - κάλυψης'!D169/'Παραδοχές διείσδυσης - κάλυψης'!D229,0)</f>
        <v>0.95086088476414177</v>
      </c>
      <c r="E292" s="190">
        <f>IFERROR('Παραδοχές διείσδυσης - κάλυψης'!E169/'Παραδοχές διείσδυσης - κάλυψης'!E229,0)</f>
        <v>0.95086088476414177</v>
      </c>
      <c r="F292" s="161">
        <f t="shared" si="83"/>
        <v>0</v>
      </c>
      <c r="G292" s="191">
        <f>IFERROR('Παραδοχές διείσδυσης - κάλυψης'!F169/'Παραδοχές διείσδυσης - κάλυψης'!F229,0)</f>
        <v>0.95086088476414177</v>
      </c>
      <c r="H292" s="161">
        <f t="shared" si="84"/>
        <v>0</v>
      </c>
      <c r="I292" s="191">
        <f>IFERROR('Παραδοχές διείσδυσης - κάλυψης'!G169/'Παραδοχές διείσδυσης - κάλυψης'!G229,0)</f>
        <v>0.95086088476414177</v>
      </c>
      <c r="J292" s="161">
        <f t="shared" si="85"/>
        <v>0</v>
      </c>
      <c r="K292" s="191">
        <f>IFERROR('Παραδοχές διείσδυσης - κάλυψης'!I169/'Παραδοχές διείσδυσης - κάλυψης'!I229,0)</f>
        <v>0.95086088476414177</v>
      </c>
      <c r="L292" s="161">
        <f t="shared" si="86"/>
        <v>0</v>
      </c>
      <c r="M292" s="192">
        <f t="shared" si="82"/>
        <v>0</v>
      </c>
      <c r="O292" s="191">
        <f>IFERROR('Παραδοχές διείσδυσης - κάλυψης'!I169/'Παραδοχές διείσδυσης - κάλυψης'!I229,0)</f>
        <v>0.95086088476414177</v>
      </c>
      <c r="P292" s="161">
        <f t="shared" si="87"/>
        <v>0</v>
      </c>
      <c r="Q292" s="191">
        <f>IFERROR('Παραδοχές διείσδυσης - κάλυψης'!J169/'Παραδοχές διείσδυσης - κάλυψης'!J229,0)</f>
        <v>0.95086088476414177</v>
      </c>
      <c r="R292" s="161">
        <f t="shared" si="88"/>
        <v>0</v>
      </c>
      <c r="S292" s="191">
        <f>IFERROR('Παραδοχές διείσδυσης - κάλυψης'!K169/'Παραδοχές διείσδυσης - κάλυψης'!K229,0)</f>
        <v>0.95086088476414177</v>
      </c>
      <c r="T292" s="161">
        <f t="shared" si="89"/>
        <v>0</v>
      </c>
      <c r="U292" s="191">
        <f>IFERROR('Παραδοχές διείσδυσης - κάλυψης'!L169/'Παραδοχές διείσδυσης - κάλυψης'!L229,0)</f>
        <v>0.95086088476414177</v>
      </c>
      <c r="V292" s="161">
        <f t="shared" si="90"/>
        <v>0</v>
      </c>
      <c r="W292" s="191">
        <f>IFERROR('Παραδοχές διείσδυσης - κάλυψης'!M169/'Παραδοχές διείσδυσης - κάλυψης'!M229,0)</f>
        <v>0.95086088476414177</v>
      </c>
      <c r="X292" s="161">
        <f t="shared" si="91"/>
        <v>0</v>
      </c>
      <c r="Y292" s="192">
        <f t="shared" si="92"/>
        <v>0</v>
      </c>
    </row>
    <row r="293" spans="2:25" outlineLevel="1" x14ac:dyDescent="0.35">
      <c r="B293" s="294" t="s">
        <v>108</v>
      </c>
      <c r="C293" s="62" t="s">
        <v>253</v>
      </c>
      <c r="D293" s="190">
        <f>IFERROR('Παραδοχές διείσδυσης - κάλυψης'!D170/'Παραδοχές διείσδυσης - κάλυψης'!D230,0)</f>
        <v>0.97039248635595021</v>
      </c>
      <c r="E293" s="190">
        <f>IFERROR('Παραδοχές διείσδυσης - κάλυψης'!E170/'Παραδοχές διείσδυσης - κάλυψης'!E230,0)</f>
        <v>0.97039248635595021</v>
      </c>
      <c r="F293" s="161">
        <f t="shared" si="83"/>
        <v>0</v>
      </c>
      <c r="G293" s="191">
        <f>IFERROR('Παραδοχές διείσδυσης - κάλυψης'!F170/'Παραδοχές διείσδυσης - κάλυψης'!F230,0)</f>
        <v>0.97039248635595021</v>
      </c>
      <c r="H293" s="161">
        <f t="shared" si="84"/>
        <v>0</v>
      </c>
      <c r="I293" s="191">
        <f>IFERROR('Παραδοχές διείσδυσης - κάλυψης'!G170/'Παραδοχές διείσδυσης - κάλυψης'!G230,0)</f>
        <v>0.97039248635595021</v>
      </c>
      <c r="J293" s="161">
        <f t="shared" si="85"/>
        <v>0</v>
      </c>
      <c r="K293" s="191">
        <f>IFERROR('Παραδοχές διείσδυσης - κάλυψης'!I170/'Παραδοχές διείσδυσης - κάλυψης'!I230,0)</f>
        <v>0.97039248635595021</v>
      </c>
      <c r="L293" s="161">
        <f t="shared" si="86"/>
        <v>0</v>
      </c>
      <c r="M293" s="192">
        <f t="shared" si="82"/>
        <v>0</v>
      </c>
      <c r="O293" s="191">
        <f>IFERROR('Παραδοχές διείσδυσης - κάλυψης'!I170/'Παραδοχές διείσδυσης - κάλυψης'!I230,0)</f>
        <v>0.97039248635595021</v>
      </c>
      <c r="P293" s="161">
        <f t="shared" si="87"/>
        <v>0</v>
      </c>
      <c r="Q293" s="191">
        <f>IFERROR('Παραδοχές διείσδυσης - κάλυψης'!J170/'Παραδοχές διείσδυσης - κάλυψης'!J230,0)</f>
        <v>0.97039248635595021</v>
      </c>
      <c r="R293" s="161">
        <f t="shared" si="88"/>
        <v>0</v>
      </c>
      <c r="S293" s="191">
        <f>IFERROR('Παραδοχές διείσδυσης - κάλυψης'!K170/'Παραδοχές διείσδυσης - κάλυψης'!K230,0)</f>
        <v>0.97039248635595021</v>
      </c>
      <c r="T293" s="161">
        <f t="shared" si="89"/>
        <v>0</v>
      </c>
      <c r="U293" s="191">
        <f>IFERROR('Παραδοχές διείσδυσης - κάλυψης'!L170/'Παραδοχές διείσδυσης - κάλυψης'!L230,0)</f>
        <v>0.97039248635595021</v>
      </c>
      <c r="V293" s="161">
        <f t="shared" si="90"/>
        <v>0</v>
      </c>
      <c r="W293" s="191">
        <f>IFERROR('Παραδοχές διείσδυσης - κάλυψης'!M170/'Παραδοχές διείσδυσης - κάλυψης'!M230,0)</f>
        <v>0.97039248635595021</v>
      </c>
      <c r="X293" s="161">
        <f t="shared" si="91"/>
        <v>0</v>
      </c>
      <c r="Y293" s="192">
        <f t="shared" si="92"/>
        <v>0</v>
      </c>
    </row>
    <row r="294" spans="2:25" outlineLevel="1" x14ac:dyDescent="0.35">
      <c r="B294" s="294" t="s">
        <v>109</v>
      </c>
      <c r="C294" s="62" t="s">
        <v>253</v>
      </c>
      <c r="D294" s="190">
        <f>IFERROR('Παραδοχές διείσδυσης - κάλυψης'!D171/'Παραδοχές διείσδυσης - κάλυψης'!D231,0)</f>
        <v>0.99449378345802464</v>
      </c>
      <c r="E294" s="190">
        <f>IFERROR('Παραδοχές διείσδυσης - κάλυψης'!E171/'Παραδοχές διείσδυσης - κάλυψης'!E231,0)</f>
        <v>0.99449378345802464</v>
      </c>
      <c r="F294" s="161">
        <f t="shared" si="83"/>
        <v>0</v>
      </c>
      <c r="G294" s="191">
        <f>IFERROR('Παραδοχές διείσδυσης - κάλυψης'!F171/'Παραδοχές διείσδυσης - κάλυψης'!F231,0)</f>
        <v>0.99449378345802464</v>
      </c>
      <c r="H294" s="161">
        <f t="shared" si="84"/>
        <v>0</v>
      </c>
      <c r="I294" s="191">
        <f>IFERROR('Παραδοχές διείσδυσης - κάλυψης'!G171/'Παραδοχές διείσδυσης - κάλυψης'!G231,0)</f>
        <v>0.99449378345802464</v>
      </c>
      <c r="J294" s="161">
        <f t="shared" si="85"/>
        <v>0</v>
      </c>
      <c r="K294" s="191">
        <f>IFERROR('Παραδοχές διείσδυσης - κάλυψης'!I171/'Παραδοχές διείσδυσης - κάλυψης'!I231,0)</f>
        <v>0.99449378345802464</v>
      </c>
      <c r="L294" s="161">
        <f t="shared" si="86"/>
        <v>0</v>
      </c>
      <c r="M294" s="192">
        <f t="shared" si="82"/>
        <v>0</v>
      </c>
      <c r="O294" s="191">
        <f>IFERROR('Παραδοχές διείσδυσης - κάλυψης'!I171/'Παραδοχές διείσδυσης - κάλυψης'!I231,0)</f>
        <v>0.99449378345802464</v>
      </c>
      <c r="P294" s="161">
        <f t="shared" si="87"/>
        <v>0</v>
      </c>
      <c r="Q294" s="191">
        <f>IFERROR('Παραδοχές διείσδυσης - κάλυψης'!J171/'Παραδοχές διείσδυσης - κάλυψης'!J231,0)</f>
        <v>0.99449378345802464</v>
      </c>
      <c r="R294" s="161">
        <f t="shared" si="88"/>
        <v>0</v>
      </c>
      <c r="S294" s="191">
        <f>IFERROR('Παραδοχές διείσδυσης - κάλυψης'!K171/'Παραδοχές διείσδυσης - κάλυψης'!K231,0)</f>
        <v>0.99449378345802464</v>
      </c>
      <c r="T294" s="161">
        <f t="shared" si="89"/>
        <v>0</v>
      </c>
      <c r="U294" s="191">
        <f>IFERROR('Παραδοχές διείσδυσης - κάλυψης'!L171/'Παραδοχές διείσδυσης - κάλυψης'!L231,0)</f>
        <v>0.99449378345802464</v>
      </c>
      <c r="V294" s="161">
        <f t="shared" si="90"/>
        <v>0</v>
      </c>
      <c r="W294" s="191">
        <f>IFERROR('Παραδοχές διείσδυσης - κάλυψης'!M171/'Παραδοχές διείσδυσης - κάλυψης'!M231,0)</f>
        <v>0.99449378345802464</v>
      </c>
      <c r="X294" s="161">
        <f t="shared" si="91"/>
        <v>0</v>
      </c>
      <c r="Y294" s="192">
        <f t="shared" si="92"/>
        <v>0</v>
      </c>
    </row>
    <row r="295" spans="2:25" outlineLevel="1" x14ac:dyDescent="0.35">
      <c r="B295" s="294" t="s">
        <v>110</v>
      </c>
      <c r="C295" s="62" t="s">
        <v>253</v>
      </c>
      <c r="D295" s="190">
        <f>IFERROR('Παραδοχές διείσδυσης - κάλυψης'!D172/'Παραδοχές διείσδυσης - κάλυψης'!D232,0)</f>
        <v>0.9511674003441849</v>
      </c>
      <c r="E295" s="190">
        <f>IFERROR('Παραδοχές διείσδυσης - κάλυψης'!E172/'Παραδοχές διείσδυσης - κάλυψης'!E232,0)</f>
        <v>0.9511674003441849</v>
      </c>
      <c r="F295" s="161">
        <f t="shared" si="83"/>
        <v>0</v>
      </c>
      <c r="G295" s="191">
        <f>IFERROR('Παραδοχές διείσδυσης - κάλυψης'!F172/'Παραδοχές διείσδυσης - κάλυψης'!F232,0)</f>
        <v>0.9511674003441849</v>
      </c>
      <c r="H295" s="161">
        <f t="shared" si="84"/>
        <v>0</v>
      </c>
      <c r="I295" s="191">
        <f>IFERROR('Παραδοχές διείσδυσης - κάλυψης'!G172/'Παραδοχές διείσδυσης - κάλυψης'!G232,0)</f>
        <v>0.9511674003441849</v>
      </c>
      <c r="J295" s="161">
        <f t="shared" si="85"/>
        <v>0</v>
      </c>
      <c r="K295" s="191">
        <f>IFERROR('Παραδοχές διείσδυσης - κάλυψης'!I172/'Παραδοχές διείσδυσης - κάλυψης'!I232,0)</f>
        <v>0.9511674003441849</v>
      </c>
      <c r="L295" s="161">
        <f t="shared" si="86"/>
        <v>0</v>
      </c>
      <c r="M295" s="192">
        <f t="shared" si="82"/>
        <v>0</v>
      </c>
      <c r="O295" s="191">
        <f>IFERROR('Παραδοχές διείσδυσης - κάλυψης'!I172/'Παραδοχές διείσδυσης - κάλυψης'!I232,0)</f>
        <v>0.9511674003441849</v>
      </c>
      <c r="P295" s="161">
        <f t="shared" si="87"/>
        <v>0</v>
      </c>
      <c r="Q295" s="191">
        <f>IFERROR('Παραδοχές διείσδυσης - κάλυψης'!J172/'Παραδοχές διείσδυσης - κάλυψης'!J232,0)</f>
        <v>0.9511674003441849</v>
      </c>
      <c r="R295" s="161">
        <f t="shared" si="88"/>
        <v>0</v>
      </c>
      <c r="S295" s="191">
        <f>IFERROR('Παραδοχές διείσδυσης - κάλυψης'!K172/'Παραδοχές διείσδυσης - κάλυψης'!K232,0)</f>
        <v>0.9511674003441849</v>
      </c>
      <c r="T295" s="161">
        <f t="shared" si="89"/>
        <v>0</v>
      </c>
      <c r="U295" s="191">
        <f>IFERROR('Παραδοχές διείσδυσης - κάλυψης'!L172/'Παραδοχές διείσδυσης - κάλυψης'!L232,0)</f>
        <v>0.9511674003441849</v>
      </c>
      <c r="V295" s="161">
        <f t="shared" si="90"/>
        <v>0</v>
      </c>
      <c r="W295" s="191">
        <f>IFERROR('Παραδοχές διείσδυσης - κάλυψης'!M172/'Παραδοχές διείσδυσης - κάλυψης'!M232,0)</f>
        <v>0.9511674003441849</v>
      </c>
      <c r="X295" s="161">
        <f t="shared" si="91"/>
        <v>0</v>
      </c>
      <c r="Y295" s="192">
        <f t="shared" si="92"/>
        <v>0</v>
      </c>
    </row>
    <row r="296" spans="2:25" outlineLevel="1" x14ac:dyDescent="0.35">
      <c r="B296" s="294" t="s">
        <v>111</v>
      </c>
      <c r="C296" s="62" t="s">
        <v>253</v>
      </c>
      <c r="D296" s="190">
        <f>IFERROR('Παραδοχές διείσδυσης - κάλυψης'!D173/'Παραδοχές διείσδυσης - κάλυψης'!D233,0)</f>
        <v>0.99262798699101962</v>
      </c>
      <c r="E296" s="190">
        <f>IFERROR('Παραδοχές διείσδυσης - κάλυψης'!E173/'Παραδοχές διείσδυσης - κάλυψης'!E233,0)</f>
        <v>0.99262798699101962</v>
      </c>
      <c r="F296" s="161">
        <f t="shared" si="83"/>
        <v>0</v>
      </c>
      <c r="G296" s="191">
        <f>IFERROR('Παραδοχές διείσδυσης - κάλυψης'!F173/'Παραδοχές διείσδυσης - κάλυψης'!F233,0)</f>
        <v>0.99262798699101962</v>
      </c>
      <c r="H296" s="161">
        <f t="shared" si="84"/>
        <v>0</v>
      </c>
      <c r="I296" s="191">
        <f>IFERROR('Παραδοχές διείσδυσης - κάλυψης'!G173/'Παραδοχές διείσδυσης - κάλυψης'!G233,0)</f>
        <v>0.99262798699101962</v>
      </c>
      <c r="J296" s="161">
        <f t="shared" si="85"/>
        <v>0</v>
      </c>
      <c r="K296" s="191">
        <f>IFERROR('Παραδοχές διείσδυσης - κάλυψης'!I173/'Παραδοχές διείσδυσης - κάλυψης'!I233,0)</f>
        <v>0.99262798699101962</v>
      </c>
      <c r="L296" s="161">
        <f t="shared" si="86"/>
        <v>0</v>
      </c>
      <c r="M296" s="192">
        <f t="shared" si="82"/>
        <v>0</v>
      </c>
      <c r="O296" s="191">
        <f>IFERROR('Παραδοχές διείσδυσης - κάλυψης'!I173/'Παραδοχές διείσδυσης - κάλυψης'!I233,0)</f>
        <v>0.99262798699101962</v>
      </c>
      <c r="P296" s="161">
        <f t="shared" si="87"/>
        <v>0</v>
      </c>
      <c r="Q296" s="191">
        <f>IFERROR('Παραδοχές διείσδυσης - κάλυψης'!J173/'Παραδοχές διείσδυσης - κάλυψης'!J233,0)</f>
        <v>0.99262798699101962</v>
      </c>
      <c r="R296" s="161">
        <f t="shared" si="88"/>
        <v>0</v>
      </c>
      <c r="S296" s="191">
        <f>IFERROR('Παραδοχές διείσδυσης - κάλυψης'!K173/'Παραδοχές διείσδυσης - κάλυψης'!K233,0)</f>
        <v>0.99262798699101962</v>
      </c>
      <c r="T296" s="161">
        <f t="shared" si="89"/>
        <v>0</v>
      </c>
      <c r="U296" s="191">
        <f>IFERROR('Παραδοχές διείσδυσης - κάλυψης'!L173/'Παραδοχές διείσδυσης - κάλυψης'!L233,0)</f>
        <v>0.99262798699101962</v>
      </c>
      <c r="V296" s="161">
        <f t="shared" si="90"/>
        <v>0</v>
      </c>
      <c r="W296" s="191">
        <f>IFERROR('Παραδοχές διείσδυσης - κάλυψης'!M173/'Παραδοχές διείσδυσης - κάλυψης'!M233,0)</f>
        <v>0.99262798699101962</v>
      </c>
      <c r="X296" s="161">
        <f t="shared" si="91"/>
        <v>0</v>
      </c>
      <c r="Y296" s="192">
        <f t="shared" si="92"/>
        <v>0</v>
      </c>
    </row>
    <row r="297" spans="2:25" outlineLevel="1" x14ac:dyDescent="0.35">
      <c r="B297" s="294" t="s">
        <v>112</v>
      </c>
      <c r="C297" s="62" t="s">
        <v>253</v>
      </c>
      <c r="D297" s="190">
        <f>IFERROR('Παραδοχές διείσδυσης - κάλυψης'!D174/'Παραδοχές διείσδυσης - κάλυψης'!D234,0)</f>
        <v>0.89938372976744185</v>
      </c>
      <c r="E297" s="190">
        <f>IFERROR('Παραδοχές διείσδυσης - κάλυψης'!E174/'Παραδοχές διείσδυσης - κάλυψης'!E234,0)</f>
        <v>0.89938372976744185</v>
      </c>
      <c r="F297" s="161">
        <f t="shared" si="83"/>
        <v>0</v>
      </c>
      <c r="G297" s="191">
        <f>IFERROR('Παραδοχές διείσδυσης - κάλυψης'!F174/'Παραδοχές διείσδυσης - κάλυψης'!F234,0)</f>
        <v>0.89938372976744185</v>
      </c>
      <c r="H297" s="161">
        <f t="shared" si="84"/>
        <v>0</v>
      </c>
      <c r="I297" s="191">
        <f>IFERROR('Παραδοχές διείσδυσης - κάλυψης'!G174/'Παραδοχές διείσδυσης - κάλυψης'!G234,0)</f>
        <v>0.89938372976744185</v>
      </c>
      <c r="J297" s="161">
        <f t="shared" si="85"/>
        <v>0</v>
      </c>
      <c r="K297" s="191">
        <f>IFERROR('Παραδοχές διείσδυσης - κάλυψης'!I174/'Παραδοχές διείσδυσης - κάλυψης'!I234,0)</f>
        <v>0.89938372976744185</v>
      </c>
      <c r="L297" s="161">
        <f t="shared" si="86"/>
        <v>0</v>
      </c>
      <c r="M297" s="192">
        <f t="shared" si="82"/>
        <v>0</v>
      </c>
      <c r="O297" s="191">
        <f>IFERROR('Παραδοχές διείσδυσης - κάλυψης'!I174/'Παραδοχές διείσδυσης - κάλυψης'!I234,0)</f>
        <v>0.89938372976744185</v>
      </c>
      <c r="P297" s="161">
        <f t="shared" si="87"/>
        <v>0</v>
      </c>
      <c r="Q297" s="191">
        <f>IFERROR('Παραδοχές διείσδυσης - κάλυψης'!J174/'Παραδοχές διείσδυσης - κάλυψης'!J234,0)</f>
        <v>0.89938372976744185</v>
      </c>
      <c r="R297" s="161">
        <f t="shared" si="88"/>
        <v>0</v>
      </c>
      <c r="S297" s="191">
        <f>IFERROR('Παραδοχές διείσδυσης - κάλυψης'!K174/'Παραδοχές διείσδυσης - κάλυψης'!K234,0)</f>
        <v>0.89938372976744185</v>
      </c>
      <c r="T297" s="161">
        <f t="shared" si="89"/>
        <v>0</v>
      </c>
      <c r="U297" s="191">
        <f>IFERROR('Παραδοχές διείσδυσης - κάλυψης'!L174/'Παραδοχές διείσδυσης - κάλυψης'!L234,0)</f>
        <v>0.89938372976744185</v>
      </c>
      <c r="V297" s="161">
        <f t="shared" si="90"/>
        <v>0</v>
      </c>
      <c r="W297" s="191">
        <f>IFERROR('Παραδοχές διείσδυσης - κάλυψης'!M174/'Παραδοχές διείσδυσης - κάλυψης'!M234,0)</f>
        <v>0.89938372976744185</v>
      </c>
      <c r="X297" s="161">
        <f t="shared" si="91"/>
        <v>0</v>
      </c>
      <c r="Y297" s="192">
        <f t="shared" si="92"/>
        <v>0</v>
      </c>
    </row>
    <row r="298" spans="2:25" outlineLevel="1" x14ac:dyDescent="0.35">
      <c r="B298" s="294" t="s">
        <v>113</v>
      </c>
      <c r="C298" s="62" t="s">
        <v>253</v>
      </c>
      <c r="D298" s="190">
        <f>IFERROR('Παραδοχές διείσδυσης - κάλυψης'!D175/'Παραδοχές διείσδυσης - κάλυψης'!D235,0)</f>
        <v>0.8434082077595646</v>
      </c>
      <c r="E298" s="190">
        <f>IFERROR('Παραδοχές διείσδυσης - κάλυψης'!E175/'Παραδοχές διείσδυσης - κάλυψης'!E235,0)</f>
        <v>0.8434082077595646</v>
      </c>
      <c r="F298" s="161">
        <f t="shared" si="83"/>
        <v>0</v>
      </c>
      <c r="G298" s="191">
        <f>IFERROR('Παραδοχές διείσδυσης - κάλυψης'!F175/'Παραδοχές διείσδυσης - κάλυψης'!F235,0)</f>
        <v>0.8434082077595646</v>
      </c>
      <c r="H298" s="161">
        <f t="shared" si="84"/>
        <v>0</v>
      </c>
      <c r="I298" s="191">
        <f>IFERROR('Παραδοχές διείσδυσης - κάλυψης'!G175/'Παραδοχές διείσδυσης - κάλυψης'!G235,0)</f>
        <v>0.8434082077595646</v>
      </c>
      <c r="J298" s="161">
        <f t="shared" si="85"/>
        <v>0</v>
      </c>
      <c r="K298" s="191">
        <f>IFERROR('Παραδοχές διείσδυσης - κάλυψης'!I175/'Παραδοχές διείσδυσης - κάλυψης'!I235,0)</f>
        <v>0.8434082077595646</v>
      </c>
      <c r="L298" s="161">
        <f t="shared" si="86"/>
        <v>0</v>
      </c>
      <c r="M298" s="192">
        <f t="shared" si="82"/>
        <v>0</v>
      </c>
      <c r="O298" s="191">
        <f>IFERROR('Παραδοχές διείσδυσης - κάλυψης'!I175/'Παραδοχές διείσδυσης - κάλυψης'!I235,0)</f>
        <v>0.8434082077595646</v>
      </c>
      <c r="P298" s="161">
        <f t="shared" si="87"/>
        <v>0</v>
      </c>
      <c r="Q298" s="191">
        <f>IFERROR('Παραδοχές διείσδυσης - κάλυψης'!J175/'Παραδοχές διείσδυσης - κάλυψης'!J235,0)</f>
        <v>0.8434082077595646</v>
      </c>
      <c r="R298" s="161">
        <f t="shared" si="88"/>
        <v>0</v>
      </c>
      <c r="S298" s="191">
        <f>IFERROR('Παραδοχές διείσδυσης - κάλυψης'!K175/'Παραδοχές διείσδυσης - κάλυψης'!K235,0)</f>
        <v>0.8434082077595646</v>
      </c>
      <c r="T298" s="161">
        <f t="shared" si="89"/>
        <v>0</v>
      </c>
      <c r="U298" s="191">
        <f>IFERROR('Παραδοχές διείσδυσης - κάλυψης'!L175/'Παραδοχές διείσδυσης - κάλυψης'!L235,0)</f>
        <v>0.8434082077595646</v>
      </c>
      <c r="V298" s="161">
        <f t="shared" si="90"/>
        <v>0</v>
      </c>
      <c r="W298" s="191">
        <f>IFERROR('Παραδοχές διείσδυσης - κάλυψης'!M175/'Παραδοχές διείσδυσης - κάλυψης'!M235,0)</f>
        <v>0.8434082077595646</v>
      </c>
      <c r="X298" s="161">
        <f t="shared" si="91"/>
        <v>0</v>
      </c>
      <c r="Y298" s="192">
        <f t="shared" si="92"/>
        <v>0</v>
      </c>
    </row>
    <row r="299" spans="2:25" outlineLevel="1" x14ac:dyDescent="0.35">
      <c r="B299" s="294" t="s">
        <v>114</v>
      </c>
      <c r="C299" s="62" t="s">
        <v>253</v>
      </c>
      <c r="D299" s="190">
        <f>IFERROR('Παραδοχές διείσδυσης - κάλυψης'!D176/'Παραδοχές διείσδυσης - κάλυψης'!D236,0)</f>
        <v>0.98373765445516126</v>
      </c>
      <c r="E299" s="190">
        <f>IFERROR('Παραδοχές διείσδυσης - κάλυψης'!E176/'Παραδοχές διείσδυσης - κάλυψης'!E236,0)</f>
        <v>0.98373765445516126</v>
      </c>
      <c r="F299" s="161">
        <f t="shared" si="83"/>
        <v>0</v>
      </c>
      <c r="G299" s="191">
        <f>IFERROR('Παραδοχές διείσδυσης - κάλυψης'!F176/'Παραδοχές διείσδυσης - κάλυψης'!F236,0)</f>
        <v>0.98373765445516126</v>
      </c>
      <c r="H299" s="161">
        <f t="shared" si="84"/>
        <v>0</v>
      </c>
      <c r="I299" s="191">
        <f>IFERROR('Παραδοχές διείσδυσης - κάλυψης'!G176/'Παραδοχές διείσδυσης - κάλυψης'!G236,0)</f>
        <v>0.98373765445516126</v>
      </c>
      <c r="J299" s="161">
        <f t="shared" si="85"/>
        <v>0</v>
      </c>
      <c r="K299" s="191">
        <f>IFERROR('Παραδοχές διείσδυσης - κάλυψης'!I176/'Παραδοχές διείσδυσης - κάλυψης'!I236,0)</f>
        <v>0.98373765445516126</v>
      </c>
      <c r="L299" s="161">
        <f t="shared" si="86"/>
        <v>0</v>
      </c>
      <c r="M299" s="192">
        <f t="shared" si="82"/>
        <v>0</v>
      </c>
      <c r="O299" s="191">
        <f>IFERROR('Παραδοχές διείσδυσης - κάλυψης'!I176/'Παραδοχές διείσδυσης - κάλυψης'!I236,0)</f>
        <v>0.98373765445516126</v>
      </c>
      <c r="P299" s="161">
        <f t="shared" si="87"/>
        <v>0</v>
      </c>
      <c r="Q299" s="191">
        <f>IFERROR('Παραδοχές διείσδυσης - κάλυψης'!J176/'Παραδοχές διείσδυσης - κάλυψης'!J236,0)</f>
        <v>0.98373765445516126</v>
      </c>
      <c r="R299" s="161">
        <f t="shared" si="88"/>
        <v>0</v>
      </c>
      <c r="S299" s="191">
        <f>IFERROR('Παραδοχές διείσδυσης - κάλυψης'!K176/'Παραδοχές διείσδυσης - κάλυψης'!K236,0)</f>
        <v>0.98373765445516126</v>
      </c>
      <c r="T299" s="161">
        <f t="shared" si="89"/>
        <v>0</v>
      </c>
      <c r="U299" s="191">
        <f>IFERROR('Παραδοχές διείσδυσης - κάλυψης'!L176/'Παραδοχές διείσδυσης - κάλυψης'!L236,0)</f>
        <v>0.98373765445516126</v>
      </c>
      <c r="V299" s="161">
        <f t="shared" si="90"/>
        <v>0</v>
      </c>
      <c r="W299" s="191">
        <f>IFERROR('Παραδοχές διείσδυσης - κάλυψης'!M176/'Παραδοχές διείσδυσης - κάλυψης'!M236,0)</f>
        <v>0.98373765445516126</v>
      </c>
      <c r="X299" s="161">
        <f t="shared" si="91"/>
        <v>0</v>
      </c>
      <c r="Y299" s="192">
        <f t="shared" si="92"/>
        <v>0</v>
      </c>
    </row>
    <row r="300" spans="2:25" outlineLevel="1" x14ac:dyDescent="0.35">
      <c r="B300" s="294" t="s">
        <v>115</v>
      </c>
      <c r="C300" s="62" t="s">
        <v>253</v>
      </c>
      <c r="D300" s="190">
        <f>IFERROR('Παραδοχές διείσδυσης - κάλυψης'!D177/'Παραδοχές διείσδυσης - κάλυψης'!D237,0)</f>
        <v>0.98169569701146409</v>
      </c>
      <c r="E300" s="190">
        <f>IFERROR('Παραδοχές διείσδυσης - κάλυψης'!E177/'Παραδοχές διείσδυσης - κάλυψης'!E237,0)</f>
        <v>0.98169569701146409</v>
      </c>
      <c r="F300" s="161">
        <f t="shared" si="83"/>
        <v>0</v>
      </c>
      <c r="G300" s="191">
        <f>IFERROR('Παραδοχές διείσδυσης - κάλυψης'!F177/'Παραδοχές διείσδυσης - κάλυψης'!F237,0)</f>
        <v>0.98169569701146409</v>
      </c>
      <c r="H300" s="161">
        <f t="shared" si="84"/>
        <v>0</v>
      </c>
      <c r="I300" s="191">
        <f>IFERROR('Παραδοχές διείσδυσης - κάλυψης'!G177/'Παραδοχές διείσδυσης - κάλυψης'!G237,0)</f>
        <v>0.98169569701146409</v>
      </c>
      <c r="J300" s="161">
        <f t="shared" si="85"/>
        <v>0</v>
      </c>
      <c r="K300" s="191">
        <f>IFERROR('Παραδοχές διείσδυσης - κάλυψης'!I177/'Παραδοχές διείσδυσης - κάλυψης'!I237,0)</f>
        <v>0.98169569701146409</v>
      </c>
      <c r="L300" s="161">
        <f t="shared" si="86"/>
        <v>0</v>
      </c>
      <c r="M300" s="192">
        <f t="shared" si="82"/>
        <v>0</v>
      </c>
      <c r="O300" s="191">
        <f>IFERROR('Παραδοχές διείσδυσης - κάλυψης'!I177/'Παραδοχές διείσδυσης - κάλυψης'!I237,0)</f>
        <v>0.98169569701146409</v>
      </c>
      <c r="P300" s="161">
        <f t="shared" si="87"/>
        <v>0</v>
      </c>
      <c r="Q300" s="191">
        <f>IFERROR('Παραδοχές διείσδυσης - κάλυψης'!J177/'Παραδοχές διείσδυσης - κάλυψης'!J237,0)</f>
        <v>0.98169569701146409</v>
      </c>
      <c r="R300" s="161">
        <f t="shared" si="88"/>
        <v>0</v>
      </c>
      <c r="S300" s="191">
        <f>IFERROR('Παραδοχές διείσδυσης - κάλυψης'!K177/'Παραδοχές διείσδυσης - κάλυψης'!K237,0)</f>
        <v>0.98169569701146409</v>
      </c>
      <c r="T300" s="161">
        <f t="shared" si="89"/>
        <v>0</v>
      </c>
      <c r="U300" s="191">
        <f>IFERROR('Παραδοχές διείσδυσης - κάλυψης'!L177/'Παραδοχές διείσδυσης - κάλυψης'!L237,0)</f>
        <v>0.98169569701146409</v>
      </c>
      <c r="V300" s="161">
        <f t="shared" si="90"/>
        <v>0</v>
      </c>
      <c r="W300" s="191">
        <f>IFERROR('Παραδοχές διείσδυσης - κάλυψης'!M177/'Παραδοχές διείσδυσης - κάλυψης'!M237,0)</f>
        <v>0.98169569701146409</v>
      </c>
      <c r="X300" s="161">
        <f t="shared" si="91"/>
        <v>0</v>
      </c>
      <c r="Y300" s="192">
        <f t="shared" si="92"/>
        <v>0</v>
      </c>
    </row>
    <row r="301" spans="2:25" outlineLevel="1" x14ac:dyDescent="0.35">
      <c r="B301" s="294" t="s">
        <v>116</v>
      </c>
      <c r="C301" s="62" t="s">
        <v>253</v>
      </c>
      <c r="D301" s="190">
        <f>IFERROR('Παραδοχές διείσδυσης - κάλυψης'!D178/'Παραδοχές διείσδυσης - κάλυψης'!D238,0)</f>
        <v>0.99896098807396505</v>
      </c>
      <c r="E301" s="190">
        <f>IFERROR('Παραδοχές διείσδυσης - κάλυψης'!E178/'Παραδοχές διείσδυσης - κάλυψης'!E238,0)</f>
        <v>0.99896098807396505</v>
      </c>
      <c r="F301" s="161">
        <f t="shared" si="83"/>
        <v>0</v>
      </c>
      <c r="G301" s="191">
        <f>IFERROR('Παραδοχές διείσδυσης - κάλυψης'!F178/'Παραδοχές διείσδυσης - κάλυψης'!F238,0)</f>
        <v>0.99896098807396505</v>
      </c>
      <c r="H301" s="161">
        <f t="shared" si="84"/>
        <v>0</v>
      </c>
      <c r="I301" s="191">
        <f>IFERROR('Παραδοχές διείσδυσης - κάλυψης'!G178/'Παραδοχές διείσδυσης - κάλυψης'!G238,0)</f>
        <v>0.99896098807396505</v>
      </c>
      <c r="J301" s="161">
        <f t="shared" si="85"/>
        <v>0</v>
      </c>
      <c r="K301" s="191">
        <f>IFERROR('Παραδοχές διείσδυσης - κάλυψης'!I178/'Παραδοχές διείσδυσης - κάλυψης'!I238,0)</f>
        <v>0.99896098807396505</v>
      </c>
      <c r="L301" s="161">
        <f t="shared" si="86"/>
        <v>0</v>
      </c>
      <c r="M301" s="192">
        <f t="shared" si="82"/>
        <v>0</v>
      </c>
      <c r="O301" s="191">
        <f>IFERROR('Παραδοχές διείσδυσης - κάλυψης'!I178/'Παραδοχές διείσδυσης - κάλυψης'!I238,0)</f>
        <v>0.99896098807396505</v>
      </c>
      <c r="P301" s="161">
        <f t="shared" si="87"/>
        <v>0</v>
      </c>
      <c r="Q301" s="191">
        <f>IFERROR('Παραδοχές διείσδυσης - κάλυψης'!J178/'Παραδοχές διείσδυσης - κάλυψης'!J238,0)</f>
        <v>0.99896098807396505</v>
      </c>
      <c r="R301" s="161">
        <f t="shared" si="88"/>
        <v>0</v>
      </c>
      <c r="S301" s="191">
        <f>IFERROR('Παραδοχές διείσδυσης - κάλυψης'!K178/'Παραδοχές διείσδυσης - κάλυψης'!K238,0)</f>
        <v>0.99896098807396505</v>
      </c>
      <c r="T301" s="161">
        <f t="shared" si="89"/>
        <v>0</v>
      </c>
      <c r="U301" s="191">
        <f>IFERROR('Παραδοχές διείσδυσης - κάλυψης'!L178/'Παραδοχές διείσδυσης - κάλυψης'!L238,0)</f>
        <v>0.99896098807396505</v>
      </c>
      <c r="V301" s="161">
        <f t="shared" si="90"/>
        <v>0</v>
      </c>
      <c r="W301" s="191">
        <f>IFERROR('Παραδοχές διείσδυσης - κάλυψης'!M178/'Παραδοχές διείσδυσης - κάλυψης'!M238,0)</f>
        <v>0.99896098807396505</v>
      </c>
      <c r="X301" s="161">
        <f t="shared" si="91"/>
        <v>0</v>
      </c>
      <c r="Y301" s="192">
        <f t="shared" si="92"/>
        <v>0</v>
      </c>
    </row>
    <row r="302" spans="2:25" outlineLevel="1" x14ac:dyDescent="0.35">
      <c r="B302" s="294" t="s">
        <v>117</v>
      </c>
      <c r="C302" s="62" t="s">
        <v>253</v>
      </c>
      <c r="D302" s="190">
        <f>IFERROR('Παραδοχές διείσδυσης - κάλυψης'!D179/'Παραδοχές διείσδυσης - κάλυψης'!D239,0)</f>
        <v>0.98856026264349339</v>
      </c>
      <c r="E302" s="190">
        <f>IFERROR('Παραδοχές διείσδυσης - κάλυψης'!E179/'Παραδοχές διείσδυσης - κάλυψης'!E239,0)</f>
        <v>0.98856026264349339</v>
      </c>
      <c r="F302" s="161">
        <f t="shared" si="83"/>
        <v>0</v>
      </c>
      <c r="G302" s="191">
        <f>IFERROR('Παραδοχές διείσδυσης - κάλυψης'!F179/'Παραδοχές διείσδυσης - κάλυψης'!F239,0)</f>
        <v>0.98856026264349339</v>
      </c>
      <c r="H302" s="161">
        <f t="shared" si="84"/>
        <v>0</v>
      </c>
      <c r="I302" s="191">
        <f>IFERROR('Παραδοχές διείσδυσης - κάλυψης'!G179/'Παραδοχές διείσδυσης - κάλυψης'!G239,0)</f>
        <v>0.98856026264349339</v>
      </c>
      <c r="J302" s="161">
        <f t="shared" si="85"/>
        <v>0</v>
      </c>
      <c r="K302" s="191">
        <f>IFERROR('Παραδοχές διείσδυσης - κάλυψης'!I179/'Παραδοχές διείσδυσης - κάλυψης'!I239,0)</f>
        <v>0.98856026264349339</v>
      </c>
      <c r="L302" s="161">
        <f t="shared" si="86"/>
        <v>0</v>
      </c>
      <c r="M302" s="192">
        <f t="shared" si="82"/>
        <v>0</v>
      </c>
      <c r="O302" s="191">
        <f>IFERROR('Παραδοχές διείσδυσης - κάλυψης'!I179/'Παραδοχές διείσδυσης - κάλυψης'!I239,0)</f>
        <v>0.98856026264349339</v>
      </c>
      <c r="P302" s="161">
        <f t="shared" si="87"/>
        <v>0</v>
      </c>
      <c r="Q302" s="191">
        <f>IFERROR('Παραδοχές διείσδυσης - κάλυψης'!J179/'Παραδοχές διείσδυσης - κάλυψης'!J239,0)</f>
        <v>0.98856026264349339</v>
      </c>
      <c r="R302" s="161">
        <f t="shared" si="88"/>
        <v>0</v>
      </c>
      <c r="S302" s="191">
        <f>IFERROR('Παραδοχές διείσδυσης - κάλυψης'!K179/'Παραδοχές διείσδυσης - κάλυψης'!K239,0)</f>
        <v>0.98856026264349339</v>
      </c>
      <c r="T302" s="161">
        <f t="shared" si="89"/>
        <v>0</v>
      </c>
      <c r="U302" s="191">
        <f>IFERROR('Παραδοχές διείσδυσης - κάλυψης'!L179/'Παραδοχές διείσδυσης - κάλυψης'!L239,0)</f>
        <v>0.98856026264349339</v>
      </c>
      <c r="V302" s="161">
        <f t="shared" si="90"/>
        <v>0</v>
      </c>
      <c r="W302" s="191">
        <f>IFERROR('Παραδοχές διείσδυσης - κάλυψης'!M179/'Παραδοχές διείσδυσης - κάλυψης'!M239,0)</f>
        <v>0.98856026264349339</v>
      </c>
      <c r="X302" s="161">
        <f t="shared" si="91"/>
        <v>0</v>
      </c>
      <c r="Y302" s="192">
        <f t="shared" si="92"/>
        <v>0</v>
      </c>
    </row>
    <row r="303" spans="2:25" outlineLevel="1" x14ac:dyDescent="0.35">
      <c r="B303" s="294" t="s">
        <v>118</v>
      </c>
      <c r="C303" s="62" t="s">
        <v>253</v>
      </c>
      <c r="D303" s="190">
        <f>IFERROR('Παραδοχές διείσδυσης - κάλυψης'!D180/'Παραδοχές διείσδυσης - κάλυψης'!D240,0)</f>
        <v>0.98749803168936845</v>
      </c>
      <c r="E303" s="190">
        <f>IFERROR('Παραδοχές διείσδυσης - κάλυψης'!E180/'Παραδοχές διείσδυσης - κάλυψης'!E240,0)</f>
        <v>0.98749803168936845</v>
      </c>
      <c r="F303" s="161">
        <f t="shared" si="83"/>
        <v>0</v>
      </c>
      <c r="G303" s="191">
        <f>IFERROR('Παραδοχές διείσδυσης - κάλυψης'!F180/'Παραδοχές διείσδυσης - κάλυψης'!F240,0)</f>
        <v>0.98749803168936845</v>
      </c>
      <c r="H303" s="161">
        <f t="shared" si="84"/>
        <v>0</v>
      </c>
      <c r="I303" s="191">
        <f>IFERROR('Παραδοχές διείσδυσης - κάλυψης'!G180/'Παραδοχές διείσδυσης - κάλυψης'!G240,0)</f>
        <v>0.98749803168936845</v>
      </c>
      <c r="J303" s="161">
        <f t="shared" si="85"/>
        <v>0</v>
      </c>
      <c r="K303" s="191">
        <f>IFERROR('Παραδοχές διείσδυσης - κάλυψης'!I180/'Παραδοχές διείσδυσης - κάλυψης'!I240,0)</f>
        <v>0.98749803168936845</v>
      </c>
      <c r="L303" s="161">
        <f t="shared" si="86"/>
        <v>0</v>
      </c>
      <c r="M303" s="192">
        <f t="shared" si="82"/>
        <v>0</v>
      </c>
      <c r="O303" s="191">
        <f>IFERROR('Παραδοχές διείσδυσης - κάλυψης'!I180/'Παραδοχές διείσδυσης - κάλυψης'!I240,0)</f>
        <v>0.98749803168936845</v>
      </c>
      <c r="P303" s="161">
        <f t="shared" si="87"/>
        <v>0</v>
      </c>
      <c r="Q303" s="191">
        <f>IFERROR('Παραδοχές διείσδυσης - κάλυψης'!J180/'Παραδοχές διείσδυσης - κάλυψης'!J240,0)</f>
        <v>0.98749803168936845</v>
      </c>
      <c r="R303" s="161">
        <f t="shared" si="88"/>
        <v>0</v>
      </c>
      <c r="S303" s="191">
        <f>IFERROR('Παραδοχές διείσδυσης - κάλυψης'!K180/'Παραδοχές διείσδυσης - κάλυψης'!K240,0)</f>
        <v>0.98749803168936845</v>
      </c>
      <c r="T303" s="161">
        <f t="shared" si="89"/>
        <v>0</v>
      </c>
      <c r="U303" s="191">
        <f>IFERROR('Παραδοχές διείσδυσης - κάλυψης'!L180/'Παραδοχές διείσδυσης - κάλυψης'!L240,0)</f>
        <v>0.98749803168936845</v>
      </c>
      <c r="V303" s="161">
        <f t="shared" si="90"/>
        <v>0</v>
      </c>
      <c r="W303" s="191">
        <f>IFERROR('Παραδοχές διείσδυσης - κάλυψης'!M180/'Παραδοχές διείσδυσης - κάλυψης'!M240,0)</f>
        <v>0.98749803168936845</v>
      </c>
      <c r="X303" s="161">
        <f t="shared" si="91"/>
        <v>0</v>
      </c>
      <c r="Y303" s="192">
        <f t="shared" si="92"/>
        <v>0</v>
      </c>
    </row>
    <row r="304" spans="2:25" outlineLevel="1" x14ac:dyDescent="0.35">
      <c r="B304" s="294" t="s">
        <v>119</v>
      </c>
      <c r="C304" s="62" t="s">
        <v>253</v>
      </c>
      <c r="D304" s="190">
        <f>IFERROR('Παραδοχές διείσδυσης - κάλυψης'!D181/'Παραδοχές διείσδυσης - κάλυψης'!D241,0)</f>
        <v>2.0490080099999999E-2</v>
      </c>
      <c r="E304" s="190">
        <f>IFERROR('Παραδοχές διείσδυσης - κάλυψης'!E181/'Παραδοχές διείσδυσης - κάλυψης'!E241,0)</f>
        <v>2.0490080099999999E-2</v>
      </c>
      <c r="F304" s="161">
        <f t="shared" si="83"/>
        <v>0</v>
      </c>
      <c r="G304" s="191">
        <f>IFERROR('Παραδοχές διείσδυσης - κάλυψης'!F181/'Παραδοχές διείσδυσης - κάλυψης'!F241,0)</f>
        <v>2.0490080099999999E-2</v>
      </c>
      <c r="H304" s="161">
        <f t="shared" si="84"/>
        <v>0</v>
      </c>
      <c r="I304" s="191">
        <f>IFERROR('Παραδοχές διείσδυσης - κάλυψης'!G181/'Παραδοχές διείσδυσης - κάλυψης'!G241,0)</f>
        <v>2.0490080099999999E-2</v>
      </c>
      <c r="J304" s="161">
        <f t="shared" si="85"/>
        <v>0</v>
      </c>
      <c r="K304" s="191">
        <f>IFERROR('Παραδοχές διείσδυσης - κάλυψης'!I181/'Παραδοχές διείσδυσης - κάλυψης'!I241,0)</f>
        <v>2.0490080099999999E-2</v>
      </c>
      <c r="L304" s="161">
        <f t="shared" si="86"/>
        <v>0</v>
      </c>
      <c r="M304" s="192">
        <f t="shared" si="82"/>
        <v>0</v>
      </c>
      <c r="O304" s="191">
        <f>IFERROR('Παραδοχές διείσδυσης - κάλυψης'!I181/'Παραδοχές διείσδυσης - κάλυψης'!I241,0)</f>
        <v>2.0490080099999999E-2</v>
      </c>
      <c r="P304" s="161">
        <f t="shared" si="87"/>
        <v>0</v>
      </c>
      <c r="Q304" s="191">
        <f>IFERROR('Παραδοχές διείσδυσης - κάλυψης'!J181/'Παραδοχές διείσδυσης - κάλυψης'!J241,0)</f>
        <v>2.0490080099999999E-2</v>
      </c>
      <c r="R304" s="161">
        <f t="shared" si="88"/>
        <v>0</v>
      </c>
      <c r="S304" s="191">
        <f>IFERROR('Παραδοχές διείσδυσης - κάλυψης'!K181/'Παραδοχές διείσδυσης - κάλυψης'!K241,0)</f>
        <v>2.0490080099999999E-2</v>
      </c>
      <c r="T304" s="161">
        <f t="shared" si="89"/>
        <v>0</v>
      </c>
      <c r="U304" s="191">
        <f>IFERROR('Παραδοχές διείσδυσης - κάλυψης'!L181/'Παραδοχές διείσδυσης - κάλυψης'!L241,0)</f>
        <v>2.0490080099999999E-2</v>
      </c>
      <c r="V304" s="161">
        <f t="shared" si="90"/>
        <v>0</v>
      </c>
      <c r="W304" s="191">
        <f>IFERROR('Παραδοχές διείσδυσης - κάλυψης'!M181/'Παραδοχές διείσδυσης - κάλυψης'!M241,0)</f>
        <v>2.0490080099999999E-2</v>
      </c>
      <c r="X304" s="161">
        <f t="shared" si="91"/>
        <v>0</v>
      </c>
      <c r="Y304" s="192">
        <f t="shared" si="92"/>
        <v>0</v>
      </c>
    </row>
    <row r="305" spans="2:33" outlineLevel="1" x14ac:dyDescent="0.35">
      <c r="B305" s="294" t="s">
        <v>120</v>
      </c>
      <c r="C305" s="62" t="s">
        <v>253</v>
      </c>
      <c r="D305" s="190">
        <f>IFERROR('Παραδοχές διείσδυσης - κάλυψης'!D182/'Παραδοχές διείσδυσης - κάλυψης'!D242,0)</f>
        <v>0.98230886964974229</v>
      </c>
      <c r="E305" s="190">
        <f>IFERROR('Παραδοχές διείσδυσης - κάλυψης'!E182/'Παραδοχές διείσδυσης - κάλυψης'!E242,0)</f>
        <v>0.98230886964974229</v>
      </c>
      <c r="F305" s="161">
        <f t="shared" si="83"/>
        <v>0</v>
      </c>
      <c r="G305" s="191">
        <f>IFERROR('Παραδοχές διείσδυσης - κάλυψης'!F182/'Παραδοχές διείσδυσης - κάλυψης'!F242,0)</f>
        <v>0.98230886964974229</v>
      </c>
      <c r="H305" s="161">
        <f t="shared" si="84"/>
        <v>0</v>
      </c>
      <c r="I305" s="191">
        <f>IFERROR('Παραδοχές διείσδυσης - κάλυψης'!G182/'Παραδοχές διείσδυσης - κάλυψης'!G242,0)</f>
        <v>0.98230886964974229</v>
      </c>
      <c r="J305" s="161">
        <f t="shared" si="85"/>
        <v>0</v>
      </c>
      <c r="K305" s="191">
        <f>IFERROR('Παραδοχές διείσδυσης - κάλυψης'!I182/'Παραδοχές διείσδυσης - κάλυψης'!I242,0)</f>
        <v>0.98230886964974229</v>
      </c>
      <c r="L305" s="161">
        <f t="shared" si="86"/>
        <v>0</v>
      </c>
      <c r="M305" s="192">
        <f t="shared" si="82"/>
        <v>0</v>
      </c>
      <c r="O305" s="191">
        <f>IFERROR('Παραδοχές διείσδυσης - κάλυψης'!I182/'Παραδοχές διείσδυσης - κάλυψης'!I242,0)</f>
        <v>0.98230886964974229</v>
      </c>
      <c r="P305" s="161">
        <f t="shared" si="87"/>
        <v>0</v>
      </c>
      <c r="Q305" s="191">
        <f>IFERROR('Παραδοχές διείσδυσης - κάλυψης'!J182/'Παραδοχές διείσδυσης - κάλυψης'!J242,0)</f>
        <v>0.98230886964974229</v>
      </c>
      <c r="R305" s="161">
        <f t="shared" si="88"/>
        <v>0</v>
      </c>
      <c r="S305" s="191">
        <f>IFERROR('Παραδοχές διείσδυσης - κάλυψης'!K182/'Παραδοχές διείσδυσης - κάλυψης'!K242,0)</f>
        <v>0.98230886964974229</v>
      </c>
      <c r="T305" s="161">
        <f t="shared" si="89"/>
        <v>0</v>
      </c>
      <c r="U305" s="191">
        <f>IFERROR('Παραδοχές διείσδυσης - κάλυψης'!L182/'Παραδοχές διείσδυσης - κάλυψης'!L242,0)</f>
        <v>0.98230886964974229</v>
      </c>
      <c r="V305" s="161">
        <f t="shared" si="90"/>
        <v>0</v>
      </c>
      <c r="W305" s="191">
        <f>IFERROR('Παραδοχές διείσδυσης - κάλυψης'!M182/'Παραδοχές διείσδυσης - κάλυψης'!M242,0)</f>
        <v>0.98230886964974229</v>
      </c>
      <c r="X305" s="161">
        <f t="shared" si="91"/>
        <v>0</v>
      </c>
      <c r="Y305" s="192">
        <f t="shared" si="92"/>
        <v>0</v>
      </c>
    </row>
    <row r="306" spans="2:33" outlineLevel="1" x14ac:dyDescent="0.35">
      <c r="B306" s="294" t="s">
        <v>121</v>
      </c>
      <c r="C306" s="62" t="s">
        <v>253</v>
      </c>
      <c r="D306" s="190">
        <f>IFERROR('Παραδοχές διείσδυσης - κάλυψης'!D183/'Παραδοχές διείσδυσης - κάλυψης'!D243,0)</f>
        <v>0.9934346797480671</v>
      </c>
      <c r="E306" s="190">
        <f>IFERROR('Παραδοχές διείσδυσης - κάλυψης'!E183/'Παραδοχές διείσδυσης - κάλυψης'!E243,0)</f>
        <v>0.9934346797480671</v>
      </c>
      <c r="F306" s="161">
        <f t="shared" si="83"/>
        <v>0</v>
      </c>
      <c r="G306" s="191">
        <f>IFERROR('Παραδοχές διείσδυσης - κάλυψης'!F183/'Παραδοχές διείσδυσης - κάλυψης'!F243,0)</f>
        <v>0.9934346797480671</v>
      </c>
      <c r="H306" s="161">
        <f t="shared" si="84"/>
        <v>0</v>
      </c>
      <c r="I306" s="191">
        <f>IFERROR('Παραδοχές διείσδυσης - κάλυψης'!G183/'Παραδοχές διείσδυσης - κάλυψης'!G243,0)</f>
        <v>0.9934346797480671</v>
      </c>
      <c r="J306" s="161">
        <f t="shared" si="85"/>
        <v>0</v>
      </c>
      <c r="K306" s="191">
        <f>IFERROR('Παραδοχές διείσδυσης - κάλυψης'!I183/'Παραδοχές διείσδυσης - κάλυψης'!I243,0)</f>
        <v>0.9934346797480671</v>
      </c>
      <c r="L306" s="161">
        <f t="shared" si="86"/>
        <v>0</v>
      </c>
      <c r="M306" s="192">
        <f t="shared" si="82"/>
        <v>0</v>
      </c>
      <c r="O306" s="191">
        <f>IFERROR('Παραδοχές διείσδυσης - κάλυψης'!I183/'Παραδοχές διείσδυσης - κάλυψης'!I243,0)</f>
        <v>0.9934346797480671</v>
      </c>
      <c r="P306" s="161">
        <f t="shared" si="87"/>
        <v>0</v>
      </c>
      <c r="Q306" s="191">
        <f>IFERROR('Παραδοχές διείσδυσης - κάλυψης'!J183/'Παραδοχές διείσδυσης - κάλυψης'!J243,0)</f>
        <v>0.9934346797480671</v>
      </c>
      <c r="R306" s="161">
        <f t="shared" si="88"/>
        <v>0</v>
      </c>
      <c r="S306" s="191">
        <f>IFERROR('Παραδοχές διείσδυσης - κάλυψης'!K183/'Παραδοχές διείσδυσης - κάλυψης'!K243,0)</f>
        <v>0.9934346797480671</v>
      </c>
      <c r="T306" s="161">
        <f t="shared" si="89"/>
        <v>0</v>
      </c>
      <c r="U306" s="191">
        <f>IFERROR('Παραδοχές διείσδυσης - κάλυψης'!L183/'Παραδοχές διείσδυσης - κάλυψης'!L243,0)</f>
        <v>0.9934346797480671</v>
      </c>
      <c r="V306" s="161">
        <f t="shared" si="90"/>
        <v>0</v>
      </c>
      <c r="W306" s="191">
        <f>IFERROR('Παραδοχές διείσδυσης - κάλυψης'!M183/'Παραδοχές διείσδυσης - κάλυψης'!M243,0)</f>
        <v>0.9934346797480671</v>
      </c>
      <c r="X306" s="161">
        <f t="shared" si="91"/>
        <v>0</v>
      </c>
      <c r="Y306" s="192">
        <f t="shared" si="92"/>
        <v>0</v>
      </c>
    </row>
    <row r="307" spans="2:33" outlineLevel="1" x14ac:dyDescent="0.35">
      <c r="B307" s="294" t="s">
        <v>137</v>
      </c>
      <c r="C307" s="62" t="s">
        <v>253</v>
      </c>
      <c r="D307" s="190">
        <f>IFERROR('Παραδοχές διείσδυσης - κάλυψης'!D184/'Παραδοχές διείσδυσης - κάλυψης'!D244,0)</f>
        <v>0.99964428267244831</v>
      </c>
      <c r="E307" s="190">
        <f>IFERROR('Παραδοχές διείσδυσης - κάλυψης'!E184/'Παραδοχές διείσδυσης - κάλυψης'!E244,0)</f>
        <v>0.99964428267244831</v>
      </c>
      <c r="F307" s="161">
        <f t="shared" si="83"/>
        <v>0</v>
      </c>
      <c r="G307" s="191">
        <f>IFERROR('Παραδοχές διείσδυσης - κάλυψης'!F184/'Παραδοχές διείσδυσης - κάλυψης'!F244,0)</f>
        <v>0.99964428267244831</v>
      </c>
      <c r="H307" s="161">
        <f t="shared" si="84"/>
        <v>0</v>
      </c>
      <c r="I307" s="191">
        <f>IFERROR('Παραδοχές διείσδυσης - κάλυψης'!G184/'Παραδοχές διείσδυσης - κάλυψης'!G244,0)</f>
        <v>0.99964428267244831</v>
      </c>
      <c r="J307" s="161">
        <f t="shared" si="85"/>
        <v>0</v>
      </c>
      <c r="K307" s="191">
        <f>IFERROR('Παραδοχές διείσδυσης - κάλυψης'!I184/'Παραδοχές διείσδυσης - κάλυψης'!I244,0)</f>
        <v>0.99964428267244831</v>
      </c>
      <c r="L307" s="161">
        <f t="shared" si="86"/>
        <v>0</v>
      </c>
      <c r="M307" s="192">
        <f t="shared" si="82"/>
        <v>0</v>
      </c>
      <c r="O307" s="191">
        <f>IFERROR('Παραδοχές διείσδυσης - κάλυψης'!I184/'Παραδοχές διείσδυσης - κάλυψης'!I244,0)</f>
        <v>0.99964428267244831</v>
      </c>
      <c r="P307" s="161">
        <f t="shared" si="87"/>
        <v>0</v>
      </c>
      <c r="Q307" s="191">
        <f>IFERROR('Παραδοχές διείσδυσης - κάλυψης'!J184/'Παραδοχές διείσδυσης - κάλυψης'!J244,0)</f>
        <v>0.99964428267244831</v>
      </c>
      <c r="R307" s="161">
        <f t="shared" si="88"/>
        <v>0</v>
      </c>
      <c r="S307" s="191">
        <f>IFERROR('Παραδοχές διείσδυσης - κάλυψης'!K184/'Παραδοχές διείσδυσης - κάλυψης'!K244,0)</f>
        <v>0.99964428267244831</v>
      </c>
      <c r="T307" s="161">
        <f t="shared" si="89"/>
        <v>0</v>
      </c>
      <c r="U307" s="191">
        <f>IFERROR('Παραδοχές διείσδυσης - κάλυψης'!L184/'Παραδοχές διείσδυσης - κάλυψης'!L244,0)</f>
        <v>0.99964428267244831</v>
      </c>
      <c r="V307" s="161">
        <f t="shared" si="90"/>
        <v>0</v>
      </c>
      <c r="W307" s="191">
        <f>IFERROR('Παραδοχές διείσδυσης - κάλυψης'!M184/'Παραδοχές διείσδυσης - κάλυψης'!M244,0)</f>
        <v>0.99964428267244831</v>
      </c>
      <c r="X307" s="161">
        <f t="shared" si="91"/>
        <v>0</v>
      </c>
      <c r="Y307" s="192">
        <f t="shared" si="92"/>
        <v>0</v>
      </c>
    </row>
    <row r="308" spans="2:33" outlineLevel="1" x14ac:dyDescent="0.35">
      <c r="B308" s="294" t="s">
        <v>123</v>
      </c>
      <c r="C308" s="62" t="s">
        <v>253</v>
      </c>
      <c r="D308" s="190">
        <f>IFERROR('Παραδοχές διείσδυσης - κάλυψης'!D185/'Παραδοχές διείσδυσης - κάλυψης'!D245,0)</f>
        <v>0.98500743229629506</v>
      </c>
      <c r="E308" s="190">
        <f>IFERROR('Παραδοχές διείσδυσης - κάλυψης'!E185/'Παραδοχές διείσδυσης - κάλυψης'!E245,0)</f>
        <v>0.98500743229629506</v>
      </c>
      <c r="F308" s="161">
        <f t="shared" si="83"/>
        <v>0</v>
      </c>
      <c r="G308" s="191">
        <f>IFERROR('Παραδοχές διείσδυσης - κάλυψης'!F185/'Παραδοχές διείσδυσης - κάλυψης'!F245,0)</f>
        <v>0.98500743229629506</v>
      </c>
      <c r="H308" s="161">
        <f t="shared" si="84"/>
        <v>0</v>
      </c>
      <c r="I308" s="191">
        <f>IFERROR('Παραδοχές διείσδυσης - κάλυψης'!G185/'Παραδοχές διείσδυσης - κάλυψης'!G245,0)</f>
        <v>0.98500743229629506</v>
      </c>
      <c r="J308" s="161">
        <f t="shared" si="85"/>
        <v>0</v>
      </c>
      <c r="K308" s="191">
        <f>IFERROR('Παραδοχές διείσδυσης - κάλυψης'!I185/'Παραδοχές διείσδυσης - κάλυψης'!I245,0)</f>
        <v>0.98500743229629506</v>
      </c>
      <c r="L308" s="161">
        <f t="shared" si="86"/>
        <v>0</v>
      </c>
      <c r="M308" s="192">
        <f t="shared" si="82"/>
        <v>0</v>
      </c>
      <c r="O308" s="191">
        <f>IFERROR('Παραδοχές διείσδυσης - κάλυψης'!I185/'Παραδοχές διείσδυσης - κάλυψης'!I245,0)</f>
        <v>0.98500743229629506</v>
      </c>
      <c r="P308" s="161">
        <f t="shared" si="87"/>
        <v>0</v>
      </c>
      <c r="Q308" s="191">
        <f>IFERROR('Παραδοχές διείσδυσης - κάλυψης'!J185/'Παραδοχές διείσδυσης - κάλυψης'!J245,0)</f>
        <v>0.98500743229629506</v>
      </c>
      <c r="R308" s="161">
        <f t="shared" si="88"/>
        <v>0</v>
      </c>
      <c r="S308" s="191">
        <f>IFERROR('Παραδοχές διείσδυσης - κάλυψης'!K185/'Παραδοχές διείσδυσης - κάλυψης'!K245,0)</f>
        <v>0.98500743229629506</v>
      </c>
      <c r="T308" s="161">
        <f t="shared" si="89"/>
        <v>0</v>
      </c>
      <c r="U308" s="191">
        <f>IFERROR('Παραδοχές διείσδυσης - κάλυψης'!L185/'Παραδοχές διείσδυσης - κάλυψης'!L245,0)</f>
        <v>0.98500743229629506</v>
      </c>
      <c r="V308" s="161">
        <f t="shared" si="90"/>
        <v>0</v>
      </c>
      <c r="W308" s="191">
        <f>IFERROR('Παραδοχές διείσδυσης - κάλυψης'!M185/'Παραδοχές διείσδυσης - κάλυψης'!M245,0)</f>
        <v>0.98500743229629506</v>
      </c>
      <c r="X308" s="161">
        <f t="shared" si="91"/>
        <v>0</v>
      </c>
      <c r="Y308" s="192">
        <f t="shared" si="92"/>
        <v>0</v>
      </c>
    </row>
    <row r="309" spans="2:33" outlineLevel="1" x14ac:dyDescent="0.35">
      <c r="B309" s="294" t="s">
        <v>124</v>
      </c>
      <c r="C309" s="62" t="s">
        <v>253</v>
      </c>
      <c r="D309" s="190">
        <f>IFERROR('Παραδοχές διείσδυσης - κάλυψης'!D186/'Παραδοχές διείσδυσης - κάλυψης'!D246,0)</f>
        <v>0.72250909500000005</v>
      </c>
      <c r="E309" s="190">
        <f>IFERROR('Παραδοχές διείσδυσης - κάλυψης'!E186/'Παραδοχές διείσδυσης - κάλυψης'!E246,0)</f>
        <v>0.72250909500000005</v>
      </c>
      <c r="F309" s="161">
        <f t="shared" ref="F309:F313" si="93">IFERROR((E309-D309)/D309,0)</f>
        <v>0</v>
      </c>
      <c r="G309" s="191">
        <f>IFERROR('Παραδοχές διείσδυσης - κάλυψης'!F186/'Παραδοχές διείσδυσης - κάλυψης'!F246,0)</f>
        <v>0.72250909500000005</v>
      </c>
      <c r="H309" s="161">
        <f t="shared" ref="H309:H313" si="94">IFERROR((G309-E309)/E309,0)</f>
        <v>0</v>
      </c>
      <c r="I309" s="191">
        <f>IFERROR('Παραδοχές διείσδυσης - κάλυψης'!G186/'Παραδοχές διείσδυσης - κάλυψης'!G246,0)</f>
        <v>0.72250909500000005</v>
      </c>
      <c r="J309" s="161">
        <f t="shared" ref="J309:J313" si="95">IFERROR((I309-G309)/G309,0)</f>
        <v>0</v>
      </c>
      <c r="K309" s="191">
        <f>IFERROR('Παραδοχές διείσδυσης - κάλυψης'!I186/'Παραδοχές διείσδυσης - κάλυψης'!I246,0)</f>
        <v>0.72250909500000005</v>
      </c>
      <c r="L309" s="161">
        <f t="shared" ref="L309:L313" si="96">IFERROR((K309-I309)/I309,0)</f>
        <v>0</v>
      </c>
      <c r="M309" s="192">
        <f t="shared" ref="M309:M313" si="97">IFERROR((K309/D309)^(1/4)-1,0)</f>
        <v>0</v>
      </c>
      <c r="O309" s="191">
        <f>IFERROR('Παραδοχές διείσδυσης - κάλυψης'!I186/'Παραδοχές διείσδυσης - κάλυψης'!I246,0)</f>
        <v>0.72250909500000005</v>
      </c>
      <c r="P309" s="161">
        <f t="shared" ref="P309:P313" si="98">IFERROR((O309-K309)/K309,0)</f>
        <v>0</v>
      </c>
      <c r="Q309" s="191">
        <f>IFERROR('Παραδοχές διείσδυσης - κάλυψης'!J186/'Παραδοχές διείσδυσης - κάλυψης'!J246,0)</f>
        <v>0.72250909500000005</v>
      </c>
      <c r="R309" s="161">
        <f t="shared" ref="R309:R313" si="99">IFERROR((Q309-O309)/O309,0)</f>
        <v>0</v>
      </c>
      <c r="S309" s="191">
        <f>IFERROR('Παραδοχές διείσδυσης - κάλυψης'!K186/'Παραδοχές διείσδυσης - κάλυψης'!K246,0)</f>
        <v>0.72250909500000005</v>
      </c>
      <c r="T309" s="161">
        <f t="shared" ref="T309:T313" si="100">IFERROR((S309-Q309)/Q309,0)</f>
        <v>0</v>
      </c>
      <c r="U309" s="191">
        <f>IFERROR('Παραδοχές διείσδυσης - κάλυψης'!L186/'Παραδοχές διείσδυσης - κάλυψης'!L246,0)</f>
        <v>0.72250909500000005</v>
      </c>
      <c r="V309" s="161">
        <f t="shared" ref="V309:V313" si="101">IFERROR((U309-S309)/S309,0)</f>
        <v>0</v>
      </c>
      <c r="W309" s="191">
        <f>IFERROR('Παραδοχές διείσδυσης - κάλυψης'!M186/'Παραδοχές διείσδυσης - κάλυψης'!M246,0)</f>
        <v>0.72250909500000005</v>
      </c>
      <c r="X309" s="161">
        <f t="shared" ref="X309:X313" si="102">IFERROR((W309-U309)/U309,0)</f>
        <v>0</v>
      </c>
      <c r="Y309" s="192">
        <f t="shared" ref="Y309:Y313" si="103">IFERROR((W309/O309)^(1/4)-1,0)</f>
        <v>0</v>
      </c>
    </row>
    <row r="310" spans="2:33" outlineLevel="1" x14ac:dyDescent="0.35">
      <c r="B310" s="294" t="s">
        <v>125</v>
      </c>
      <c r="C310" s="62" t="s">
        <v>253</v>
      </c>
      <c r="D310" s="190">
        <f>IFERROR('Παραδοχές διείσδυσης - κάλυψης'!D187/'Παραδοχές διείσδυσης - κάλυψης'!D247,0)</f>
        <v>0.96675019740788681</v>
      </c>
      <c r="E310" s="190">
        <f>IFERROR('Παραδοχές διείσδυσης - κάλυψης'!E187/'Παραδοχές διείσδυσης - κάλυψης'!E247,0)</f>
        <v>0.96675019740788681</v>
      </c>
      <c r="F310" s="161">
        <f t="shared" si="93"/>
        <v>0</v>
      </c>
      <c r="G310" s="191">
        <f>IFERROR('Παραδοχές διείσδυσης - κάλυψης'!F187/'Παραδοχές διείσδυσης - κάλυψης'!F247,0)</f>
        <v>0.96675019740788681</v>
      </c>
      <c r="H310" s="161">
        <f t="shared" si="94"/>
        <v>0</v>
      </c>
      <c r="I310" s="191">
        <f>IFERROR('Παραδοχές διείσδυσης - κάλυψης'!G187/'Παραδοχές διείσδυσης - κάλυψης'!G247,0)</f>
        <v>0.96675019740788681</v>
      </c>
      <c r="J310" s="161">
        <f t="shared" si="95"/>
        <v>0</v>
      </c>
      <c r="K310" s="191">
        <f>IFERROR('Παραδοχές διείσδυσης - κάλυψης'!I187/'Παραδοχές διείσδυσης - κάλυψης'!I247,0)</f>
        <v>0.96675019740788681</v>
      </c>
      <c r="L310" s="161">
        <f t="shared" si="96"/>
        <v>0</v>
      </c>
      <c r="M310" s="192">
        <f t="shared" si="97"/>
        <v>0</v>
      </c>
      <c r="O310" s="191">
        <f>IFERROR('Παραδοχές διείσδυσης - κάλυψης'!I187/'Παραδοχές διείσδυσης - κάλυψης'!I247,0)</f>
        <v>0.96675019740788681</v>
      </c>
      <c r="P310" s="161">
        <f t="shared" si="98"/>
        <v>0</v>
      </c>
      <c r="Q310" s="191">
        <f>IFERROR('Παραδοχές διείσδυσης - κάλυψης'!J187/'Παραδοχές διείσδυσης - κάλυψης'!J247,0)</f>
        <v>0.96675019740788681</v>
      </c>
      <c r="R310" s="161">
        <f t="shared" si="99"/>
        <v>0</v>
      </c>
      <c r="S310" s="191">
        <f>IFERROR('Παραδοχές διείσδυσης - κάλυψης'!K187/'Παραδοχές διείσδυσης - κάλυψης'!K247,0)</f>
        <v>0.96675019740788681</v>
      </c>
      <c r="T310" s="161">
        <f t="shared" si="100"/>
        <v>0</v>
      </c>
      <c r="U310" s="191">
        <f>IFERROR('Παραδοχές διείσδυσης - κάλυψης'!L187/'Παραδοχές διείσδυσης - κάλυψης'!L247,0)</f>
        <v>0.96675019740788681</v>
      </c>
      <c r="V310" s="161">
        <f t="shared" si="101"/>
        <v>0</v>
      </c>
      <c r="W310" s="191">
        <f>IFERROR('Παραδοχές διείσδυσης - κάλυψης'!M187/'Παραδοχές διείσδυσης - κάλυψης'!M247,0)</f>
        <v>0.96675019740788681</v>
      </c>
      <c r="X310" s="161">
        <f t="shared" si="102"/>
        <v>0</v>
      </c>
      <c r="Y310" s="192">
        <f t="shared" si="103"/>
        <v>0</v>
      </c>
    </row>
    <row r="311" spans="2:33" outlineLevel="1" x14ac:dyDescent="0.35">
      <c r="B311" s="294" t="s">
        <v>126</v>
      </c>
      <c r="C311" s="62" t="s">
        <v>253</v>
      </c>
      <c r="D311" s="190">
        <f>IFERROR('Παραδοχές διείσδυσης - κάλυψης'!D188/'Παραδοχές διείσδυσης - κάλυψης'!D248,0)</f>
        <v>0.96614969843616472</v>
      </c>
      <c r="E311" s="190">
        <f>IFERROR('Παραδοχές διείσδυσης - κάλυψης'!E188/'Παραδοχές διείσδυσης - κάλυψης'!E248,0)</f>
        <v>0.96614969843616472</v>
      </c>
      <c r="F311" s="161">
        <f t="shared" si="93"/>
        <v>0</v>
      </c>
      <c r="G311" s="191">
        <f>IFERROR('Παραδοχές διείσδυσης - κάλυψης'!F188/'Παραδοχές διείσδυσης - κάλυψης'!F248,0)</f>
        <v>0.96614969843616472</v>
      </c>
      <c r="H311" s="161">
        <f t="shared" si="94"/>
        <v>0</v>
      </c>
      <c r="I311" s="191">
        <f>IFERROR('Παραδοχές διείσδυσης - κάλυψης'!G188/'Παραδοχές διείσδυσης - κάλυψης'!G248,0)</f>
        <v>0.96614969843616472</v>
      </c>
      <c r="J311" s="161">
        <f t="shared" si="95"/>
        <v>0</v>
      </c>
      <c r="K311" s="191">
        <f>IFERROR('Παραδοχές διείσδυσης - κάλυψης'!I188/'Παραδοχές διείσδυσης - κάλυψης'!I248,0)</f>
        <v>0.96614969843616472</v>
      </c>
      <c r="L311" s="161">
        <f t="shared" si="96"/>
        <v>0</v>
      </c>
      <c r="M311" s="192">
        <f t="shared" si="97"/>
        <v>0</v>
      </c>
      <c r="O311" s="191">
        <f>IFERROR('Παραδοχές διείσδυσης - κάλυψης'!I188/'Παραδοχές διείσδυσης - κάλυψης'!I248,0)</f>
        <v>0.96614969843616472</v>
      </c>
      <c r="P311" s="161">
        <f t="shared" si="98"/>
        <v>0</v>
      </c>
      <c r="Q311" s="191">
        <f>IFERROR('Παραδοχές διείσδυσης - κάλυψης'!J188/'Παραδοχές διείσδυσης - κάλυψης'!J248,0)</f>
        <v>0.96614969843616472</v>
      </c>
      <c r="R311" s="161">
        <f t="shared" si="99"/>
        <v>0</v>
      </c>
      <c r="S311" s="191">
        <f>IFERROR('Παραδοχές διείσδυσης - κάλυψης'!K188/'Παραδοχές διείσδυσης - κάλυψης'!K248,0)</f>
        <v>0.96614969843616472</v>
      </c>
      <c r="T311" s="161">
        <f t="shared" si="100"/>
        <v>0</v>
      </c>
      <c r="U311" s="191">
        <f>IFERROR('Παραδοχές διείσδυσης - κάλυψης'!L188/'Παραδοχές διείσδυσης - κάλυψης'!L248,0)</f>
        <v>0.96614969843616472</v>
      </c>
      <c r="V311" s="161">
        <f t="shared" si="101"/>
        <v>0</v>
      </c>
      <c r="W311" s="191">
        <f>IFERROR('Παραδοχές διείσδυσης - κάλυψης'!M188/'Παραδοχές διείσδυσης - κάλυψης'!M248,0)</f>
        <v>0.96614969843616472</v>
      </c>
      <c r="X311" s="161">
        <f t="shared" si="102"/>
        <v>0</v>
      </c>
      <c r="Y311" s="192">
        <f t="shared" si="103"/>
        <v>0</v>
      </c>
    </row>
    <row r="312" spans="2:33" ht="15" customHeight="1" outlineLevel="1" x14ac:dyDescent="0.35">
      <c r="B312" s="294" t="s">
        <v>127</v>
      </c>
      <c r="C312" s="62" t="s">
        <v>253</v>
      </c>
      <c r="D312" s="190">
        <f>IFERROR('Παραδοχές διείσδυσης - κάλυψης'!D189/'Παραδοχές διείσδυσης - κάλυψης'!D249,0)</f>
        <v>0</v>
      </c>
      <c r="E312" s="190">
        <f>IFERROR('Παραδοχές διείσδυσης - κάλυψης'!E189/'Παραδοχές διείσδυσης - κάλυψης'!E249,0)</f>
        <v>0</v>
      </c>
      <c r="F312" s="161">
        <f t="shared" si="93"/>
        <v>0</v>
      </c>
      <c r="G312" s="191">
        <f>IFERROR('Παραδοχές διείσδυσης - κάλυψης'!F189/'Παραδοχές διείσδυσης - κάλυψης'!F249,0)</f>
        <v>0</v>
      </c>
      <c r="H312" s="161">
        <f t="shared" si="94"/>
        <v>0</v>
      </c>
      <c r="I312" s="191">
        <f>IFERROR('Παραδοχές διείσδυσης - κάλυψης'!G189/'Παραδοχές διείσδυσης - κάλυψης'!G249,0)</f>
        <v>0</v>
      </c>
      <c r="J312" s="161">
        <f t="shared" si="95"/>
        <v>0</v>
      </c>
      <c r="K312" s="191">
        <f>IFERROR('Παραδοχές διείσδυσης - κάλυψης'!I189/'Παραδοχές διείσδυσης - κάλυψης'!I249,0)</f>
        <v>0</v>
      </c>
      <c r="L312" s="161">
        <f t="shared" si="96"/>
        <v>0</v>
      </c>
      <c r="M312" s="192">
        <f t="shared" si="97"/>
        <v>0</v>
      </c>
      <c r="O312" s="191">
        <f>IFERROR('Παραδοχές διείσδυσης - κάλυψης'!I189/'Παραδοχές διείσδυσης - κάλυψης'!I249,0)</f>
        <v>0</v>
      </c>
      <c r="P312" s="161">
        <f t="shared" si="98"/>
        <v>0</v>
      </c>
      <c r="Q312" s="191">
        <f>IFERROR('Παραδοχές διείσδυσης - κάλυψης'!J189/'Παραδοχές διείσδυσης - κάλυψης'!J249,0)</f>
        <v>0</v>
      </c>
      <c r="R312" s="161">
        <f t="shared" si="99"/>
        <v>0</v>
      </c>
      <c r="S312" s="191">
        <f>IFERROR('Παραδοχές διείσδυσης - κάλυψης'!K189/'Παραδοχές διείσδυσης - κάλυψης'!K249,0)</f>
        <v>0</v>
      </c>
      <c r="T312" s="161">
        <f t="shared" si="100"/>
        <v>0</v>
      </c>
      <c r="U312" s="191">
        <f>IFERROR('Παραδοχές διείσδυσης - κάλυψης'!L189/'Παραδοχές διείσδυσης - κάλυψης'!L249,0)</f>
        <v>0</v>
      </c>
      <c r="V312" s="161">
        <f t="shared" si="101"/>
        <v>0</v>
      </c>
      <c r="W312" s="191">
        <f>IFERROR('Παραδοχές διείσδυσης - κάλυψης'!M189/'Παραδοχές διείσδυσης - κάλυψης'!M249,0)</f>
        <v>0</v>
      </c>
      <c r="X312" s="161">
        <f t="shared" si="102"/>
        <v>0</v>
      </c>
      <c r="Y312" s="192">
        <f t="shared" si="103"/>
        <v>0</v>
      </c>
    </row>
    <row r="313" spans="2:33" ht="15" customHeight="1" outlineLevel="1" x14ac:dyDescent="0.35">
      <c r="B313" s="48" t="s">
        <v>138</v>
      </c>
      <c r="C313" s="59" t="s">
        <v>253</v>
      </c>
      <c r="D313" s="190">
        <f>IFERROR('Παραδοχές διείσδυσης - κάλυψης'!D190/'Παραδοχές διείσδυσης - κάλυψης'!D250,0)</f>
        <v>0.94240274275139668</v>
      </c>
      <c r="E313" s="190">
        <f>IFERROR('Παραδοχές διείσδυσης - κάλυψης'!E190/'Παραδοχές διείσδυσης - κάλυψης'!E250,0)</f>
        <v>0.94240274275139668</v>
      </c>
      <c r="F313" s="161">
        <f t="shared" si="93"/>
        <v>0</v>
      </c>
      <c r="G313" s="191">
        <f>IFERROR('Παραδοχές διείσδυσης - κάλυψης'!F190/'Παραδοχές διείσδυσης - κάλυψης'!F250,0)</f>
        <v>0.94240274275139668</v>
      </c>
      <c r="H313" s="161">
        <f t="shared" si="94"/>
        <v>0</v>
      </c>
      <c r="I313" s="191">
        <f>IFERROR('Παραδοχές διείσδυσης - κάλυψης'!G190/'Παραδοχές διείσδυσης - κάλυψης'!G250,0)</f>
        <v>0.94240274275139668</v>
      </c>
      <c r="J313" s="161">
        <f t="shared" si="95"/>
        <v>0</v>
      </c>
      <c r="K313" s="191">
        <f>IFERROR('Παραδοχές διείσδυσης - κάλυψης'!I190/'Παραδοχές διείσδυσης - κάλυψης'!I250,0)</f>
        <v>0.94240274275139668</v>
      </c>
      <c r="L313" s="161">
        <f t="shared" si="96"/>
        <v>0</v>
      </c>
      <c r="M313" s="192">
        <f t="shared" si="97"/>
        <v>0</v>
      </c>
      <c r="O313" s="191">
        <f>IFERROR('Παραδοχές διείσδυσης - κάλυψης'!I190/'Παραδοχές διείσδυσης - κάλυψης'!I250,0)</f>
        <v>0.94240274275139668</v>
      </c>
      <c r="P313" s="161">
        <f t="shared" si="98"/>
        <v>0</v>
      </c>
      <c r="Q313" s="191">
        <f>IFERROR('Παραδοχές διείσδυσης - κάλυψης'!J190/'Παραδοχές διείσδυσης - κάλυψης'!J250,0)</f>
        <v>0.94240274275139668</v>
      </c>
      <c r="R313" s="161">
        <f t="shared" si="99"/>
        <v>0</v>
      </c>
      <c r="S313" s="191">
        <f>IFERROR('Παραδοχές διείσδυσης - κάλυψης'!K190/'Παραδοχές διείσδυσης - κάλυψης'!K250,0)</f>
        <v>0.94240274275139668</v>
      </c>
      <c r="T313" s="161">
        <f t="shared" si="100"/>
        <v>0</v>
      </c>
      <c r="U313" s="191">
        <f>IFERROR('Παραδοχές διείσδυσης - κάλυψης'!L190/'Παραδοχές διείσδυσης - κάλυψης'!L250,0)</f>
        <v>0.94240274275139668</v>
      </c>
      <c r="V313" s="161">
        <f t="shared" si="101"/>
        <v>0</v>
      </c>
      <c r="W313" s="191">
        <f>IFERROR('Παραδοχές διείσδυσης - κάλυψης'!M190/'Παραδοχές διείσδυσης - κάλυψης'!M250,0)</f>
        <v>0.94240274275139668</v>
      </c>
      <c r="X313" s="161">
        <f t="shared" si="102"/>
        <v>0</v>
      </c>
      <c r="Y313" s="192">
        <f t="shared" si="103"/>
        <v>0</v>
      </c>
    </row>
    <row r="315" spans="2:33" ht="15.5" x14ac:dyDescent="0.35">
      <c r="B315" s="419" t="s">
        <v>256</v>
      </c>
      <c r="C315" s="419"/>
      <c r="D315" s="419"/>
      <c r="E315" s="419"/>
      <c r="F315" s="419"/>
      <c r="G315" s="419"/>
      <c r="H315" s="419"/>
      <c r="I315" s="419"/>
      <c r="J315" s="419"/>
      <c r="K315" s="419"/>
      <c r="L315" s="419"/>
      <c r="M315" s="419"/>
      <c r="N315" s="419"/>
      <c r="O315" s="419"/>
      <c r="P315" s="419"/>
      <c r="Q315" s="419"/>
      <c r="R315" s="419"/>
      <c r="S315" s="419"/>
      <c r="T315" s="419"/>
      <c r="U315" s="419"/>
      <c r="V315" s="419"/>
      <c r="W315" s="419"/>
      <c r="X315" s="419"/>
      <c r="Y315" s="419"/>
    </row>
    <row r="316" spans="2:33" ht="5.9" customHeight="1" outlineLevel="1" x14ac:dyDescent="0.35">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row>
    <row r="317" spans="2:33" ht="14.25" customHeight="1" outlineLevel="1" x14ac:dyDescent="0.35">
      <c r="B317" s="447"/>
      <c r="C317" s="450" t="s">
        <v>134</v>
      </c>
      <c r="D317" s="435" t="s">
        <v>169</v>
      </c>
      <c r="E317" s="436"/>
      <c r="F317" s="436"/>
      <c r="G317" s="436"/>
      <c r="H317" s="436"/>
      <c r="I317" s="436"/>
      <c r="J317" s="437"/>
      <c r="K317" s="436" t="s">
        <v>207</v>
      </c>
      <c r="L317" s="437"/>
      <c r="M317" s="522" t="str">
        <f>"Ετήσιος ρυθμός ανάπτυξης (CAGR) "&amp;($C$3-5)&amp;" - "&amp;(($C$3-1))</f>
        <v>Ετήσιος ρυθμός ανάπτυξης (CAGR) 2019 - 2023</v>
      </c>
      <c r="N317" s="103"/>
      <c r="O317" s="525" t="s">
        <v>170</v>
      </c>
      <c r="P317" s="526"/>
      <c r="Q317" s="526"/>
      <c r="R317" s="526"/>
      <c r="S317" s="526"/>
      <c r="T317" s="526"/>
      <c r="U317" s="526"/>
      <c r="V317" s="526"/>
      <c r="W317" s="526"/>
      <c r="X317" s="527"/>
      <c r="Y317" s="522" t="str">
        <f>"Ετήσιος ρυθμός ανάπτυξης (CAGR) "&amp;$C$3&amp;" - "&amp;$E$3</f>
        <v>Ετήσιος ρυθμός ανάπτυξης (CAGR) 2024 - 2028</v>
      </c>
    </row>
    <row r="318" spans="2:33" ht="15.75" customHeight="1" outlineLevel="1" x14ac:dyDescent="0.35">
      <c r="B318" s="448"/>
      <c r="C318" s="451"/>
      <c r="D318" s="295">
        <f>$C$3-5</f>
        <v>2019</v>
      </c>
      <c r="E318" s="435">
        <f>$C$3-4</f>
        <v>2020</v>
      </c>
      <c r="F318" s="437"/>
      <c r="G318" s="435">
        <f>$C$3-3</f>
        <v>2021</v>
      </c>
      <c r="H318" s="437"/>
      <c r="I318" s="435">
        <f>$C$3+-2</f>
        <v>2022</v>
      </c>
      <c r="J318" s="437"/>
      <c r="K318" s="435">
        <f>$C$3-1</f>
        <v>2023</v>
      </c>
      <c r="L318" s="437"/>
      <c r="M318" s="523"/>
      <c r="N318" s="103"/>
      <c r="O318" s="435">
        <f>$C$3</f>
        <v>2024</v>
      </c>
      <c r="P318" s="437"/>
      <c r="Q318" s="435">
        <f>$C$3+1</f>
        <v>2025</v>
      </c>
      <c r="R318" s="437"/>
      <c r="S318" s="435">
        <f>$C$3+2</f>
        <v>2026</v>
      </c>
      <c r="T318" s="437"/>
      <c r="U318" s="435">
        <f>$C$3+3</f>
        <v>2027</v>
      </c>
      <c r="V318" s="437"/>
      <c r="W318" s="435">
        <f>$C$3+4</f>
        <v>2028</v>
      </c>
      <c r="X318" s="437"/>
      <c r="Y318" s="523"/>
    </row>
    <row r="319" spans="2:33" outlineLevel="1" x14ac:dyDescent="0.35">
      <c r="B319" s="449"/>
      <c r="C319" s="452"/>
      <c r="D319" s="79" t="s">
        <v>252</v>
      </c>
      <c r="E319" s="296" t="s">
        <v>252</v>
      </c>
      <c r="F319" s="67" t="s">
        <v>173</v>
      </c>
      <c r="G319" s="295" t="s">
        <v>252</v>
      </c>
      <c r="H319" s="67" t="s">
        <v>173</v>
      </c>
      <c r="I319" s="67" t="s">
        <v>252</v>
      </c>
      <c r="J319" s="67" t="s">
        <v>173</v>
      </c>
      <c r="K319" s="295" t="s">
        <v>252</v>
      </c>
      <c r="L319" s="67" t="s">
        <v>173</v>
      </c>
      <c r="M319" s="524"/>
      <c r="N319" s="52"/>
      <c r="O319" s="193" t="s">
        <v>252</v>
      </c>
      <c r="P319" s="194" t="s">
        <v>173</v>
      </c>
      <c r="Q319" s="193" t="s">
        <v>252</v>
      </c>
      <c r="R319" s="194" t="s">
        <v>173</v>
      </c>
      <c r="S319" s="193" t="s">
        <v>252</v>
      </c>
      <c r="T319" s="194" t="s">
        <v>173</v>
      </c>
      <c r="U319" s="193" t="s">
        <v>252</v>
      </c>
      <c r="V319" s="194" t="s">
        <v>173</v>
      </c>
      <c r="W319" s="193" t="s">
        <v>252</v>
      </c>
      <c r="X319" s="194" t="s">
        <v>173</v>
      </c>
      <c r="Y319" s="524"/>
    </row>
    <row r="320" spans="2:33" outlineLevel="1" x14ac:dyDescent="0.35">
      <c r="B320" s="48" t="s">
        <v>74</v>
      </c>
      <c r="C320" s="62" t="s">
        <v>257</v>
      </c>
      <c r="D320" s="184">
        <f>IFERROR('Διανεμόμενες ποσότητες αερίου'!D15/'Ανάπτυξη δικτύου'!E77,0)</f>
        <v>0.53500542829097519</v>
      </c>
      <c r="E320" s="173">
        <f>IFERROR('Διανεμόμενες ποσότητες αερίου'!E15/'Ανάπτυξη δικτύου'!G77,0)</f>
        <v>0.615837288262995</v>
      </c>
      <c r="F320" s="161">
        <f>IFERROR((E320-D320)/D320,0)</f>
        <v>0.15108605576251743</v>
      </c>
      <c r="G320" s="157">
        <f>IFERROR('Διανεμόμενες ποσότητες αερίου'!G15/'Ανάπτυξη δικτύου'!J77,0)</f>
        <v>0.68722981494889412</v>
      </c>
      <c r="H320" s="161">
        <f>IFERROR((G320-E320)/E320,0)</f>
        <v>0.11592758029846799</v>
      </c>
      <c r="I320" s="168">
        <f>IFERROR('Διανεμόμενες ποσότητες αερίου'!I15/'Ανάπτυξη δικτύου'!M77,0)</f>
        <v>0.51961058090883783</v>
      </c>
      <c r="J320" s="161">
        <f>IFERROR((I320-G320)/G320,0)</f>
        <v>-0.24390564901862022</v>
      </c>
      <c r="K320" s="157">
        <f>IFERROR('Διανεμόμενες ποσότητες αερίου'!K15/'Ανάπτυξη δικτύου'!P77,0)</f>
        <v>0.3882026396202784</v>
      </c>
      <c r="L320" s="161">
        <f>IFERROR((K320-I320)/I320,0)</f>
        <v>-0.2528969696088888</v>
      </c>
      <c r="M320" s="192">
        <f t="shared" ref="M320:M369" si="104">IFERROR((K320/D320)^(1/4)-1,0)</f>
        <v>-7.7056588529084036E-2</v>
      </c>
      <c r="O320" s="158">
        <f>IFERROR('Διανεμόμενες ποσότητες αερίου'!R15/'Ανάπτυξη δικτύου'!V77,0)</f>
        <v>0.64340811711139234</v>
      </c>
      <c r="P320" s="161">
        <f>IFERROR((O320-K320)/K320,0)</f>
        <v>0.65740273621205658</v>
      </c>
      <c r="Q320" s="157">
        <f>IFERROR('Διανεμόμενες ποσότητες αερίου'!X15/'Ανάπτυξη δικτύου'!Y77,0)</f>
        <v>0.59313161658535851</v>
      </c>
      <c r="R320" s="161">
        <f>IFERROR((Q320-O320)/O320,0)</f>
        <v>-7.8140917388099307E-2</v>
      </c>
      <c r="S320" s="157">
        <f>IFERROR('Διανεμόμενες ποσότητες αερίου'!AD15/'Ανάπτυξη δικτύου'!AB77,0)</f>
        <v>0.5616899697298734</v>
      </c>
      <c r="T320" s="161">
        <f>IFERROR((S320-Q320)/Q320,0)</f>
        <v>-5.3009561413188126E-2</v>
      </c>
      <c r="U320" s="157">
        <f>IFERROR('Διανεμόμενες ποσότητες αερίου'!AJ15/'Ανάπτυξη δικτύου'!AE77,0)</f>
        <v>0.61111088443379102</v>
      </c>
      <c r="V320" s="161">
        <f>IFERROR((U320-S320)/S320,0)</f>
        <v>8.798610864937649E-2</v>
      </c>
      <c r="W320" s="157">
        <f>IFERROR('Διανεμόμενες ποσότητες αερίου'!AP15/'Ανάπτυξη δικτύου'!AH77,0)</f>
        <v>0.6307342934398934</v>
      </c>
      <c r="X320" s="161">
        <f>IFERROR((W320-U320)/U320,0)</f>
        <v>3.211104482991485E-2</v>
      </c>
      <c r="Y320" s="192">
        <f>IFERROR((W320/O320)^(1/4)-1,0)</f>
        <v>-4.9612881718537061E-3</v>
      </c>
    </row>
    <row r="321" spans="1:25" s="52" customFormat="1" outlineLevel="1" x14ac:dyDescent="0.35">
      <c r="A321"/>
      <c r="B321" s="48" t="s">
        <v>75</v>
      </c>
      <c r="C321" s="62" t="s">
        <v>257</v>
      </c>
      <c r="D321" s="184">
        <f>IFERROR('Διανεμόμενες ποσότητες αερίου'!D16/'Ανάπτυξη δικτύου'!E78,0)</f>
        <v>1.6937430687382897</v>
      </c>
      <c r="E321" s="173">
        <f>IFERROR('Διανεμόμενες ποσότητες αερίου'!E16/'Ανάπτυξη δικτύου'!G78,0)</f>
        <v>1.8028710405581359</v>
      </c>
      <c r="F321" s="161">
        <f t="shared" ref="F321:F369" si="105">IFERROR((E321-D321)/D321,0)</f>
        <v>6.4430062524854018E-2</v>
      </c>
      <c r="G321" s="157">
        <f>IFERROR('Διανεμόμενες ποσότητες αερίου'!G16/'Ανάπτυξη δικτύου'!J78,0)</f>
        <v>1.856456021341085</v>
      </c>
      <c r="H321" s="161">
        <f t="shared" ref="H321:H369" si="106">IFERROR((G321-E321)/E321,0)</f>
        <v>2.9722026466385651E-2</v>
      </c>
      <c r="I321" s="168">
        <f>IFERROR('Διανεμόμενες ποσότητες αερίου'!I16/'Ανάπτυξη δικτύου'!M78,0)</f>
        <v>1.6482416233063713</v>
      </c>
      <c r="J321" s="161">
        <f t="shared" ref="J321:J369" si="107">IFERROR((I321-G321)/G321,0)</f>
        <v>-0.11215692461397593</v>
      </c>
      <c r="K321" s="157">
        <f>IFERROR('Διανεμόμενες ποσότητες αερίου'!K16/'Ανάπτυξη δικτύου'!P78,0)</f>
        <v>1.3403438374627128</v>
      </c>
      <c r="L321" s="161">
        <f t="shared" ref="L321:L369" si="108">IFERROR((K321-I321)/I321,0)</f>
        <v>-0.18680379228988028</v>
      </c>
      <c r="M321" s="192">
        <f t="shared" si="104"/>
        <v>-5.6825234547955294E-2</v>
      </c>
      <c r="N321"/>
      <c r="O321" s="158">
        <f>IFERROR('Διανεμόμενες ποσότητες αερίου'!R16/'Ανάπτυξη δικτύου'!V78,0)</f>
        <v>2.0823107526766789</v>
      </c>
      <c r="P321" s="161">
        <f t="shared" ref="P321:P369" si="109">IFERROR((O321-K321)/K321,0)</f>
        <v>0.55356461116613065</v>
      </c>
      <c r="Q321" s="157">
        <f>IFERROR('Διανεμόμενες ποσότητες αερίου'!X16/'Ανάπτυξη δικτύου'!Y78,0)</f>
        <v>2.0900638732445165</v>
      </c>
      <c r="R321" s="161">
        <f t="shared" ref="R321:R369" si="110">IFERROR((Q321-O321)/O321,0)</f>
        <v>3.7233254248298271E-3</v>
      </c>
      <c r="S321" s="157">
        <f>IFERROR('Διανεμόμενες ποσότητες αερίου'!AD16/'Ανάπτυξη δικτύου'!AB78,0)</f>
        <v>2.1685145481845387</v>
      </c>
      <c r="T321" s="161">
        <f t="shared" ref="T321:T369" si="111">IFERROR((S321-Q321)/Q321,0)</f>
        <v>3.7535060982724466E-2</v>
      </c>
      <c r="U321" s="157">
        <f>IFERROR('Διανεμόμενες ποσότητες αερίου'!AJ16/'Ανάπτυξη δικτύου'!AE78,0)</f>
        <v>2.2273518362857794</v>
      </c>
      <c r="V321" s="161">
        <f t="shared" ref="V321:V369" si="112">IFERROR((U321-S321)/S321,0)</f>
        <v>2.7132530953273396E-2</v>
      </c>
      <c r="W321" s="157">
        <f>IFERROR('Διανεμόμενες ποσότητες αερίου'!AP16/'Ανάπτυξη δικτύου'!AH78,0)</f>
        <v>2.2992405377136897</v>
      </c>
      <c r="X321" s="161">
        <f t="shared" ref="X321:X326" si="113">IFERROR((W321-U321)/U321,0)</f>
        <v>3.2275413455912907E-2</v>
      </c>
      <c r="Y321" s="192">
        <f t="shared" ref="Y321:Y369" si="114">IFERROR((W321/O321)^(1/4)-1,0)</f>
        <v>2.5084617546713872E-2</v>
      </c>
    </row>
    <row r="322" spans="1:25" s="52" customFormat="1" outlineLevel="1" x14ac:dyDescent="0.35">
      <c r="A322"/>
      <c r="B322" s="48" t="s">
        <v>76</v>
      </c>
      <c r="C322" s="62" t="s">
        <v>257</v>
      </c>
      <c r="D322" s="184">
        <f>IFERROR('Διανεμόμενες ποσότητες αερίου'!D17/'Ανάπτυξη δικτύου'!E79,0)</f>
        <v>0.48454209961148925</v>
      </c>
      <c r="E322" s="173">
        <f>IFERROR('Διανεμόμενες ποσότητες αερίου'!E17/'Ανάπτυξη δικτύου'!G79,0)</f>
        <v>0.45185410276874943</v>
      </c>
      <c r="F322" s="161">
        <f t="shared" si="105"/>
        <v>-6.7461623807197321E-2</v>
      </c>
      <c r="G322" s="157">
        <f>IFERROR('Διανεμόμενες ποσότητες αερίου'!G17/'Ανάπτυξη δικτύου'!J79,0)</f>
        <v>0.45911524899163714</v>
      </c>
      <c r="H322" s="161">
        <f t="shared" si="106"/>
        <v>1.6069669785877379E-2</v>
      </c>
      <c r="I322" s="168">
        <f>IFERROR('Διανεμόμενες ποσότητες αερίου'!I17/'Ανάπτυξη δικτύου'!M79,0)</f>
        <v>0.42617805907219808</v>
      </c>
      <c r="J322" s="161">
        <f t="shared" si="107"/>
        <v>-7.1740570568674389E-2</v>
      </c>
      <c r="K322" s="157">
        <f>IFERROR('Διανεμόμενες ποσότητες αερίου'!K17/'Ανάπτυξη δικτύου'!P79,0)</f>
        <v>0.33947899354219896</v>
      </c>
      <c r="L322" s="161">
        <f t="shared" si="108"/>
        <v>-0.20343390206137191</v>
      </c>
      <c r="M322" s="192">
        <f t="shared" si="104"/>
        <v>-8.5106910414744386E-2</v>
      </c>
      <c r="N322"/>
      <c r="O322" s="158">
        <f>IFERROR('Διανεμόμενες ποσότητες αερίου'!R17/'Ανάπτυξη δικτύου'!V79,0)</f>
        <v>0.66971355937072108</v>
      </c>
      <c r="P322" s="161">
        <f t="shared" si="109"/>
        <v>0.97276877836469811</v>
      </c>
      <c r="Q322" s="157">
        <f>IFERROR('Διανεμόμενες ποσότητες αερίου'!X17/'Ανάπτυξη δικτύου'!Y79,0)</f>
        <v>0.67252748604415236</v>
      </c>
      <c r="R322" s="161">
        <f t="shared" si="110"/>
        <v>4.2016868765137596E-3</v>
      </c>
      <c r="S322" s="157">
        <f>IFERROR('Διανεμόμενες ποσότητες αερίου'!AD17/'Ανάπτυξη δικτύου'!AB79,0)</f>
        <v>0.65433528833629839</v>
      </c>
      <c r="T322" s="161">
        <f t="shared" si="111"/>
        <v>-2.7050489512126231E-2</v>
      </c>
      <c r="U322" s="157">
        <f>IFERROR('Διανεμόμενες ποσότητες αερίου'!AJ17/'Ανάπτυξη δικτύου'!AE79,0)</f>
        <v>0.6890380594314206</v>
      </c>
      <c r="V322" s="161">
        <f t="shared" si="112"/>
        <v>5.3035151418100765E-2</v>
      </c>
      <c r="W322" s="157">
        <f>IFERROR('Διανεμόμενες ποσότητες αερίου'!AP17/'Ανάπτυξη δικτύου'!AH79,0)</f>
        <v>0.70712518632215882</v>
      </c>
      <c r="X322" s="161">
        <f t="shared" si="113"/>
        <v>2.6249822695807723E-2</v>
      </c>
      <c r="Y322" s="192">
        <f t="shared" si="114"/>
        <v>1.3682160528982967E-2</v>
      </c>
    </row>
    <row r="323" spans="1:25" outlineLevel="1" x14ac:dyDescent="0.35">
      <c r="B323" s="48" t="s">
        <v>77</v>
      </c>
      <c r="C323" s="62" t="s">
        <v>257</v>
      </c>
      <c r="D323" s="184">
        <f>IFERROR('Διανεμόμενες ποσότητες αερίου'!D18/'Ανάπτυξη δικτύου'!E80,0)</f>
        <v>0.30263217448175406</v>
      </c>
      <c r="E323" s="173">
        <f>IFERROR('Διανεμόμενες ποσότητες αερίου'!E18/'Ανάπτυξη δικτύου'!G80,0)</f>
        <v>0.29952189949104635</v>
      </c>
      <c r="F323" s="161">
        <f t="shared" si="105"/>
        <v>-1.0277410179647728E-2</v>
      </c>
      <c r="G323" s="157">
        <f>IFERROR('Διανεμόμενες ποσότητες αερίου'!G18/'Ανάπτυξη δικτύου'!J80,0)</f>
        <v>0.30211199023488494</v>
      </c>
      <c r="H323" s="161">
        <f t="shared" si="106"/>
        <v>8.6474169275759984E-3</v>
      </c>
      <c r="I323" s="168">
        <f>IFERROR('Διανεμόμενες ποσότητες αερίου'!I18/'Ανάπτυξη δικτύου'!M80,0)</f>
        <v>0.33022019924551771</v>
      </c>
      <c r="J323" s="161">
        <f t="shared" si="107"/>
        <v>9.3039038234726465E-2</v>
      </c>
      <c r="K323" s="157">
        <f>IFERROR('Διανεμόμενες ποσότητες αερίου'!K18/'Ανάπτυξη δικτύου'!P80,0)</f>
        <v>0.2348733336048186</v>
      </c>
      <c r="L323" s="161">
        <f t="shared" si="108"/>
        <v>-0.28873723006208052</v>
      </c>
      <c r="M323" s="192">
        <f t="shared" si="104"/>
        <v>-6.1401937525857209E-2</v>
      </c>
      <c r="O323" s="158">
        <f>IFERROR('Διανεμόμενες ποσότητες αερίου'!R18/'Ανάπτυξη δικτύου'!V80,0)</f>
        <v>0.40506313883880807</v>
      </c>
      <c r="P323" s="161">
        <f t="shared" si="109"/>
        <v>0.72460250221653044</v>
      </c>
      <c r="Q323" s="157">
        <f>IFERROR('Διανεμόμενες ποσότητες αερίου'!X18/'Ανάπτυξη δικτύου'!Y80,0)</f>
        <v>0.42665963889989228</v>
      </c>
      <c r="R323" s="161">
        <f t="shared" si="110"/>
        <v>5.3316379572317447E-2</v>
      </c>
      <c r="S323" s="157">
        <f>IFERROR('Διανεμόμενες ποσότητες αερίου'!AD18/'Ανάπτυξη δικτύου'!AB80,0)</f>
        <v>0.4225848099165555</v>
      </c>
      <c r="T323" s="161">
        <f t="shared" si="111"/>
        <v>-9.55053773973886E-3</v>
      </c>
      <c r="U323" s="157">
        <f>IFERROR('Διανεμόμενες ποσότητες αερίου'!AJ18/'Ανάπτυξη δικτύου'!AE80,0)</f>
        <v>0.43770595786200467</v>
      </c>
      <c r="V323" s="161">
        <f t="shared" si="112"/>
        <v>3.5782516528303561E-2</v>
      </c>
      <c r="W323" s="157">
        <f>IFERROR('Διανεμόμενες ποσότητες αερίου'!AP18/'Ανάπτυξη δικτύου'!AH80,0)</f>
        <v>0.464632568663778</v>
      </c>
      <c r="X323" s="161">
        <f t="shared" si="113"/>
        <v>6.1517578909132578E-2</v>
      </c>
      <c r="Y323" s="192">
        <f t="shared" si="114"/>
        <v>3.4896054509990559E-2</v>
      </c>
    </row>
    <row r="324" spans="1:25" s="52" customFormat="1" outlineLevel="1" x14ac:dyDescent="0.35">
      <c r="A324"/>
      <c r="B324" s="48" t="s">
        <v>78</v>
      </c>
      <c r="C324" s="62" t="s">
        <v>257</v>
      </c>
      <c r="D324" s="184">
        <f>IFERROR('Διανεμόμενες ποσότητες αερίου'!D19/'Ανάπτυξη δικτύου'!E81,0)</f>
        <v>1.2784716990841722</v>
      </c>
      <c r="E324" s="173">
        <f>IFERROR('Διανεμόμενες ποσότητες αερίου'!E19/'Ανάπτυξη δικτύου'!G81,0)</f>
        <v>1.235172407847464</v>
      </c>
      <c r="F324" s="161">
        <f t="shared" si="105"/>
        <v>-3.3868009176679897E-2</v>
      </c>
      <c r="G324" s="157">
        <f>IFERROR('Διανεμόμενες ποσότητες αερίου'!G19/'Ανάπτυξη δικτύου'!J81,0)</f>
        <v>1.2833219182208258</v>
      </c>
      <c r="H324" s="161">
        <f t="shared" si="106"/>
        <v>3.8982015844469829E-2</v>
      </c>
      <c r="I324" s="168">
        <f>IFERROR('Διανεμόμενες ποσότητες αερίου'!I19/'Ανάπτυξη δικτύου'!M81,0)</f>
        <v>1.1843979755577529</v>
      </c>
      <c r="J324" s="161">
        <f t="shared" si="107"/>
        <v>-7.7084277341899654E-2</v>
      </c>
      <c r="K324" s="157">
        <f>IFERROR('Διανεμόμενες ποσότητες αερίου'!K19/'Ανάπτυξη δικτύου'!P81,0)</f>
        <v>0.98975639422707851</v>
      </c>
      <c r="L324" s="161">
        <f t="shared" si="108"/>
        <v>-0.16433798887490875</v>
      </c>
      <c r="M324" s="192">
        <f t="shared" si="104"/>
        <v>-6.1986045302889203E-2</v>
      </c>
      <c r="N324"/>
      <c r="O324" s="158">
        <f>IFERROR('Διανεμόμενες ποσότητες αερίου'!R19/'Ανάπτυξη δικτύου'!V81,0)</f>
        <v>1.3222713669390338</v>
      </c>
      <c r="P324" s="161">
        <f t="shared" si="109"/>
        <v>0.33595637739892875</v>
      </c>
      <c r="Q324" s="157">
        <f>IFERROR('Διανεμόμενες ποσότητες αερίου'!X19/'Ανάπτυξη δικτύου'!Y81,0)</f>
        <v>1.3582146797505936</v>
      </c>
      <c r="R324" s="161">
        <f t="shared" si="110"/>
        <v>2.7183007747317477E-2</v>
      </c>
      <c r="S324" s="157">
        <f>IFERROR('Διανεμόμενες ποσότητες αερίου'!AD19/'Ανάπτυξη δικτύου'!AB81,0)</f>
        <v>1.3913292814787315</v>
      </c>
      <c r="T324" s="161">
        <f t="shared" si="111"/>
        <v>2.4380977633240292E-2</v>
      </c>
      <c r="U324" s="157">
        <f>IFERROR('Διανεμόμενες ποσότητες αερίου'!AJ19/'Ανάπτυξη δικτύου'!AE81,0)</f>
        <v>1.4160321469483563</v>
      </c>
      <c r="V324" s="161">
        <f t="shared" si="112"/>
        <v>1.7754866370216962E-2</v>
      </c>
      <c r="W324" s="157">
        <f>IFERROR('Διανεμόμενες ποσότητες αερίου'!AP19/'Ανάπτυξη δικτύου'!AH81,0)</f>
        <v>1.4460970106880202</v>
      </c>
      <c r="X324" s="161">
        <f t="shared" si="113"/>
        <v>2.1231766386416911E-2</v>
      </c>
      <c r="Y324" s="192">
        <f t="shared" si="114"/>
        <v>2.2631600224926052E-2</v>
      </c>
    </row>
    <row r="325" spans="1:25" outlineLevel="1" x14ac:dyDescent="0.35">
      <c r="B325" s="48" t="s">
        <v>79</v>
      </c>
      <c r="C325" s="62" t="s">
        <v>257</v>
      </c>
      <c r="D325" s="184">
        <f>IFERROR('Διανεμόμενες ποσότητες αερίου'!D20/'Ανάπτυξη δικτύου'!E82,0)</f>
        <v>2.1414640303517616</v>
      </c>
      <c r="E325" s="173">
        <f>IFERROR('Διανεμόμενες ποσότητες αερίου'!E20/'Ανάπτυξη δικτύου'!G82,0)</f>
        <v>2.0804915907693391</v>
      </c>
      <c r="F325" s="161">
        <f t="shared" si="105"/>
        <v>-2.8472315536585045E-2</v>
      </c>
      <c r="G325" s="157">
        <f>IFERROR('Διανεμόμενες ποσότητες αερίου'!G20/'Ανάπτυξη δικτύου'!J82,0)</f>
        <v>2.1299136762503865</v>
      </c>
      <c r="H325" s="161">
        <f t="shared" si="106"/>
        <v>2.3755003721390566E-2</v>
      </c>
      <c r="I325" s="168">
        <f>IFERROR('Διανεμόμενες ποσότητες αερίου'!I20/'Ανάπτυξη δικτύου'!M82,0)</f>
        <v>2.1102168973478621</v>
      </c>
      <c r="J325" s="161">
        <f t="shared" si="107"/>
        <v>-9.2476888252108289E-3</v>
      </c>
      <c r="K325" s="157">
        <f>IFERROR('Διανεμόμενες ποσότητες αερίου'!K20/'Ανάπτυξη δικτύου'!P82,0)</f>
        <v>1.9252636939493777</v>
      </c>
      <c r="L325" s="161">
        <f t="shared" si="108"/>
        <v>-8.7646537012823239E-2</v>
      </c>
      <c r="M325" s="192">
        <f t="shared" si="104"/>
        <v>-2.6255855151316898E-2</v>
      </c>
      <c r="O325" s="158">
        <f>IFERROR('Διανεμόμενες ποσότητες αερίου'!R20/'Ανάπτυξη δικτύου'!V82,0)</f>
        <v>2.1544645095670543</v>
      </c>
      <c r="P325" s="161">
        <f t="shared" si="109"/>
        <v>0.11904905096273172</v>
      </c>
      <c r="Q325" s="157">
        <f>IFERROR('Διανεμόμενες ποσότητες αερίου'!X20/'Ανάπτυξη δικτύου'!Y82,0)</f>
        <v>2.1750306226818639</v>
      </c>
      <c r="R325" s="161">
        <f t="shared" si="110"/>
        <v>9.5458119748477177E-3</v>
      </c>
      <c r="S325" s="157">
        <f>IFERROR('Διανεμόμενες ποσότητες αερίου'!AD20/'Ανάπτυξη δικτύου'!AB82,0)</f>
        <v>2.1975485497789076</v>
      </c>
      <c r="T325" s="161">
        <f t="shared" si="111"/>
        <v>1.0352924166777277E-2</v>
      </c>
      <c r="U325" s="157">
        <f>IFERROR('Διανεμόμενες ποσότητες αερίου'!AJ20/'Ανάπτυξη δικτύου'!AE82,0)</f>
        <v>2.2193894317824965</v>
      </c>
      <c r="V325" s="161">
        <f t="shared" si="112"/>
        <v>9.9387483410941224E-3</v>
      </c>
      <c r="W325" s="157">
        <f>IFERROR('Διανεμόμενες ποσότητες αερίου'!AP20/'Ανάπτυξη δικτύου'!AH82,0)</f>
        <v>2.1826326826600648</v>
      </c>
      <c r="X325" s="161">
        <f t="shared" si="113"/>
        <v>-1.6561649161729391E-2</v>
      </c>
      <c r="Y325" s="192">
        <f t="shared" si="114"/>
        <v>3.252677395471304E-3</v>
      </c>
    </row>
    <row r="326" spans="1:25" outlineLevel="1" x14ac:dyDescent="0.35">
      <c r="B326" s="48" t="s">
        <v>80</v>
      </c>
      <c r="C326" s="62" t="s">
        <v>257</v>
      </c>
      <c r="D326" s="184">
        <f>IFERROR('Διανεμόμενες ποσότητες αερίου'!D21/'Ανάπτυξη δικτύου'!E83,0)</f>
        <v>0.73191877600598865</v>
      </c>
      <c r="E326" s="173">
        <f>IFERROR('Διανεμόμενες ποσότητες αερίου'!E21/'Ανάπτυξη δικτύου'!G83,0)</f>
        <v>0.63464464003394661</v>
      </c>
      <c r="F326" s="161">
        <f t="shared" si="105"/>
        <v>-0.13290291103455193</v>
      </c>
      <c r="G326" s="157">
        <f>IFERROR('Διανεμόμενες ποσότητες αερίου'!G21/'Ανάπτυξη δικτύου'!J83,0)</f>
        <v>0.56855059730906798</v>
      </c>
      <c r="H326" s="161">
        <f t="shared" si="106"/>
        <v>-0.10414338758355118</v>
      </c>
      <c r="I326" s="168">
        <f>IFERROR('Διανεμόμενες ποσότητες αερίου'!I21/'Ανάπτυξη δικτύου'!M83,0)</f>
        <v>0.56956051694617371</v>
      </c>
      <c r="J326" s="161">
        <f t="shared" si="107"/>
        <v>1.7763056478801449E-3</v>
      </c>
      <c r="K326" s="157">
        <f>IFERROR('Διανεμόμενες ποσότητες αερίου'!K21/'Ανάπτυξη δικτύου'!P83,0)</f>
        <v>0.42173472129379891</v>
      </c>
      <c r="L326" s="161">
        <f t="shared" si="108"/>
        <v>-0.25954361521577357</v>
      </c>
      <c r="M326" s="192">
        <f t="shared" si="104"/>
        <v>-0.12874733932717541</v>
      </c>
      <c r="O326" s="158">
        <f>IFERROR('Διανεμόμενες ποσότητες αερίου'!R21/'Ανάπτυξη δικτύου'!V83,0)</f>
        <v>0.64392568336365863</v>
      </c>
      <c r="P326" s="161">
        <f t="shared" si="109"/>
        <v>0.52685005727823808</v>
      </c>
      <c r="Q326" s="157">
        <f>IFERROR('Διανεμόμενες ποσότητες αερίου'!X21/'Ανάπτυξη δικτύου'!Y83,0)</f>
        <v>0.67331240072064547</v>
      </c>
      <c r="R326" s="161">
        <f t="shared" si="110"/>
        <v>4.5636815111147873E-2</v>
      </c>
      <c r="S326" s="157">
        <f>IFERROR('Διανεμόμενες ποσότητες αερίου'!AD21/'Ανάπτυξη δικτύου'!AB83,0)</f>
        <v>0.71496943968960724</v>
      </c>
      <c r="T326" s="161">
        <f t="shared" si="111"/>
        <v>6.1868812937911584E-2</v>
      </c>
      <c r="U326" s="157">
        <f>IFERROR('Διανεμόμενες ποσότητες αερίου'!AJ21/'Ανάπτυξη δικτύου'!AE83,0)</f>
        <v>0.75764914409826367</v>
      </c>
      <c r="V326" s="161">
        <f t="shared" si="112"/>
        <v>5.9694445719505371E-2</v>
      </c>
      <c r="W326" s="157">
        <f>IFERROR('Διανεμόμενες ποσότητες αερίου'!AP21/'Ανάπτυξη δικτύου'!AH83,0)</f>
        <v>0.77734026400495626</v>
      </c>
      <c r="X326" s="161">
        <f t="shared" si="113"/>
        <v>2.5989760643270441E-2</v>
      </c>
      <c r="Y326" s="192">
        <f t="shared" si="114"/>
        <v>4.8199272611128885E-2</v>
      </c>
    </row>
    <row r="327" spans="1:25" outlineLevel="1" x14ac:dyDescent="0.35">
      <c r="B327" s="48" t="s">
        <v>81</v>
      </c>
      <c r="C327" s="62" t="s">
        <v>257</v>
      </c>
      <c r="D327" s="184">
        <f>IFERROR('Διανεμόμενες ποσότητες αερίου'!D22/'Ανάπτυξη δικτύου'!E84,0)</f>
        <v>1.7530630674371153</v>
      </c>
      <c r="E327" s="173">
        <f>IFERROR('Διανεμόμενες ποσότητες αερίου'!E22/'Ανάπτυξη δικτύου'!G84,0)</f>
        <v>1.7837176066203626</v>
      </c>
      <c r="F327" s="161">
        <f t="shared" si="105"/>
        <v>1.7486272885813881E-2</v>
      </c>
      <c r="G327" s="157">
        <f>IFERROR('Διανεμόμενες ποσότητες αερίου'!G22/'Ανάπτυξη δικτύου'!J84,0)</f>
        <v>1.7408188318267055</v>
      </c>
      <c r="H327" s="161">
        <f t="shared" si="106"/>
        <v>-2.4050205388137694E-2</v>
      </c>
      <c r="I327" s="168">
        <f>IFERROR('Διανεμόμενες ποσότητες αερίου'!I22/'Ανάπτυξη δικτύου'!M84,0)</f>
        <v>1.5296251488384771</v>
      </c>
      <c r="J327" s="161">
        <f t="shared" si="107"/>
        <v>-0.1213185881994481</v>
      </c>
      <c r="K327" s="157">
        <f>IFERROR('Διανεμόμενες ποσότητες αερίου'!K22/'Ανάπτυξη δικτύου'!P84,0)</f>
        <v>1.343457715722814</v>
      </c>
      <c r="L327" s="161">
        <f t="shared" si="108"/>
        <v>-0.12170787938275568</v>
      </c>
      <c r="M327" s="192">
        <f t="shared" si="104"/>
        <v>-6.4364663992083848E-2</v>
      </c>
      <c r="O327" s="158">
        <f>IFERROR('Διανεμόμενες ποσότητες αερίου'!R22/'Ανάπτυξη δικτύου'!V84,0)</f>
        <v>1.6542170669811957</v>
      </c>
      <c r="P327" s="161">
        <f t="shared" si="109"/>
        <v>0.23131308683666713</v>
      </c>
      <c r="Q327" s="157">
        <f>IFERROR('Διανεμόμενες ποσότητες αερίου'!X22/'Ανάπτυξη δικτύου'!Y84,0)</f>
        <v>1.6916775327123559</v>
      </c>
      <c r="R327" s="161">
        <f t="shared" si="110"/>
        <v>2.2645435401970716E-2</v>
      </c>
      <c r="S327" s="157">
        <f>IFERROR('Διανεμόμενες ποσότητες αερίου'!AD22/'Ανάπτυξη δικτύου'!AB84,0)</f>
        <v>1.7368582814062536</v>
      </c>
      <c r="T327" s="161">
        <f t="shared" si="111"/>
        <v>2.6707660189502599E-2</v>
      </c>
      <c r="U327" s="157">
        <f>IFERROR('Διανεμόμενες ποσότητες αερίου'!AJ22/'Ανάπτυξη δικτύου'!AE84,0)</f>
        <v>1.7840802707223791</v>
      </c>
      <c r="V327" s="161">
        <f t="shared" si="112"/>
        <v>2.7188164873124806E-2</v>
      </c>
      <c r="W327" s="157">
        <f>IFERROR('Διανεμόμενες ποσότητες αερίου'!AP22/'Ανάπτυξη δικτύου'!AH84,0)</f>
        <v>1.8176795663123222</v>
      </c>
      <c r="X327" s="161">
        <f t="shared" ref="X327:X369" si="115">IFERROR((W327-U327)/U327,0)</f>
        <v>1.8832838489009619E-2</v>
      </c>
      <c r="Y327" s="192">
        <f t="shared" si="114"/>
        <v>2.3837911584923654E-2</v>
      </c>
    </row>
    <row r="328" spans="1:25" outlineLevel="1" x14ac:dyDescent="0.35">
      <c r="B328" s="48" t="s">
        <v>82</v>
      </c>
      <c r="C328" s="62" t="s">
        <v>257</v>
      </c>
      <c r="D328" s="184">
        <f>IFERROR('Διανεμόμενες ποσότητες αερίου'!D23/'Ανάπτυξη δικτύου'!E85,0)</f>
        <v>20.608993932720381</v>
      </c>
      <c r="E328" s="173">
        <f>IFERROR('Διανεμόμενες ποσότητες αερίου'!E23/'Ανάπτυξη δικτύου'!G85,0)</f>
        <v>19.177192166955226</v>
      </c>
      <c r="F328" s="161">
        <f t="shared" si="105"/>
        <v>-6.9474607564026639E-2</v>
      </c>
      <c r="G328" s="157">
        <f>IFERROR('Διανεμόμενες ποσότητες αερίου'!G23/'Ανάπτυξη δικτύου'!J85,0)</f>
        <v>17.981773556980141</v>
      </c>
      <c r="H328" s="161">
        <f t="shared" si="106"/>
        <v>-6.2335434695958564E-2</v>
      </c>
      <c r="I328" s="168">
        <f>IFERROR('Διανεμόμενες ποσότητες αερίου'!I23/'Ανάπτυξη δικτύου'!M85,0)</f>
        <v>14.234993039730584</v>
      </c>
      <c r="J328" s="161">
        <f t="shared" si="107"/>
        <v>-0.20836545991288696</v>
      </c>
      <c r="K328" s="157">
        <f>IFERROR('Διανεμόμενες ποσότητες αερίου'!K23/'Ανάπτυξη δικτύου'!P85,0)</f>
        <v>22.651891987050959</v>
      </c>
      <c r="L328" s="161">
        <f t="shared" si="108"/>
        <v>0.59128226644216719</v>
      </c>
      <c r="M328" s="192">
        <f t="shared" si="104"/>
        <v>2.3910325646683717E-2</v>
      </c>
      <c r="O328" s="158">
        <f>IFERROR('Διανεμόμενες ποσότητες αερίου'!R23/'Ανάπτυξη δικτύου'!V85,0)</f>
        <v>22.092522355994141</v>
      </c>
      <c r="P328" s="161">
        <f t="shared" si="109"/>
        <v>-2.4694168212376411E-2</v>
      </c>
      <c r="Q328" s="157">
        <f>IFERROR('Διανεμόμενες ποσότητες αερίου'!X23/'Ανάπτυξη δικτύου'!Y85,0)</f>
        <v>22.092522355994141</v>
      </c>
      <c r="R328" s="161">
        <f t="shared" si="110"/>
        <v>0</v>
      </c>
      <c r="S328" s="157">
        <f>IFERROR('Διανεμόμενες ποσότητες αερίου'!AD23/'Ανάπτυξη δικτύου'!AB85,0)</f>
        <v>22.092522355994141</v>
      </c>
      <c r="T328" s="161">
        <f t="shared" si="111"/>
        <v>0</v>
      </c>
      <c r="U328" s="157">
        <f>IFERROR('Διανεμόμενες ποσότητες αερίου'!AJ23/'Ανάπτυξη δικτύου'!AE85,0)</f>
        <v>22.092522355994141</v>
      </c>
      <c r="V328" s="161">
        <f t="shared" si="112"/>
        <v>0</v>
      </c>
      <c r="W328" s="157">
        <f>IFERROR('Διανεμόμενες ποσότητες αερίου'!AP23/'Ανάπτυξη δικτύου'!AH85,0)</f>
        <v>22.092522355994141</v>
      </c>
      <c r="X328" s="161">
        <f t="shared" si="115"/>
        <v>0</v>
      </c>
      <c r="Y328" s="192">
        <f t="shared" si="114"/>
        <v>0</v>
      </c>
    </row>
    <row r="329" spans="1:25" outlineLevel="1" x14ac:dyDescent="0.35">
      <c r="B329" s="48" t="s">
        <v>83</v>
      </c>
      <c r="C329" s="62" t="s">
        <v>257</v>
      </c>
      <c r="D329" s="184">
        <f>IFERROR('Διανεμόμενες ποσότητες αερίου'!D24/'Ανάπτυξη δικτύου'!E86,0)</f>
        <v>0.77393464204568452</v>
      </c>
      <c r="E329" s="173">
        <f>IFERROR('Διανεμόμενες ποσότητες αερίου'!E24/'Ανάπτυξη δικτύου'!G86,0)</f>
        <v>0.84119621927005273</v>
      </c>
      <c r="F329" s="161">
        <f t="shared" si="105"/>
        <v>8.690860128263625E-2</v>
      </c>
      <c r="G329" s="157">
        <f>IFERROR('Διανεμόμενες ποσότητες αερίου'!G24/'Ανάπτυξη δικτύου'!J86,0)</f>
        <v>0.98772116110690911</v>
      </c>
      <c r="H329" s="161">
        <f t="shared" si="106"/>
        <v>0.1741864008423662</v>
      </c>
      <c r="I329" s="168">
        <f>IFERROR('Διανεμόμενες ποσότητες αερίου'!I24/'Ανάπτυξη δικτύου'!M86,0)</f>
        <v>1.0689423731021637</v>
      </c>
      <c r="J329" s="161">
        <f t="shared" si="107"/>
        <v>8.2230912117173247E-2</v>
      </c>
      <c r="K329" s="157">
        <f>IFERROR('Διανεμόμενες ποσότητες αερίου'!K24/'Ανάπτυξη δικτύου'!P86,0)</f>
        <v>0.82983061897512156</v>
      </c>
      <c r="L329" s="161">
        <f t="shared" si="108"/>
        <v>-0.2236900324505979</v>
      </c>
      <c r="M329" s="192">
        <f t="shared" si="104"/>
        <v>1.7586395746446826E-2</v>
      </c>
      <c r="O329" s="158">
        <f>IFERROR('Διανεμόμενες ποσότητες αερίου'!R24/'Ανάπτυξη δικτύου'!V86,0)</f>
        <v>0.92880764850297626</v>
      </c>
      <c r="P329" s="161">
        <f t="shared" si="109"/>
        <v>0.1192737737854212</v>
      </c>
      <c r="Q329" s="157">
        <f>IFERROR('Διανεμόμενες ποσότητες αερίου'!X24/'Ανάπτυξη δικτύου'!Y86,0)</f>
        <v>0.8709536025029706</v>
      </c>
      <c r="R329" s="161">
        <f t="shared" si="110"/>
        <v>-6.2288511612983627E-2</v>
      </c>
      <c r="S329" s="157">
        <f>IFERROR('Διανεμόμενες ποσότητες αερίου'!AD24/'Ανάπτυξη δικτύου'!AB86,0)</f>
        <v>0.8706019875710711</v>
      </c>
      <c r="T329" s="161">
        <f t="shared" si="111"/>
        <v>-4.0371258685769409E-4</v>
      </c>
      <c r="U329" s="157">
        <f>IFERROR('Διανεμόμενες ποσότητες αερίου'!AJ24/'Ανάπτυξη δικτύου'!AE86,0)</f>
        <v>0.81861566571405542</v>
      </c>
      <c r="V329" s="161">
        <f t="shared" si="112"/>
        <v>-5.9713075089633666E-2</v>
      </c>
      <c r="W329" s="157">
        <f>IFERROR('Διανεμόμενες ποσότητες αερίου'!AP24/'Ανάπτυξη δικτύου'!AH86,0)</f>
        <v>0.81303921317661743</v>
      </c>
      <c r="X329" s="161">
        <f t="shared" si="115"/>
        <v>-6.8120520666725935E-3</v>
      </c>
      <c r="Y329" s="192">
        <f t="shared" si="114"/>
        <v>-3.2732875289713692E-2</v>
      </c>
    </row>
    <row r="330" spans="1:25" outlineLevel="1" x14ac:dyDescent="0.35">
      <c r="B330" s="48" t="s">
        <v>84</v>
      </c>
      <c r="C330" s="62" t="s">
        <v>257</v>
      </c>
      <c r="D330" s="184">
        <f>IFERROR('Διανεμόμενες ποσότητες αερίου'!D25/'Ανάπτυξη δικτύου'!E87,0)</f>
        <v>0.58885659943444002</v>
      </c>
      <c r="E330" s="173">
        <f>IFERROR('Διανεμόμενες ποσότητες αερίου'!E25/'Ανάπτυξη δικτύου'!G87,0)</f>
        <v>0.62104611482665251</v>
      </c>
      <c r="F330" s="161">
        <f t="shared" si="105"/>
        <v>5.4664438546037364E-2</v>
      </c>
      <c r="G330" s="157">
        <f>IFERROR('Διανεμόμενες ποσότητες αερίου'!G25/'Ανάπτυξη δικτύου'!J87,0)</f>
        <v>0.60559998748105948</v>
      </c>
      <c r="H330" s="161">
        <f t="shared" si="106"/>
        <v>-2.4871143988887814E-2</v>
      </c>
      <c r="I330" s="168">
        <f>IFERROR('Διανεμόμενες ποσότητες αερίου'!I25/'Ανάπτυξη δικτύου'!M87,0)</f>
        <v>0.57666745519471008</v>
      </c>
      <c r="J330" s="161">
        <f t="shared" si="107"/>
        <v>-4.7774988250399004E-2</v>
      </c>
      <c r="K330" s="157">
        <f>IFERROR('Διανεμόμενες ποσότητες αερίου'!K25/'Ανάπτυξη δικτύου'!P87,0)</f>
        <v>0.49829736423138149</v>
      </c>
      <c r="L330" s="161">
        <f t="shared" si="108"/>
        <v>-0.13590170601333337</v>
      </c>
      <c r="M330" s="192">
        <f t="shared" si="104"/>
        <v>-4.0887036910286279E-2</v>
      </c>
      <c r="O330" s="158">
        <f>IFERROR('Διανεμόμενες ποσότητες αερίου'!R25/'Ανάπτυξη δικτύου'!V87,0)</f>
        <v>0.69943864838290992</v>
      </c>
      <c r="P330" s="161">
        <f t="shared" si="109"/>
        <v>0.40365713044014745</v>
      </c>
      <c r="Q330" s="157">
        <f>IFERROR('Διανεμόμενες ποσότητες αερίου'!X25/'Ανάπτυξη δικτύου'!Y87,0)</f>
        <v>0.74882285198318521</v>
      </c>
      <c r="R330" s="161">
        <f t="shared" si="110"/>
        <v>7.060548300333519E-2</v>
      </c>
      <c r="S330" s="157">
        <f>IFERROR('Διανεμόμενες ποσότητες αερίου'!AD25/'Ανάπτυξη δικτύου'!AB87,0)</f>
        <v>0.71690650344318785</v>
      </c>
      <c r="T330" s="161">
        <f t="shared" si="111"/>
        <v>-4.2622027967589383E-2</v>
      </c>
      <c r="U330" s="157">
        <f>IFERROR('Διανεμόμενες ποσότητες αερίου'!AJ25/'Ανάπτυξη δικτύου'!AE87,0)</f>
        <v>0.69794544857854612</v>
      </c>
      <c r="V330" s="161">
        <f t="shared" si="112"/>
        <v>-2.6448434731132713E-2</v>
      </c>
      <c r="W330" s="157">
        <f>IFERROR('Διανεμόμενες ποσότητες αερίου'!AP25/'Ανάπτυξη δικτύου'!AH87,0)</f>
        <v>0.7340789626008587</v>
      </c>
      <c r="X330" s="161">
        <f t="shared" si="115"/>
        <v>5.1771258192030663E-2</v>
      </c>
      <c r="Y330" s="192">
        <f t="shared" si="114"/>
        <v>1.2157943879969046E-2</v>
      </c>
    </row>
    <row r="331" spans="1:25" outlineLevel="1" x14ac:dyDescent="0.35">
      <c r="B331" s="48" t="s">
        <v>85</v>
      </c>
      <c r="C331" s="62" t="s">
        <v>257</v>
      </c>
      <c r="D331" s="184">
        <f>IFERROR('Διανεμόμενες ποσότητες αερίου'!D26/'Ανάπτυξη δικτύου'!E88,0)</f>
        <v>0.89315401139490291</v>
      </c>
      <c r="E331" s="173">
        <f>IFERROR('Διανεμόμενες ποσότητες αερίου'!E26/'Ανάπτυξη δικτύου'!G88,0)</f>
        <v>0.92134817131732871</v>
      </c>
      <c r="F331" s="161">
        <f t="shared" si="105"/>
        <v>3.1566963326283393E-2</v>
      </c>
      <c r="G331" s="157">
        <f>IFERROR('Διανεμόμενες ποσότητες αερίου'!G26/'Ανάπτυξη δικτύου'!J88,0)</f>
        <v>1.1074399257954384</v>
      </c>
      <c r="H331" s="161">
        <f t="shared" si="106"/>
        <v>0.20197766736980513</v>
      </c>
      <c r="I331" s="168">
        <f>IFERROR('Διανεμόμενες ποσότητες αερίου'!I26/'Ανάπτυξη δικτύου'!M88,0)</f>
        <v>0.97279474856372938</v>
      </c>
      <c r="J331" s="161">
        <f t="shared" si="107"/>
        <v>-0.1215823757979447</v>
      </c>
      <c r="K331" s="157">
        <f>IFERROR('Διανεμόμενες ποσότητες αερίου'!K26/'Ανάπτυξη δικτύου'!P88,0)</f>
        <v>0.79162098142742066</v>
      </c>
      <c r="L331" s="161">
        <f t="shared" si="108"/>
        <v>-0.18624048639633434</v>
      </c>
      <c r="M331" s="192">
        <f t="shared" si="104"/>
        <v>-2.9718533742959297E-2</v>
      </c>
      <c r="O331" s="158">
        <f>IFERROR('Διανεμόμενες ποσότητες αερίου'!R26/'Ανάπτυξη δικτύου'!V88,0)</f>
        <v>1.3368216446102035</v>
      </c>
      <c r="P331" s="161">
        <f t="shared" si="109"/>
        <v>0.68871426601111285</v>
      </c>
      <c r="Q331" s="157">
        <f>IFERROR('Διανεμόμενες ποσότητες αερίου'!X26/'Ανάπτυξη δικτύου'!Y88,0)</f>
        <v>1.3575863642742665</v>
      </c>
      <c r="R331" s="161">
        <f t="shared" si="110"/>
        <v>1.5532902050009584E-2</v>
      </c>
      <c r="S331" s="157">
        <f>IFERROR('Διανεμόμενες ποσότητες αερίου'!AD26/'Ανάπτυξη δικτύου'!AB88,0)</f>
        <v>1.4228797115999059</v>
      </c>
      <c r="T331" s="161">
        <f t="shared" si="111"/>
        <v>4.8095170255001554E-2</v>
      </c>
      <c r="U331" s="157">
        <f>IFERROR('Διανεμόμενες ποσότητες αερίου'!AJ26/'Ανάπτυξη δικτύου'!AE88,0)</f>
        <v>1.4787223076050173</v>
      </c>
      <c r="V331" s="161">
        <f t="shared" si="112"/>
        <v>3.924618191535055E-2</v>
      </c>
      <c r="W331" s="157">
        <f>IFERROR('Διανεμόμενες ποσότητες αερίου'!AP26/'Ανάπτυξη δικτύου'!AH88,0)</f>
        <v>1.5194670650787598</v>
      </c>
      <c r="X331" s="161">
        <f t="shared" si="115"/>
        <v>2.7554029085916702E-2</v>
      </c>
      <c r="Y331" s="192">
        <f t="shared" si="114"/>
        <v>3.2534224162809933E-2</v>
      </c>
    </row>
    <row r="332" spans="1:25" outlineLevel="1" x14ac:dyDescent="0.35">
      <c r="B332" s="48" t="s">
        <v>86</v>
      </c>
      <c r="C332" s="62" t="s">
        <v>257</v>
      </c>
      <c r="D332" s="184">
        <f>IFERROR('Διανεμόμενες ποσότητες αερίου'!D27/'Ανάπτυξη δικτύου'!E89,0)</f>
        <v>0.98300107270643378</v>
      </c>
      <c r="E332" s="173">
        <f>IFERROR('Διανεμόμενες ποσότητες αερίου'!E27/'Ανάπτυξη δικτύου'!G89,0)</f>
        <v>0.93835654640081767</v>
      </c>
      <c r="F332" s="161">
        <f t="shared" si="105"/>
        <v>-4.54165590915371E-2</v>
      </c>
      <c r="G332" s="157">
        <f>IFERROR('Διανεμόμενες ποσότητες αερίου'!G27/'Ανάπτυξη δικτύου'!J89,0)</f>
        <v>0.79015186553846195</v>
      </c>
      <c r="H332" s="161">
        <f t="shared" si="106"/>
        <v>-0.15794069048786738</v>
      </c>
      <c r="I332" s="168">
        <f>IFERROR('Διανεμόμενες ποσότητες αερίου'!I27/'Ανάπτυξη δικτύου'!M89,0)</f>
        <v>0.70571303319299583</v>
      </c>
      <c r="J332" s="161">
        <f t="shared" si="107"/>
        <v>-0.10686405490914572</v>
      </c>
      <c r="K332" s="157">
        <f>IFERROR('Διανεμόμενες ποσότητες αερίου'!K27/'Ανάπτυξη δικτύου'!P89,0)</f>
        <v>0.55052898067009448</v>
      </c>
      <c r="L332" s="161">
        <f t="shared" si="108"/>
        <v>-0.21989682097944502</v>
      </c>
      <c r="M332" s="192">
        <f t="shared" si="104"/>
        <v>-0.13491944834862368</v>
      </c>
      <c r="O332" s="158">
        <f>IFERROR('Διανεμόμενες ποσότητες αερίου'!R27/'Ανάπτυξη δικτύου'!V89,0)</f>
        <v>1.0346491276042142</v>
      </c>
      <c r="P332" s="161">
        <f t="shared" si="109"/>
        <v>0.87937268324159246</v>
      </c>
      <c r="Q332" s="157">
        <f>IFERROR('Διανεμόμενες ποσότητες αερίου'!X27/'Ανάπτυξη δικτύου'!Y89,0)</f>
        <v>0.99406936739399576</v>
      </c>
      <c r="R332" s="161">
        <f t="shared" si="110"/>
        <v>-3.9220793917048087E-2</v>
      </c>
      <c r="S332" s="157">
        <f>IFERROR('Διανεμόμενες ποσότητες αερίου'!AD27/'Ανάπτυξη δικτύου'!AB89,0)</f>
        <v>1.0245073003410734</v>
      </c>
      <c r="T332" s="161">
        <f t="shared" si="111"/>
        <v>3.0619526106988142E-2</v>
      </c>
      <c r="U332" s="157">
        <f>IFERROR('Διανεμόμενες ποσότητες αερίου'!AJ27/'Ανάπτυξη δικτύου'!AE89,0)</f>
        <v>1.1120717785308285</v>
      </c>
      <c r="V332" s="161">
        <f t="shared" si="112"/>
        <v>8.5469843075401813E-2</v>
      </c>
      <c r="W332" s="157">
        <f>IFERROR('Διανεμόμενες ποσότητες αερίου'!AP27/'Ανάπτυξη δικτύου'!AH89,0)</f>
        <v>1.2027629477501409</v>
      </c>
      <c r="X332" s="161">
        <f t="shared" si="115"/>
        <v>8.1551542778223921E-2</v>
      </c>
      <c r="Y332" s="192">
        <f t="shared" si="114"/>
        <v>3.8357098532207257E-2</v>
      </c>
    </row>
    <row r="333" spans="1:25" outlineLevel="1" x14ac:dyDescent="0.35">
      <c r="B333" s="48" t="s">
        <v>87</v>
      </c>
      <c r="C333" s="62" t="s">
        <v>257</v>
      </c>
      <c r="D333" s="184">
        <f>IFERROR('Διανεμόμενες ποσότητες αερίου'!D28/'Ανάπτυξη δικτύου'!E90,0)</f>
        <v>0.8923176281341566</v>
      </c>
      <c r="E333" s="173">
        <f>IFERROR('Διανεμόμενες ποσότητες αερίου'!E28/'Ανάπτυξη δικτύου'!G90,0)</f>
        <v>0.91185539371343416</v>
      </c>
      <c r="F333" s="161">
        <f t="shared" si="105"/>
        <v>2.1895527963659286E-2</v>
      </c>
      <c r="G333" s="157">
        <f>IFERROR('Διανεμόμενες ποσότητες αερίου'!G28/'Ανάπτυξη δικτύου'!J90,0)</f>
        <v>0.99480235609139556</v>
      </c>
      <c r="H333" s="161">
        <f t="shared" si="106"/>
        <v>9.0965040016014728E-2</v>
      </c>
      <c r="I333" s="168">
        <f>IFERROR('Διανεμόμενες ποσότητες αερίου'!I28/'Ανάπτυξη δικτύου'!M90,0)</f>
        <v>0.87175062953268123</v>
      </c>
      <c r="J333" s="161">
        <f t="shared" si="107"/>
        <v>-0.12369464728872152</v>
      </c>
      <c r="K333" s="157">
        <f>IFERROR('Διανεμόμενες ποσότητες αερίου'!K28/'Ανάπτυξη δικτύου'!P90,0)</f>
        <v>0.65363901834568239</v>
      </c>
      <c r="L333" s="161">
        <f t="shared" si="108"/>
        <v>-0.2501995453721918</v>
      </c>
      <c r="M333" s="192">
        <f t="shared" si="104"/>
        <v>-7.4866038579611272E-2</v>
      </c>
      <c r="O333" s="158">
        <f>IFERROR('Διανεμόμενες ποσότητες αερίου'!R28/'Ανάπτυξη δικτύου'!V90,0)</f>
        <v>1.2275621964339787</v>
      </c>
      <c r="P333" s="161">
        <f t="shared" si="109"/>
        <v>0.87804302065818884</v>
      </c>
      <c r="Q333" s="157">
        <f>IFERROR('Διανεμόμενες ποσότητες αερίου'!X28/'Ανάπτυξη δικτύου'!Y90,0)</f>
        <v>1.2339534479349363</v>
      </c>
      <c r="R333" s="161">
        <f t="shared" si="110"/>
        <v>5.2064583933294729E-3</v>
      </c>
      <c r="S333" s="157">
        <f>IFERROR('Διανεμόμενες ποσότητες αερίου'!AD28/'Ανάπτυξη δικτύου'!AB90,0)</f>
        <v>1.2966663244469689</v>
      </c>
      <c r="T333" s="161">
        <f t="shared" si="111"/>
        <v>5.0822724809420301E-2</v>
      </c>
      <c r="U333" s="157">
        <f>IFERROR('Διανεμόμενες ποσότητες αερίου'!AJ28/'Ανάπτυξη δικτύου'!AE90,0)</f>
        <v>1.3564521949908865</v>
      </c>
      <c r="V333" s="161">
        <f t="shared" si="112"/>
        <v>4.6107367344036178E-2</v>
      </c>
      <c r="W333" s="157">
        <f>IFERROR('Διανεμόμενες ποσότητες αερίου'!AP28/'Ανάπτυξη δικτύου'!AH90,0)</f>
        <v>1.3403859457129457</v>
      </c>
      <c r="X333" s="161">
        <f t="shared" si="115"/>
        <v>-1.1844316620423775E-2</v>
      </c>
      <c r="Y333" s="192">
        <f t="shared" si="114"/>
        <v>2.2225216369513356E-2</v>
      </c>
    </row>
    <row r="334" spans="1:25" outlineLevel="1" x14ac:dyDescent="0.35">
      <c r="B334" s="48" t="s">
        <v>88</v>
      </c>
      <c r="C334" s="62" t="s">
        <v>257</v>
      </c>
      <c r="D334" s="184">
        <f>IFERROR('Διανεμόμενες ποσότητες αερίου'!D29/'Ανάπτυξη δικτύου'!E91,0)</f>
        <v>0.62065131726301714</v>
      </c>
      <c r="E334" s="173">
        <f>IFERROR('Διανεμόμενες ποσότητες αερίου'!E29/'Ανάπτυξη δικτύου'!G91,0)</f>
        <v>0.60326412976886268</v>
      </c>
      <c r="F334" s="161">
        <f t="shared" si="105"/>
        <v>-2.8014421319251293E-2</v>
      </c>
      <c r="G334" s="157">
        <f>IFERROR('Διανεμόμενες ποσότητες αερίου'!G29/'Ανάπτυξη δικτύου'!J91,0)</f>
        <v>0.65523382577367084</v>
      </c>
      <c r="H334" s="161">
        <f t="shared" si="106"/>
        <v>8.6147498981449577E-2</v>
      </c>
      <c r="I334" s="168">
        <f>IFERROR('Διανεμόμενες ποσότητες αερίου'!I29/'Ανάπτυξη δικτύου'!M91,0)</f>
        <v>0.59066284198407748</v>
      </c>
      <c r="J334" s="161">
        <f t="shared" si="107"/>
        <v>-9.85464749371735E-2</v>
      </c>
      <c r="K334" s="157">
        <f>IFERROR('Διανεμόμενες ποσότητες αερίου'!K29/'Ανάπτυξη δικτύου'!P91,0)</f>
        <v>0.45622737678856179</v>
      </c>
      <c r="L334" s="161">
        <f t="shared" si="108"/>
        <v>-0.22760101980334099</v>
      </c>
      <c r="M334" s="192">
        <f t="shared" si="104"/>
        <v>-7.4058785813951977E-2</v>
      </c>
      <c r="O334" s="158">
        <f>IFERROR('Διανεμόμενες ποσότητες αερίου'!R29/'Ανάπτυξη δικτύου'!V91,0)</f>
        <v>0.63799002033694829</v>
      </c>
      <c r="P334" s="161">
        <f t="shared" si="109"/>
        <v>0.39840363116267846</v>
      </c>
      <c r="Q334" s="157">
        <f>IFERROR('Διανεμόμενες ποσότητες αερίου'!X29/'Ανάπτυξη δικτύου'!Y91,0)</f>
        <v>0.63333866943058414</v>
      </c>
      <c r="R334" s="161">
        <f t="shared" si="110"/>
        <v>-7.290632702855732E-3</v>
      </c>
      <c r="S334" s="157">
        <f>IFERROR('Διανεμόμενες ποσότητες αερίου'!AD29/'Ανάπτυξη δικτύου'!AB91,0)</f>
        <v>0.64069695256084647</v>
      </c>
      <c r="T334" s="161">
        <f t="shared" si="111"/>
        <v>1.1618243896078436E-2</v>
      </c>
      <c r="U334" s="157">
        <f>IFERROR('Διανεμόμενες ποσότητες αερίου'!AJ29/'Ανάπτυξη δικτύου'!AE91,0)</f>
        <v>0.68948089743691743</v>
      </c>
      <c r="V334" s="161">
        <f t="shared" si="112"/>
        <v>7.6141996120136043E-2</v>
      </c>
      <c r="W334" s="157">
        <f>IFERROR('Διανεμόμενες ποσότητες αερίου'!AP29/'Ανάπτυξη δικτύου'!AH91,0)</f>
        <v>0.68390865564972914</v>
      </c>
      <c r="X334" s="161">
        <f t="shared" si="115"/>
        <v>-8.0817928501030183E-3</v>
      </c>
      <c r="Y334" s="192">
        <f t="shared" si="114"/>
        <v>1.7527261702705133E-2</v>
      </c>
    </row>
    <row r="335" spans="1:25" outlineLevel="1" x14ac:dyDescent="0.35">
      <c r="B335" s="48" t="s">
        <v>89</v>
      </c>
      <c r="C335" s="62" t="s">
        <v>257</v>
      </c>
      <c r="D335" s="184">
        <f>IFERROR('Διανεμόμενες ποσότητες αερίου'!D30/'Ανάπτυξη δικτύου'!E92,0)</f>
        <v>0.59634921098666716</v>
      </c>
      <c r="E335" s="173">
        <f>IFERROR('Διανεμόμενες ποσότητες αερίου'!E30/'Ανάπτυξη δικτύου'!G92,0)</f>
        <v>0.64162906973290124</v>
      </c>
      <c r="F335" s="161">
        <f t="shared" si="105"/>
        <v>7.5928429034588629E-2</v>
      </c>
      <c r="G335" s="157">
        <f>IFERROR('Διανεμόμενες ποσότητες αερίου'!G30/'Ανάπτυξη δικτύου'!J92,0)</f>
        <v>0.67453870570564833</v>
      </c>
      <c r="H335" s="161">
        <f t="shared" si="106"/>
        <v>5.1290749632722836E-2</v>
      </c>
      <c r="I335" s="168">
        <f>IFERROR('Διανεμόμενες ποσότητες αερίου'!I30/'Ανάπτυξη δικτύου'!M92,0)</f>
        <v>0.57995264632512067</v>
      </c>
      <c r="J335" s="161">
        <f t="shared" si="107"/>
        <v>-0.14022332385148945</v>
      </c>
      <c r="K335" s="157">
        <f>IFERROR('Διανεμόμενες ποσότητες αερίου'!K30/'Ανάπτυξη δικτύου'!P92,0)</f>
        <v>0.44935915151926592</v>
      </c>
      <c r="L335" s="161">
        <f t="shared" si="108"/>
        <v>-0.22517958256309811</v>
      </c>
      <c r="M335" s="192">
        <f t="shared" si="104"/>
        <v>-6.8306135649537358E-2</v>
      </c>
      <c r="O335" s="158">
        <f>IFERROR('Διανεμόμενες ποσότητες αερίου'!R30/'Ανάπτυξη δικτύου'!V92,0)</f>
        <v>1.0005682954841</v>
      </c>
      <c r="P335" s="161">
        <f t="shared" si="109"/>
        <v>1.2266560992498257</v>
      </c>
      <c r="Q335" s="157">
        <f>IFERROR('Διανεμόμενες ποσότητες αερίου'!X30/'Ανάπτυξη δικτύου'!Y92,0)</f>
        <v>1.0187528892859075</v>
      </c>
      <c r="R335" s="161">
        <f t="shared" si="110"/>
        <v>1.8174265448826079E-2</v>
      </c>
      <c r="S335" s="157">
        <f>IFERROR('Διανεμόμενες ποσότητες αερίου'!AD30/'Ανάπτυξη δικτύου'!AB92,0)</f>
        <v>1.0212758512052116</v>
      </c>
      <c r="T335" s="161">
        <f t="shared" si="111"/>
        <v>2.4765200136733722E-3</v>
      </c>
      <c r="U335" s="157">
        <f>IFERROR('Διανεμόμενες ποσότητες αερίου'!AJ30/'Ανάπτυξη δικτύου'!AE92,0)</f>
        <v>1.0020376186511697</v>
      </c>
      <c r="V335" s="161">
        <f t="shared" si="112"/>
        <v>-1.8837449775532023E-2</v>
      </c>
      <c r="W335" s="157">
        <f>IFERROR('Διανεμόμενες ποσότητες αερίου'!AP30/'Ανάπτυξη δικτύου'!AH92,0)</f>
        <v>1.0326345709205396</v>
      </c>
      <c r="X335" s="161">
        <f t="shared" si="115"/>
        <v>3.0534734125607026E-2</v>
      </c>
      <c r="Y335" s="192">
        <f t="shared" si="114"/>
        <v>7.9174884292316783E-3</v>
      </c>
    </row>
    <row r="336" spans="1:25" outlineLevel="1" x14ac:dyDescent="0.35">
      <c r="B336" s="48" t="s">
        <v>90</v>
      </c>
      <c r="C336" s="62" t="s">
        <v>257</v>
      </c>
      <c r="D336" s="184">
        <f>IFERROR('Διανεμόμενες ποσότητες αερίου'!D31/'Ανάπτυξη δικτύου'!E93,0)</f>
        <v>12.3746542912347</v>
      </c>
      <c r="E336" s="173">
        <f>IFERROR('Διανεμόμενες ποσότητες αερίου'!E31/'Ανάπτυξη δικτύου'!G93,0)</f>
        <v>13.048183675381855</v>
      </c>
      <c r="F336" s="161">
        <f t="shared" si="105"/>
        <v>5.4428137408592835E-2</v>
      </c>
      <c r="G336" s="157">
        <f>IFERROR('Διανεμόμενες ποσότητες αερίου'!G31/'Ανάπτυξη δικτύου'!J93,0)</f>
        <v>12.95917915411621</v>
      </c>
      <c r="H336" s="161">
        <f t="shared" si="106"/>
        <v>-6.8212192194665924E-3</v>
      </c>
      <c r="I336" s="168">
        <f>IFERROR('Διανεμόμενες ποσότητες αερίου'!I31/'Ανάπτυξη δικτύου'!M93,0)</f>
        <v>13.666879715876707</v>
      </c>
      <c r="J336" s="161">
        <f t="shared" si="107"/>
        <v>5.4609983652838895E-2</v>
      </c>
      <c r="K336" s="157">
        <f>IFERROR('Διανεμόμενες ποσότητες αερίου'!K31/'Ανάπτυξη δικτύου'!P93,0)</f>
        <v>13.913497694850806</v>
      </c>
      <c r="L336" s="161">
        <f t="shared" si="108"/>
        <v>1.8044936671799679E-2</v>
      </c>
      <c r="M336" s="192">
        <f t="shared" si="104"/>
        <v>2.9735799024253495E-2</v>
      </c>
      <c r="O336" s="158">
        <f>IFERROR('Διανεμόμενες ποσότητες αερίου'!R31/'Ανάπτυξη δικτύου'!V93,0)</f>
        <v>13.675778263157726</v>
      </c>
      <c r="P336" s="161">
        <f t="shared" si="109"/>
        <v>-1.7085526364880661E-2</v>
      </c>
      <c r="Q336" s="157">
        <f>IFERROR('Διανεμόμενες ποσότητες αερίου'!X31/'Ανάπτυξη δικτύου'!Y93,0)</f>
        <v>11.927719082788727</v>
      </c>
      <c r="R336" s="161">
        <f t="shared" si="110"/>
        <v>-0.12782155038870702</v>
      </c>
      <c r="S336" s="157">
        <f>IFERROR('Διανεμόμενες ποσότητες αερίου'!AD31/'Ανάπτυξη δικτύου'!AB93,0)</f>
        <v>11.936519004734288</v>
      </c>
      <c r="T336" s="161">
        <f t="shared" si="111"/>
        <v>7.3777072418308579E-4</v>
      </c>
      <c r="U336" s="157">
        <f>IFERROR('Διανεμόμενες ποσότητες αερίου'!AJ31/'Ανάπτυξη δικτύου'!AE93,0)</f>
        <v>8.8614328318185223</v>
      </c>
      <c r="V336" s="161">
        <f t="shared" si="112"/>
        <v>-0.25762001230812087</v>
      </c>
      <c r="W336" s="157">
        <f>IFERROR('Διανεμόμενες ποσότητες αερίου'!AP31/'Ανάπτυξη δικτύου'!AH93,0)</f>
        <v>8.8751945646034134</v>
      </c>
      <c r="X336" s="161">
        <f t="shared" si="115"/>
        <v>1.5529918294338607E-3</v>
      </c>
      <c r="Y336" s="192">
        <f t="shared" si="114"/>
        <v>-0.10245453277709193</v>
      </c>
    </row>
    <row r="337" spans="2:25" outlineLevel="1" x14ac:dyDescent="0.35">
      <c r="B337" s="294" t="s">
        <v>91</v>
      </c>
      <c r="C337" s="62" t="s">
        <v>257</v>
      </c>
      <c r="D337" s="184">
        <f>IFERROR('Διανεμόμενες ποσότητες αερίου'!D32/'Ανάπτυξη δικτύου'!E94,0)</f>
        <v>0.24787899697716656</v>
      </c>
      <c r="E337" s="173">
        <f>IFERROR('Διανεμόμενες ποσότητες αερίου'!E32/'Ανάπτυξη δικτύου'!G94,0)</f>
        <v>0.25177301892435677</v>
      </c>
      <c r="F337" s="161">
        <f t="shared" si="105"/>
        <v>1.5709366241904357E-2</v>
      </c>
      <c r="G337" s="157">
        <f>IFERROR('Διανεμόμενες ποσότητες αερίου'!G32/'Ανάπτυξη δικτύου'!J94,0)</f>
        <v>0.28683749962583965</v>
      </c>
      <c r="H337" s="161">
        <f t="shared" si="106"/>
        <v>0.13927020794876249</v>
      </c>
      <c r="I337" s="168">
        <f>IFERROR('Διανεμόμενες ποσότητες αερίου'!I32/'Ανάπτυξη δικτύου'!M94,0)</f>
        <v>0.2810661536145958</v>
      </c>
      <c r="J337" s="161">
        <f t="shared" si="107"/>
        <v>-2.0120611910130946E-2</v>
      </c>
      <c r="K337" s="157">
        <f>IFERROR('Διανεμόμενες ποσότητες αερίου'!K32/'Ανάπτυξη δικτύου'!P94,0)</f>
        <v>0.2490421455938697</v>
      </c>
      <c r="L337" s="161">
        <f t="shared" si="108"/>
        <v>-0.11393761791979458</v>
      </c>
      <c r="M337" s="192">
        <f t="shared" si="104"/>
        <v>1.1710426041124933E-3</v>
      </c>
      <c r="O337" s="158">
        <f>IFERROR('Διανεμόμενες ποσότητες αερίου'!R32/'Ανάπτυξη δικτύου'!V94,0)</f>
        <v>0.4517558490925706</v>
      </c>
      <c r="P337" s="161">
        <f t="shared" si="109"/>
        <v>0.81397348635632227</v>
      </c>
      <c r="Q337" s="157">
        <f>IFERROR('Διανεμόμενες ποσότητες αερίου'!X32/'Ανάπτυξη δικτύου'!Y94,0)</f>
        <v>0.60467266280146315</v>
      </c>
      <c r="R337" s="161">
        <f t="shared" si="110"/>
        <v>0.33849437481784084</v>
      </c>
      <c r="S337" s="157">
        <f>IFERROR('Διανεμόμενες ποσότητες αερίου'!AD32/'Ανάπτυξη δικτύου'!AB94,0)</f>
        <v>0.58718003962294463</v>
      </c>
      <c r="T337" s="161">
        <f t="shared" si="111"/>
        <v>-2.8929078912671147E-2</v>
      </c>
      <c r="U337" s="157">
        <f>IFERROR('Διανεμόμενες ποσότητες αερίου'!AJ32/'Ανάπτυξη δικτύου'!AE94,0)</f>
        <v>0.59806742529902057</v>
      </c>
      <c r="V337" s="161">
        <f t="shared" si="112"/>
        <v>1.8541818422620832E-2</v>
      </c>
      <c r="W337" s="157">
        <f>IFERROR('Διανεμόμενες ποσότητες αερίου'!AP32/'Ανάπτυξη δικτύου'!AH94,0)</f>
        <v>0.57927701306553159</v>
      </c>
      <c r="X337" s="161">
        <f t="shared" si="115"/>
        <v>-3.1418551552267193E-2</v>
      </c>
      <c r="Y337" s="192">
        <f t="shared" si="114"/>
        <v>6.4132304942823293E-2</v>
      </c>
    </row>
    <row r="338" spans="2:25" outlineLevel="1" x14ac:dyDescent="0.35">
      <c r="B338" s="294" t="s">
        <v>92</v>
      </c>
      <c r="C338" s="62" t="s">
        <v>257</v>
      </c>
      <c r="D338" s="184">
        <f>IFERROR('Διανεμόμενες ποσότητες αερίου'!D33/'Ανάπτυξη δικτύου'!E95,0)</f>
        <v>0.55311870411141029</v>
      </c>
      <c r="E338" s="173">
        <f>IFERROR('Διανεμόμενες ποσότητες αερίου'!E33/'Ανάπτυξη δικτύου'!G95,0)</f>
        <v>0.40563221912091324</v>
      </c>
      <c r="F338" s="161">
        <f t="shared" si="105"/>
        <v>-0.2666452678135976</v>
      </c>
      <c r="G338" s="157">
        <f>IFERROR('Διανεμόμενες ποσότητες αερίου'!G33/'Ανάπτυξη δικτύου'!J95,0)</f>
        <v>0.39158079147996999</v>
      </c>
      <c r="H338" s="161">
        <f t="shared" si="106"/>
        <v>-3.4640807555660943E-2</v>
      </c>
      <c r="I338" s="168">
        <f>IFERROR('Διανεμόμενες ποσότητες αερίου'!I33/'Ανάπτυξη δικτύου'!M95,0)</f>
        <v>0.41524829663509477</v>
      </c>
      <c r="J338" s="161">
        <f t="shared" si="107"/>
        <v>6.0440924759547127E-2</v>
      </c>
      <c r="K338" s="157">
        <f>IFERROR('Διανεμόμενες ποσότητες αερίου'!K33/'Ανάπτυξη δικτύου'!P95,0)</f>
        <v>0.32379096811412406</v>
      </c>
      <c r="L338" s="161">
        <f t="shared" si="108"/>
        <v>-0.22024732975928404</v>
      </c>
      <c r="M338" s="192">
        <f t="shared" si="104"/>
        <v>-0.12529502548588645</v>
      </c>
      <c r="O338" s="158">
        <f>IFERROR('Διανεμόμενες ποσότητες αερίου'!R33/'Ανάπτυξη δικτύου'!V95,0)</f>
        <v>0.6116420275254264</v>
      </c>
      <c r="P338" s="161">
        <f t="shared" si="109"/>
        <v>0.88900274485064001</v>
      </c>
      <c r="Q338" s="157">
        <f>IFERROR('Διανεμόμενες ποσότητες αερίου'!X33/'Ανάπτυξη δικτύου'!Y95,0)</f>
        <v>0.63376299191761609</v>
      </c>
      <c r="R338" s="161">
        <f t="shared" si="110"/>
        <v>3.6166521260297319E-2</v>
      </c>
      <c r="S338" s="157">
        <f>IFERROR('Διανεμόμενες ποσότητες αερίου'!AD33/'Ανάπτυξη δικτύου'!AB95,0)</f>
        <v>0.6639530796667551</v>
      </c>
      <c r="T338" s="161">
        <f t="shared" si="111"/>
        <v>4.7636242781849691E-2</v>
      </c>
      <c r="U338" s="157">
        <f>IFERROR('Διανεμόμενες ποσότητες αερίου'!AJ33/'Ανάπτυξη δικτύου'!AE95,0)</f>
        <v>0.71982592324853301</v>
      </c>
      <c r="V338" s="161">
        <f t="shared" si="112"/>
        <v>8.4151795198873183E-2</v>
      </c>
      <c r="W338" s="157">
        <f>IFERROR('Διανεμόμενες ποσότητες αερίου'!AP33/'Ανάπτυξη δικτύου'!AH95,0)</f>
        <v>0.76582933826531185</v>
      </c>
      <c r="X338" s="161">
        <f t="shared" si="115"/>
        <v>6.3909083475582648E-2</v>
      </c>
      <c r="Y338" s="192">
        <f t="shared" si="114"/>
        <v>5.781244014127962E-2</v>
      </c>
    </row>
    <row r="339" spans="2:25" outlineLevel="1" x14ac:dyDescent="0.35">
      <c r="B339" s="294" t="s">
        <v>93</v>
      </c>
      <c r="C339" s="62" t="s">
        <v>257</v>
      </c>
      <c r="D339" s="184">
        <f>IFERROR('Διανεμόμενες ποσότητες αερίου'!D34/'Ανάπτυξη δικτύου'!E96,0)</f>
        <v>1.6888935304058614</v>
      </c>
      <c r="E339" s="173">
        <f>IFERROR('Διανεμόμενες ποσότητες αερίου'!E34/'Ανάπτυξη δικτύου'!G96,0)</f>
        <v>1.2375225516394235</v>
      </c>
      <c r="F339" s="161">
        <f t="shared" si="105"/>
        <v>-0.26725839766700277</v>
      </c>
      <c r="G339" s="157">
        <f>IFERROR('Διανεμόμενες ποσότητες αερίου'!G34/'Ανάπτυξη δικτύου'!J96,0)</f>
        <v>0.95181348860757453</v>
      </c>
      <c r="H339" s="161">
        <f t="shared" si="106"/>
        <v>-0.2308718032276279</v>
      </c>
      <c r="I339" s="168">
        <f>IFERROR('Διανεμόμενες ποσότητες αερίου'!I34/'Ανάπτυξη δικτύου'!M96,0)</f>
        <v>0.9930589500224335</v>
      </c>
      <c r="J339" s="161">
        <f t="shared" si="107"/>
        <v>4.3333554218902393E-2</v>
      </c>
      <c r="K339" s="157">
        <f>IFERROR('Διανεμόμενες ποσότητες αερίου'!K34/'Ανάπτυξη δικτύου'!P96,0)</f>
        <v>0.87223959600958156</v>
      </c>
      <c r="L339" s="161">
        <f t="shared" si="108"/>
        <v>-0.12166382872851868</v>
      </c>
      <c r="M339" s="192">
        <f t="shared" si="104"/>
        <v>-0.1522683819076599</v>
      </c>
      <c r="O339" s="158">
        <f>IFERROR('Διανεμόμενες ποσότητες αερίου'!R34/'Ανάπτυξη δικτύου'!V96,0)</f>
        <v>1.1963045317395391</v>
      </c>
      <c r="P339" s="161">
        <f t="shared" si="109"/>
        <v>0.3715320162172478</v>
      </c>
      <c r="Q339" s="157">
        <f>IFERROR('Διανεμόμενες ποσότητες αερίου'!X34/'Ανάπτυξη δικτύου'!Y96,0)</f>
        <v>1.2311916539047765</v>
      </c>
      <c r="R339" s="161">
        <f t="shared" si="110"/>
        <v>2.916240910206051E-2</v>
      </c>
      <c r="S339" s="157">
        <f>IFERROR('Διανεμόμενες ποσότητες αερίου'!AD34/'Ανάπτυξη δικτύου'!AB96,0)</f>
        <v>1.2032043548647273</v>
      </c>
      <c r="T339" s="161">
        <f t="shared" si="111"/>
        <v>-2.2731878462046301E-2</v>
      </c>
      <c r="U339" s="157">
        <f>IFERROR('Διανεμόμενες ποσότητες αερίου'!AJ34/'Ανάπτυξη δικτύου'!AE96,0)</f>
        <v>1.3091031965195861</v>
      </c>
      <c r="V339" s="161">
        <f t="shared" si="112"/>
        <v>8.8014011274722026E-2</v>
      </c>
      <c r="W339" s="157">
        <f>IFERROR('Διανεμόμενες ποσότητες αερίου'!AP34/'Ανάπτυξη δικτύου'!AH96,0)</f>
        <v>1.4053979099882361</v>
      </c>
      <c r="X339" s="161">
        <f t="shared" si="115"/>
        <v>7.3557771247264175E-2</v>
      </c>
      <c r="Y339" s="192">
        <f t="shared" si="114"/>
        <v>4.109267024815022E-2</v>
      </c>
    </row>
    <row r="340" spans="2:25" outlineLevel="1" x14ac:dyDescent="0.35">
      <c r="B340" s="294" t="s">
        <v>94</v>
      </c>
      <c r="C340" s="62" t="s">
        <v>257</v>
      </c>
      <c r="D340" s="184">
        <f>IFERROR('Διανεμόμενες ποσότητες αερίου'!D35/'Ανάπτυξη δικτύου'!E97,0)</f>
        <v>0.58244779703860972</v>
      </c>
      <c r="E340" s="173">
        <f>IFERROR('Διανεμόμενες ποσότητες αερίου'!E35/'Ανάπτυξη δικτύου'!G97,0)</f>
        <v>0.66453014896703488</v>
      </c>
      <c r="F340" s="161">
        <f t="shared" si="105"/>
        <v>0.14092653855978793</v>
      </c>
      <c r="G340" s="157">
        <f>IFERROR('Διανεμόμενες ποσότητες αερίου'!G35/'Ανάπτυξη δικτύου'!J97,0)</f>
        <v>0.75595027446551488</v>
      </c>
      <c r="H340" s="161">
        <f t="shared" si="106"/>
        <v>0.137571072795698</v>
      </c>
      <c r="I340" s="168">
        <f>IFERROR('Διανεμόμενες ποσότητες αερίου'!I35/'Ανάπτυξη δικτύου'!M97,0)</f>
        <v>0.71059504251737737</v>
      </c>
      <c r="J340" s="161">
        <f t="shared" si="107"/>
        <v>-5.999763936881345E-2</v>
      </c>
      <c r="K340" s="157">
        <f>IFERROR('Διανεμόμενες ποσότητες αερίου'!K35/'Ανάπτυξη δικτύου'!P97,0)</f>
        <v>0.66889546939893463</v>
      </c>
      <c r="L340" s="161">
        <f t="shared" si="108"/>
        <v>-5.8682611928611919E-2</v>
      </c>
      <c r="M340" s="192">
        <f t="shared" si="104"/>
        <v>3.5202499293125467E-2</v>
      </c>
      <c r="O340" s="158">
        <f>IFERROR('Διανεμόμενες ποσότητες αερίου'!R35/'Ανάπτυξη δικτύου'!V97,0)</f>
        <v>0.97150366917613873</v>
      </c>
      <c r="P340" s="161">
        <f t="shared" si="109"/>
        <v>0.452399834684373</v>
      </c>
      <c r="Q340" s="157">
        <f>IFERROR('Διανεμόμενες ποσότητες αερίου'!X35/'Ανάπτυξη δικτύου'!Y97,0)</f>
        <v>0.96288604197957706</v>
      </c>
      <c r="R340" s="161">
        <f t="shared" si="110"/>
        <v>-8.8704010802858335E-3</v>
      </c>
      <c r="S340" s="157">
        <f>IFERROR('Διανεμόμενες ποσότητες αερίου'!AD35/'Ανάπτυξη δικτύου'!AB97,0)</f>
        <v>0.97807242587721432</v>
      </c>
      <c r="T340" s="161">
        <f t="shared" si="111"/>
        <v>1.5771735424075627E-2</v>
      </c>
      <c r="U340" s="157">
        <f>IFERROR('Διανεμόμενες ποσότητες αερίου'!AJ35/'Ανάπτυξη δικτύου'!AE97,0)</f>
        <v>0.985490087452357</v>
      </c>
      <c r="V340" s="161">
        <f t="shared" si="112"/>
        <v>7.5839594071879877E-3</v>
      </c>
      <c r="W340" s="157">
        <f>IFERROR('Διανεμόμενες ποσότητες αερίου'!AP35/'Ανάπτυξη δικτύου'!AH97,0)</f>
        <v>1.0012202557484595</v>
      </c>
      <c r="X340" s="161">
        <f t="shared" si="115"/>
        <v>1.596177221504827E-2</v>
      </c>
      <c r="Y340" s="192">
        <f t="shared" si="114"/>
        <v>7.5608764608388057E-3</v>
      </c>
    </row>
    <row r="341" spans="2:25" outlineLevel="1" x14ac:dyDescent="0.35">
      <c r="B341" s="294" t="s">
        <v>95</v>
      </c>
      <c r="C341" s="62" t="s">
        <v>257</v>
      </c>
      <c r="D341" s="184">
        <f>IFERROR('Διανεμόμενες ποσότητες αερίου'!D36/'Ανάπτυξη δικτύου'!E98,0)</f>
        <v>0.97776226906148556</v>
      </c>
      <c r="E341" s="173">
        <f>IFERROR('Διανεμόμενες ποσότητες αερίου'!E36/'Ανάπτυξη δικτύου'!G98,0)</f>
        <v>1.0493813693385132</v>
      </c>
      <c r="F341" s="161">
        <f t="shared" si="105"/>
        <v>7.3247968901246255E-2</v>
      </c>
      <c r="G341" s="157">
        <f>IFERROR('Διανεμόμενες ποσότητες αερίου'!G36/'Ανάπτυξη δικτύου'!J98,0)</f>
        <v>1.011114741470722</v>
      </c>
      <c r="H341" s="161">
        <f t="shared" si="106"/>
        <v>-3.6465892177896135E-2</v>
      </c>
      <c r="I341" s="168">
        <f>IFERROR('Διανεμόμενες ποσότητες αερίου'!I36/'Ανάπτυξη δικτύου'!M98,0)</f>
        <v>1.0898278467192015</v>
      </c>
      <c r="J341" s="161">
        <f t="shared" si="107"/>
        <v>7.7847846559913642E-2</v>
      </c>
      <c r="K341" s="157">
        <f>IFERROR('Διανεμόμενες ποσότητες αερίου'!K36/'Ανάπτυξη δικτύου'!P98,0)</f>
        <v>0.66728996095150561</v>
      </c>
      <c r="L341" s="161">
        <f t="shared" si="108"/>
        <v>-0.38771067103827128</v>
      </c>
      <c r="M341" s="192">
        <f t="shared" si="104"/>
        <v>-9.109115610361862E-2</v>
      </c>
      <c r="O341" s="158">
        <f>IFERROR('Διανεμόμενες ποσότητες αερίου'!R36/'Ανάπτυξη δικτύου'!V98,0)</f>
        <v>1.4408058888940642</v>
      </c>
      <c r="P341" s="161">
        <f t="shared" si="109"/>
        <v>1.1591901170513381</v>
      </c>
      <c r="Q341" s="157">
        <f>IFERROR('Διανεμόμενες ποσότητες αερίου'!X36/'Ανάπτυξη δικτύου'!Y98,0)</f>
        <v>1.4980693237906344</v>
      </c>
      <c r="R341" s="161">
        <f t="shared" si="110"/>
        <v>3.9744031682522135E-2</v>
      </c>
      <c r="S341" s="157">
        <f>IFERROR('Διανεμόμενες ποσότητες αερίου'!AD36/'Ανάπτυξη δικτύου'!AB98,0)</f>
        <v>1.4908607949138335</v>
      </c>
      <c r="T341" s="161">
        <f t="shared" si="111"/>
        <v>-4.8118793718843573E-3</v>
      </c>
      <c r="U341" s="157">
        <f>IFERROR('Διανεμόμενες ποσότητες αερίου'!AJ36/'Ανάπτυξη δικτύου'!AE98,0)</f>
        <v>1.4903637545659512</v>
      </c>
      <c r="V341" s="161">
        <f t="shared" si="112"/>
        <v>-3.3339152091061954E-4</v>
      </c>
      <c r="W341" s="157">
        <f>IFERROR('Διανεμόμενες ποσότητες αερίου'!AP36/'Ανάπτυξη δικτύου'!AH98,0)</f>
        <v>1.5521519511716746</v>
      </c>
      <c r="X341" s="161">
        <f t="shared" si="115"/>
        <v>4.1458467046334227E-2</v>
      </c>
      <c r="Y341" s="192">
        <f t="shared" si="114"/>
        <v>1.8784174350709337E-2</v>
      </c>
    </row>
    <row r="342" spans="2:25" outlineLevel="1" x14ac:dyDescent="0.35">
      <c r="B342" s="294" t="s">
        <v>96</v>
      </c>
      <c r="C342" s="62" t="s">
        <v>257</v>
      </c>
      <c r="D342" s="184">
        <f>IFERROR('Διανεμόμενες ποσότητες αερίου'!D37/'Ανάπτυξη δικτύου'!E99,0)</f>
        <v>1.2572483960938432</v>
      </c>
      <c r="E342" s="173">
        <f>IFERROR('Διανεμόμενες ποσότητες αερίου'!E37/'Ανάπτυξη δικτύου'!G99,0)</f>
        <v>1.1863082565156127</v>
      </c>
      <c r="F342" s="161">
        <f t="shared" si="105"/>
        <v>-5.6424919529533796E-2</v>
      </c>
      <c r="G342" s="157">
        <f>IFERROR('Διανεμόμενες ποσότητες αερίου'!G37/'Ανάπτυξη δικτύου'!J99,0)</f>
        <v>1.2679892532816082</v>
      </c>
      <c r="H342" s="161">
        <f t="shared" si="106"/>
        <v>6.8853096416867529E-2</v>
      </c>
      <c r="I342" s="168">
        <f>IFERROR('Διανεμόμενες ποσότητες αερίου'!I37/'Ανάπτυξη δικτύου'!M99,0)</f>
        <v>1.1536188386787465</v>
      </c>
      <c r="J342" s="161">
        <f t="shared" si="107"/>
        <v>-9.0198252317096814E-2</v>
      </c>
      <c r="K342" s="157">
        <f>IFERROR('Διανεμόμενες ποσότητες αερίου'!K37/'Ανάπτυξη δικτύου'!P99,0)</f>
        <v>0.88425481109261295</v>
      </c>
      <c r="L342" s="161">
        <f t="shared" si="108"/>
        <v>-0.23349482390096835</v>
      </c>
      <c r="M342" s="192">
        <f t="shared" si="104"/>
        <v>-8.4224363469026842E-2</v>
      </c>
      <c r="O342" s="158">
        <f>IFERROR('Διανεμόμενες ποσότητες αερίου'!R37/'Ανάπτυξη δικτύου'!V99,0)</f>
        <v>1.496461713053004</v>
      </c>
      <c r="P342" s="161">
        <f t="shared" si="109"/>
        <v>0.69234217816008148</v>
      </c>
      <c r="Q342" s="157">
        <f>IFERROR('Διανεμόμενες ποσότητες αερίου'!X37/'Ανάπτυξη δικτύου'!Y99,0)</f>
        <v>1.5036213334496424</v>
      </c>
      <c r="R342" s="161">
        <f t="shared" si="110"/>
        <v>4.7843659040442358E-3</v>
      </c>
      <c r="S342" s="157">
        <f>IFERROR('Διανεμόμενες ποσότητες αερίου'!AD37/'Ανάπτυξη δικτύου'!AB99,0)</f>
        <v>1.5053041794623778</v>
      </c>
      <c r="T342" s="161">
        <f t="shared" si="111"/>
        <v>1.1191953554386994E-3</v>
      </c>
      <c r="U342" s="157">
        <f>IFERROR('Διανεμόμενες ποσότητες αερίου'!AJ37/'Ανάπτυξη δικτύου'!AE99,0)</f>
        <v>1.5913907504904634</v>
      </c>
      <c r="V342" s="161">
        <f t="shared" si="112"/>
        <v>5.7188820839407732E-2</v>
      </c>
      <c r="W342" s="157">
        <f>IFERROR('Διανεμόμενες ποσότητες αερίου'!AP37/'Ανάπτυξη δικτύου'!AH99,0)</f>
        <v>1.6173977988700003</v>
      </c>
      <c r="X342" s="161">
        <f t="shared" si="115"/>
        <v>1.6342339787711858E-2</v>
      </c>
      <c r="Y342" s="192">
        <f t="shared" si="114"/>
        <v>1.9618741194557199E-2</v>
      </c>
    </row>
    <row r="343" spans="2:25" outlineLevel="1" x14ac:dyDescent="0.35">
      <c r="B343" s="294" t="s">
        <v>97</v>
      </c>
      <c r="C343" s="62" t="s">
        <v>257</v>
      </c>
      <c r="D343" s="184">
        <f>IFERROR('Διανεμόμενες ποσότητες αερίου'!D38/'Ανάπτυξη δικτύου'!E100,0)</f>
        <v>0.68212258037459517</v>
      </c>
      <c r="E343" s="173">
        <f>IFERROR('Διανεμόμενες ποσότητες αερίου'!E38/'Ανάπτυξη δικτύου'!G100,0)</f>
        <v>0.68561791659998239</v>
      </c>
      <c r="F343" s="161">
        <f t="shared" si="105"/>
        <v>5.1242054228255009E-3</v>
      </c>
      <c r="G343" s="157">
        <f>IFERROR('Διανεμόμενες ποσότητες αερίου'!G38/'Ανάπτυξη δικτύου'!J100,0)</f>
        <v>0.69904281906278731</v>
      </c>
      <c r="H343" s="161">
        <f t="shared" si="106"/>
        <v>1.958073460124812E-2</v>
      </c>
      <c r="I343" s="168">
        <f>IFERROR('Διανεμόμενες ποσότητες αερίου'!I38/'Ανάπτυξη δικτύου'!M100,0)</f>
        <v>0.63419720828887327</v>
      </c>
      <c r="J343" s="161">
        <f t="shared" si="107"/>
        <v>-9.2763431660528473E-2</v>
      </c>
      <c r="K343" s="157">
        <f>IFERROR('Διανεμόμενες ποσότητες αερίου'!K38/'Ανάπτυξη δικτύου'!P100,0)</f>
        <v>0.49155776421757852</v>
      </c>
      <c r="L343" s="161">
        <f t="shared" si="108"/>
        <v>-0.22491339004179797</v>
      </c>
      <c r="M343" s="192">
        <f t="shared" si="104"/>
        <v>-7.8642801105489601E-2</v>
      </c>
      <c r="O343" s="158">
        <f>IFERROR('Διανεμόμενες ποσότητες αερίου'!R38/'Ανάπτυξη δικτύου'!V100,0)</f>
        <v>0.82687252848647985</v>
      </c>
      <c r="P343" s="161">
        <f t="shared" si="109"/>
        <v>0.68214722394351346</v>
      </c>
      <c r="Q343" s="157">
        <f>IFERROR('Διανεμόμενες ποσότητες αερίου'!X38/'Ανάπτυξη δικτύου'!Y100,0)</f>
        <v>0.8339297356365436</v>
      </c>
      <c r="R343" s="161">
        <f t="shared" si="110"/>
        <v>8.5348187379998813E-3</v>
      </c>
      <c r="S343" s="157">
        <f>IFERROR('Διανεμόμενες ποσότητες αερίου'!AD38/'Ανάπτυξη δικτύου'!AB100,0)</f>
        <v>0.89078474089938298</v>
      </c>
      <c r="T343" s="161">
        <f t="shared" si="111"/>
        <v>6.8177213059133338E-2</v>
      </c>
      <c r="U343" s="157">
        <f>IFERROR('Διανεμόμενες ποσότητες αερίου'!AJ38/'Ανάπτυξη δικτύου'!AE100,0)</f>
        <v>0.95111220840385691</v>
      </c>
      <c r="V343" s="161">
        <f t="shared" si="112"/>
        <v>6.7723957017454248E-2</v>
      </c>
      <c r="W343" s="157">
        <f>IFERROR('Διανεμόμενες ποσότητες αερίου'!AP38/'Ανάπτυξη δικτύου'!AH100,0)</f>
        <v>0.96230882105210225</v>
      </c>
      <c r="X343" s="161">
        <f t="shared" si="115"/>
        <v>1.1772125885162738E-2</v>
      </c>
      <c r="Y343" s="192">
        <f t="shared" si="114"/>
        <v>3.8649403055922349E-2</v>
      </c>
    </row>
    <row r="344" spans="2:25" outlineLevel="1" x14ac:dyDescent="0.35">
      <c r="B344" s="294" t="s">
        <v>98</v>
      </c>
      <c r="C344" s="62" t="s">
        <v>257</v>
      </c>
      <c r="D344" s="184">
        <f>IFERROR('Διανεμόμενες ποσότητες αερίου'!D39/'Ανάπτυξη δικτύου'!E101,0)</f>
        <v>1.0461924579287118</v>
      </c>
      <c r="E344" s="173">
        <f>IFERROR('Διανεμόμενες ποσότητες αερίου'!E39/'Ανάπτυξη δικτύου'!G101,0)</f>
        <v>1.1166238956438661</v>
      </c>
      <c r="F344" s="161">
        <f t="shared" si="105"/>
        <v>6.7321683674337385E-2</v>
      </c>
      <c r="G344" s="157">
        <f>IFERROR('Διανεμόμενες ποσότητες αερίου'!G39/'Ανάπτυξη δικτύου'!J101,0)</f>
        <v>1.0662094354470995</v>
      </c>
      <c r="H344" s="161">
        <f t="shared" si="106"/>
        <v>-4.5149007103861716E-2</v>
      </c>
      <c r="I344" s="168">
        <f>IFERROR('Διανεμόμενες ποσότητες αερίου'!I39/'Ανάπτυξη δικτύου'!M101,0)</f>
        <v>0.97673938786957892</v>
      </c>
      <c r="J344" s="161">
        <f t="shared" si="107"/>
        <v>-8.3914139758107242E-2</v>
      </c>
      <c r="K344" s="157">
        <f>IFERROR('Διανεμόμενες ποσότητες αερίου'!K39/'Ανάπτυξη δικτύου'!P101,0)</f>
        <v>0.52309350336043858</v>
      </c>
      <c r="L344" s="161">
        <f t="shared" si="108"/>
        <v>-0.46444925856692726</v>
      </c>
      <c r="M344" s="192">
        <f t="shared" si="104"/>
        <v>-0.15910468012554602</v>
      </c>
      <c r="O344" s="158">
        <f>IFERROR('Διανεμόμενες ποσότητες αερίου'!R39/'Ανάπτυξη δικτύου'!V101,0)</f>
        <v>0.7002324015320186</v>
      </c>
      <c r="P344" s="161">
        <f t="shared" si="109"/>
        <v>0.33863715957780138</v>
      </c>
      <c r="Q344" s="157">
        <f>IFERROR('Διανεμόμενες ποσότητες αερίου'!X39/'Ανάπτυξη δικτύου'!Y101,0)</f>
        <v>0.66569183016946842</v>
      </c>
      <c r="R344" s="161">
        <f t="shared" si="110"/>
        <v>-4.9327296604641316E-2</v>
      </c>
      <c r="S344" s="157">
        <f>IFERROR('Διανεμόμενες ποσότητες αερίου'!AD39/'Ανάπτυξη δικτύου'!AB101,0)</f>
        <v>0.65977610584687096</v>
      </c>
      <c r="T344" s="161">
        <f t="shared" si="111"/>
        <v>-8.8865809290335808E-3</v>
      </c>
      <c r="U344" s="157">
        <f>IFERROR('Διανεμόμενες ποσότητες αερίου'!AJ39/'Ανάπτυξη δικτύου'!AE101,0)</f>
        <v>0.66536303328121083</v>
      </c>
      <c r="V344" s="161">
        <f t="shared" si="112"/>
        <v>8.4679141678958361E-3</v>
      </c>
      <c r="W344" s="157">
        <f>IFERROR('Διανεμόμενες ποσότητες αερίου'!AP39/'Ανάπτυξη δικτύου'!AH101,0)</f>
        <v>0.66204786086901979</v>
      </c>
      <c r="X344" s="161">
        <f t="shared" si="115"/>
        <v>-4.9825016515305911E-3</v>
      </c>
      <c r="Y344" s="192">
        <f t="shared" si="114"/>
        <v>-1.3920804727172165E-2</v>
      </c>
    </row>
    <row r="345" spans="2:25" outlineLevel="1" x14ac:dyDescent="0.35">
      <c r="B345" s="294" t="s">
        <v>99</v>
      </c>
      <c r="C345" s="62" t="s">
        <v>257</v>
      </c>
      <c r="D345" s="184">
        <f>IFERROR('Διανεμόμενες ποσότητες αερίου'!D40/'Ανάπτυξη δικτύου'!E102,0)</f>
        <v>1.3531315954648773</v>
      </c>
      <c r="E345" s="173">
        <f>IFERROR('Διανεμόμενες ποσότητες αερίου'!E40/'Ανάπτυξη δικτύου'!G102,0)</f>
        <v>1.3721050803085089</v>
      </c>
      <c r="F345" s="161">
        <f t="shared" si="105"/>
        <v>1.4021906595945776E-2</v>
      </c>
      <c r="G345" s="157">
        <f>IFERROR('Διανεμόμενες ποσότητες αερίου'!G40/'Ανάπτυξη δικτύου'!J102,0)</f>
        <v>1.3696623212779451</v>
      </c>
      <c r="H345" s="161">
        <f t="shared" si="106"/>
        <v>-1.7803002595213422E-3</v>
      </c>
      <c r="I345" s="168">
        <f>IFERROR('Διανεμόμενες ποσότητες αερίου'!I40/'Ανάπτυξη δικτύου'!M102,0)</f>
        <v>1.2749883882640323</v>
      </c>
      <c r="J345" s="161">
        <f t="shared" si="107"/>
        <v>-6.9122097865391058E-2</v>
      </c>
      <c r="K345" s="157">
        <f>IFERROR('Διανεμόμενες ποσότητες αερίου'!K40/'Ανάπτυξη δικτύου'!P102,0)</f>
        <v>1.0683662462067771</v>
      </c>
      <c r="L345" s="161">
        <f t="shared" si="108"/>
        <v>-0.16205805790794903</v>
      </c>
      <c r="M345" s="192">
        <f t="shared" si="104"/>
        <v>-5.7361809684040921E-2</v>
      </c>
      <c r="O345" s="158">
        <f>IFERROR('Διανεμόμενες ποσότητες αερίου'!R40/'Ανάπτυξη δικτύου'!V102,0)</f>
        <v>1.1648140810706145</v>
      </c>
      <c r="P345" s="161">
        <f t="shared" si="109"/>
        <v>9.0276003389543932E-2</v>
      </c>
      <c r="Q345" s="157">
        <f>IFERROR('Διανεμόμενες ποσότητες αερίου'!X40/'Ανάπτυξη δικτύου'!Y102,0)</f>
        <v>1.1651513127314588</v>
      </c>
      <c r="R345" s="161">
        <f t="shared" si="110"/>
        <v>2.8951543969519812E-4</v>
      </c>
      <c r="S345" s="157">
        <f>IFERROR('Διανεμόμενες ποσότητες αερίου'!AD40/'Ανάπτυξη δικτύου'!AB102,0)</f>
        <v>1.1758449115918805</v>
      </c>
      <c r="T345" s="161">
        <f t="shared" si="111"/>
        <v>9.1778627750526299E-3</v>
      </c>
      <c r="U345" s="157">
        <f>IFERROR('Διανεμόμενες ποσότητες αερίου'!AJ40/'Ανάπτυξη δικτύου'!AE102,0)</f>
        <v>1.1806773780091318</v>
      </c>
      <c r="V345" s="161">
        <f t="shared" si="112"/>
        <v>4.109782140153952E-3</v>
      </c>
      <c r="W345" s="157">
        <f>IFERROR('Διανεμόμενες ποσότητες αερίου'!AP40/'Ανάπτυξη δικτύου'!AH102,0)</f>
        <v>1.2022322693182532</v>
      </c>
      <c r="X345" s="161">
        <f t="shared" si="115"/>
        <v>1.8256376983751068E-2</v>
      </c>
      <c r="Y345" s="192">
        <f t="shared" si="114"/>
        <v>7.9359656426742919E-3</v>
      </c>
    </row>
    <row r="346" spans="2:25" outlineLevel="1" x14ac:dyDescent="0.35">
      <c r="B346" s="294" t="s">
        <v>100</v>
      </c>
      <c r="C346" s="62" t="s">
        <v>257</v>
      </c>
      <c r="D346" s="184">
        <f>IFERROR('Διανεμόμενες ποσότητες αερίου'!D41/'Ανάπτυξη δικτύου'!E103,0)</f>
        <v>0.47435349263822502</v>
      </c>
      <c r="E346" s="173">
        <f>IFERROR('Διανεμόμενες ποσότητες αερίου'!E41/'Ανάπτυξη δικτύου'!G103,0)</f>
        <v>0.52472777576316876</v>
      </c>
      <c r="F346" s="161">
        <f t="shared" si="105"/>
        <v>0.10619566189926355</v>
      </c>
      <c r="G346" s="157">
        <f>IFERROR('Διανεμόμενες ποσότητες αερίου'!G41/'Ανάπτυξη δικτύου'!J103,0)</f>
        <v>0.58100839057104925</v>
      </c>
      <c r="H346" s="161">
        <f t="shared" si="106"/>
        <v>0.10725678610404311</v>
      </c>
      <c r="I346" s="168">
        <f>IFERROR('Διανεμόμενες ποσότητες αερίου'!I41/'Ανάπτυξη δικτύου'!M103,0)</f>
        <v>0.50620267297117305</v>
      </c>
      <c r="J346" s="161">
        <f t="shared" si="107"/>
        <v>-0.12875152719628152</v>
      </c>
      <c r="K346" s="157">
        <f>IFERROR('Διανεμόμενες ποσότητες αερίου'!K41/'Ανάπτυξη δικτύου'!P103,0)</f>
        <v>0.34655147340190873</v>
      </c>
      <c r="L346" s="161">
        <f t="shared" si="108"/>
        <v>-0.31538987858793083</v>
      </c>
      <c r="M346" s="192">
        <f t="shared" si="104"/>
        <v>-7.5479784709738929E-2</v>
      </c>
      <c r="O346" s="158">
        <f>IFERROR('Διανεμόμενες ποσότητες αερίου'!R41/'Ανάπτυξη δικτύου'!V103,0)</f>
        <v>0.64081583868046299</v>
      </c>
      <c r="P346" s="161">
        <f t="shared" si="109"/>
        <v>0.84912166839147973</v>
      </c>
      <c r="Q346" s="157">
        <f>IFERROR('Διανεμόμενες ποσότητες αερίου'!X41/'Ανάπτυξη δικτύου'!Y103,0)</f>
        <v>0.61369297287010793</v>
      </c>
      <c r="R346" s="161">
        <f t="shared" si="110"/>
        <v>-4.2325523454921389E-2</v>
      </c>
      <c r="S346" s="157">
        <f>IFERROR('Διανεμόμενες ποσότητες αερίου'!AD41/'Ανάπτυξη δικτύου'!AB103,0)</f>
        <v>0.64306797042436781</v>
      </c>
      <c r="T346" s="161">
        <f t="shared" si="111"/>
        <v>4.7865950650989905E-2</v>
      </c>
      <c r="U346" s="157">
        <f>IFERROR('Διανεμόμενες ποσότητες αερίου'!AJ41/'Ανάπτυξη δικτύου'!AE103,0)</f>
        <v>0.68572386510951089</v>
      </c>
      <c r="V346" s="161">
        <f t="shared" si="112"/>
        <v>6.6331860156235073E-2</v>
      </c>
      <c r="W346" s="157">
        <f>IFERROR('Διανεμόμενες ποσότητες αερίου'!AP41/'Ανάπτυξη δικτύου'!AH103,0)</f>
        <v>0.65134968137891258</v>
      </c>
      <c r="X346" s="161">
        <f t="shared" si="115"/>
        <v>-5.0128317650296024E-2</v>
      </c>
      <c r="Y346" s="192">
        <f t="shared" si="114"/>
        <v>4.0844513481068656E-3</v>
      </c>
    </row>
    <row r="347" spans="2:25" outlineLevel="1" x14ac:dyDescent="0.35">
      <c r="B347" s="294" t="s">
        <v>101</v>
      </c>
      <c r="C347" s="62" t="s">
        <v>257</v>
      </c>
      <c r="D347" s="184">
        <f>IFERROR('Διανεμόμενες ποσότητες αερίου'!D42/'Ανάπτυξη δικτύου'!E104,0)</f>
        <v>4.6551407321889533</v>
      </c>
      <c r="E347" s="173">
        <f>IFERROR('Διανεμόμενες ποσότητες αερίου'!E42/'Ανάπτυξη δικτύου'!G104,0)</f>
        <v>4.3393256432993983</v>
      </c>
      <c r="F347" s="161">
        <f t="shared" si="105"/>
        <v>-6.7842221547843848E-2</v>
      </c>
      <c r="G347" s="157">
        <f>IFERROR('Διανεμόμενες ποσότητες αερίου'!G42/'Ανάπτυξη δικτύου'!J104,0)</f>
        <v>4.8222755814513896</v>
      </c>
      <c r="H347" s="161">
        <f t="shared" si="106"/>
        <v>0.11129608097003321</v>
      </c>
      <c r="I347" s="168">
        <f>IFERROR('Διανεμόμενες ποσότητες αερίου'!I42/'Ανάπτυξη δικτύου'!M104,0)</f>
        <v>4.6757285076379693</v>
      </c>
      <c r="J347" s="161">
        <f t="shared" si="107"/>
        <v>-3.0389609913026389E-2</v>
      </c>
      <c r="K347" s="157">
        <f>IFERROR('Διανεμόμενες ποσότητες αερίου'!K42/'Ανάπτυξη δικτύου'!P104,0)</f>
        <v>4.4014793362429367</v>
      </c>
      <c r="L347" s="161">
        <f t="shared" si="108"/>
        <v>-5.8653784313404164E-2</v>
      </c>
      <c r="M347" s="192">
        <f t="shared" si="104"/>
        <v>-1.3910207801826613E-2</v>
      </c>
      <c r="O347" s="158">
        <f>IFERROR('Διανεμόμενες ποσότητες αερίου'!R42/'Ανάπτυξη δικτύου'!V104,0)</f>
        <v>4.4811480238928612</v>
      </c>
      <c r="P347" s="161">
        <f t="shared" si="109"/>
        <v>1.8100434323049416E-2</v>
      </c>
      <c r="Q347" s="157">
        <f>IFERROR('Διανεμόμενες ποσότητες αερίου'!X42/'Ανάπτυξη δικτύου'!Y104,0)</f>
        <v>4.5780980679855841</v>
      </c>
      <c r="R347" s="161">
        <f t="shared" si="110"/>
        <v>2.1635090734740001E-2</v>
      </c>
      <c r="S347" s="157">
        <f>IFERROR('Διανεμόμενες ποσότητες αερίου'!AD42/'Ανάπτυξη δικτύου'!AB104,0)</f>
        <v>4.5807489727276751</v>
      </c>
      <c r="T347" s="161">
        <f t="shared" si="111"/>
        <v>5.7904061964699101E-4</v>
      </c>
      <c r="U347" s="157">
        <f>IFERROR('Διανεμόμενες ποσότητες αερίου'!AJ42/'Ανάπτυξη δικτύου'!AE104,0)</f>
        <v>4.5833320425106185</v>
      </c>
      <c r="V347" s="161">
        <f t="shared" si="112"/>
        <v>5.638968208740979E-4</v>
      </c>
      <c r="W347" s="157">
        <f>IFERROR('Διανεμόμενες ποσότητες αερίου'!AP42/'Ανάπτυξη δικτύου'!AH104,0)</f>
        <v>4.5855054318709998</v>
      </c>
      <c r="X347" s="161">
        <f t="shared" si="115"/>
        <v>4.7419417581422483E-4</v>
      </c>
      <c r="Y347" s="192">
        <f t="shared" si="114"/>
        <v>5.771860029833098E-3</v>
      </c>
    </row>
    <row r="348" spans="2:25" outlineLevel="1" x14ac:dyDescent="0.35">
      <c r="B348" s="294" t="s">
        <v>102</v>
      </c>
      <c r="C348" s="62" t="s">
        <v>257</v>
      </c>
      <c r="D348" s="184">
        <f>IFERROR('Διανεμόμενες ποσότητες αερίου'!D43/'Ανάπτυξη δικτύου'!E105,0)</f>
        <v>0.95805142567270452</v>
      </c>
      <c r="E348" s="173">
        <f>IFERROR('Διανεμόμενες ποσότητες αερίου'!E43/'Ανάπτυξη δικτύου'!G105,0)</f>
        <v>1.0808797703528905</v>
      </c>
      <c r="F348" s="161">
        <f t="shared" si="105"/>
        <v>0.12820642127215767</v>
      </c>
      <c r="G348" s="157">
        <f>IFERROR('Διανεμόμενες ποσότητες αερίου'!G43/'Ανάπτυξη δικτύου'!J105,0)</f>
        <v>1.1374264020971097</v>
      </c>
      <c r="H348" s="161">
        <f t="shared" si="106"/>
        <v>5.2315376136383367E-2</v>
      </c>
      <c r="I348" s="168">
        <f>IFERROR('Διανεμόμενες ποσότητες αερίου'!I43/'Ανάπτυξη δικτύου'!M105,0)</f>
        <v>0.98125361452137239</v>
      </c>
      <c r="J348" s="161">
        <f t="shared" si="107"/>
        <v>-0.13730364205349593</v>
      </c>
      <c r="K348" s="157">
        <f>IFERROR('Διανεμόμενες ποσότητες αερίου'!K43/'Ανάπτυξη δικτύου'!P105,0)</f>
        <v>0.76658676401359527</v>
      </c>
      <c r="L348" s="161">
        <f t="shared" si="108"/>
        <v>-0.21876795899751716</v>
      </c>
      <c r="M348" s="192">
        <f t="shared" si="104"/>
        <v>-5.4213471576047834E-2</v>
      </c>
      <c r="O348" s="158">
        <f>IFERROR('Διανεμόμενες ποσότητες αερίου'!R43/'Ανάπτυξη δικτύου'!V105,0)</f>
        <v>1.4033175365834627</v>
      </c>
      <c r="P348" s="161">
        <f t="shared" si="109"/>
        <v>0.83060496536120099</v>
      </c>
      <c r="Q348" s="157">
        <f>IFERROR('Διανεμόμενες ποσότητες αερίου'!X43/'Ανάπτυξη δικτύου'!Y105,0)</f>
        <v>1.4393571834648362</v>
      </c>
      <c r="R348" s="161">
        <f t="shared" si="110"/>
        <v>2.5681747674240685E-2</v>
      </c>
      <c r="S348" s="157">
        <f>IFERROR('Διανεμόμενες ποσότητες αερίου'!AD43/'Ανάπτυξη δικτύου'!AB105,0)</f>
        <v>1.4642316262511932</v>
      </c>
      <c r="T348" s="161">
        <f t="shared" si="111"/>
        <v>1.7281633129088186E-2</v>
      </c>
      <c r="U348" s="157">
        <f>IFERROR('Διανεμόμενες ποσότητες αερίου'!AJ43/'Ανάπτυξη δικτύου'!AE105,0)</f>
        <v>1.5044862751716634</v>
      </c>
      <c r="V348" s="161">
        <f t="shared" si="112"/>
        <v>2.749199525455712E-2</v>
      </c>
      <c r="W348" s="157">
        <f>IFERROR('Διανεμόμενες ποσότητες αερίου'!AP43/'Ανάπτυξη δικτύου'!AH105,0)</f>
        <v>1.5383089925464175</v>
      </c>
      <c r="X348" s="161">
        <f t="shared" si="115"/>
        <v>2.2481240229921578E-2</v>
      </c>
      <c r="Y348" s="192">
        <f t="shared" si="114"/>
        <v>2.3226800217692967E-2</v>
      </c>
    </row>
    <row r="349" spans="2:25" outlineLevel="1" x14ac:dyDescent="0.35">
      <c r="B349" s="294" t="s">
        <v>103</v>
      </c>
      <c r="C349" s="62" t="s">
        <v>257</v>
      </c>
      <c r="D349" s="184">
        <f>IFERROR('Διανεμόμενες ποσότητες αερίου'!D44/'Ανάπτυξη δικτύου'!E106,0)</f>
        <v>8.7680814304624395</v>
      </c>
      <c r="E349" s="173">
        <f>IFERROR('Διανεμόμενες ποσότητες αερίου'!E44/'Ανάπτυξη δικτύου'!G106,0)</f>
        <v>7.7805233006436012</v>
      </c>
      <c r="F349" s="161">
        <f t="shared" si="105"/>
        <v>-0.11263103994310797</v>
      </c>
      <c r="G349" s="157">
        <f>IFERROR('Διανεμόμενες ποσότητες αερίου'!G44/'Ανάπτυξη δικτύου'!J106,0)</f>
        <v>8.6981326933134024</v>
      </c>
      <c r="H349" s="161">
        <f t="shared" si="106"/>
        <v>0.11793671931988135</v>
      </c>
      <c r="I349" s="168">
        <f>IFERROR('Διανεμόμενες ποσότητες αερίου'!I44/'Ανάπτυξη δικτύου'!M106,0)</f>
        <v>9.198834383691981</v>
      </c>
      <c r="J349" s="161">
        <f t="shared" si="107"/>
        <v>5.7564273624324876E-2</v>
      </c>
      <c r="K349" s="157">
        <f>IFERROR('Διανεμόμενες ποσότητες αερίου'!K44/'Ανάπτυξη δικτύου'!P106,0)</f>
        <v>8.8651816882871479</v>
      </c>
      <c r="L349" s="161">
        <f t="shared" si="108"/>
        <v>-3.627119279333308E-2</v>
      </c>
      <c r="M349" s="192">
        <f t="shared" si="104"/>
        <v>2.7571481942245679E-3</v>
      </c>
      <c r="O349" s="158">
        <f>IFERROR('Διανεμόμενες ποσότητες αερίου'!R44/'Ανάπτυξη δικτύου'!V106,0)</f>
        <v>8.6659103642385205</v>
      </c>
      <c r="P349" s="161">
        <f t="shared" si="109"/>
        <v>-2.2477974062495375E-2</v>
      </c>
      <c r="Q349" s="157">
        <f>IFERROR('Διανεμόμενες ποσότητες αερίου'!X44/'Ανάπτυξη δικτύου'!Y106,0)</f>
        <v>8.6659103642385205</v>
      </c>
      <c r="R349" s="161">
        <f t="shared" si="110"/>
        <v>0</v>
      </c>
      <c r="S349" s="157">
        <f>IFERROR('Διανεμόμενες ποσότητες αερίου'!AD44/'Ανάπτυξη δικτύου'!AB106,0)</f>
        <v>8.6659103642385205</v>
      </c>
      <c r="T349" s="161">
        <f t="shared" si="111"/>
        <v>0</v>
      </c>
      <c r="U349" s="157">
        <f>IFERROR('Διανεμόμενες ποσότητες αερίου'!AJ44/'Ανάπτυξη δικτύου'!AE106,0)</f>
        <v>8.6659103642385205</v>
      </c>
      <c r="V349" s="161">
        <f t="shared" si="112"/>
        <v>0</v>
      </c>
      <c r="W349" s="157">
        <f>IFERROR('Διανεμόμενες ποσότητες αερίου'!AP44/'Ανάπτυξη δικτύου'!AH106,0)</f>
        <v>8.6659103642385205</v>
      </c>
      <c r="X349" s="161">
        <f t="shared" si="115"/>
        <v>0</v>
      </c>
      <c r="Y349" s="192">
        <f t="shared" si="114"/>
        <v>0</v>
      </c>
    </row>
    <row r="350" spans="2:25" outlineLevel="1" x14ac:dyDescent="0.35">
      <c r="B350" s="294" t="s">
        <v>104</v>
      </c>
      <c r="C350" s="62" t="s">
        <v>257</v>
      </c>
      <c r="D350" s="184">
        <f>IFERROR('Διανεμόμενες ποσότητες αερίου'!D45/'Ανάπτυξη δικτύου'!E107,0)</f>
        <v>0</v>
      </c>
      <c r="E350" s="173">
        <f>IFERROR('Διανεμόμενες ποσότητες αερίου'!E45/'Ανάπτυξη δικτύου'!G107,0)</f>
        <v>0</v>
      </c>
      <c r="F350" s="161">
        <f t="shared" si="105"/>
        <v>0</v>
      </c>
      <c r="G350" s="157">
        <f>IFERROR('Διανεμόμενες ποσότητες αερίου'!G45/'Ανάπτυξη δικτύου'!J107,0)</f>
        <v>0</v>
      </c>
      <c r="H350" s="161">
        <f t="shared" si="106"/>
        <v>0</v>
      </c>
      <c r="I350" s="168">
        <f>IFERROR('Διανεμόμενες ποσότητες αερίου'!I45/'Ανάπτυξη δικτύου'!M107,0)</f>
        <v>0</v>
      </c>
      <c r="J350" s="161">
        <f t="shared" si="107"/>
        <v>0</v>
      </c>
      <c r="K350" s="157">
        <f>IFERROR('Διανεμόμενες ποσότητες αερίου'!K45/'Ανάπτυξη δικτύου'!P107,0)</f>
        <v>0</v>
      </c>
      <c r="L350" s="161">
        <f t="shared" si="108"/>
        <v>0</v>
      </c>
      <c r="M350" s="192">
        <f t="shared" si="104"/>
        <v>0</v>
      </c>
      <c r="O350" s="158">
        <f>IFERROR('Διανεμόμενες ποσότητες αερίου'!R45/'Ανάπτυξη δικτύου'!V107,0)</f>
        <v>0</v>
      </c>
      <c r="P350" s="161">
        <f t="shared" si="109"/>
        <v>0</v>
      </c>
      <c r="Q350" s="157">
        <f>IFERROR('Διανεμόμενες ποσότητες αερίου'!X45/'Ανάπτυξη δικτύου'!Y107,0)</f>
        <v>0</v>
      </c>
      <c r="R350" s="161">
        <f t="shared" si="110"/>
        <v>0</v>
      </c>
      <c r="S350" s="157">
        <f>IFERROR('Διανεμόμενες ποσότητες αερίου'!AD45/'Ανάπτυξη δικτύου'!AB107,0)</f>
        <v>0</v>
      </c>
      <c r="T350" s="161">
        <f t="shared" si="111"/>
        <v>0</v>
      </c>
      <c r="U350" s="157">
        <f>IFERROR('Διανεμόμενες ποσότητες αερίου'!AJ45/'Ανάπτυξη δικτύου'!AE107,0)</f>
        <v>5.4105679999999996</v>
      </c>
      <c r="V350" s="161">
        <f t="shared" si="112"/>
        <v>0</v>
      </c>
      <c r="W350" s="157">
        <f>IFERROR('Διανεμόμενες ποσότητες αερίου'!AP45/'Ανάπτυξη δικτύου'!AH107,0)</f>
        <v>2.7823540000000002</v>
      </c>
      <c r="X350" s="161">
        <f t="shared" si="115"/>
        <v>-0.48575565448951008</v>
      </c>
      <c r="Y350" s="192">
        <f t="shared" si="114"/>
        <v>0</v>
      </c>
    </row>
    <row r="351" spans="2:25" outlineLevel="1" x14ac:dyDescent="0.35">
      <c r="B351" s="294" t="s">
        <v>136</v>
      </c>
      <c r="C351" s="62" t="s">
        <v>257</v>
      </c>
      <c r="D351" s="184">
        <f>IFERROR('Διανεμόμενες ποσότητες αερίου'!D46/'Ανάπτυξη δικτύου'!E108,0)</f>
        <v>0</v>
      </c>
      <c r="E351" s="173">
        <f>IFERROR('Διανεμόμενες ποσότητες αερίου'!E46/'Ανάπτυξη δικτύου'!G108,0)</f>
        <v>0</v>
      </c>
      <c r="F351" s="161">
        <f t="shared" si="105"/>
        <v>0</v>
      </c>
      <c r="G351" s="157">
        <f>IFERROR('Διανεμόμενες ποσότητες αερίου'!G46/'Ανάπτυξη δικτύου'!J108,0)</f>
        <v>0</v>
      </c>
      <c r="H351" s="161">
        <f t="shared" si="106"/>
        <v>0</v>
      </c>
      <c r="I351" s="168">
        <f>IFERROR('Διανεμόμενες ποσότητες αερίου'!I46/'Ανάπτυξη δικτύου'!M108,0)</f>
        <v>0</v>
      </c>
      <c r="J351" s="161">
        <f t="shared" si="107"/>
        <v>0</v>
      </c>
      <c r="K351" s="157">
        <f>IFERROR('Διανεμόμενες ποσότητες αερίου'!K46/'Ανάπτυξη δικτύου'!P108,0)</f>
        <v>0</v>
      </c>
      <c r="L351" s="161">
        <f t="shared" si="108"/>
        <v>0</v>
      </c>
      <c r="M351" s="192">
        <f t="shared" si="104"/>
        <v>0</v>
      </c>
      <c r="O351" s="158">
        <f>IFERROR('Διανεμόμενες ποσότητες αερίου'!R46/'Ανάπτυξη δικτύου'!V108,0)</f>
        <v>0</v>
      </c>
      <c r="P351" s="161">
        <f t="shared" si="109"/>
        <v>0</v>
      </c>
      <c r="Q351" s="157">
        <f>IFERROR('Διανεμόμενες ποσότητες αερίου'!X46/'Ανάπτυξη δικτύου'!Y108,0)</f>
        <v>0</v>
      </c>
      <c r="R351" s="161">
        <f t="shared" si="110"/>
        <v>0</v>
      </c>
      <c r="S351" s="157">
        <f>IFERROR('Διανεμόμενες ποσότητες αερίου'!AD46/'Ανάπτυξη δικτύου'!AB108,0)</f>
        <v>0</v>
      </c>
      <c r="T351" s="161">
        <f t="shared" si="111"/>
        <v>0</v>
      </c>
      <c r="U351" s="157">
        <f>IFERROR('Διανεμόμενες ποσότητες αερίου'!AJ46/'Ανάπτυξη δικτύου'!AE108,0)</f>
        <v>4.0160000000000001E-2</v>
      </c>
      <c r="V351" s="161">
        <f t="shared" si="112"/>
        <v>0</v>
      </c>
      <c r="W351" s="157">
        <f>IFERROR('Διανεμόμενες ποσότητες αερίου'!AP46/'Ανάπτυξη δικτύου'!AH108,0)</f>
        <v>7.8743000000000007E-2</v>
      </c>
      <c r="X351" s="161">
        <f t="shared" si="115"/>
        <v>0.96073207171314756</v>
      </c>
      <c r="Y351" s="192">
        <f t="shared" si="114"/>
        <v>0</v>
      </c>
    </row>
    <row r="352" spans="2:25" outlineLevel="1" x14ac:dyDescent="0.35">
      <c r="B352" s="294" t="s">
        <v>106</v>
      </c>
      <c r="C352" s="62" t="s">
        <v>257</v>
      </c>
      <c r="D352" s="184">
        <f>IFERROR('Διανεμόμενες ποσότητες αερίου'!D47/'Ανάπτυξη δικτύου'!E109,0)</f>
        <v>2.2782493944594715</v>
      </c>
      <c r="E352" s="173">
        <f>IFERROR('Διανεμόμενες ποσότητες αερίου'!E47/'Ανάπτυξη δικτύου'!G109,0)</f>
        <v>2.3086676905893193</v>
      </c>
      <c r="F352" s="161">
        <f t="shared" si="105"/>
        <v>1.3351609443559068E-2</v>
      </c>
      <c r="G352" s="157">
        <f>IFERROR('Διανεμόμενες ποσότητες αερίου'!G47/'Ανάπτυξη δικτύου'!J109,0)</f>
        <v>2.3082384366096584</v>
      </c>
      <c r="H352" s="161">
        <f t="shared" si="106"/>
        <v>-1.8593147095643625E-4</v>
      </c>
      <c r="I352" s="168">
        <f>IFERROR('Διανεμόμενες ποσότητες αερίου'!I47/'Ανάπτυξη δικτύου'!M109,0)</f>
        <v>2.1725453524385059</v>
      </c>
      <c r="J352" s="161">
        <f t="shared" si="107"/>
        <v>-5.8786424322115789E-2</v>
      </c>
      <c r="K352" s="157">
        <f>IFERROR('Διανεμόμενες ποσότητες αερίου'!K47/'Ανάπτυξη δικτύου'!P109,0)</f>
        <v>1.8296475388780262</v>
      </c>
      <c r="L352" s="161">
        <f t="shared" si="108"/>
        <v>-0.15783229251145653</v>
      </c>
      <c r="M352" s="192">
        <f t="shared" si="104"/>
        <v>-5.3345414148804116E-2</v>
      </c>
      <c r="O352" s="158">
        <f>IFERROR('Διανεμόμενες ποσότητες αερίου'!R47/'Ανάπτυξη δικτύου'!V109,0)</f>
        <v>2.227630275695669</v>
      </c>
      <c r="P352" s="161">
        <f t="shared" si="109"/>
        <v>0.21751879985677083</v>
      </c>
      <c r="Q352" s="157">
        <f>IFERROR('Διανεμόμενες ποσότητες αερίου'!X47/'Ανάπτυξη δικτύου'!Y109,0)</f>
        <v>2.2861244662386269</v>
      </c>
      <c r="R352" s="161">
        <f t="shared" si="110"/>
        <v>2.6258482469533995E-2</v>
      </c>
      <c r="S352" s="157">
        <f>IFERROR('Διανεμόμενες ποσότητες αερίου'!AD47/'Ανάπτυξη δικτύου'!AB109,0)</f>
        <v>2.3278104403686282</v>
      </c>
      <c r="T352" s="161">
        <f t="shared" si="111"/>
        <v>1.8234341456739432E-2</v>
      </c>
      <c r="U352" s="157">
        <f>IFERROR('Διανεμόμενες ποσότητες αερίου'!AJ47/'Ανάπτυξη δικτύου'!AE109,0)</f>
        <v>2.3049179478015276</v>
      </c>
      <c r="V352" s="161">
        <f t="shared" si="112"/>
        <v>-9.8343456881632325E-3</v>
      </c>
      <c r="W352" s="157">
        <f>IFERROR('Διανεμόμενες ποσότητες αερίου'!AP47/'Ανάπτυξη δικτύου'!AH109,0)</f>
        <v>2.1227346363943465</v>
      </c>
      <c r="X352" s="161">
        <f t="shared" si="115"/>
        <v>-7.904112664008317E-2</v>
      </c>
      <c r="Y352" s="192">
        <f t="shared" si="114"/>
        <v>-1.1985885973541111E-2</v>
      </c>
    </row>
    <row r="353" spans="2:25" outlineLevel="1" x14ac:dyDescent="0.35">
      <c r="B353" s="294" t="s">
        <v>107</v>
      </c>
      <c r="C353" s="62" t="s">
        <v>257</v>
      </c>
      <c r="D353" s="184">
        <f>IFERROR('Διανεμόμενες ποσότητες αερίου'!D48/'Ανάπτυξη δικτύου'!E110,0)</f>
        <v>0.96437042285024333</v>
      </c>
      <c r="E353" s="173">
        <f>IFERROR('Διανεμόμενες ποσότητες αερίου'!E48/'Ανάπτυξη δικτύου'!G110,0)</f>
        <v>0.5749648614281988</v>
      </c>
      <c r="F353" s="161">
        <f t="shared" si="105"/>
        <v>-0.40379251809811584</v>
      </c>
      <c r="G353" s="157">
        <f>IFERROR('Διανεμόμενες ποσότητες αερίου'!G48/'Ανάπτυξη δικτύου'!J110,0)</f>
        <v>0.51001692140196708</v>
      </c>
      <c r="H353" s="161">
        <f t="shared" si="106"/>
        <v>-0.11295984221523139</v>
      </c>
      <c r="I353" s="168">
        <f>IFERROR('Διανεμόμενες ποσότητες αερίου'!I48/'Ανάπτυξη δικτύου'!M110,0)</f>
        <v>0.48948857212734243</v>
      </c>
      <c r="J353" s="161">
        <f t="shared" si="107"/>
        <v>-4.0250329769833948E-2</v>
      </c>
      <c r="K353" s="157">
        <f>IFERROR('Διανεμόμενες ποσότητες αερίου'!K48/'Ανάπτυξη δικτύου'!P110,0)</f>
        <v>0.38408968455558423</v>
      </c>
      <c r="L353" s="161">
        <f t="shared" si="108"/>
        <v>-0.21532451128264185</v>
      </c>
      <c r="M353" s="192">
        <f t="shared" si="104"/>
        <v>-0.20558544904423037</v>
      </c>
      <c r="O353" s="158">
        <f>IFERROR('Διανεμόμενες ποσότητες αερίου'!R48/'Ανάπτυξη δικτύου'!V110,0)</f>
        <v>0.59032495197477042</v>
      </c>
      <c r="P353" s="161">
        <f t="shared" si="109"/>
        <v>0.53694560336295749</v>
      </c>
      <c r="Q353" s="157">
        <f>IFERROR('Διανεμόμενες ποσότητες αερίου'!X48/'Ανάπτυξη δικτύου'!Y110,0)</f>
        <v>0.59377066298461745</v>
      </c>
      <c r="R353" s="161">
        <f t="shared" si="110"/>
        <v>5.8369733454775169E-3</v>
      </c>
      <c r="S353" s="157">
        <f>IFERROR('Διανεμόμενες ποσότητες αερίου'!AD48/'Ανάπτυξη δικτύου'!AB110,0)</f>
        <v>0.62569573865711203</v>
      </c>
      <c r="T353" s="161">
        <f t="shared" si="111"/>
        <v>5.3766677376786552E-2</v>
      </c>
      <c r="U353" s="157">
        <f>IFERROR('Διανεμόμενες ποσότητες αερίου'!AJ48/'Ανάπτυξη δικτύου'!AE110,0)</f>
        <v>0.65881503821417986</v>
      </c>
      <c r="V353" s="161">
        <f t="shared" si="112"/>
        <v>5.2931956398088176E-2</v>
      </c>
      <c r="W353" s="157">
        <f>IFERROR('Διανεμόμενες ποσότητες αερίου'!AP48/'Ανάπτυξη δικτύου'!AH110,0)</f>
        <v>0.68013582661230187</v>
      </c>
      <c r="X353" s="161">
        <f t="shared" si="115"/>
        <v>3.236232806087018E-2</v>
      </c>
      <c r="Y353" s="192">
        <f t="shared" si="114"/>
        <v>3.6039057042642986E-2</v>
      </c>
    </row>
    <row r="354" spans="2:25" outlineLevel="1" x14ac:dyDescent="0.35">
      <c r="B354" s="294" t="s">
        <v>108</v>
      </c>
      <c r="C354" s="62" t="s">
        <v>257</v>
      </c>
      <c r="D354" s="184">
        <f>IFERROR('Διανεμόμενες ποσότητες αερίου'!D49/'Ανάπτυξη δικτύου'!E111,0)</f>
        <v>0.76547471292351232</v>
      </c>
      <c r="E354" s="173">
        <f>IFERROR('Διανεμόμενες ποσότητες αερίου'!E49/'Ανάπτυξη δικτύου'!G111,0)</f>
        <v>0.75813095043753365</v>
      </c>
      <c r="F354" s="161">
        <f t="shared" si="105"/>
        <v>-9.5937362292887133E-3</v>
      </c>
      <c r="G354" s="157">
        <f>IFERROR('Διανεμόμενες ποσότητες αερίου'!G49/'Ανάπτυξη δικτύου'!J111,0)</f>
        <v>0.81765329911121287</v>
      </c>
      <c r="H354" s="161">
        <f t="shared" si="106"/>
        <v>7.8511962398221044E-2</v>
      </c>
      <c r="I354" s="168">
        <f>IFERROR('Διανεμόμενες ποσότητες αερίου'!I49/'Ανάπτυξη δικτύου'!M111,0)</f>
        <v>0.70752496066669124</v>
      </c>
      <c r="J354" s="161">
        <f t="shared" si="107"/>
        <v>-0.13468830684622793</v>
      </c>
      <c r="K354" s="157">
        <f>IFERROR('Διανεμόμενες ποσότητες αερίου'!K49/'Ανάπτυξη δικτύου'!P111,0)</f>
        <v>0.55385871871374326</v>
      </c>
      <c r="L354" s="161">
        <f t="shared" si="108"/>
        <v>-0.21718843927166945</v>
      </c>
      <c r="M354" s="192">
        <f t="shared" si="104"/>
        <v>-7.7710982758413816E-2</v>
      </c>
      <c r="O354" s="158">
        <f>IFERROR('Διανεμόμενες ποσότητες αερίου'!R49/'Ανάπτυξη δικτύου'!V111,0)</f>
        <v>1.1710027523247535</v>
      </c>
      <c r="P354" s="161">
        <f t="shared" si="109"/>
        <v>1.1142625596726869</v>
      </c>
      <c r="Q354" s="157">
        <f>IFERROR('Διανεμόμενες ποσότητες αερίου'!X49/'Ανάπτυξη δικτύου'!Y111,0)</f>
        <v>1.235839432067092</v>
      </c>
      <c r="R354" s="161">
        <f t="shared" si="110"/>
        <v>5.5368511827679649E-2</v>
      </c>
      <c r="S354" s="157">
        <f>IFERROR('Διανεμόμενες ποσότητες αερίου'!AD49/'Ανάπτυξη δικτύου'!AB111,0)</f>
        <v>1.1743010599097068</v>
      </c>
      <c r="T354" s="161">
        <f t="shared" si="111"/>
        <v>-4.9794795796776606E-2</v>
      </c>
      <c r="U354" s="157">
        <f>IFERROR('Διανεμόμενες ποσότητες αερίου'!AJ49/'Ανάπτυξη δικτύου'!AE111,0)</f>
        <v>1.1508699920040129</v>
      </c>
      <c r="V354" s="161">
        <f t="shared" si="112"/>
        <v>-1.9953203403815012E-2</v>
      </c>
      <c r="W354" s="157">
        <f>IFERROR('Διανεμόμενες ποσότητες αερίου'!AP49/'Ανάπτυξη δικτύου'!AH111,0)</f>
        <v>1.2290113665857001</v>
      </c>
      <c r="X354" s="161">
        <f t="shared" si="115"/>
        <v>6.7897655794830022E-2</v>
      </c>
      <c r="Y354" s="192">
        <f t="shared" si="114"/>
        <v>1.2160759026180967E-2</v>
      </c>
    </row>
    <row r="355" spans="2:25" outlineLevel="1" x14ac:dyDescent="0.35">
      <c r="B355" s="294" t="s">
        <v>109</v>
      </c>
      <c r="C355" s="62" t="s">
        <v>257</v>
      </c>
      <c r="D355" s="184">
        <f>IFERROR('Διανεμόμενες ποσότητες αερίου'!D50/'Ανάπτυξη δικτύου'!E112,0)</f>
        <v>1.0582921686855242</v>
      </c>
      <c r="E355" s="173">
        <f>IFERROR('Διανεμόμενες ποσότητες αερίου'!E50/'Ανάπτυξη δικτύου'!G112,0)</f>
        <v>1.1083993104560181</v>
      </c>
      <c r="F355" s="161">
        <f t="shared" si="105"/>
        <v>4.7347172409610311E-2</v>
      </c>
      <c r="G355" s="157">
        <f>IFERROR('Διανεμόμενες ποσότητες αερίου'!G50/'Ανάπτυξη δικτύου'!J112,0)</f>
        <v>1.1659609277401934</v>
      </c>
      <c r="H355" s="161">
        <f t="shared" si="106"/>
        <v>5.193220235809537E-2</v>
      </c>
      <c r="I355" s="168">
        <f>IFERROR('Διανεμόμενες ποσότητες αερίου'!I50/'Ανάπτυξη δικτύου'!M112,0)</f>
        <v>1.1174978525675785</v>
      </c>
      <c r="J355" s="161">
        <f t="shared" si="107"/>
        <v>-4.1564922133834815E-2</v>
      </c>
      <c r="K355" s="157">
        <f>IFERROR('Διανεμόμενες ποσότητες αερίου'!K50/'Ανάπτυξη δικτύου'!P112,0)</f>
        <v>0.95584950525234846</v>
      </c>
      <c r="L355" s="161">
        <f t="shared" si="108"/>
        <v>-0.14465204290444456</v>
      </c>
      <c r="M355" s="192">
        <f t="shared" si="104"/>
        <v>-2.5131619737259303E-2</v>
      </c>
      <c r="O355" s="158">
        <f>IFERROR('Διανεμόμενες ποσότητες αερίου'!R50/'Ανάπτυξη δικτύου'!V112,0)</f>
        <v>1.3660426553013028</v>
      </c>
      <c r="P355" s="161">
        <f t="shared" si="109"/>
        <v>0.42913988843951067</v>
      </c>
      <c r="Q355" s="157">
        <f>IFERROR('Διανεμόμενες ποσότητες αερίου'!X50/'Ανάπτυξη δικτύου'!Y112,0)</f>
        <v>1.4252063978918945</v>
      </c>
      <c r="R355" s="161">
        <f t="shared" si="110"/>
        <v>4.3310318576796007E-2</v>
      </c>
      <c r="S355" s="157">
        <f>IFERROR('Διανεμόμενες ποσότητες αερίου'!AD50/'Ανάπτυξη δικτύου'!AB112,0)</f>
        <v>1.4775845822506346</v>
      </c>
      <c r="T355" s="161">
        <f t="shared" si="111"/>
        <v>3.6751297521689277E-2</v>
      </c>
      <c r="U355" s="157">
        <f>IFERROR('Διανεμόμενες ποσότητες αερίου'!AJ50/'Ανάπτυξη δικτύου'!AE112,0)</f>
        <v>1.5427530790205348</v>
      </c>
      <c r="V355" s="161">
        <f t="shared" si="112"/>
        <v>4.4104748758704931E-2</v>
      </c>
      <c r="W355" s="157">
        <f>IFERROR('Διανεμόμενες ποσότητες αερίου'!AP50/'Ανάπτυξη δικτύου'!AH112,0)</f>
        <v>1.5978834826713864</v>
      </c>
      <c r="X355" s="161">
        <f t="shared" si="115"/>
        <v>3.5735079320569435E-2</v>
      </c>
      <c r="Y355" s="192">
        <f t="shared" si="114"/>
        <v>3.9968564007599072E-2</v>
      </c>
    </row>
    <row r="356" spans="2:25" outlineLevel="1" x14ac:dyDescent="0.35">
      <c r="B356" s="294" t="s">
        <v>110</v>
      </c>
      <c r="C356" s="62" t="s">
        <v>257</v>
      </c>
      <c r="D356" s="184">
        <f>IFERROR('Διανεμόμενες ποσότητες αερίου'!D51/'Ανάπτυξη δικτύου'!E113,0)</f>
        <v>1.2058667386487454</v>
      </c>
      <c r="E356" s="173">
        <f>IFERROR('Διανεμόμενες ποσότητες αερίου'!E51/'Ανάπτυξη δικτύου'!G113,0)</f>
        <v>1.3253325914994016</v>
      </c>
      <c r="F356" s="161">
        <f t="shared" si="105"/>
        <v>9.9070526635908179E-2</v>
      </c>
      <c r="G356" s="157">
        <f>IFERROR('Διανεμόμενες ποσότητες αερίου'!G51/'Ανάπτυξη δικτύου'!J113,0)</f>
        <v>1.5009990908870783</v>
      </c>
      <c r="H356" s="161">
        <f t="shared" si="106"/>
        <v>0.13254521960328322</v>
      </c>
      <c r="I356" s="168">
        <f>IFERROR('Διανεμόμενες ποσότητες αερίου'!I51/'Ανάπτυξη δικτύου'!M113,0)</f>
        <v>1.5204171147594763</v>
      </c>
      <c r="J356" s="161">
        <f t="shared" si="107"/>
        <v>1.2936732600498844E-2</v>
      </c>
      <c r="K356" s="157">
        <f>IFERROR('Διανεμόμενες ποσότητες αερίου'!K51/'Ανάπτυξη δικτύου'!P113,0)</f>
        <v>1.3617998579454456</v>
      </c>
      <c r="L356" s="161">
        <f t="shared" si="108"/>
        <v>-0.10432482986033956</v>
      </c>
      <c r="M356" s="192">
        <f t="shared" si="104"/>
        <v>3.086902906061062E-2</v>
      </c>
      <c r="O356" s="158">
        <f>IFERROR('Διανεμόμενες ποσότητες αερίου'!R51/'Ανάπτυξη δικτύου'!V113,0)</f>
        <v>1.8715062804690457</v>
      </c>
      <c r="P356" s="161">
        <f t="shared" si="109"/>
        <v>0.37428879108020824</v>
      </c>
      <c r="Q356" s="157">
        <f>IFERROR('Διανεμόμενες ποσότητες αερίου'!X51/'Ανάπτυξη δικτύου'!Y113,0)</f>
        <v>1.9026000846680167</v>
      </c>
      <c r="R356" s="161">
        <f t="shared" si="110"/>
        <v>1.6614319985705919E-2</v>
      </c>
      <c r="S356" s="157">
        <f>IFERROR('Διανεμόμενες ποσότητες αερίου'!AD51/'Ανάπτυξη δικτύου'!AB113,0)</f>
        <v>1.8890739756145498</v>
      </c>
      <c r="T356" s="161">
        <f t="shared" si="111"/>
        <v>-7.1092759652783321E-3</v>
      </c>
      <c r="U356" s="157">
        <f>IFERROR('Διανεμόμενες ποσότητες αερίου'!AJ51/'Ανάπτυξη δικτύου'!AE113,0)</f>
        <v>1.9224665070656033</v>
      </c>
      <c r="V356" s="161">
        <f t="shared" si="112"/>
        <v>1.7676666918345685E-2</v>
      </c>
      <c r="W356" s="157">
        <f>IFERROR('Διανεμόμενες ποσότητες αερίου'!AP51/'Ανάπτυξη δικτύου'!AH113,0)</f>
        <v>1.8531877894065598</v>
      </c>
      <c r="X356" s="161">
        <f t="shared" si="115"/>
        <v>-3.6036371715410784E-2</v>
      </c>
      <c r="Y356" s="192">
        <f t="shared" si="114"/>
        <v>-2.4560585878752317E-3</v>
      </c>
    </row>
    <row r="357" spans="2:25" outlineLevel="1" x14ac:dyDescent="0.35">
      <c r="B357" s="294" t="s">
        <v>111</v>
      </c>
      <c r="C357" s="62" t="s">
        <v>257</v>
      </c>
      <c r="D357" s="184">
        <f>IFERROR('Διανεμόμενες ποσότητες αερίου'!D52/'Ανάπτυξη δικτύου'!E114,0)</f>
        <v>0.56394853969722003</v>
      </c>
      <c r="E357" s="173">
        <f>IFERROR('Διανεμόμενες ποσότητες αερίου'!E52/'Ανάπτυξη δικτύου'!G114,0)</f>
        <v>0.47210474586976342</v>
      </c>
      <c r="F357" s="161">
        <f t="shared" si="105"/>
        <v>-0.16285846555568154</v>
      </c>
      <c r="G357" s="157">
        <f>IFERROR('Διανεμόμενες ποσότητες αερίου'!G52/'Ανάπτυξη δικτύου'!J114,0)</f>
        <v>0.54149599529842629</v>
      </c>
      <c r="H357" s="161">
        <f t="shared" si="106"/>
        <v>0.14698274066451644</v>
      </c>
      <c r="I357" s="168">
        <f>IFERROR('Διανεμόμενες ποσότητες αερίου'!I52/'Ανάπτυξη δικτύου'!M114,0)</f>
        <v>0.56212613171979209</v>
      </c>
      <c r="J357" s="161">
        <f t="shared" si="107"/>
        <v>3.809840996145545E-2</v>
      </c>
      <c r="K357" s="157">
        <f>IFERROR('Διανεμόμενες ποσότητες αερίου'!K52/'Ανάπτυξη δικτύου'!P114,0)</f>
        <v>0.47194526649465585</v>
      </c>
      <c r="L357" s="161">
        <f t="shared" si="108"/>
        <v>-0.1604281675168403</v>
      </c>
      <c r="M357" s="192">
        <f t="shared" si="104"/>
        <v>-4.3548308536912494E-2</v>
      </c>
      <c r="O357" s="158">
        <f>IFERROR('Διανεμόμενες ποσότητες αερίου'!R52/'Ανάπτυξη δικτύου'!V114,0)</f>
        <v>0.67757260203127179</v>
      </c>
      <c r="P357" s="161">
        <f t="shared" si="109"/>
        <v>0.4357016589315541</v>
      </c>
      <c r="Q357" s="157">
        <f>IFERROR('Διανεμόμενες ποσότητες αερίου'!X52/'Ανάπτυξη δικτύου'!Y114,0)</f>
        <v>0.66344343618975332</v>
      </c>
      <c r="R357" s="161">
        <f t="shared" si="110"/>
        <v>-2.0852622728783781E-2</v>
      </c>
      <c r="S357" s="157">
        <f>IFERROR('Διανεμόμενες ποσότητες αερίου'!AD52/'Ανάπτυξη δικτύου'!AB114,0)</f>
        <v>0.64003504458976579</v>
      </c>
      <c r="T357" s="161">
        <f t="shared" si="111"/>
        <v>-3.5283176112835088E-2</v>
      </c>
      <c r="U357" s="157">
        <f>IFERROR('Διανεμόμενες ποσότητες αερίου'!AJ52/'Ανάπτυξη δικτύου'!AE114,0)</f>
        <v>0.67356880693509547</v>
      </c>
      <c r="V357" s="161">
        <f t="shared" si="112"/>
        <v>5.2393634737334327E-2</v>
      </c>
      <c r="W357" s="157">
        <f>IFERROR('Διανεμόμενες ποσότητες αερίου'!AP52/'Ανάπτυξη δικτύου'!AH114,0)</f>
        <v>0.68954321878924441</v>
      </c>
      <c r="X357" s="161">
        <f t="shared" si="115"/>
        <v>2.3716080212853773E-2</v>
      </c>
      <c r="Y357" s="192">
        <f t="shared" si="114"/>
        <v>4.3877651590382705E-3</v>
      </c>
    </row>
    <row r="358" spans="2:25" outlineLevel="1" x14ac:dyDescent="0.35">
      <c r="B358" s="294" t="s">
        <v>112</v>
      </c>
      <c r="C358" s="62" t="s">
        <v>257</v>
      </c>
      <c r="D358" s="184">
        <f>IFERROR('Διανεμόμενες ποσότητες αερίου'!D53/'Ανάπτυξη δικτύου'!E115,0)</f>
        <v>1.2977000074128244</v>
      </c>
      <c r="E358" s="173">
        <f>IFERROR('Διανεμόμενες ποσότητες αερίου'!E53/'Ανάπτυξη δικτύου'!G115,0)</f>
        <v>1.3275263789304361</v>
      </c>
      <c r="F358" s="161">
        <f t="shared" si="105"/>
        <v>2.2984026621896539E-2</v>
      </c>
      <c r="G358" s="157">
        <f>IFERROR('Διανεμόμενες ποσότητες αερίου'!G53/'Ανάπτυξη δικτύου'!J115,0)</f>
        <v>1.4467977169127446</v>
      </c>
      <c r="H358" s="161">
        <f t="shared" si="106"/>
        <v>8.9844796966221677E-2</v>
      </c>
      <c r="I358" s="168">
        <f>IFERROR('Διανεμόμενες ποσότητες αερίου'!I53/'Ανάπτυξη δικτύου'!M115,0)</f>
        <v>1.6159785932203272</v>
      </c>
      <c r="J358" s="161">
        <f t="shared" si="107"/>
        <v>0.11693471335342576</v>
      </c>
      <c r="K358" s="157">
        <f>IFERROR('Διανεμόμενες ποσότητες αερίου'!K53/'Ανάπτυξη δικτύου'!P115,0)</f>
        <v>1.454930121986205</v>
      </c>
      <c r="L358" s="161">
        <f t="shared" si="108"/>
        <v>-9.9660027620281991E-2</v>
      </c>
      <c r="M358" s="192">
        <f t="shared" si="104"/>
        <v>2.9003749030152237E-2</v>
      </c>
      <c r="O358" s="158">
        <f>IFERROR('Διανεμόμενες ποσότητες αερίου'!R53/'Ανάπτυξη δικτύου'!V115,0)</f>
        <v>1.6204686455464288</v>
      </c>
      <c r="P358" s="161">
        <f t="shared" si="109"/>
        <v>0.11377764544061957</v>
      </c>
      <c r="Q358" s="157">
        <f>IFERROR('Διανεμόμενες ποσότητες αερίου'!X53/'Ανάπτυξη δικτύου'!Y115,0)</f>
        <v>1.5796393764528955</v>
      </c>
      <c r="R358" s="161">
        <f t="shared" si="110"/>
        <v>-2.5195963652703345E-2</v>
      </c>
      <c r="S358" s="157">
        <f>IFERROR('Διανεμόμενες ποσότητες αερίου'!AD53/'Ανάπτυξη δικτύου'!AB115,0)</f>
        <v>1.5579635681472788</v>
      </c>
      <c r="T358" s="161">
        <f t="shared" si="111"/>
        <v>-1.3721997962781944E-2</v>
      </c>
      <c r="U358" s="157">
        <f>IFERROR('Διανεμόμενες ποσότητες αερίου'!AJ53/'Ανάπτυξη δικτύου'!AE115,0)</f>
        <v>1.5392775491540924</v>
      </c>
      <c r="V358" s="161">
        <f t="shared" si="112"/>
        <v>-1.1993874167036936E-2</v>
      </c>
      <c r="W358" s="157">
        <f>IFERROR('Διανεμόμενες ποσότητες αερίου'!AP53/'Ανάπτυξη δικτύου'!AH115,0)</f>
        <v>1.5058703790889787</v>
      </c>
      <c r="X358" s="161">
        <f t="shared" si="115"/>
        <v>-2.1703149041232099E-2</v>
      </c>
      <c r="Y358" s="192">
        <f t="shared" si="114"/>
        <v>-1.8169001467883472E-2</v>
      </c>
    </row>
    <row r="359" spans="2:25" outlineLevel="1" x14ac:dyDescent="0.35">
      <c r="B359" s="294" t="s">
        <v>113</v>
      </c>
      <c r="C359" s="62" t="s">
        <v>257</v>
      </c>
      <c r="D359" s="184">
        <f>IFERROR('Διανεμόμενες ποσότητες αερίου'!D54/'Ανάπτυξη δικτύου'!E116,0)</f>
        <v>0</v>
      </c>
      <c r="E359" s="173">
        <f>IFERROR('Διανεμόμενες ποσότητες αερίου'!E54/'Ανάπτυξη δικτύου'!G116,0)</f>
        <v>0</v>
      </c>
      <c r="F359" s="161">
        <f t="shared" si="105"/>
        <v>0</v>
      </c>
      <c r="G359" s="157">
        <f>IFERROR('Διανεμόμενες ποσότητες αερίου'!G54/'Ανάπτυξη δικτύου'!J116,0)</f>
        <v>0</v>
      </c>
      <c r="H359" s="161">
        <f t="shared" si="106"/>
        <v>0</v>
      </c>
      <c r="I359" s="168">
        <f>IFERROR('Διανεμόμενες ποσότητες αερίου'!I54/'Ανάπτυξη δικτύου'!M116,0)</f>
        <v>0</v>
      </c>
      <c r="J359" s="161">
        <f t="shared" si="107"/>
        <v>0</v>
      </c>
      <c r="K359" s="157">
        <f>IFERROR('Διανεμόμενες ποσότητες αερίου'!K54/'Ανάπτυξη δικτύου'!P116,0)</f>
        <v>0.22258269696159941</v>
      </c>
      <c r="L359" s="161">
        <f t="shared" si="108"/>
        <v>0</v>
      </c>
      <c r="M359" s="192">
        <f t="shared" si="104"/>
        <v>0</v>
      </c>
      <c r="O359" s="158">
        <f>IFERROR('Διανεμόμενες ποσότητες αερίου'!R54/'Ανάπτυξη δικτύου'!V116,0)</f>
        <v>1.7303038400596162</v>
      </c>
      <c r="P359" s="161">
        <f t="shared" si="109"/>
        <v>6.7737571863375035</v>
      </c>
      <c r="Q359" s="157">
        <f>IFERROR('Διανεμόμενες ποσότητες αερίου'!X54/'Ανάπτυξη δικτύου'!Y116,0)</f>
        <v>1.7303038400596162</v>
      </c>
      <c r="R359" s="161">
        <f t="shared" si="110"/>
        <v>0</v>
      </c>
      <c r="S359" s="157">
        <f>IFERROR('Διανεμόμενες ποσότητες αερίου'!AD54/'Ανάπτυξη δικτύου'!AB116,0)</f>
        <v>4.4199564168476355</v>
      </c>
      <c r="T359" s="161">
        <f t="shared" si="111"/>
        <v>1.5544394657850089</v>
      </c>
      <c r="U359" s="157">
        <f>IFERROR('Διανεμόμενες ποσότητες αερίου'!AJ54/'Ανάπτυξη δικτύου'!AE116,0)</f>
        <v>4.7583393238213176</v>
      </c>
      <c r="V359" s="161">
        <f t="shared" si="112"/>
        <v>7.6557973667763166E-2</v>
      </c>
      <c r="W359" s="157">
        <f>IFERROR('Διανεμόμενες ποσότητες αερίου'!AP54/'Ανάπτυξη δικτύου'!AH116,0)</f>
        <v>4.7583393238213176</v>
      </c>
      <c r="X359" s="161">
        <f t="shared" si="115"/>
        <v>0</v>
      </c>
      <c r="Y359" s="192">
        <f t="shared" si="114"/>
        <v>0.28775504309154298</v>
      </c>
    </row>
    <row r="360" spans="2:25" outlineLevel="1" x14ac:dyDescent="0.35">
      <c r="B360" s="294" t="s">
        <v>114</v>
      </c>
      <c r="C360" s="62" t="s">
        <v>257</v>
      </c>
      <c r="D360" s="184">
        <f>IFERROR('Διανεμόμενες ποσότητες αερίου'!D55/'Ανάπτυξη δικτύου'!E117,0)</f>
        <v>1.1500615796989069</v>
      </c>
      <c r="E360" s="173">
        <f>IFERROR('Διανεμόμενες ποσότητες αερίου'!E55/'Ανάπτυξη δικτύου'!G117,0)</f>
        <v>1.2278493907403891</v>
      </c>
      <c r="F360" s="161">
        <f t="shared" si="105"/>
        <v>6.7637952971046619E-2</v>
      </c>
      <c r="G360" s="157">
        <f>IFERROR('Διανεμόμενες ποσότητες αερίου'!G55/'Ανάπτυξη δικτύου'!J117,0)</f>
        <v>1.213446929104</v>
      </c>
      <c r="H360" s="161">
        <f t="shared" si="106"/>
        <v>-1.172982757087537E-2</v>
      </c>
      <c r="I360" s="168">
        <f>IFERROR('Διανεμόμενες ποσότητες αερίου'!I55/'Ανάπτυξη δικτύου'!M117,0)</f>
        <v>1.1828640578267222</v>
      </c>
      <c r="J360" s="161">
        <f t="shared" si="107"/>
        <v>-2.5203303534551715E-2</v>
      </c>
      <c r="K360" s="157">
        <f>IFERROR('Διανεμόμενες ποσότητες αερίου'!K55/'Ανάπτυξη δικτύου'!P117,0)</f>
        <v>0.80801876496918634</v>
      </c>
      <c r="L360" s="161">
        <f t="shared" si="108"/>
        <v>-0.31689634187231935</v>
      </c>
      <c r="M360" s="192">
        <f t="shared" si="104"/>
        <v>-8.446471269866429E-2</v>
      </c>
      <c r="O360" s="158">
        <f>IFERROR('Διανεμόμενες ποσότητες αερίου'!R55/'Ανάπτυξη δικτύου'!V117,0)</f>
        <v>1.2231883379853181</v>
      </c>
      <c r="P360" s="161">
        <f t="shared" si="109"/>
        <v>0.51381179622971285</v>
      </c>
      <c r="Q360" s="157">
        <f>IFERROR('Διανεμόμενες ποσότητες αερίου'!X55/'Ανάπτυξη δικτύου'!Y117,0)</f>
        <v>1.2863305557896538</v>
      </c>
      <c r="R360" s="161">
        <f t="shared" si="110"/>
        <v>5.1621010308466171E-2</v>
      </c>
      <c r="S360" s="157">
        <f>IFERROR('Διανεμόμενες ποσότητες αερίου'!AD55/'Ανάπτυξη δικτύου'!AB117,0)</f>
        <v>1.3477534489776222</v>
      </c>
      <c r="T360" s="161">
        <f t="shared" si="111"/>
        <v>4.7750473555579966E-2</v>
      </c>
      <c r="U360" s="157">
        <f>IFERROR('Διανεμόμενες ποσότητες αερίου'!AJ55/'Ανάπτυξη δικτύου'!AE117,0)</f>
        <v>1.4032852520432799</v>
      </c>
      <c r="V360" s="161">
        <f t="shared" si="112"/>
        <v>4.1203235731122057E-2</v>
      </c>
      <c r="W360" s="157">
        <f>IFERROR('Διανεμόμενες ποσότητες αερίου'!AP55/'Ανάπτυξη δικτύου'!AH117,0)</f>
        <v>1.4498762055437264</v>
      </c>
      <c r="X360" s="161">
        <f t="shared" si="115"/>
        <v>3.3201341945699833E-2</v>
      </c>
      <c r="Y360" s="192">
        <f t="shared" si="114"/>
        <v>4.3420578479434147E-2</v>
      </c>
    </row>
    <row r="361" spans="2:25" outlineLevel="1" x14ac:dyDescent="0.35">
      <c r="B361" s="294" t="s">
        <v>115</v>
      </c>
      <c r="C361" s="62" t="s">
        <v>257</v>
      </c>
      <c r="D361" s="184">
        <f>IFERROR('Διανεμόμενες ποσότητες αερίου'!D56/'Ανάπτυξη δικτύου'!E118,0)</f>
        <v>0.10406074206997795</v>
      </c>
      <c r="E361" s="173">
        <f>IFERROR('Διανεμόμενες ποσότητες αερίου'!E56/'Ανάπτυξη δικτύου'!G118,0)</f>
        <v>0.30003091832964396</v>
      </c>
      <c r="F361" s="161">
        <f t="shared" si="105"/>
        <v>1.8832287024042316</v>
      </c>
      <c r="G361" s="157">
        <f>IFERROR('Διανεμόμενες ποσότητες αερίου'!G56/'Ανάπτυξη δικτύου'!J118,0)</f>
        <v>0.46026984296289547</v>
      </c>
      <c r="H361" s="161">
        <f t="shared" si="106"/>
        <v>0.53407470645140986</v>
      </c>
      <c r="I361" s="168">
        <f>IFERROR('Διανεμόμενες ποσότητες αερίου'!I56/'Ανάπτυξη δικτύου'!M118,0)</f>
        <v>1.898888336914391</v>
      </c>
      <c r="J361" s="161">
        <f t="shared" si="107"/>
        <v>3.1255979855005824</v>
      </c>
      <c r="K361" s="157">
        <f>IFERROR('Διανεμόμενες ποσότητες αερίου'!K56/'Ανάπτυξη δικτύου'!P118,0)</f>
        <v>0.31896339978918131</v>
      </c>
      <c r="L361" s="161">
        <f t="shared" si="108"/>
        <v>-0.83202624736350594</v>
      </c>
      <c r="M361" s="192">
        <f t="shared" si="104"/>
        <v>0.32316341198785992</v>
      </c>
      <c r="O361" s="158">
        <f>IFERROR('Διανεμόμενες ποσότητες αερίου'!R56/'Ανάπτυξη δικτύου'!V118,0)</f>
        <v>0.59533829396431781</v>
      </c>
      <c r="P361" s="161">
        <f t="shared" si="109"/>
        <v>0.86647839331348464</v>
      </c>
      <c r="Q361" s="157">
        <f>IFERROR('Διανεμόμενες ποσότητες αερίου'!X56/'Ανάπτυξη δικτύου'!Y118,0)</f>
        <v>0.64240374942265233</v>
      </c>
      <c r="R361" s="161">
        <f t="shared" si="110"/>
        <v>7.9056657257722832E-2</v>
      </c>
      <c r="S361" s="157">
        <f>IFERROR('Διανεμόμενες ποσότητες αερίου'!AD56/'Ανάπτυξη δικτύου'!AB118,0)</f>
        <v>0.67916964720168194</v>
      </c>
      <c r="T361" s="161">
        <f t="shared" si="111"/>
        <v>5.7231760885692581E-2</v>
      </c>
      <c r="U361" s="157">
        <f>IFERROR('Διανεμόμενες ποσότητες αερίου'!AJ56/'Ανάπτυξη δικτύου'!AE118,0)</f>
        <v>0.68796838904821378</v>
      </c>
      <c r="V361" s="161">
        <f t="shared" si="112"/>
        <v>1.2955145864931482E-2</v>
      </c>
      <c r="W361" s="157">
        <f>IFERROR('Διανεμόμενες ποσότητες αερίου'!AP56/'Ανάπτυξη δικτύου'!AH118,0)</f>
        <v>0.70859400568065845</v>
      </c>
      <c r="X361" s="161">
        <f t="shared" si="115"/>
        <v>2.9980471429769711E-2</v>
      </c>
      <c r="Y361" s="192">
        <f t="shared" si="114"/>
        <v>4.4499926804945522E-2</v>
      </c>
    </row>
    <row r="362" spans="2:25" outlineLevel="1" x14ac:dyDescent="0.35">
      <c r="B362" s="294" t="s">
        <v>116</v>
      </c>
      <c r="C362" s="62" t="s">
        <v>257</v>
      </c>
      <c r="D362" s="184">
        <f>IFERROR('Διανεμόμενες ποσότητες αερίου'!D57/'Ανάπτυξη δικτύου'!E119,0)</f>
        <v>1.2494274906169334</v>
      </c>
      <c r="E362" s="173">
        <f>IFERROR('Διανεμόμενες ποσότητες αερίου'!E57/'Ανάπτυξη δικτύου'!G119,0)</f>
        <v>1.3950259720920333</v>
      </c>
      <c r="F362" s="161">
        <f t="shared" si="105"/>
        <v>0.11653215778308779</v>
      </c>
      <c r="G362" s="157">
        <f>IFERROR('Διανεμόμενες ποσότητες αερίου'!G57/'Ανάπτυξη δικτύου'!J119,0)</f>
        <v>1.4600688106254722</v>
      </c>
      <c r="H362" s="161">
        <f t="shared" si="106"/>
        <v>4.6624822644626661E-2</v>
      </c>
      <c r="I362" s="168">
        <f>IFERROR('Διανεμόμενες ποσότητες αερίου'!I57/'Ανάπτυξη δικτύου'!M119,0)</f>
        <v>1.2484656494592197</v>
      </c>
      <c r="J362" s="161">
        <f t="shared" si="107"/>
        <v>-0.14492684154769722</v>
      </c>
      <c r="K362" s="157">
        <f>IFERROR('Διανεμόμενες ποσότητες αερίου'!K57/'Ανάπτυξη δικτύου'!P119,0)</f>
        <v>0.98969193911725972</v>
      </c>
      <c r="L362" s="161">
        <f t="shared" si="108"/>
        <v>-0.20727339230682826</v>
      </c>
      <c r="M362" s="192">
        <f t="shared" si="104"/>
        <v>-5.6597019617557254E-2</v>
      </c>
      <c r="O362" s="158">
        <f>IFERROR('Διανεμόμενες ποσότητες αερίου'!R57/'Ανάπτυξη δικτύου'!V119,0)</f>
        <v>1.6746587543435949</v>
      </c>
      <c r="P362" s="161">
        <f t="shared" si="109"/>
        <v>0.69210103483037422</v>
      </c>
      <c r="Q362" s="157">
        <f>IFERROR('Διανεμόμενες ποσότητες αερίου'!X57/'Ανάπτυξη δικτύου'!Y119,0)</f>
        <v>1.7343185051084722</v>
      </c>
      <c r="R362" s="161">
        <f t="shared" si="110"/>
        <v>3.5625019491366004E-2</v>
      </c>
      <c r="S362" s="157">
        <f>IFERROR('Διανεμόμενες ποσότητες αερίου'!AD57/'Ανάπτυξη δικτύου'!AB119,0)</f>
        <v>1.7991114925423655</v>
      </c>
      <c r="T362" s="161">
        <f t="shared" si="111"/>
        <v>3.7359335810028059E-2</v>
      </c>
      <c r="U362" s="157">
        <f>IFERROR('Διανεμόμενες ποσότητες αερίου'!AJ57/'Ανάπτυξη δικτύου'!AE119,0)</f>
        <v>1.8615045172370699</v>
      </c>
      <c r="V362" s="161">
        <f t="shared" si="112"/>
        <v>3.4679910029664376E-2</v>
      </c>
      <c r="W362" s="157">
        <f>IFERROR('Διανεμόμενες ποσότητες αερίου'!AP57/'Ανάπτυξη δικτύου'!AH119,0)</f>
        <v>1.9139694700591308</v>
      </c>
      <c r="X362" s="161">
        <f t="shared" si="115"/>
        <v>2.8184166267794908E-2</v>
      </c>
      <c r="Y362" s="192">
        <f t="shared" si="114"/>
        <v>3.3956268393684486E-2</v>
      </c>
    </row>
    <row r="363" spans="2:25" outlineLevel="1" x14ac:dyDescent="0.35">
      <c r="B363" s="294" t="s">
        <v>117</v>
      </c>
      <c r="C363" s="62" t="s">
        <v>257</v>
      </c>
      <c r="D363" s="184">
        <f>IFERROR('Διανεμόμενες ποσότητες αερίου'!D58/'Ανάπτυξη δικτύου'!E120,0)</f>
        <v>0.89692080606337066</v>
      </c>
      <c r="E363" s="173">
        <f>IFERROR('Διανεμόμενες ποσότητες αερίου'!E58/'Ανάπτυξη δικτύου'!G120,0)</f>
        <v>0.89474429601128702</v>
      </c>
      <c r="F363" s="161">
        <f t="shared" si="105"/>
        <v>-2.4266468537355542E-3</v>
      </c>
      <c r="G363" s="157">
        <f>IFERROR('Διανεμόμενες ποσότητες αερίου'!G58/'Ανάπτυξη δικτύου'!J120,0)</f>
        <v>0.9418314223177674</v>
      </c>
      <c r="H363" s="161">
        <f t="shared" si="106"/>
        <v>5.2626349803392744E-2</v>
      </c>
      <c r="I363" s="168">
        <f>IFERROR('Διανεμόμενες ποσότητες αερίου'!I58/'Ανάπτυξη δικτύου'!M120,0)</f>
        <v>0.94913687143823855</v>
      </c>
      <c r="J363" s="161">
        <f t="shared" si="107"/>
        <v>7.7566419503110875E-3</v>
      </c>
      <c r="K363" s="157">
        <f>IFERROR('Διανεμόμενες ποσότητες αερίου'!K58/'Ανάπτυξη δικτύου'!P120,0)</f>
        <v>0.84153791574316206</v>
      </c>
      <c r="L363" s="161">
        <f t="shared" si="108"/>
        <v>-0.11336505717245027</v>
      </c>
      <c r="M363" s="192">
        <f t="shared" si="104"/>
        <v>-1.5807848584700301E-2</v>
      </c>
      <c r="O363" s="158">
        <f>IFERROR('Διανεμόμενες ποσότητες αερίου'!R58/'Ανάπτυξη δικτύου'!V120,0)</f>
        <v>0.96901294750473854</v>
      </c>
      <c r="P363" s="161">
        <f t="shared" si="109"/>
        <v>0.15147865518216524</v>
      </c>
      <c r="Q363" s="157">
        <f>IFERROR('Διανεμόμενες ποσότητες αερίου'!X58/'Ανάπτυξη δικτύου'!Y120,0)</f>
        <v>0.95601969839012424</v>
      </c>
      <c r="R363" s="161">
        <f t="shared" si="110"/>
        <v>-1.3408746650984005E-2</v>
      </c>
      <c r="S363" s="157">
        <f>IFERROR('Διανεμόμενες ποσότητες αερίου'!AD58/'Ανάπτυξη δικτύου'!AB120,0)</f>
        <v>0.98292196969154588</v>
      </c>
      <c r="T363" s="161">
        <f t="shared" si="111"/>
        <v>2.8139871329767932E-2</v>
      </c>
      <c r="U363" s="157">
        <f>IFERROR('Διανεμόμενες ποσότητες αερίου'!AJ58/'Ανάπτυξη δικτύου'!AE120,0)</f>
        <v>0.95480164931416689</v>
      </c>
      <c r="V363" s="161">
        <f t="shared" si="112"/>
        <v>-2.8608904108841444E-2</v>
      </c>
      <c r="W363" s="157">
        <f>IFERROR('Διανεμόμενες ποσότητες αερίου'!AP58/'Ανάπτυξη δικτύου'!AH120,0)</f>
        <v>0.99110000362577655</v>
      </c>
      <c r="X363" s="161">
        <f t="shared" si="115"/>
        <v>3.8016643915186714E-2</v>
      </c>
      <c r="Y363" s="192">
        <f t="shared" si="114"/>
        <v>5.6502697865488116E-3</v>
      </c>
    </row>
    <row r="364" spans="2:25" outlineLevel="1" x14ac:dyDescent="0.35">
      <c r="B364" s="294" t="s">
        <v>118</v>
      </c>
      <c r="C364" s="62" t="s">
        <v>257</v>
      </c>
      <c r="D364" s="184">
        <f>IFERROR('Διανεμόμενες ποσότητες αερίου'!D59/'Ανάπτυξη δικτύου'!E121,0)</f>
        <v>0.85010963125439809</v>
      </c>
      <c r="E364" s="173">
        <f>IFERROR('Διανεμόμενες ποσότητες αερίου'!E59/'Ανάπτυξη δικτύου'!G121,0)</f>
        <v>0.887389719871711</v>
      </c>
      <c r="F364" s="161">
        <f t="shared" si="105"/>
        <v>4.3853271680151948E-2</v>
      </c>
      <c r="G364" s="157">
        <f>IFERROR('Διανεμόμενες ποσότητες αερίου'!G59/'Ανάπτυξη δικτύου'!J121,0)</f>
        <v>0.94234353485645683</v>
      </c>
      <c r="H364" s="161">
        <f t="shared" si="106"/>
        <v>6.1927486598211262E-2</v>
      </c>
      <c r="I364" s="168">
        <f>IFERROR('Διανεμόμενες ποσότητες αερίου'!I59/'Ανάπτυξη δικτύου'!M121,0)</f>
        <v>0.80371888659306578</v>
      </c>
      <c r="J364" s="161">
        <f t="shared" si="107"/>
        <v>-0.14710627614642377</v>
      </c>
      <c r="K364" s="157">
        <f>IFERROR('Διανεμόμενες ποσότητες αερίου'!K59/'Ανάπτυξη δικτύου'!P121,0)</f>
        <v>0.69283573864248926</v>
      </c>
      <c r="L364" s="161">
        <f t="shared" si="108"/>
        <v>-0.13796260085489098</v>
      </c>
      <c r="M364" s="192">
        <f t="shared" si="104"/>
        <v>-4.9857299246742093E-2</v>
      </c>
      <c r="O364" s="158">
        <f>IFERROR('Διανεμόμενες ποσότητες αερίου'!R59/'Ανάπτυξη δικτύου'!V121,0)</f>
        <v>1.1407528340435329</v>
      </c>
      <c r="P364" s="161">
        <f t="shared" si="109"/>
        <v>0.6464982540864187</v>
      </c>
      <c r="Q364" s="157">
        <f>IFERROR('Διανεμόμενες ποσότητες αερίου'!X59/'Ανάπτυξη δικτύου'!Y121,0)</f>
        <v>1.1809427424669785</v>
      </c>
      <c r="R364" s="161">
        <f t="shared" si="110"/>
        <v>3.5231039734512637E-2</v>
      </c>
      <c r="S364" s="157">
        <f>IFERROR('Διανεμόμενες ποσότητες αερίου'!AD59/'Ανάπτυξη δικτύου'!AB121,0)</f>
        <v>1.2240991664184473</v>
      </c>
      <c r="T364" s="161">
        <f t="shared" si="111"/>
        <v>3.6544044346566218E-2</v>
      </c>
      <c r="U364" s="157">
        <f>IFERROR('Διανεμόμενες ποσότητες αερίου'!AJ59/'Ανάπτυξη δικτύου'!AE121,0)</f>
        <v>1.2653436782797434</v>
      </c>
      <c r="V364" s="161">
        <f t="shared" si="112"/>
        <v>3.3693766806468857E-2</v>
      </c>
      <c r="W364" s="157">
        <f>IFERROR('Διανεμόμενες ποσότητες αερίου'!AP59/'Ανάπτυξη δικτύου'!AH121,0)</f>
        <v>1.2779089366020482</v>
      </c>
      <c r="X364" s="161">
        <f t="shared" si="115"/>
        <v>9.9303126399520984E-3</v>
      </c>
      <c r="Y364" s="192">
        <f t="shared" si="114"/>
        <v>2.8790837446618367E-2</v>
      </c>
    </row>
    <row r="365" spans="2:25" outlineLevel="1" x14ac:dyDescent="0.35">
      <c r="B365" s="294" t="s">
        <v>119</v>
      </c>
      <c r="C365" s="62" t="s">
        <v>257</v>
      </c>
      <c r="D365" s="184">
        <f>IFERROR('Διανεμόμενες ποσότητες αερίου'!D60/'Ανάπτυξη δικτύου'!E122,0)</f>
        <v>0.10111389638682491</v>
      </c>
      <c r="E365" s="173">
        <f>IFERROR('Διανεμόμενες ποσότητες αερίου'!E60/'Ανάπτυξη δικτύου'!G122,0)</f>
        <v>9.9260259202156212E-2</v>
      </c>
      <c r="F365" s="161">
        <f t="shared" si="105"/>
        <v>-1.833217046228109E-2</v>
      </c>
      <c r="G365" s="157">
        <f>IFERROR('Διανεμόμενες ποσότητες αερίου'!G60/'Ανάπτυξη δικτύου'!J122,0)</f>
        <v>0.30089969424624047</v>
      </c>
      <c r="H365" s="161">
        <f t="shared" si="106"/>
        <v>2.0314216048279681</v>
      </c>
      <c r="I365" s="168">
        <f>IFERROR('Διανεμόμενες ποσότητες αερίου'!I60/'Ανάπτυξη δικτύου'!M122,0)</f>
        <v>0.47252913697166815</v>
      </c>
      <c r="J365" s="161">
        <f t="shared" si="107"/>
        <v>0.57038756106204347</v>
      </c>
      <c r="K365" s="157">
        <f>IFERROR('Διανεμόμενες ποσότητες αερίου'!K60/'Ανάπτυξη δικτύου'!P122,0)</f>
        <v>0.61793498190398743</v>
      </c>
      <c r="L365" s="161">
        <f t="shared" si="108"/>
        <v>0.30771826233656679</v>
      </c>
      <c r="M365" s="192">
        <f t="shared" si="104"/>
        <v>0.57229120072368755</v>
      </c>
      <c r="O365" s="158">
        <f>IFERROR('Διανεμόμενες ποσότητες αερίου'!R60/'Ανάπτυξη δικτύου'!V122,0)</f>
        <v>0.82860206310486118</v>
      </c>
      <c r="P365" s="161">
        <f t="shared" si="109"/>
        <v>0.34092111204283049</v>
      </c>
      <c r="Q365" s="157">
        <f>IFERROR('Διανεμόμενες ποσότητες αερίου'!X60/'Ανάπτυξη δικτύου'!Y122,0)</f>
        <v>0.82860206310486118</v>
      </c>
      <c r="R365" s="161">
        <f t="shared" si="110"/>
        <v>0</v>
      </c>
      <c r="S365" s="157">
        <f>IFERROR('Διανεμόμενες ποσότητες αερίου'!AD60/'Ανάπτυξη δικτύου'!AB122,0)</f>
        <v>0.82860206310486118</v>
      </c>
      <c r="T365" s="161">
        <f t="shared" si="111"/>
        <v>0</v>
      </c>
      <c r="U365" s="157">
        <f>IFERROR('Διανεμόμενες ποσότητες αερίου'!AJ60/'Ανάπτυξη δικτύου'!AE122,0)</f>
        <v>0.82860206310486118</v>
      </c>
      <c r="V365" s="161">
        <f t="shared" si="112"/>
        <v>0</v>
      </c>
      <c r="W365" s="157">
        <f>IFERROR('Διανεμόμενες ποσότητες αερίου'!AP60/'Ανάπτυξη δικτύου'!AH122,0)</f>
        <v>0.82860206310486118</v>
      </c>
      <c r="X365" s="161">
        <f t="shared" si="115"/>
        <v>0</v>
      </c>
      <c r="Y365" s="192">
        <f t="shared" si="114"/>
        <v>0</v>
      </c>
    </row>
    <row r="366" spans="2:25" outlineLevel="1" x14ac:dyDescent="0.35">
      <c r="B366" s="294" t="s">
        <v>120</v>
      </c>
      <c r="C366" s="62" t="s">
        <v>257</v>
      </c>
      <c r="D366" s="184">
        <f>IFERROR('Διανεμόμενες ποσότητες αερίου'!D61/'Ανάπτυξη δικτύου'!E123,0)</f>
        <v>0.55642028931194731</v>
      </c>
      <c r="E366" s="173">
        <f>IFERROR('Διανεμόμενες ποσότητες αερίου'!E61/'Ανάπτυξη δικτύου'!G123,0)</f>
        <v>0.52570136050339544</v>
      </c>
      <c r="F366" s="161">
        <f t="shared" si="105"/>
        <v>-5.5208139240461522E-2</v>
      </c>
      <c r="G366" s="157">
        <f>IFERROR('Διανεμόμενες ποσότητες αερίου'!G61/'Ανάπτυξη δικτύου'!J123,0)</f>
        <v>0.57291464711214724</v>
      </c>
      <c r="H366" s="161">
        <f t="shared" si="106"/>
        <v>8.9810090206998511E-2</v>
      </c>
      <c r="I366" s="168">
        <f>IFERROR('Διανεμόμενες ποσότητες αερίου'!I61/'Ανάπτυξη δικτύου'!M123,0)</f>
        <v>0.52014735118604638</v>
      </c>
      <c r="J366" s="161">
        <f t="shared" si="107"/>
        <v>-9.2103241193223898E-2</v>
      </c>
      <c r="K366" s="157">
        <f>IFERROR('Διανεμόμενες ποσότητες αερίου'!K61/'Ανάπτυξη δικτύου'!P123,0)</f>
        <v>0.40705652707841289</v>
      </c>
      <c r="L366" s="161">
        <f t="shared" si="108"/>
        <v>-0.21742074404447587</v>
      </c>
      <c r="M366" s="192">
        <f t="shared" si="104"/>
        <v>-7.5167801947964019E-2</v>
      </c>
      <c r="O366" s="158">
        <f>IFERROR('Διανεμόμενες ποσότητες αερίου'!R61/'Ανάπτυξη δικτύου'!V123,0)</f>
        <v>0.61854195778249421</v>
      </c>
      <c r="P366" s="161">
        <f t="shared" si="109"/>
        <v>0.51954806429953659</v>
      </c>
      <c r="Q366" s="157">
        <f>IFERROR('Διανεμόμενες ποσότητες αερίου'!X61/'Ανάπτυξη δικτύου'!Y123,0)</f>
        <v>0.64163899456676066</v>
      </c>
      <c r="R366" s="161">
        <f t="shared" si="110"/>
        <v>3.7341099489953032E-2</v>
      </c>
      <c r="S366" s="157">
        <f>IFERROR('Διανεμόμενες ποσότητες αερίου'!AD61/'Ανάπτυξη δικτύου'!AB123,0)</f>
        <v>0.65893069625190159</v>
      </c>
      <c r="T366" s="161">
        <f t="shared" si="111"/>
        <v>2.6949268718956865E-2</v>
      </c>
      <c r="U366" s="157">
        <f>IFERROR('Διανεμόμενες ποσότητες αερίου'!AJ61/'Ανάπτυξη δικτύου'!AE123,0)</f>
        <v>0.68256747824169439</v>
      </c>
      <c r="V366" s="161">
        <f t="shared" si="112"/>
        <v>3.5871423389807797E-2</v>
      </c>
      <c r="W366" s="157">
        <f>IFERROR('Διανεμόμενες ποσότητες αερίου'!AP61/'Ανάπτυξη δικτύου'!AH123,0)</f>
        <v>0.72166714756454109</v>
      </c>
      <c r="X366" s="161">
        <f t="shared" si="115"/>
        <v>5.7283229232614655E-2</v>
      </c>
      <c r="Y366" s="192">
        <f t="shared" si="114"/>
        <v>3.9302429936125316E-2</v>
      </c>
    </row>
    <row r="367" spans="2:25" outlineLevel="1" x14ac:dyDescent="0.35">
      <c r="B367" s="294" t="s">
        <v>121</v>
      </c>
      <c r="C367" s="62" t="s">
        <v>257</v>
      </c>
      <c r="D367" s="184">
        <f>IFERROR('Διανεμόμενες ποσότητες αερίου'!D62/'Ανάπτυξη δικτύου'!E124,0)</f>
        <v>0.88905529662046801</v>
      </c>
      <c r="E367" s="173">
        <f>IFERROR('Διανεμόμενες ποσότητες αερίου'!E62/'Ανάπτυξη δικτύου'!G124,0)</f>
        <v>0.49060888472733116</v>
      </c>
      <c r="F367" s="161">
        <f t="shared" si="105"/>
        <v>-0.44816831237352278</v>
      </c>
      <c r="G367" s="157">
        <f>IFERROR('Διανεμόμενες ποσότητες αερίου'!G62/'Ανάπτυξη δικτύου'!J124,0)</f>
        <v>0.49307771084567475</v>
      </c>
      <c r="H367" s="161">
        <f t="shared" si="106"/>
        <v>5.0321675680938954E-3</v>
      </c>
      <c r="I367" s="168">
        <f>IFERROR('Διανεμόμενες ποσότητες αερίου'!I62/'Ανάπτυξη δικτύου'!M124,0)</f>
        <v>0.5099565119902465</v>
      </c>
      <c r="J367" s="161">
        <f t="shared" si="107"/>
        <v>3.4231523294011822E-2</v>
      </c>
      <c r="K367" s="157">
        <f>IFERROR('Διανεμόμενες ποσότητες αερίου'!K62/'Ανάπτυξη δικτύου'!P124,0)</f>
        <v>0.40312519547853654</v>
      </c>
      <c r="L367" s="161">
        <f t="shared" si="108"/>
        <v>-0.20949103305842917</v>
      </c>
      <c r="M367" s="192">
        <f t="shared" si="104"/>
        <v>-0.17940702967021294</v>
      </c>
      <c r="O367" s="158">
        <f>IFERROR('Διανεμόμενες ποσότητες αερίου'!R62/'Ανάπτυξη δικτύου'!V124,0)</f>
        <v>0.66966115035297469</v>
      </c>
      <c r="P367" s="161">
        <f t="shared" si="109"/>
        <v>0.66117414109540384</v>
      </c>
      <c r="Q367" s="157">
        <f>IFERROR('Διανεμόμενες ποσότητες αερίου'!X62/'Ανάπτυξη δικτύου'!Y124,0)</f>
        <v>0.67950789497717323</v>
      </c>
      <c r="R367" s="161">
        <f t="shared" si="110"/>
        <v>1.4704070288396423E-2</v>
      </c>
      <c r="S367" s="157">
        <f>IFERROR('Διανεμόμενες ποσότητες αερίου'!AD62/'Ανάπτυξη δικτύου'!AB124,0)</f>
        <v>0.69290816894024765</v>
      </c>
      <c r="T367" s="161">
        <f t="shared" si="111"/>
        <v>1.9720556688343664E-2</v>
      </c>
      <c r="U367" s="157">
        <f>IFERROR('Διανεμόμενες ποσότητες αερίου'!AJ62/'Ανάπτυξη δικτύου'!AE124,0)</f>
        <v>0.72646482001661639</v>
      </c>
      <c r="V367" s="161">
        <f t="shared" si="112"/>
        <v>4.8428713328190633E-2</v>
      </c>
      <c r="W367" s="157">
        <f>IFERROR('Διανεμόμενες ποσότητες αερίου'!AP62/'Ανάπτυξη δικτύου'!AH124,0)</f>
        <v>0.71015606007664445</v>
      </c>
      <c r="X367" s="161">
        <f t="shared" si="115"/>
        <v>-2.2449483430730905E-2</v>
      </c>
      <c r="Y367" s="192">
        <f t="shared" si="114"/>
        <v>1.478648171711594E-2</v>
      </c>
    </row>
    <row r="368" spans="2:25" outlineLevel="1" x14ac:dyDescent="0.35">
      <c r="B368" s="294" t="s">
        <v>137</v>
      </c>
      <c r="C368" s="62" t="s">
        <v>257</v>
      </c>
      <c r="D368" s="184">
        <f>IFERROR('Διανεμόμενες ποσότητες αερίου'!D63/'Ανάπτυξη δικτύου'!E125,0)</f>
        <v>0</v>
      </c>
      <c r="E368" s="173">
        <f>IFERROR('Διανεμόμενες ποσότητες αερίου'!E63/'Ανάπτυξη δικτύου'!G125,0)</f>
        <v>0</v>
      </c>
      <c r="F368" s="161">
        <f t="shared" si="105"/>
        <v>0</v>
      </c>
      <c r="G368" s="157">
        <f>IFERROR('Διανεμόμενες ποσότητες αερίου'!G63/'Ανάπτυξη δικτύου'!J125,0)</f>
        <v>0</v>
      </c>
      <c r="H368" s="161">
        <f t="shared" si="106"/>
        <v>0</v>
      </c>
      <c r="I368" s="168">
        <f>IFERROR('Διανεμόμενες ποσότητες αερίου'!I63/'Ανάπτυξη δικτύου'!M125,0)</f>
        <v>0</v>
      </c>
      <c r="J368" s="161">
        <f t="shared" si="107"/>
        <v>0</v>
      </c>
      <c r="K368" s="157">
        <f>IFERROR('Διανεμόμενες ποσότητες αερίου'!K63/'Ανάπτυξη δικτύου'!P125,0)</f>
        <v>0</v>
      </c>
      <c r="L368" s="161">
        <f t="shared" si="108"/>
        <v>0</v>
      </c>
      <c r="M368" s="192">
        <f t="shared" si="104"/>
        <v>0</v>
      </c>
      <c r="O368" s="158">
        <f>IFERROR('Διανεμόμενες ποσότητες αερίου'!R63/'Ανάπτυξη δικτύου'!V125,0)</f>
        <v>0</v>
      </c>
      <c r="P368" s="161">
        <f t="shared" si="109"/>
        <v>0</v>
      </c>
      <c r="Q368" s="157">
        <f>IFERROR('Διανεμόμενες ποσότητες αερίου'!X63/'Ανάπτυξη δικτύου'!Y125,0)</f>
        <v>0</v>
      </c>
      <c r="R368" s="161">
        <f t="shared" si="110"/>
        <v>0</v>
      </c>
      <c r="S368" s="157">
        <f>IFERROR('Διανεμόμενες ποσότητες αερίου'!AD63/'Ανάπτυξη δικτύου'!AB125,0)</f>
        <v>0</v>
      </c>
      <c r="T368" s="161">
        <f t="shared" si="111"/>
        <v>0</v>
      </c>
      <c r="U368" s="157">
        <f>IFERROR('Διανεμόμενες ποσότητες αερίου'!AJ63/'Ανάπτυξη δικτύου'!AE125,0)</f>
        <v>0</v>
      </c>
      <c r="V368" s="161">
        <f t="shared" si="112"/>
        <v>0</v>
      </c>
      <c r="W368" s="157">
        <f>IFERROR('Διανεμόμενες ποσότητες αερίου'!AP63/'Ανάπτυξη δικτύου'!AH125,0)</f>
        <v>0</v>
      </c>
      <c r="X368" s="161">
        <f t="shared" si="115"/>
        <v>0</v>
      </c>
      <c r="Y368" s="192">
        <f t="shared" si="114"/>
        <v>0</v>
      </c>
    </row>
    <row r="369" spans="1:33" outlineLevel="1" x14ac:dyDescent="0.35">
      <c r="B369" s="294" t="s">
        <v>123</v>
      </c>
      <c r="C369" s="62" t="s">
        <v>257</v>
      </c>
      <c r="D369" s="184">
        <f>IFERROR('Διανεμόμενες ποσότητες αερίου'!D64/'Ανάπτυξη δικτύου'!E126,0)</f>
        <v>1.1732854619155291</v>
      </c>
      <c r="E369" s="173">
        <f>IFERROR('Διανεμόμενες ποσότητες αερίου'!E64/'Ανάπτυξη δικτύου'!G126,0)</f>
        <v>1.2494830841763347</v>
      </c>
      <c r="F369" s="161">
        <f t="shared" si="105"/>
        <v>6.4943805010933886E-2</v>
      </c>
      <c r="G369" s="157">
        <f>IFERROR('Διανεμόμενες ποσότητες αερίου'!G64/'Ανάπτυξη δικτύου'!J126,0)</f>
        <v>1.3107200237186794</v>
      </c>
      <c r="H369" s="161">
        <f t="shared" si="106"/>
        <v>4.9009818794555626E-2</v>
      </c>
      <c r="I369" s="168">
        <f>IFERROR('Διανεμόμενες ποσότητες αερίου'!I64/'Ανάπτυξη δικτύου'!M126,0)</f>
        <v>1.1786551785376904</v>
      </c>
      <c r="J369" s="161">
        <f t="shared" si="107"/>
        <v>-0.10075747893612259</v>
      </c>
      <c r="K369" s="157">
        <f>IFERROR('Διανεμόμενες ποσότητες αερίου'!K64/'Ανάπτυξη δικτύου'!P126,0)</f>
        <v>0.92291596182017366</v>
      </c>
      <c r="L369" s="161">
        <f t="shared" si="108"/>
        <v>-0.21697543214869849</v>
      </c>
      <c r="M369" s="192">
        <f t="shared" si="104"/>
        <v>-5.8241351996991209E-2</v>
      </c>
      <c r="O369" s="158">
        <f>IFERROR('Διανεμόμενες ποσότητες αερίου'!R64/'Ανάπτυξη δικτύου'!V126,0)</f>
        <v>1.0346414713280323</v>
      </c>
      <c r="P369" s="161">
        <f t="shared" si="109"/>
        <v>0.12105707792453144</v>
      </c>
      <c r="Q369" s="157">
        <f>IFERROR('Διανεμόμενες ποσότητες αερίου'!X64/'Ανάπτυξη δικτύου'!Y126,0)</f>
        <v>1.0544747552664746</v>
      </c>
      <c r="R369" s="161">
        <f t="shared" si="110"/>
        <v>1.9169233486248084E-2</v>
      </c>
      <c r="S369" s="157">
        <f>IFERROR('Διανεμόμενες ποσότητες αερίου'!AD64/'Ανάπτυξη δικτύου'!AB126,0)</f>
        <v>1.0581113558961683</v>
      </c>
      <c r="T369" s="161">
        <f t="shared" si="111"/>
        <v>3.448731808448778E-3</v>
      </c>
      <c r="U369" s="157">
        <f>IFERROR('Διανεμόμενες ποσότητες αερίου'!AJ64/'Ανάπτυξη δικτύου'!AE126,0)</f>
        <v>1.1008303589479951</v>
      </c>
      <c r="V369" s="161">
        <f t="shared" si="112"/>
        <v>4.037288023966612E-2</v>
      </c>
      <c r="W369" s="157">
        <f>IFERROR('Διανεμόμενες ποσότητες αερίου'!AP64/'Ανάπτυξη δικτύου'!AH126,0)</f>
        <v>1.1044981940094891</v>
      </c>
      <c r="X369" s="161">
        <f t="shared" si="115"/>
        <v>3.3318803680152816E-3</v>
      </c>
      <c r="Y369" s="192">
        <f t="shared" si="114"/>
        <v>1.6468166315574795E-2</v>
      </c>
    </row>
    <row r="370" spans="1:33" outlineLevel="1" x14ac:dyDescent="0.35">
      <c r="B370" s="294" t="s">
        <v>124</v>
      </c>
      <c r="C370" s="62" t="s">
        <v>257</v>
      </c>
      <c r="D370" s="184">
        <f>IFERROR('Διανεμόμενες ποσότητες αερίου'!D65/'Ανάπτυξη δικτύου'!E127,0)</f>
        <v>0.52921255940992418</v>
      </c>
      <c r="E370" s="173">
        <f>IFERROR('Διανεμόμενες ποσότητες αερίου'!E65/'Ανάπτυξη δικτύου'!G127,0)</f>
        <v>0.29631778163757416</v>
      </c>
      <c r="F370" s="161">
        <f t="shared" ref="F370:F374" si="116">IFERROR((E370-D370)/D370,0)</f>
        <v>-0.44007794907972209</v>
      </c>
      <c r="G370" s="157">
        <f>IFERROR('Διανεμόμενες ποσότητες αερίου'!G65/'Ανάπτυξη δικτύου'!J127,0)</f>
        <v>0.333332989214294</v>
      </c>
      <c r="H370" s="161">
        <f t="shared" ref="H370:H374" si="117">IFERROR((G370-E370)/E370,0)</f>
        <v>0.12491726744226601</v>
      </c>
      <c r="I370" s="168">
        <f>IFERROR('Διανεμόμενες ποσότητες αερίου'!I65/'Ανάπτυξη δικτύου'!M127,0)</f>
        <v>0.54425912668196308</v>
      </c>
      <c r="J370" s="161">
        <f t="shared" ref="J370:J374" si="118">IFERROR((I370-G370)/G370,0)</f>
        <v>0.63277906565697983</v>
      </c>
      <c r="K370" s="157">
        <f>IFERROR('Διανεμόμενες ποσότητες αερίου'!K65/'Ανάπτυξη δικτύου'!P127,0)</f>
        <v>0.50213383860742677</v>
      </c>
      <c r="L370" s="161">
        <f t="shared" ref="L370:L374" si="119">IFERROR((K370-I370)/I370,0)</f>
        <v>-7.7399323243966742E-2</v>
      </c>
      <c r="M370" s="192">
        <f t="shared" ref="M370:M374" si="120">IFERROR((K370/D370)^(1/4)-1,0)</f>
        <v>-1.3045033724301547E-2</v>
      </c>
      <c r="O370" s="158">
        <f>IFERROR('Διανεμόμενες ποσότητες αερίου'!R65/'Ανάπτυξη δικτύου'!V127,0)</f>
        <v>0.56723122108187007</v>
      </c>
      <c r="P370" s="161">
        <f t="shared" ref="P370:P374" si="121">IFERROR((O370-K370)/K370,0)</f>
        <v>0.12964149688652446</v>
      </c>
      <c r="Q370" s="157">
        <f>IFERROR('Διανεμόμενες ποσότητες αερίου'!X65/'Ανάπτυξη δικτύου'!Y127,0)</f>
        <v>0.4281031752382406</v>
      </c>
      <c r="R370" s="161">
        <f t="shared" ref="R370:R374" si="122">IFERROR((Q370-O370)/O370,0)</f>
        <v>-0.24527571944695326</v>
      </c>
      <c r="S370" s="157">
        <f>IFERROR('Διανεμόμενες ποσότητες αερίου'!AD65/'Ανάπτυξη δικτύου'!AB127,0)</f>
        <v>0.39216366447248829</v>
      </c>
      <c r="T370" s="161">
        <f t="shared" ref="T370:T374" si="123">IFERROR((S370-Q370)/Q370,0)</f>
        <v>-8.3950582113183028E-2</v>
      </c>
      <c r="U370" s="157">
        <f>IFERROR('Διανεμόμενες ποσότητες αερίου'!AJ65/'Ανάπτυξη δικτύου'!AE127,0)</f>
        <v>0.33946493257596416</v>
      </c>
      <c r="V370" s="161">
        <f t="shared" ref="V370:V374" si="124">IFERROR((U370-S370)/S370,0)</f>
        <v>-0.13437943560480253</v>
      </c>
      <c r="W370" s="157">
        <f>IFERROR('Διανεμόμενες ποσότητες αερίου'!AP65/'Ανάπτυξη δικτύου'!AH127,0)</f>
        <v>0.28316863971357764</v>
      </c>
      <c r="X370" s="161">
        <f t="shared" ref="X370:X374" si="125">IFERROR((W370-U370)/U370,0)</f>
        <v>-0.16583831630322743</v>
      </c>
      <c r="Y370" s="192">
        <f t="shared" ref="Y370:Y374" si="126">IFERROR((W370/O370)^(1/4)-1,0)</f>
        <v>-0.15943508844726928</v>
      </c>
    </row>
    <row r="371" spans="1:33" outlineLevel="1" x14ac:dyDescent="0.35">
      <c r="B371" s="294" t="s">
        <v>125</v>
      </c>
      <c r="C371" s="62" t="s">
        <v>257</v>
      </c>
      <c r="D371" s="184">
        <f>IFERROR('Διανεμόμενες ποσότητες αερίου'!D66/'Ανάπτυξη δικτύου'!E128,0)</f>
        <v>2.0343569294828416</v>
      </c>
      <c r="E371" s="173">
        <f>IFERROR('Διανεμόμενες ποσότητες αερίου'!E66/'Ανάπτυξη δικτύου'!G128,0)</f>
        <v>1.7594132744248931</v>
      </c>
      <c r="F371" s="161">
        <f t="shared" si="116"/>
        <v>-0.13515015535048833</v>
      </c>
      <c r="G371" s="157">
        <f>IFERROR('Διανεμόμενες ποσότητες αερίου'!G66/'Ανάπτυξη δικτύου'!J128,0)</f>
        <v>1.8401158423387178</v>
      </c>
      <c r="H371" s="161">
        <f t="shared" si="117"/>
        <v>4.5869022978813366E-2</v>
      </c>
      <c r="I371" s="168">
        <f>IFERROR('Διανεμόμενες ποσότητες αερίου'!I66/'Ανάπτυξη δικτύου'!M128,0)</f>
        <v>1.6838358949435155</v>
      </c>
      <c r="J371" s="161">
        <f t="shared" si="118"/>
        <v>-8.4929407051121536E-2</v>
      </c>
      <c r="K371" s="157">
        <f>IFERROR('Διανεμόμενες ποσότητες αερίου'!K66/'Ανάπτυξη δικτύου'!P128,0)</f>
        <v>1.5059716973399291</v>
      </c>
      <c r="L371" s="161">
        <f t="shared" si="119"/>
        <v>-0.10563036346814123</v>
      </c>
      <c r="M371" s="192">
        <f t="shared" si="120"/>
        <v>-7.2428461450197212E-2</v>
      </c>
      <c r="O371" s="158">
        <f>IFERROR('Διανεμόμενες ποσότητες αερίου'!R66/'Ανάπτυξη δικτύου'!V128,0)</f>
        <v>1.7288910931548334</v>
      </c>
      <c r="P371" s="161">
        <f t="shared" si="121"/>
        <v>0.14802362900223001</v>
      </c>
      <c r="Q371" s="157">
        <f>IFERROR('Διανεμόμενες ποσότητες αερίου'!X66/'Ανάπτυξη δικτύου'!Y128,0)</f>
        <v>1.762962920009592</v>
      </c>
      <c r="R371" s="161">
        <f t="shared" si="122"/>
        <v>1.970732973850035E-2</v>
      </c>
      <c r="S371" s="157">
        <f>IFERROR('Διανεμόμενες ποσότητες αερίου'!AD66/'Ανάπτυξη δικτύου'!AB128,0)</f>
        <v>1.8004092521410013</v>
      </c>
      <c r="T371" s="161">
        <f t="shared" si="123"/>
        <v>2.1240567062638854E-2</v>
      </c>
      <c r="U371" s="157">
        <f>IFERROR('Διανεμόμενες ποσότητες αερίου'!AJ66/'Ανάπτυξη δικτύου'!AE128,0)</f>
        <v>1.8365068736827133</v>
      </c>
      <c r="V371" s="161">
        <f t="shared" si="124"/>
        <v>2.0049675649458889E-2</v>
      </c>
      <c r="W371" s="157">
        <f>IFERROR('Διανεμόμενες ποσότητες αερίου'!AP66/'Ανάπτυξη δικτύου'!AH128,0)</f>
        <v>1.8670060159860067</v>
      </c>
      <c r="X371" s="161">
        <f t="shared" si="125"/>
        <v>1.660714846230554E-2</v>
      </c>
      <c r="Y371" s="192">
        <f t="shared" si="126"/>
        <v>1.9399743814409787E-2</v>
      </c>
    </row>
    <row r="372" spans="1:33" outlineLevel="1" x14ac:dyDescent="0.35">
      <c r="B372" s="294" t="s">
        <v>126</v>
      </c>
      <c r="C372" s="62" t="s">
        <v>257</v>
      </c>
      <c r="D372" s="184">
        <f>IFERROR('Διανεμόμενες ποσότητες αερίου'!D67/'Ανάπτυξη δικτύου'!E129,0)</f>
        <v>1.133469046271357</v>
      </c>
      <c r="E372" s="173">
        <f>IFERROR('Διανεμόμενες ποσότητες αερίου'!E67/'Ανάπτυξη δικτύου'!G129,0)</f>
        <v>1.0103464592943985</v>
      </c>
      <c r="F372" s="161">
        <f t="shared" si="116"/>
        <v>-0.10862456930957293</v>
      </c>
      <c r="G372" s="157">
        <f>IFERROR('Διανεμόμενες ποσότητες αερίου'!G67/'Ανάπτυξη δικτύου'!J129,0)</f>
        <v>1.053873093406585</v>
      </c>
      <c r="H372" s="161">
        <f t="shared" si="117"/>
        <v>4.3080899340790922E-2</v>
      </c>
      <c r="I372" s="168">
        <f>IFERROR('Διανεμόμενες ποσότητες αερίου'!I67/'Ανάπτυξη δικτύου'!M129,0)</f>
        <v>1.0256925548665221</v>
      </c>
      <c r="J372" s="161">
        <f t="shared" si="118"/>
        <v>-2.6739973452563313E-2</v>
      </c>
      <c r="K372" s="157">
        <f>IFERROR('Διανεμόμενες ποσότητες αερίου'!K67/'Ανάπτυξη δικτύου'!P129,0)</f>
        <v>0.77328593725430173</v>
      </c>
      <c r="L372" s="161">
        <f t="shared" si="119"/>
        <v>-0.24608408866248149</v>
      </c>
      <c r="M372" s="192">
        <f t="shared" si="120"/>
        <v>-9.11700889311573E-2</v>
      </c>
      <c r="O372" s="158">
        <f>IFERROR('Διανεμόμενες ποσότητες αερίου'!R67/'Ανάπτυξη δικτύου'!V129,0)</f>
        <v>1.2518679348555191</v>
      </c>
      <c r="P372" s="161">
        <f t="shared" si="121"/>
        <v>0.61889396217460446</v>
      </c>
      <c r="Q372" s="157">
        <f>IFERROR('Διανεμόμενες ποσότητες αερίου'!X67/'Ανάπτυξη δικτύου'!Y129,0)</f>
        <v>1.3071569756349199</v>
      </c>
      <c r="R372" s="161">
        <f t="shared" si="122"/>
        <v>4.4165234398931962E-2</v>
      </c>
      <c r="S372" s="157">
        <f>IFERROR('Διανεμόμενες ποσότητες αερίου'!AD67/'Ανάπτυξη δικτύου'!AB129,0)</f>
        <v>1.3763873985606745</v>
      </c>
      <c r="T372" s="161">
        <f t="shared" si="123"/>
        <v>5.2962593029140616E-2</v>
      </c>
      <c r="U372" s="157">
        <f>IFERROR('Διανεμόμενες ποσότητες αερίου'!AJ67/'Ανάπτυξη δικτύου'!AE129,0)</f>
        <v>1.4377207253984021</v>
      </c>
      <c r="V372" s="161">
        <f t="shared" si="124"/>
        <v>4.4561092975615404E-2</v>
      </c>
      <c r="W372" s="157">
        <f>IFERROR('Διανεμόμενες ποσότητες αερίου'!AP67/'Ανάπτυξη δικτύου'!AH129,0)</f>
        <v>1.5036596586137927</v>
      </c>
      <c r="X372" s="161">
        <f t="shared" si="125"/>
        <v>4.5863519980292727E-2</v>
      </c>
      <c r="Y372" s="192">
        <f t="shared" si="126"/>
        <v>4.6882061511751338E-2</v>
      </c>
    </row>
    <row r="373" spans="1:33" ht="15" customHeight="1" outlineLevel="1" x14ac:dyDescent="0.35">
      <c r="B373" s="294" t="s">
        <v>127</v>
      </c>
      <c r="C373" s="62" t="s">
        <v>257</v>
      </c>
      <c r="D373" s="184">
        <f>IFERROR('Διανεμόμενες ποσότητες αερίου'!D68/'Ανάπτυξη δικτύου'!E130,0)</f>
        <v>0.54709617534755184</v>
      </c>
      <c r="E373" s="173">
        <f>IFERROR('Διανεμόμενες ποσότητες αερίου'!E68/'Ανάπτυξη δικτύου'!G130,0)</f>
        <v>0.59039723224268503</v>
      </c>
      <c r="F373" s="161">
        <f t="shared" si="116"/>
        <v>7.9147065628132909E-2</v>
      </c>
      <c r="G373" s="157">
        <f>IFERROR('Διανεμόμενες ποσότητες αερίου'!G68/'Ανάπτυξη δικτύου'!J130,0)</f>
        <v>0.79111870556715824</v>
      </c>
      <c r="H373" s="161">
        <f t="shared" si="117"/>
        <v>0.33997698898758705</v>
      </c>
      <c r="I373" s="168">
        <f>IFERROR('Διανεμόμενες ποσότητες αερίου'!I68/'Ανάπτυξη δικτύου'!M130,0)</f>
        <v>0.54511317849081276</v>
      </c>
      <c r="J373" s="161">
        <f t="shared" si="118"/>
        <v>-0.31095905752851905</v>
      </c>
      <c r="K373" s="157">
        <f>IFERROR('Διανεμόμενες ποσότητες αερίου'!K68/'Ανάπτυξη δικτύου'!P130,0)</f>
        <v>0.21586137129465879</v>
      </c>
      <c r="L373" s="161">
        <f t="shared" si="119"/>
        <v>-0.60400632416870315</v>
      </c>
      <c r="M373" s="192">
        <f t="shared" si="120"/>
        <v>-0.20744791425085418</v>
      </c>
      <c r="O373" s="158">
        <f>IFERROR('Διανεμόμενες ποσότητες αερίου'!R68/'Ανάπτυξη δικτύου'!V130,0)</f>
        <v>1.0030198880240442</v>
      </c>
      <c r="P373" s="161">
        <f t="shared" si="121"/>
        <v>3.6465927739099033</v>
      </c>
      <c r="Q373" s="157">
        <f>IFERROR('Διανεμόμενες ποσότητες αερίου'!X68/'Ανάπτυξη δικτύου'!Y130,0)</f>
        <v>1.7871270696563908</v>
      </c>
      <c r="R373" s="161">
        <f t="shared" si="122"/>
        <v>0.78174639505607701</v>
      </c>
      <c r="S373" s="157">
        <f>IFERROR('Διανεμόμενες ποσότητες αερίου'!AD68/'Ανάπτυξη δικτύου'!AB130,0)</f>
        <v>1.7871270696563908</v>
      </c>
      <c r="T373" s="161">
        <f t="shared" si="123"/>
        <v>0</v>
      </c>
      <c r="U373" s="157">
        <f>IFERROR('Διανεμόμενες ποσότητες αερίου'!AJ68/'Ανάπτυξη δικτύου'!AE130,0)</f>
        <v>1.7871270696563908</v>
      </c>
      <c r="V373" s="161">
        <f t="shared" si="124"/>
        <v>0</v>
      </c>
      <c r="W373" s="157">
        <f>IFERROR('Διανεμόμενες ποσότητες αερίου'!AP68/'Ανάπτυξη δικτύου'!AH130,0)</f>
        <v>1.7871270696563908</v>
      </c>
      <c r="X373" s="161">
        <f t="shared" si="125"/>
        <v>0</v>
      </c>
      <c r="Y373" s="192">
        <f t="shared" si="126"/>
        <v>0.15534442274851745</v>
      </c>
    </row>
    <row r="374" spans="1:33" ht="15" customHeight="1" outlineLevel="1" x14ac:dyDescent="0.35">
      <c r="B374" s="48" t="s">
        <v>138</v>
      </c>
      <c r="C374" s="59" t="s">
        <v>257</v>
      </c>
      <c r="D374" s="184">
        <f>IFERROR('Διανεμόμενες ποσότητες αερίου'!D69/'Ανάπτυξη δικτύου'!E131,0)</f>
        <v>0</v>
      </c>
      <c r="E374" s="173">
        <f>IFERROR('Διανεμόμενες ποσότητες αερίου'!E69/'Ανάπτυξη δικτύου'!G131,0)</f>
        <v>0</v>
      </c>
      <c r="F374" s="161">
        <f t="shared" si="116"/>
        <v>0</v>
      </c>
      <c r="G374" s="157">
        <f>IFERROR('Διανεμόμενες ποσότητες αερίου'!G69/'Ανάπτυξη δικτύου'!J131,0)</f>
        <v>0</v>
      </c>
      <c r="H374" s="161">
        <f t="shared" si="117"/>
        <v>0</v>
      </c>
      <c r="I374" s="168">
        <f>IFERROR('Διανεμόμενες ποσότητες αερίου'!I69/'Ανάπτυξη δικτύου'!M131,0)</f>
        <v>0</v>
      </c>
      <c r="J374" s="161">
        <f t="shared" si="118"/>
        <v>0</v>
      </c>
      <c r="K374" s="157">
        <f>IFERROR('Διανεμόμενες ποσότητες αερίου'!K69/'Ανάπτυξη δικτύου'!P131,0)</f>
        <v>0</v>
      </c>
      <c r="L374" s="161">
        <f t="shared" si="119"/>
        <v>0</v>
      </c>
      <c r="M374" s="192">
        <f t="shared" si="120"/>
        <v>0</v>
      </c>
      <c r="O374" s="158">
        <f>IFERROR('Διανεμόμενες ποσότητες αερίου'!R69/'Ανάπτυξη δικτύου'!V131,0)</f>
        <v>0</v>
      </c>
      <c r="P374" s="161">
        <f t="shared" si="121"/>
        <v>0</v>
      </c>
      <c r="Q374" s="157">
        <f>IFERROR('Διανεμόμενες ποσότητες αερίου'!X69/'Ανάπτυξη δικτύου'!Y131,0)</f>
        <v>0</v>
      </c>
      <c r="R374" s="161">
        <f t="shared" si="122"/>
        <v>0</v>
      </c>
      <c r="S374" s="157">
        <f>IFERROR('Διανεμόμενες ποσότητες αερίου'!AD69/'Ανάπτυξη δικτύου'!AB131,0)</f>
        <v>0</v>
      </c>
      <c r="T374" s="161">
        <f t="shared" si="123"/>
        <v>0</v>
      </c>
      <c r="U374" s="157">
        <f>IFERROR('Διανεμόμενες ποσότητες αερίου'!AJ69/'Ανάπτυξη δικτύου'!AE131,0)</f>
        <v>0</v>
      </c>
      <c r="V374" s="161">
        <f t="shared" si="124"/>
        <v>0</v>
      </c>
      <c r="W374" s="157">
        <f>IFERROR('Διανεμόμενες ποσότητες αερίου'!AP69/'Ανάπτυξη δικτύου'!AH131,0)</f>
        <v>0</v>
      </c>
      <c r="X374" s="161">
        <f t="shared" si="125"/>
        <v>0</v>
      </c>
      <c r="Y374" s="192">
        <f t="shared" si="126"/>
        <v>0</v>
      </c>
    </row>
    <row r="375" spans="1:33" ht="15" customHeight="1" outlineLevel="1" x14ac:dyDescent="0.35">
      <c r="B375" s="48"/>
      <c r="C375" s="59"/>
      <c r="D375" s="184"/>
      <c r="E375" s="173"/>
      <c r="F375" s="161"/>
      <c r="G375" s="157"/>
      <c r="H375" s="161"/>
      <c r="I375" s="168"/>
      <c r="J375" s="161"/>
      <c r="K375" s="157"/>
      <c r="L375" s="161"/>
      <c r="M375" s="192"/>
      <c r="N375" s="103"/>
      <c r="O375" s="158"/>
      <c r="P375" s="161"/>
      <c r="Q375" s="157"/>
      <c r="R375" s="161"/>
      <c r="S375" s="157"/>
      <c r="T375" s="161"/>
      <c r="U375" s="157"/>
      <c r="V375" s="161"/>
      <c r="W375" s="157"/>
      <c r="X375" s="161"/>
      <c r="Y375" s="192"/>
    </row>
    <row r="376" spans="1:33" ht="15" customHeight="1" x14ac:dyDescent="0.35"/>
    <row r="377" spans="1:33" ht="15.5" x14ac:dyDescent="0.35">
      <c r="B377" s="419" t="s">
        <v>258</v>
      </c>
      <c r="C377" s="419"/>
      <c r="D377" s="419"/>
      <c r="E377" s="419"/>
      <c r="F377" s="419"/>
      <c r="G377" s="419"/>
      <c r="H377" s="419"/>
      <c r="I377" s="419"/>
      <c r="J377" s="419"/>
      <c r="K377" s="419"/>
      <c r="L377" s="419"/>
      <c r="M377" s="419"/>
      <c r="N377" s="419"/>
      <c r="O377" s="419"/>
      <c r="P377" s="419"/>
      <c r="Q377" s="419"/>
      <c r="R377" s="419"/>
      <c r="S377" s="419"/>
      <c r="T377" s="419"/>
      <c r="U377" s="419"/>
      <c r="V377" s="419"/>
      <c r="W377" s="419"/>
      <c r="X377" s="419"/>
      <c r="Y377" s="419"/>
    </row>
    <row r="378" spans="1:33" ht="5.9" customHeight="1" outlineLevel="1" x14ac:dyDescent="0.35">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c r="AA378" s="103"/>
      <c r="AB378" s="103"/>
      <c r="AC378" s="103"/>
      <c r="AD378" s="103"/>
      <c r="AE378" s="103"/>
      <c r="AF378" s="103"/>
      <c r="AG378" s="103"/>
    </row>
    <row r="379" spans="1:33" ht="14.25" customHeight="1" outlineLevel="1" x14ac:dyDescent="0.35">
      <c r="B379" s="447"/>
      <c r="C379" s="447" t="s">
        <v>134</v>
      </c>
      <c r="D379" s="435" t="s">
        <v>169</v>
      </c>
      <c r="E379" s="436"/>
      <c r="F379" s="436"/>
      <c r="G379" s="436"/>
      <c r="H379" s="436"/>
      <c r="I379" s="436"/>
      <c r="J379" s="437"/>
      <c r="K379" s="436" t="s">
        <v>207</v>
      </c>
      <c r="L379" s="437"/>
      <c r="M379" s="522" t="str">
        <f>"Ετήσιος ρυθμός ανάπτυξης (CAGR) "&amp;($C$3-5)&amp;" - "&amp;(($C$3-1))</f>
        <v>Ετήσιος ρυθμός ανάπτυξης (CAGR) 2019 - 2023</v>
      </c>
      <c r="N379" s="103"/>
      <c r="O379" s="525" t="s">
        <v>170</v>
      </c>
      <c r="P379" s="526"/>
      <c r="Q379" s="526"/>
      <c r="R379" s="526"/>
      <c r="S379" s="526"/>
      <c r="T379" s="526"/>
      <c r="U379" s="526"/>
      <c r="V379" s="526"/>
      <c r="W379" s="526"/>
      <c r="X379" s="527"/>
      <c r="Y379" s="522" t="str">
        <f>"Ετήσιος ρυθμός ανάπτυξης (CAGR) "&amp;$C$3&amp;" - "&amp;$E$3</f>
        <v>Ετήσιος ρυθμός ανάπτυξης (CAGR) 2024 - 2028</v>
      </c>
    </row>
    <row r="380" spans="1:33" ht="15.75" customHeight="1" outlineLevel="1" x14ac:dyDescent="0.35">
      <c r="B380" s="448"/>
      <c r="C380" s="448"/>
      <c r="D380" s="295">
        <f>$C$3-5</f>
        <v>2019</v>
      </c>
      <c r="E380" s="435">
        <f>$C$3-4</f>
        <v>2020</v>
      </c>
      <c r="F380" s="437"/>
      <c r="G380" s="435">
        <f>$C$3-3</f>
        <v>2021</v>
      </c>
      <c r="H380" s="437"/>
      <c r="I380" s="435">
        <f>$C$3+-2</f>
        <v>2022</v>
      </c>
      <c r="J380" s="437"/>
      <c r="K380" s="435">
        <f>$C$3-1</f>
        <v>2023</v>
      </c>
      <c r="L380" s="437"/>
      <c r="M380" s="523"/>
      <c r="N380" s="103"/>
      <c r="O380" s="435">
        <f>$C$3</f>
        <v>2024</v>
      </c>
      <c r="P380" s="437"/>
      <c r="Q380" s="435">
        <f>$C$3+1</f>
        <v>2025</v>
      </c>
      <c r="R380" s="437"/>
      <c r="S380" s="435">
        <f>$C$3+2</f>
        <v>2026</v>
      </c>
      <c r="T380" s="437"/>
      <c r="U380" s="435">
        <f>$C$3+3</f>
        <v>2027</v>
      </c>
      <c r="V380" s="437"/>
      <c r="W380" s="435">
        <f>$C$3+4</f>
        <v>2028</v>
      </c>
      <c r="X380" s="437"/>
      <c r="Y380" s="523"/>
    </row>
    <row r="381" spans="1:33" ht="15" customHeight="1" outlineLevel="1" x14ac:dyDescent="0.35">
      <c r="B381" s="449"/>
      <c r="C381" s="449"/>
      <c r="D381" s="79" t="s">
        <v>252</v>
      </c>
      <c r="E381" s="295" t="s">
        <v>252</v>
      </c>
      <c r="F381" s="67" t="s">
        <v>173</v>
      </c>
      <c r="G381" s="295" t="s">
        <v>252</v>
      </c>
      <c r="H381" s="67" t="s">
        <v>173</v>
      </c>
      <c r="I381" s="295" t="s">
        <v>252</v>
      </c>
      <c r="J381" s="67" t="s">
        <v>173</v>
      </c>
      <c r="K381" s="295" t="s">
        <v>252</v>
      </c>
      <c r="L381" s="67" t="s">
        <v>173</v>
      </c>
      <c r="M381" s="524"/>
      <c r="O381" s="193" t="s">
        <v>252</v>
      </c>
      <c r="P381" s="194" t="s">
        <v>173</v>
      </c>
      <c r="Q381" s="193" t="s">
        <v>252</v>
      </c>
      <c r="R381" s="194" t="s">
        <v>173</v>
      </c>
      <c r="S381" s="193" t="s">
        <v>252</v>
      </c>
      <c r="T381" s="194" t="s">
        <v>173</v>
      </c>
      <c r="U381" s="193" t="s">
        <v>252</v>
      </c>
      <c r="V381" s="194" t="s">
        <v>173</v>
      </c>
      <c r="W381" s="193" t="s">
        <v>252</v>
      </c>
      <c r="X381" s="194" t="s">
        <v>173</v>
      </c>
      <c r="Y381" s="524"/>
    </row>
    <row r="382" spans="1:33" outlineLevel="1" x14ac:dyDescent="0.35">
      <c r="B382" s="48" t="s">
        <v>74</v>
      </c>
      <c r="C382" s="49" t="s">
        <v>259</v>
      </c>
      <c r="D382" s="321">
        <f>IFERROR('Ενεργές συνδέσεις'!E14/'Ανάπτυξη δικτύου'!E77,0)</f>
        <v>3.1743722030647341E-2</v>
      </c>
      <c r="E382" s="321">
        <f>IFERROR('Ενεργές συνδέσεις'!G14/'Ανάπτυξη δικτύου'!G77,0)</f>
        <v>3.3856768580342471E-2</v>
      </c>
      <c r="F382" s="161">
        <f>IFERROR((E382-D382)/D382,0)</f>
        <v>6.6565809379727586E-2</v>
      </c>
      <c r="G382" s="322">
        <f>IFERROR('Ενεργές συνδέσεις'!J14/'Ανάπτυξη δικτύου'!J77,0)</f>
        <v>3.5537601063054508E-2</v>
      </c>
      <c r="H382" s="161">
        <f>IFERROR((G382-E382)/E382,0)</f>
        <v>4.9645390070921974E-2</v>
      </c>
      <c r="I382" s="322">
        <f>IFERROR('Ενεργές συνδέσεις'!M14/'Ανάπτυξη δικτύου'!M77,0)</f>
        <v>3.3266168807713041E-2</v>
      </c>
      <c r="J382" s="161">
        <f>IFERROR((I382-G382)/G382,0)</f>
        <v>-6.3916308006025949E-2</v>
      </c>
      <c r="K382" s="322">
        <f>IFERROR('Ενεργές συνδέσεις'!P14/'Ανάπτυξη δικτύου'!P77,0)</f>
        <v>3.2447035504815917E-2</v>
      </c>
      <c r="L382" s="161">
        <f>IFERROR((K382-I382)/I382,0)</f>
        <v>-2.4623614087691419E-2</v>
      </c>
      <c r="M382" s="192">
        <f t="shared" ref="M382:M431" si="127">IFERROR((K382/D382)^(1/4)-1,0)</f>
        <v>5.4935617542748449E-3</v>
      </c>
      <c r="N382" s="52"/>
      <c r="O382" s="158">
        <f>IFERROR('Ενεργές συνδέσεις'!X14/'Ανάπτυξη δικτύου'!V77,0)</f>
        <v>3.2850341368123863E-2</v>
      </c>
      <c r="P382" s="161">
        <f>IFERROR((O382-K382)/K382,0)</f>
        <v>1.2429667519181694E-2</v>
      </c>
      <c r="Q382" s="157">
        <f>IFERROR('Ενεργές συνδέσεις'!AC14/'Ανάπτυξη δικτύου'!Y77,0)</f>
        <v>3.032714952612444E-2</v>
      </c>
      <c r="R382" s="161">
        <f>IFERROR((Q382-O382)/O382,0)</f>
        <v>-7.6808694732401997E-2</v>
      </c>
      <c r="S382" s="157">
        <f>IFERROR('Ενεργές συνδέσεις'!AH14/'Ανάπτυξη δικτύου'!AB77,0)</f>
        <v>2.8518581927720874E-2</v>
      </c>
      <c r="T382" s="161">
        <f>IFERROR((S382-Q382)/Q382,0)</f>
        <v>-5.9635264990718265E-2</v>
      </c>
      <c r="U382" s="157">
        <f>IFERROR('Ενεργές συνδέσεις'!AM14/'Ανάπτυξη δικτύου'!AE77,0)</f>
        <v>3.006056799859903E-2</v>
      </c>
      <c r="V382" s="161">
        <f>IFERROR((U382-S382)/S382,0)</f>
        <v>5.4069521226064253E-2</v>
      </c>
      <c r="W382" s="157">
        <f>IFERROR('Ενεργές συνδέσεις'!AR14/'Ανάπτυξη δικτύου'!AH77,0)</f>
        <v>3.0103876853033056E-2</v>
      </c>
      <c r="X382" s="161">
        <f>IFERROR((W382-U382)/U382,0)</f>
        <v>1.4407197640458509E-3</v>
      </c>
      <c r="Y382" s="192">
        <f>IFERROR((W382/O382)^(1/4)-1,0)</f>
        <v>-2.159055731785442E-2</v>
      </c>
    </row>
    <row r="383" spans="1:33" s="52" customFormat="1" ht="15" customHeight="1" outlineLevel="1" x14ac:dyDescent="0.35">
      <c r="A383"/>
      <c r="B383" s="48" t="s">
        <v>75</v>
      </c>
      <c r="C383" s="49" t="s">
        <v>259</v>
      </c>
      <c r="D383" s="321">
        <f>IFERROR('Ενεργές συνδέσεις'!E15/'Ανάπτυξη δικτύου'!E78,0)</f>
        <v>3.3542110498680583E-2</v>
      </c>
      <c r="E383" s="321">
        <f>IFERROR('Ενεργές συνδέσεις'!G15/'Ανάπτυξη δικτύου'!G78,0)</f>
        <v>3.4747341337527902E-2</v>
      </c>
      <c r="F383" s="161">
        <f t="shared" ref="F383:F431" si="128">IFERROR((E383-D383)/D383,0)</f>
        <v>3.5931872530642596E-2</v>
      </c>
      <c r="G383" s="322">
        <f>IFERROR('Ενεργές συνδέσεις'!J15/'Ανάπτυξη δικτύου'!J78,0)</f>
        <v>3.4144742104738196E-2</v>
      </c>
      <c r="H383" s="161">
        <f t="shared" ref="H383:H431" si="129">IFERROR((G383-E383)/E383,0)</f>
        <v>-1.7342311946580095E-2</v>
      </c>
      <c r="I383" s="322">
        <f>IFERROR('Ενεργές συνδέσεις'!M15/'Ανάπτυξη δικτύου'!M78,0)</f>
        <v>3.4491776616412791E-2</v>
      </c>
      <c r="J383" s="161">
        <f t="shared" ref="J383:J431" si="130">IFERROR((I383-G383)/G383,0)</f>
        <v>1.0163629603939441E-2</v>
      </c>
      <c r="K383" s="322">
        <f>IFERROR('Ενεργές συνδέσεις'!P15/'Ανάπτυξη δικτύου'!P78,0)</f>
        <v>3.4543266167550768E-2</v>
      </c>
      <c r="L383" s="161">
        <f t="shared" ref="L383:L431" si="131">IFERROR((K383-I383)/I383,0)</f>
        <v>1.4928065814237067E-3</v>
      </c>
      <c r="M383" s="192">
        <f t="shared" si="127"/>
        <v>7.3798354725651549E-3</v>
      </c>
      <c r="O383" s="158">
        <f>IFERROR('Ενεργές συνδέσεις'!X15/'Ανάπτυξη δικτύου'!V78,0)</f>
        <v>3.5926215258010985E-2</v>
      </c>
      <c r="P383" s="161">
        <f t="shared" ref="P383:P431" si="132">IFERROR((O383-K383)/K383,0)</f>
        <v>4.0035272974833253E-2</v>
      </c>
      <c r="Q383" s="157">
        <f>IFERROR('Ενεργές συνδέσεις'!AC15/'Ανάπτυξη δικτύου'!Y78,0)</f>
        <v>3.6650057323291269E-2</v>
      </c>
      <c r="R383" s="161">
        <f t="shared" ref="R383:R431" si="133">IFERROR((Q383-O383)/O383,0)</f>
        <v>2.0148018934971951E-2</v>
      </c>
      <c r="S383" s="157">
        <f>IFERROR('Ενεργές συνδέσεις'!AH15/'Ανάπτυξη δικτύου'!AB78,0)</f>
        <v>3.8357037509007201E-2</v>
      </c>
      <c r="T383" s="161">
        <f t="shared" ref="T383:T431" si="134">IFERROR((S383-Q383)/Q383,0)</f>
        <v>4.6575102752462523E-2</v>
      </c>
      <c r="U383" s="157">
        <f>IFERROR('Ενεργές συνδέσεις'!AM15/'Ανάπτυξη δικτύου'!AE78,0)</f>
        <v>3.9342958250049999E-2</v>
      </c>
      <c r="V383" s="161">
        <f t="shared" ref="V383:V431" si="135">IFERROR((U383-S383)/S383,0)</f>
        <v>2.570377706597593E-2</v>
      </c>
      <c r="W383" s="157">
        <f>IFERROR('Ενεργές συνδέσεις'!AR15/'Ανάπτυξη δικτύου'!AH78,0)</f>
        <v>4.0425404644158912E-2</v>
      </c>
      <c r="X383" s="161">
        <f t="shared" ref="X383:X431" si="136">IFERROR((W383-U383)/U383,0)</f>
        <v>2.751309109064104E-2</v>
      </c>
      <c r="Y383" s="192">
        <f t="shared" ref="Y383:Y431" si="137">IFERROR((W383/O383)^(1/4)-1,0)</f>
        <v>2.9937158311604151E-2</v>
      </c>
    </row>
    <row r="384" spans="1:33" s="52" customFormat="1" ht="15" customHeight="1" outlineLevel="1" x14ac:dyDescent="0.35">
      <c r="A384"/>
      <c r="B384" s="48" t="s">
        <v>76</v>
      </c>
      <c r="C384" s="49" t="s">
        <v>259</v>
      </c>
      <c r="D384" s="321">
        <f>IFERROR('Ενεργές συνδέσεις'!E16/'Ανάπτυξη δικτύου'!E79,0)</f>
        <v>2.7012147689889566E-2</v>
      </c>
      <c r="E384" s="321">
        <f>IFERROR('Ενεργές συνδέσεις'!G16/'Ανάπτυξη δικτύου'!G79,0)</f>
        <v>2.7993095317543515E-2</v>
      </c>
      <c r="F384" s="161">
        <f t="shared" si="128"/>
        <v>3.6315054949189025E-2</v>
      </c>
      <c r="G384" s="322">
        <f>IFERROR('Ενεργές συνδέσεις'!J16/'Ανάπτυξη δικτύου'!J79,0)</f>
        <v>2.8244637870612606E-2</v>
      </c>
      <c r="H384" s="161">
        <f t="shared" si="129"/>
        <v>8.9858784895233464E-3</v>
      </c>
      <c r="I384" s="322">
        <f>IFERROR('Ενεργές συνδέσεις'!M16/'Ανάπτυξη δικτύου'!M79,0)</f>
        <v>2.9734514059820739E-2</v>
      </c>
      <c r="J384" s="161">
        <f t="shared" si="130"/>
        <v>5.2748992429401557E-2</v>
      </c>
      <c r="K384" s="322">
        <f>IFERROR('Ενεργές συνδέσεις'!P16/'Ανάπτυξη δικτύου'!P79,0)</f>
        <v>2.88368516359487E-2</v>
      </c>
      <c r="L384" s="161">
        <f t="shared" si="131"/>
        <v>-3.0189241433914001E-2</v>
      </c>
      <c r="M384" s="192">
        <f t="shared" si="127"/>
        <v>1.6476123781310248E-2</v>
      </c>
      <c r="O384" s="158">
        <f>IFERROR('Ενεργές συνδέσεις'!X16/'Ανάπτυξη δικτύου'!V79,0)</f>
        <v>2.9619018437636358E-2</v>
      </c>
      <c r="P384" s="161">
        <f t="shared" si="132"/>
        <v>2.7123862603384567E-2</v>
      </c>
      <c r="Q384" s="157">
        <f>IFERROR('Ενεργές συνδέσεις'!AC16/'Ανάπτυξη δικτύου'!Y79,0)</f>
        <v>2.9526417223357648E-2</v>
      </c>
      <c r="R384" s="161">
        <f t="shared" si="133"/>
        <v>-3.126410636249979E-3</v>
      </c>
      <c r="S384" s="157">
        <f>IFERROR('Ενεργές συνδέσεις'!AH16/'Ανάπτυξη δικτύου'!AB79,0)</f>
        <v>2.8480979551223071E-2</v>
      </c>
      <c r="T384" s="161">
        <f t="shared" si="134"/>
        <v>-3.5406858347431194E-2</v>
      </c>
      <c r="U384" s="157">
        <f>IFERROR('Ενεργές συνδέσεις'!AM16/'Ανάπτυξη δικτύου'!AE79,0)</f>
        <v>2.9214333105472674E-2</v>
      </c>
      <c r="V384" s="161">
        <f t="shared" si="135"/>
        <v>2.5748888058104411E-2</v>
      </c>
      <c r="W384" s="157">
        <f>IFERROR('Ενεργές συνδέσεις'!AR16/'Ανάπτυξη δικτύου'!AH79,0)</f>
        <v>2.9200984076581043E-2</v>
      </c>
      <c r="X384" s="161">
        <f t="shared" si="136"/>
        <v>-4.5693423305051572E-4</v>
      </c>
      <c r="Y384" s="192">
        <f t="shared" si="137"/>
        <v>-3.5472585182804162E-3</v>
      </c>
    </row>
    <row r="385" spans="1:25" outlineLevel="1" x14ac:dyDescent="0.35">
      <c r="B385" s="48" t="s">
        <v>77</v>
      </c>
      <c r="C385" s="49" t="s">
        <v>259</v>
      </c>
      <c r="D385" s="321">
        <f>IFERROR('Ενεργές συνδέσεις'!E17/'Ανάπτυξη δικτύου'!E80,0)</f>
        <v>1.632791494817749E-2</v>
      </c>
      <c r="E385" s="321">
        <f>IFERROR('Ενεργές συνδέσεις'!G17/'Ανάπτυξη δικτύου'!G80,0)</f>
        <v>1.8333152026558774E-2</v>
      </c>
      <c r="F385" s="161">
        <f t="shared" si="128"/>
        <v>0.12281035788988522</v>
      </c>
      <c r="G385" s="322">
        <f>IFERROR('Ενεργές συνδέσεις'!J17/'Ανάπτυξη δικτύου'!J80,0)</f>
        <v>1.9294790112840243E-2</v>
      </c>
      <c r="H385" s="161">
        <f t="shared" si="129"/>
        <v>5.2453505261308479E-2</v>
      </c>
      <c r="I385" s="322">
        <f>IFERROR('Ενεργές συνδέσεις'!M17/'Ανάπτυξη δικτύου'!M80,0)</f>
        <v>2.0315120372872697E-2</v>
      </c>
      <c r="J385" s="161">
        <f t="shared" si="130"/>
        <v>5.2881127706771329E-2</v>
      </c>
      <c r="K385" s="322">
        <f>IFERROR('Ενεργές συνδέσεις'!P17/'Ανάπτυξη δικτύου'!P80,0)</f>
        <v>2.0777879379088475E-2</v>
      </c>
      <c r="L385" s="161">
        <f t="shared" si="131"/>
        <v>2.2779043280182182E-2</v>
      </c>
      <c r="M385" s="192">
        <f t="shared" si="127"/>
        <v>6.2105414463913489E-2</v>
      </c>
      <c r="N385" s="52"/>
      <c r="O385" s="158">
        <f>IFERROR('Ενεργές συνδέσεις'!X17/'Ανάπτυξη δικτύου'!V80,0)</f>
        <v>2.1327637078472822E-2</v>
      </c>
      <c r="P385" s="161">
        <f t="shared" si="132"/>
        <v>2.6458797327394284E-2</v>
      </c>
      <c r="Q385" s="157">
        <f>IFERROR('Ενεργές συνδέσεις'!AC17/'Ανάπτυξη δικτύου'!Y80,0)</f>
        <v>2.2004653504566506E-2</v>
      </c>
      <c r="R385" s="161">
        <f t="shared" si="133"/>
        <v>3.1743620899149408E-2</v>
      </c>
      <c r="S385" s="157">
        <f>IFERROR('Ενεργές συνδέσεις'!AH17/'Ανάπτυξη δικτύου'!AB80,0)</f>
        <v>2.1369696571653749E-2</v>
      </c>
      <c r="T385" s="161">
        <f t="shared" si="134"/>
        <v>-2.8855575152818804E-2</v>
      </c>
      <c r="U385" s="157">
        <f>IFERROR('Ενεργές συνδέσεις'!AM17/'Ανάπτυξη δικτύου'!AE80,0)</f>
        <v>2.1528820293449678E-2</v>
      </c>
      <c r="V385" s="161">
        <f t="shared" si="135"/>
        <v>7.44623215694143E-3</v>
      </c>
      <c r="W385" s="157">
        <f>IFERROR('Ενεργές συνδέσεις'!AR17/'Ανάπτυξη δικτύου'!AH80,0)</f>
        <v>2.2141777668435666E-2</v>
      </c>
      <c r="X385" s="161">
        <f t="shared" si="136"/>
        <v>2.8471479933923034E-2</v>
      </c>
      <c r="Y385" s="192">
        <f t="shared" si="137"/>
        <v>9.4096119136284351E-3</v>
      </c>
    </row>
    <row r="386" spans="1:25" s="52" customFormat="1" ht="15" customHeight="1" outlineLevel="1" x14ac:dyDescent="0.35">
      <c r="A386"/>
      <c r="B386" s="48" t="s">
        <v>78</v>
      </c>
      <c r="C386" s="49" t="s">
        <v>259</v>
      </c>
      <c r="D386" s="321">
        <f>IFERROR('Ενεργές συνδέσεις'!E18/'Ανάπτυξη δικτύου'!E81,0)</f>
        <v>2.7622028475017456E-2</v>
      </c>
      <c r="E386" s="321">
        <f>IFERROR('Ενεργές συνδέσεις'!G18/'Ανάπτυξη δικτύου'!G81,0)</f>
        <v>2.8978551139144569E-2</v>
      </c>
      <c r="F386" s="161">
        <f t="shared" si="128"/>
        <v>4.9110175429513098E-2</v>
      </c>
      <c r="G386" s="322">
        <f>IFERROR('Ενεργές συνδέσεις'!J18/'Ανάπτυξη δικτύου'!J81,0)</f>
        <v>3.0012429918001848E-2</v>
      </c>
      <c r="H386" s="161">
        <f t="shared" si="129"/>
        <v>3.5677379931555779E-2</v>
      </c>
      <c r="I386" s="322">
        <f>IFERROR('Ενεργές συνδέσεις'!M18/'Ανάπτυξη δικτύου'!M81,0)</f>
        <v>3.0823109148804713E-2</v>
      </c>
      <c r="J386" s="161">
        <f t="shared" si="130"/>
        <v>2.701144935674164E-2</v>
      </c>
      <c r="K386" s="322">
        <f>IFERROR('Ενεργές συνδέσεις'!P18/'Ανάπτυξη δικτύου'!P81,0)</f>
        <v>3.1152751252903028E-2</v>
      </c>
      <c r="L386" s="161">
        <f t="shared" si="131"/>
        <v>1.0694641559581214E-2</v>
      </c>
      <c r="M386" s="192">
        <f t="shared" si="127"/>
        <v>3.0528980934447114E-2</v>
      </c>
      <c r="O386" s="158">
        <f>IFERROR('Ενεργές συνδέσεις'!X18/'Ανάπτυξη δικτύου'!V81,0)</f>
        <v>3.1993286392061449E-2</v>
      </c>
      <c r="P386" s="161">
        <f t="shared" si="132"/>
        <v>2.6981088518789938E-2</v>
      </c>
      <c r="Q386" s="157">
        <f>IFERROR('Ενεργές συνδέσεις'!AC18/'Ανάπτυξη δικτύου'!Y81,0)</f>
        <v>3.297739394546402E-2</v>
      </c>
      <c r="R386" s="161">
        <f t="shared" si="133"/>
        <v>3.0759814460535072E-2</v>
      </c>
      <c r="S386" s="157">
        <f>IFERROR('Ενεργές συνδέσεις'!AH18/'Ανάπτυξη δικτύου'!AB81,0)</f>
        <v>3.4020834399178551E-2</v>
      </c>
      <c r="T386" s="161">
        <f t="shared" si="134"/>
        <v>3.1641082841176241E-2</v>
      </c>
      <c r="U386" s="157">
        <f>IFERROR('Ενεργές συνδέσεις'!AM18/'Ανάπτυξη δικτύου'!AE81,0)</f>
        <v>3.4651436191840988E-2</v>
      </c>
      <c r="V386" s="161">
        <f t="shared" si="135"/>
        <v>1.8535753275870957E-2</v>
      </c>
      <c r="W386" s="157">
        <f>IFERROR('Ενεργές συνδέσεις'!AR18/'Ανάπτυξη δικτύου'!AH81,0)</f>
        <v>3.5393699381643738E-2</v>
      </c>
      <c r="X386" s="161">
        <f t="shared" si="136"/>
        <v>2.1420849216562135E-2</v>
      </c>
      <c r="Y386" s="192">
        <f t="shared" si="137"/>
        <v>2.5573465879494606E-2</v>
      </c>
    </row>
    <row r="387" spans="1:25" outlineLevel="1" x14ac:dyDescent="0.35">
      <c r="B387" s="48" t="s">
        <v>79</v>
      </c>
      <c r="C387" s="49" t="s">
        <v>259</v>
      </c>
      <c r="D387" s="321">
        <f>IFERROR('Ενεργές συνδέσεις'!E19/'Ανάπτυξη δικτύου'!E82,0)</f>
        <v>2.5944881393406019E-2</v>
      </c>
      <c r="E387" s="321">
        <f>IFERROR('Ενεργές συνδέσεις'!G19/'Ανάπτυξη δικτύου'!G82,0)</f>
        <v>2.7505875775049708E-2</v>
      </c>
      <c r="F387" s="161">
        <f t="shared" si="128"/>
        <v>6.016579370605335E-2</v>
      </c>
      <c r="G387" s="322">
        <f>IFERROR('Ενεργές συνδέσεις'!J19/'Ανάπτυξη δικτύου'!J82,0)</f>
        <v>3.0252784814070552E-2</v>
      </c>
      <c r="H387" s="161">
        <f t="shared" si="129"/>
        <v>9.9866263538953989E-2</v>
      </c>
      <c r="I387" s="322">
        <f>IFERROR('Ενεργές συνδέσεις'!M19/'Ανάπτυξη δικτύου'!M82,0)</f>
        <v>3.119127806822556E-2</v>
      </c>
      <c r="J387" s="161">
        <f t="shared" si="130"/>
        <v>3.1021714527203311E-2</v>
      </c>
      <c r="K387" s="322">
        <f>IFERROR('Ενεργές συνδέσεις'!P19/'Ανάπτυξη δικτύου'!P82,0)</f>
        <v>3.1507925458483028E-2</v>
      </c>
      <c r="L387" s="161">
        <f t="shared" si="131"/>
        <v>1.0151792740421111E-2</v>
      </c>
      <c r="M387" s="192">
        <f t="shared" si="127"/>
        <v>4.9764857313022715E-2</v>
      </c>
      <c r="N387" s="52"/>
      <c r="O387" s="158">
        <f>IFERROR('Ενεργές συνδέσεις'!X19/'Ανάπτυξη δικτύου'!V82,0)</f>
        <v>3.2051256684160444E-2</v>
      </c>
      <c r="P387" s="161">
        <f t="shared" si="132"/>
        <v>1.7244271648203094E-2</v>
      </c>
      <c r="Q387" s="157">
        <f>IFERROR('Ενεργές συνδέσεις'!AC19/'Ανάπτυξη δικτύου'!Y82,0)</f>
        <v>3.2787045266695E-2</v>
      </c>
      <c r="R387" s="161">
        <f t="shared" si="133"/>
        <v>2.295662194419288E-2</v>
      </c>
      <c r="S387" s="157">
        <f>IFERROR('Ενεργές συνδέσεις'!AH19/'Ανάπτυξη δικτύου'!AB82,0)</f>
        <v>3.3488801318879269E-2</v>
      </c>
      <c r="T387" s="161">
        <f t="shared" si="134"/>
        <v>2.1403455129185144E-2</v>
      </c>
      <c r="U387" s="157">
        <f>IFERROR('Ενεργές συνδέσεις'!AM19/'Ανάπτυξη δικτύου'!AE82,0)</f>
        <v>3.4040269013521821E-2</v>
      </c>
      <c r="V387" s="161">
        <f t="shared" si="135"/>
        <v>1.6467227040809686E-2</v>
      </c>
      <c r="W387" s="157">
        <f>IFERROR('Ενεργές συνδέσεις'!AR19/'Ανάπτυξη δικτύου'!AH82,0)</f>
        <v>3.3709787215297417E-2</v>
      </c>
      <c r="X387" s="161">
        <f t="shared" si="136"/>
        <v>-9.7085542447718741E-3</v>
      </c>
      <c r="Y387" s="192">
        <f t="shared" si="137"/>
        <v>1.2692834888373916E-2</v>
      </c>
    </row>
    <row r="388" spans="1:25" outlineLevel="1" x14ac:dyDescent="0.35">
      <c r="B388" s="48" t="s">
        <v>80</v>
      </c>
      <c r="C388" s="49" t="s">
        <v>259</v>
      </c>
      <c r="D388" s="321">
        <f>IFERROR('Ενεργές συνδέσεις'!E20/'Ανάπτυξη δικτύου'!E83,0)</f>
        <v>1.969053876183308E-2</v>
      </c>
      <c r="E388" s="321">
        <f>IFERROR('Ενεργές συνδέσεις'!G20/'Ανάπτυξη δικτύου'!G83,0)</f>
        <v>1.9039567674883334E-2</v>
      </c>
      <c r="F388" s="161">
        <f t="shared" si="128"/>
        <v>-3.3060095247954731E-2</v>
      </c>
      <c r="G388" s="322">
        <f>IFERROR('Ενεργές συνδέσεις'!J20/'Ανάπτυξη δικτύου'!J83,0)</f>
        <v>2.0533699679581983E-2</v>
      </c>
      <c r="H388" s="161">
        <f t="shared" si="129"/>
        <v>7.8475101442018705E-2</v>
      </c>
      <c r="I388" s="322">
        <f>IFERROR('Ενεργές συνδέσεις'!M20/'Ανάπτυξη δικτύου'!M83,0)</f>
        <v>2.1463474172432911E-2</v>
      </c>
      <c r="J388" s="161">
        <f t="shared" si="130"/>
        <v>4.5280417428889559E-2</v>
      </c>
      <c r="K388" s="322">
        <f>IFERROR('Ενεργές συνδέσεις'!P20/'Ανάπτυξη δικτύου'!P83,0)</f>
        <v>1.984005307356318E-2</v>
      </c>
      <c r="L388" s="161">
        <f t="shared" si="131"/>
        <v>-7.5636455022496246E-2</v>
      </c>
      <c r="M388" s="192">
        <f t="shared" si="127"/>
        <v>1.8929199276109809E-3</v>
      </c>
      <c r="N388" s="52"/>
      <c r="O388" s="158">
        <f>IFERROR('Ενεργές συνδέσεις'!X20/'Ανάπτυξη δικτύου'!V83,0)</f>
        <v>2.0733463507564782E-2</v>
      </c>
      <c r="P388" s="161">
        <f t="shared" si="132"/>
        <v>4.5030647382293038E-2</v>
      </c>
      <c r="Q388" s="157">
        <f>IFERROR('Ενεργές συνδέσεις'!AC20/'Ανάπτυξη δικτύου'!Y83,0)</f>
        <v>2.1777109708140251E-2</v>
      </c>
      <c r="R388" s="161">
        <f t="shared" si="133"/>
        <v>5.0336317431705753E-2</v>
      </c>
      <c r="S388" s="157">
        <f>IFERROR('Ενεργές συνδέσεις'!AH20/'Ανάπτυξη δικτύου'!AB83,0)</f>
        <v>2.3012776594612927E-2</v>
      </c>
      <c r="T388" s="161">
        <f t="shared" si="134"/>
        <v>5.6741546653033846E-2</v>
      </c>
      <c r="U388" s="157">
        <f>IFERROR('Ενεργές συνδέσεις'!AM20/'Ανάπτυξη δικτύου'!AE83,0)</f>
        <v>2.4052631756757457E-2</v>
      </c>
      <c r="V388" s="161">
        <f t="shared" si="135"/>
        <v>4.5185993001294333E-2</v>
      </c>
      <c r="W388" s="157">
        <f>IFERROR('Ενεργές συνδέσεις'!AR20/'Ανάπτυξη δικτύου'!AH83,0)</f>
        <v>2.4381647688429913E-2</v>
      </c>
      <c r="X388" s="161">
        <f t="shared" si="136"/>
        <v>1.3678999246309966E-2</v>
      </c>
      <c r="Y388" s="192">
        <f t="shared" si="137"/>
        <v>4.1352583231055284E-2</v>
      </c>
    </row>
    <row r="389" spans="1:25" outlineLevel="1" x14ac:dyDescent="0.35">
      <c r="B389" s="48" t="s">
        <v>81</v>
      </c>
      <c r="C389" s="49" t="s">
        <v>259</v>
      </c>
      <c r="D389" s="321">
        <f>IFERROR('Ενεργές συνδέσεις'!E21/'Ανάπτυξη δικτύου'!E84,0)</f>
        <v>2.4539591605576495E-2</v>
      </c>
      <c r="E389" s="321">
        <f>IFERROR('Ενεργές συνδέσεις'!G21/'Ανάπτυξη δικτύου'!G84,0)</f>
        <v>2.5648922955208167E-2</v>
      </c>
      <c r="F389" s="161">
        <f t="shared" si="128"/>
        <v>4.520577878645636E-2</v>
      </c>
      <c r="G389" s="322">
        <f>IFERROR('Ενεργές συνδέσεις'!J21/'Ανάπτυξη δικτύου'!J84,0)</f>
        <v>2.6372172488343063E-2</v>
      </c>
      <c r="H389" s="161">
        <f t="shared" si="129"/>
        <v>2.8198046927660016E-2</v>
      </c>
      <c r="I389" s="322">
        <f>IFERROR('Ενεργές συνδέσεις'!M21/'Ανάπτυξη δικτύου'!M84,0)</f>
        <v>2.6921800575876415E-2</v>
      </c>
      <c r="J389" s="161">
        <f t="shared" si="130"/>
        <v>2.0841213888476449E-2</v>
      </c>
      <c r="K389" s="322">
        <f>IFERROR('Ενεργές συνδέσεις'!P21/'Ανάπτυξη δικτύου'!P84,0)</f>
        <v>2.6938686261430232E-2</v>
      </c>
      <c r="L389" s="161">
        <f t="shared" si="131"/>
        <v>6.2721234065402445E-4</v>
      </c>
      <c r="M389" s="192">
        <f t="shared" si="127"/>
        <v>2.3592913148590799E-2</v>
      </c>
      <c r="N389" s="52"/>
      <c r="O389" s="158">
        <f>IFERROR('Ενεργές συνδέσεις'!X21/'Ανάπτυξη δικτύου'!V84,0)</f>
        <v>2.7419640627473655E-2</v>
      </c>
      <c r="P389" s="161">
        <f t="shared" si="132"/>
        <v>1.7853668192128407E-2</v>
      </c>
      <c r="Q389" s="157">
        <f>IFERROR('Ενεργές συνδέσεις'!AC21/'Ανάπτυξη δικτύου'!Y84,0)</f>
        <v>2.8300382832360589E-2</v>
      </c>
      <c r="R389" s="161">
        <f t="shared" si="133"/>
        <v>3.2120851503956507E-2</v>
      </c>
      <c r="S389" s="157">
        <f>IFERROR('Ενεργές συνδέσεις'!AH21/'Ανάπτυξη δικτύου'!AB84,0)</f>
        <v>2.9197703800101827E-2</v>
      </c>
      <c r="T389" s="161">
        <f t="shared" si="134"/>
        <v>3.1707025769106556E-2</v>
      </c>
      <c r="U389" s="157">
        <f>IFERROR('Ενεργές συνδέσεις'!AM21/'Ανάπτυξη δικτύου'!AE84,0)</f>
        <v>2.9943509505589168E-2</v>
      </c>
      <c r="V389" s="161">
        <f t="shared" si="135"/>
        <v>2.55432999318508E-2</v>
      </c>
      <c r="W389" s="157">
        <f>IFERROR('Ενεργές συνδέσεις'!AR21/'Ανάπτυξη δικτύου'!AH84,0)</f>
        <v>3.0413951441358958E-2</v>
      </c>
      <c r="X389" s="161">
        <f t="shared" si="136"/>
        <v>1.5710981896827382E-2</v>
      </c>
      <c r="Y389" s="192">
        <f t="shared" si="137"/>
        <v>2.624906025337892E-2</v>
      </c>
    </row>
    <row r="390" spans="1:25" outlineLevel="1" x14ac:dyDescent="0.35">
      <c r="B390" s="48" t="s">
        <v>82</v>
      </c>
      <c r="C390" s="49" t="s">
        <v>259</v>
      </c>
      <c r="D390" s="321">
        <f>IFERROR('Ενεργές συνδέσεις'!E22/'Ανάπτυξη δικτύου'!E85,0)</f>
        <v>2.4776603062518542E-3</v>
      </c>
      <c r="E390" s="321">
        <f>IFERROR('Ενεργές συνδέσεις'!G22/'Ανάπτυξη δικτύου'!G85,0)</f>
        <v>2.6080634802651097E-3</v>
      </c>
      <c r="F390" s="161">
        <f t="shared" si="128"/>
        <v>5.2631578947368418E-2</v>
      </c>
      <c r="G390" s="322">
        <f>IFERROR('Ενεργές συνδέσεις'!J22/'Ανάπτυξη δικτύου'!J85,0)</f>
        <v>2.7384666542783647E-3</v>
      </c>
      <c r="H390" s="161">
        <f t="shared" si="129"/>
        <v>4.9999999999999836E-2</v>
      </c>
      <c r="I390" s="322">
        <f>IFERROR('Ενεργές συνδέσεις'!M22/'Ανάπτυξη δικτύου'!M85,0)</f>
        <v>2.7384666542783647E-3</v>
      </c>
      <c r="J390" s="161">
        <f t="shared" si="130"/>
        <v>0</v>
      </c>
      <c r="K390" s="322">
        <f>IFERROR('Ενεργές συνδέσεις'!P22/'Ανάπτυξη δικτύου'!P85,0)</f>
        <v>2.6080634802651097E-3</v>
      </c>
      <c r="L390" s="161">
        <f t="shared" si="131"/>
        <v>-4.7619047619047471E-2</v>
      </c>
      <c r="M390" s="192">
        <f t="shared" si="127"/>
        <v>1.2905894979960086E-2</v>
      </c>
      <c r="N390" s="52"/>
      <c r="O390" s="158">
        <f>IFERROR('Ενεργές συνδέσεις'!X22/'Ανάπτυξη δικτύου'!V85,0)</f>
        <v>2.6080634802651097E-3</v>
      </c>
      <c r="P390" s="161">
        <f t="shared" si="132"/>
        <v>0</v>
      </c>
      <c r="Q390" s="157">
        <f>IFERROR('Ενεργές συνδέσεις'!AC22/'Ανάπτυξη δικτύου'!Y85,0)</f>
        <v>2.6080634802651097E-3</v>
      </c>
      <c r="R390" s="161">
        <f t="shared" si="133"/>
        <v>0</v>
      </c>
      <c r="S390" s="157">
        <f>IFERROR('Ενεργές συνδέσεις'!AH22/'Ανάπτυξη δικτύου'!AB85,0)</f>
        <v>2.6080634802651097E-3</v>
      </c>
      <c r="T390" s="161">
        <f t="shared" si="134"/>
        <v>0</v>
      </c>
      <c r="U390" s="157">
        <f>IFERROR('Ενεργές συνδέσεις'!AM22/'Ανάπτυξη δικτύου'!AE85,0)</f>
        <v>2.6080634802651097E-3</v>
      </c>
      <c r="V390" s="161">
        <f t="shared" si="135"/>
        <v>0</v>
      </c>
      <c r="W390" s="157">
        <f>IFERROR('Ενεργές συνδέσεις'!AR22/'Ανάπτυξη δικτύου'!AH85,0)</f>
        <v>2.6080634802651097E-3</v>
      </c>
      <c r="X390" s="161">
        <f t="shared" si="136"/>
        <v>0</v>
      </c>
      <c r="Y390" s="192">
        <f t="shared" si="137"/>
        <v>0</v>
      </c>
    </row>
    <row r="391" spans="1:25" outlineLevel="1" x14ac:dyDescent="0.35">
      <c r="B391" s="48" t="s">
        <v>83</v>
      </c>
      <c r="C391" s="49" t="s">
        <v>259</v>
      </c>
      <c r="D391" s="321">
        <f>IFERROR('Ενεργές συνδέσεις'!E23/'Ανάπτυξη δικτύου'!E86,0)</f>
        <v>1.5571562405106251E-2</v>
      </c>
      <c r="E391" s="321">
        <f>IFERROR('Ενεργές συνδέσεις'!G23/'Ανάπτυξη δικτύου'!G86,0)</f>
        <v>1.643408118305675E-2</v>
      </c>
      <c r="F391" s="161">
        <f t="shared" si="128"/>
        <v>5.5390638107558191E-2</v>
      </c>
      <c r="G391" s="322">
        <f>IFERROR('Ενεργές συνδέσεις'!J23/'Ανάπτυξη δικτύου'!J86,0)</f>
        <v>1.6833903139117042E-2</v>
      </c>
      <c r="H391" s="161">
        <f t="shared" si="129"/>
        <v>2.4328829315538553E-2</v>
      </c>
      <c r="I391" s="322">
        <f>IFERROR('Ενεργές συνδέσεις'!M23/'Ανάπτυξη δικτύου'!M86,0)</f>
        <v>1.7270876526785574E-2</v>
      </c>
      <c r="J391" s="161">
        <f t="shared" si="130"/>
        <v>2.5957936436805034E-2</v>
      </c>
      <c r="K391" s="322">
        <f>IFERROR('Ενεργές συνδέσεις'!P23/'Ανάπτυξη δικτύου'!P86,0)</f>
        <v>1.5873979400003489E-2</v>
      </c>
      <c r="L391" s="161">
        <f t="shared" si="131"/>
        <v>-8.0881657894758513E-2</v>
      </c>
      <c r="M391" s="192">
        <f t="shared" si="127"/>
        <v>4.8203117502434445E-3</v>
      </c>
      <c r="N391" s="52"/>
      <c r="O391" s="158">
        <f>IFERROR('Ενεργές συνδέσεις'!X23/'Ανάπτυξη δικτύου'!V86,0)</f>
        <v>1.6091812110018134E-2</v>
      </c>
      <c r="P391" s="161">
        <f t="shared" si="132"/>
        <v>1.3722627737226215E-2</v>
      </c>
      <c r="Q391" s="157">
        <f>IFERROR('Ενεργές συνδέσεις'!AC23/'Ανάπτυξη δικτύου'!Y86,0)</f>
        <v>1.5071019664579863E-2</v>
      </c>
      <c r="R391" s="161">
        <f t="shared" si="133"/>
        <v>-6.343551853944189E-2</v>
      </c>
      <c r="S391" s="157">
        <f>IFERROR('Ενεργές συνδέσεις'!AH23/'Ανάπτυξη δικτύου'!AB86,0)</f>
        <v>1.5211980415292115E-2</v>
      </c>
      <c r="T391" s="161">
        <f t="shared" si="134"/>
        <v>9.3530997802053067E-3</v>
      </c>
      <c r="U391" s="157">
        <f>IFERROR('Ενεργές συνδέσεις'!AM23/'Ανάπτυξη δικτύου'!AE86,0)</f>
        <v>1.4409054845673347E-2</v>
      </c>
      <c r="V391" s="161">
        <f t="shared" si="135"/>
        <v>-5.2782448287378353E-2</v>
      </c>
      <c r="W391" s="157">
        <f>IFERROR('Ενεργές συνδέσεις'!AR23/'Ανάπτυξη δικτύου'!AH86,0)</f>
        <v>1.4376855029239778E-2</v>
      </c>
      <c r="X391" s="161">
        <f t="shared" si="136"/>
        <v>-2.2346931688747912E-3</v>
      </c>
      <c r="Y391" s="192">
        <f t="shared" si="137"/>
        <v>-2.7779587639597203E-2</v>
      </c>
    </row>
    <row r="392" spans="1:25" outlineLevel="1" x14ac:dyDescent="0.35">
      <c r="B392" s="48" t="s">
        <v>84</v>
      </c>
      <c r="C392" s="49" t="s">
        <v>259</v>
      </c>
      <c r="D392" s="321">
        <f>IFERROR('Ενεργές συνδέσεις'!E24/'Ανάπτυξη δικτύου'!E87,0)</f>
        <v>1.7181457640363416E-2</v>
      </c>
      <c r="E392" s="321">
        <f>IFERROR('Ενεργές συνδέσεις'!G24/'Ανάπτυξη δικτύου'!G87,0)</f>
        <v>1.9090936960890054E-2</v>
      </c>
      <c r="F392" s="161">
        <f t="shared" si="128"/>
        <v>0.111136049134784</v>
      </c>
      <c r="G392" s="322">
        <f>IFERROR('Ενεργές συνδέσεις'!J24/'Ανάπτυξη δικτύου'!J87,0)</f>
        <v>1.854705837832173E-2</v>
      </c>
      <c r="H392" s="161">
        <f t="shared" si="129"/>
        <v>-2.8488836544928172E-2</v>
      </c>
      <c r="I392" s="322">
        <f>IFERROR('Ενεργές συνδέσεις'!M24/'Ανάπτυξη δικτύου'!M87,0)</f>
        <v>1.8506270407186224E-2</v>
      </c>
      <c r="J392" s="161">
        <f t="shared" si="130"/>
        <v>-2.1991611986933637E-3</v>
      </c>
      <c r="K392" s="322">
        <f>IFERROR('Ενεργές συνδέσεις'!P24/'Ανάπτυξη δικτύου'!P87,0)</f>
        <v>1.8933530868565362E-2</v>
      </c>
      <c r="L392" s="161">
        <f t="shared" si="131"/>
        <v>2.3087334831832337E-2</v>
      </c>
      <c r="M392" s="192">
        <f t="shared" si="127"/>
        <v>2.4572987280340852E-2</v>
      </c>
      <c r="N392" s="52"/>
      <c r="O392" s="158">
        <f>IFERROR('Ενεργές συνδέσεις'!X24/'Ανάπτυξη δικτύου'!V87,0)</f>
        <v>1.8319276765775501E-2</v>
      </c>
      <c r="P392" s="161">
        <f t="shared" si="132"/>
        <v>-3.2442659906065638E-2</v>
      </c>
      <c r="Q392" s="157">
        <f>IFERROR('Ενεργές συνδέσεις'!AC24/'Ανάπτυξη δικτύου'!Y87,0)</f>
        <v>1.7916867625055493E-2</v>
      </c>
      <c r="R392" s="161">
        <f t="shared" si="133"/>
        <v>-2.1966431637290295E-2</v>
      </c>
      <c r="S392" s="157">
        <f>IFERROR('Ενεργές συνδέσεις'!AH24/'Ανάπτυξη δικτύου'!AB87,0)</f>
        <v>1.7378168386821387E-2</v>
      </c>
      <c r="T392" s="161">
        <f t="shared" si="134"/>
        <v>-3.0066596991584219E-2</v>
      </c>
      <c r="U392" s="157">
        <f>IFERROR('Ενεργές συνδέσεις'!AM24/'Ανάπτυξη δικτύου'!AE87,0)</f>
        <v>1.6947096164529041E-2</v>
      </c>
      <c r="V392" s="161">
        <f t="shared" si="135"/>
        <v>-2.480538873240784E-2</v>
      </c>
      <c r="W392" s="157">
        <f>IFERROR('Ενεργές συνδέσεις'!AR24/'Ανάπτυξη δικτύου'!AH87,0)</f>
        <v>1.7645931352633579E-2</v>
      </c>
      <c r="X392" s="161">
        <f t="shared" si="136"/>
        <v>4.1236279143044431E-2</v>
      </c>
      <c r="Y392" s="192">
        <f t="shared" si="137"/>
        <v>-9.3184719399762583E-3</v>
      </c>
    </row>
    <row r="393" spans="1:25" outlineLevel="1" x14ac:dyDescent="0.35">
      <c r="B393" s="48" t="s">
        <v>85</v>
      </c>
      <c r="C393" s="49" t="s">
        <v>259</v>
      </c>
      <c r="D393" s="321">
        <f>IFERROR('Ενεργές συνδέσεις'!E25/'Ανάπτυξη δικτύου'!E88,0)</f>
        <v>2.518390518271094E-2</v>
      </c>
      <c r="E393" s="321">
        <f>IFERROR('Ενεργές συνδέσεις'!G25/'Ανάπτυξη δικτύου'!G88,0)</f>
        <v>2.5594704132674995E-2</v>
      </c>
      <c r="F393" s="161">
        <f t="shared" si="128"/>
        <v>1.6311963811159607E-2</v>
      </c>
      <c r="G393" s="322">
        <f>IFERROR('Ενεργές συνδέσεις'!J25/'Ανάπτυξη δικτύου'!J88,0)</f>
        <v>2.9167001056022209E-2</v>
      </c>
      <c r="H393" s="161">
        <f t="shared" si="129"/>
        <v>0.13957172174483973</v>
      </c>
      <c r="I393" s="322">
        <f>IFERROR('Ενεργές συνδέσεις'!M25/'Ανάπτυξη δικτύου'!M88,0)</f>
        <v>3.0237275234930212E-2</v>
      </c>
      <c r="J393" s="161">
        <f t="shared" si="130"/>
        <v>3.6694694008900151E-2</v>
      </c>
      <c r="K393" s="322">
        <f>IFERROR('Ενεργές συνδέσεις'!P25/'Ανάπτυξη δικτύου'!P88,0)</f>
        <v>3.0531075827285408E-2</v>
      </c>
      <c r="L393" s="161">
        <f t="shared" si="131"/>
        <v>9.716503556371936E-3</v>
      </c>
      <c r="M393" s="192">
        <f t="shared" si="127"/>
        <v>4.931228646137864E-2</v>
      </c>
      <c r="N393" s="52"/>
      <c r="O393" s="158">
        <f>IFERROR('Ενεργές συνδέσεις'!X25/'Ανάπτυξη δικτύου'!V88,0)</f>
        <v>3.1386324779523307E-2</v>
      </c>
      <c r="P393" s="161">
        <f t="shared" si="132"/>
        <v>2.8012407983133338E-2</v>
      </c>
      <c r="Q393" s="157">
        <f>IFERROR('Ενεργές συνδέσεις'!AC25/'Ανάπτυξη δικτύου'!Y88,0)</f>
        <v>3.1916003034549077E-2</v>
      </c>
      <c r="R393" s="161">
        <f t="shared" si="133"/>
        <v>1.6876084050826377E-2</v>
      </c>
      <c r="S393" s="157">
        <f>IFERROR('Ενεργές συνδέσεις'!AH25/'Ανάπτυξη δικτύου'!AB88,0)</f>
        <v>3.3238184978442942E-2</v>
      </c>
      <c r="T393" s="161">
        <f t="shared" si="134"/>
        <v>4.1426927502876923E-2</v>
      </c>
      <c r="U393" s="157">
        <f>IFERROR('Ενεργές συνδέσεις'!AM25/'Ανάπτυξη δικτύου'!AE88,0)</f>
        <v>3.4091341469403916E-2</v>
      </c>
      <c r="V393" s="161">
        <f t="shared" si="135"/>
        <v>2.5667962661447965E-2</v>
      </c>
      <c r="W393" s="157">
        <f>IFERROR('Ενεργές συνδέσεις'!AR25/'Ανάπτυξη δικτύου'!AH88,0)</f>
        <v>3.4610110859628077E-2</v>
      </c>
      <c r="X393" s="161">
        <f t="shared" si="136"/>
        <v>1.5217042447266052E-2</v>
      </c>
      <c r="Y393" s="192">
        <f t="shared" si="137"/>
        <v>2.4744583613389937E-2</v>
      </c>
    </row>
    <row r="394" spans="1:25" outlineLevel="1" x14ac:dyDescent="0.35">
      <c r="B394" s="48" t="s">
        <v>86</v>
      </c>
      <c r="C394" s="49" t="s">
        <v>259</v>
      </c>
      <c r="D394" s="321">
        <f>IFERROR('Ενεργές συνδέσεις'!E26/'Ανάπτυξη δικτύου'!E89,0)</f>
        <v>3.5981608296627506E-2</v>
      </c>
      <c r="E394" s="321">
        <f>IFERROR('Ενεργές συνδέσεις'!G26/'Ανάπτυξη δικτύου'!G89,0)</f>
        <v>3.7864218334342288E-2</v>
      </c>
      <c r="F394" s="161">
        <f t="shared" si="128"/>
        <v>5.2321453287879752E-2</v>
      </c>
      <c r="G394" s="322">
        <f>IFERROR('Ενεργές συνδέσεις'!J26/'Ανάπτυξη δικτύου'!J89,0)</f>
        <v>3.4261546797246585E-2</v>
      </c>
      <c r="H394" s="161">
        <f t="shared" si="129"/>
        <v>-9.5147125586589304E-2</v>
      </c>
      <c r="I394" s="322">
        <f>IFERROR('Ενεργές συνδέσεις'!M26/'Ανάπτυξη δικτύου'!M89,0)</f>
        <v>3.4907972630467146E-2</v>
      </c>
      <c r="J394" s="161">
        <f t="shared" si="130"/>
        <v>1.8867386141261749E-2</v>
      </c>
      <c r="K394" s="322">
        <f>IFERROR('Ενεργές συνδέσεις'!P26/'Ανάπτυξη δικτύου'!P89,0)</f>
        <v>3.5770604830177619E-2</v>
      </c>
      <c r="L394" s="161">
        <f t="shared" si="131"/>
        <v>2.4711609833152563E-2</v>
      </c>
      <c r="M394" s="192">
        <f t="shared" si="127"/>
        <v>-1.4692858580132029E-3</v>
      </c>
      <c r="N394" s="52"/>
      <c r="O394" s="158">
        <f>IFERROR('Ενεργές συνδέσεις'!X26/'Ανάπτυξη δικτύου'!V89,0)</f>
        <v>3.7120351904716957E-2</v>
      </c>
      <c r="P394" s="161">
        <f t="shared" si="132"/>
        <v>3.7733414935176991E-2</v>
      </c>
      <c r="Q394" s="157">
        <f>IFERROR('Ενεργές συνδέσεις'!AC26/'Ανάπτυξη δικτύου'!Y89,0)</f>
        <v>3.6559991016989229E-2</v>
      </c>
      <c r="R394" s="161">
        <f t="shared" si="133"/>
        <v>-1.509578597654731E-2</v>
      </c>
      <c r="S394" s="157">
        <f>IFERROR('Ενεργές συνδέσεις'!AH26/'Ανάπτυξη δικτύου'!AB89,0)</f>
        <v>3.8127397566746067E-2</v>
      </c>
      <c r="T394" s="161">
        <f t="shared" si="134"/>
        <v>4.2872180932114354E-2</v>
      </c>
      <c r="U394" s="157">
        <f>IFERROR('Ενεργές συνδέσεις'!AM26/'Ανάπτυξη δικτύου'!AE89,0)</f>
        <v>4.0609981367567077E-2</v>
      </c>
      <c r="V394" s="161">
        <f t="shared" si="135"/>
        <v>6.5112857400639088E-2</v>
      </c>
      <c r="W394" s="157">
        <f>IFERROR('Ενεργές συνδέσεις'!AR26/'Ανάπτυξη δικτύου'!AH89,0)</f>
        <v>4.2841639863654045E-2</v>
      </c>
      <c r="X394" s="161">
        <f t="shared" si="136"/>
        <v>5.4953447919315432E-2</v>
      </c>
      <c r="Y394" s="192">
        <f t="shared" si="137"/>
        <v>3.648614312519749E-2</v>
      </c>
    </row>
    <row r="395" spans="1:25" outlineLevel="1" x14ac:dyDescent="0.35">
      <c r="B395" s="48" t="s">
        <v>87</v>
      </c>
      <c r="C395" s="49" t="s">
        <v>259</v>
      </c>
      <c r="D395" s="321">
        <f>IFERROR('Ενεργές συνδέσεις'!E27/'Ανάπτυξη δικτύου'!E90,0)</f>
        <v>3.0499263496767553E-2</v>
      </c>
      <c r="E395" s="321">
        <f>IFERROR('Ενεργές συνδέσεις'!G27/'Ανάπτυξη δικτύου'!G90,0)</f>
        <v>3.3753905323956092E-2</v>
      </c>
      <c r="F395" s="161">
        <f t="shared" si="128"/>
        <v>0.10671214495174548</v>
      </c>
      <c r="G395" s="322">
        <f>IFERROR('Ενεργές συνδέσεις'!J27/'Ανάπτυξη δικτύου'!J90,0)</f>
        <v>3.5617315326096154E-2</v>
      </c>
      <c r="H395" s="161">
        <f t="shared" si="129"/>
        <v>5.5205760170736376E-2</v>
      </c>
      <c r="I395" s="322">
        <f>IFERROR('Ενεργές συνδέσεις'!M27/'Ανάπτυξη δικτύου'!M90,0)</f>
        <v>3.6791089629117146E-2</v>
      </c>
      <c r="J395" s="161">
        <f t="shared" si="130"/>
        <v>3.2955159373311602E-2</v>
      </c>
      <c r="K395" s="322">
        <f>IFERROR('Ενεργές συνδέσεις'!P27/'Ανάπτυξη δικτύου'!P90,0)</f>
        <v>3.7033372144231302E-2</v>
      </c>
      <c r="L395" s="161">
        <f t="shared" si="131"/>
        <v>6.5853585081755575E-3</v>
      </c>
      <c r="M395" s="192">
        <f t="shared" si="127"/>
        <v>4.9726054943499687E-2</v>
      </c>
      <c r="N395" s="52"/>
      <c r="O395" s="158">
        <f>IFERROR('Ενεργές συνδέσεις'!X27/'Ανάπτυξη δικτύου'!V90,0)</f>
        <v>3.8007808456133108E-2</v>
      </c>
      <c r="P395" s="161">
        <f t="shared" si="132"/>
        <v>2.6312384087161592E-2</v>
      </c>
      <c r="Q395" s="157">
        <f>IFERROR('Ενεργές συνδέσεις'!AC27/'Ανάπτυξη δικτύου'!Y90,0)</f>
        <v>3.788559693792895E-2</v>
      </c>
      <c r="R395" s="161">
        <f t="shared" si="133"/>
        <v>-3.2154318590930653E-3</v>
      </c>
      <c r="S395" s="157">
        <f>IFERROR('Ενεργές συνδέσεις'!AH27/'Ανάπτυξη δικτύου'!AB90,0)</f>
        <v>3.9989309878685354E-2</v>
      </c>
      <c r="T395" s="161">
        <f t="shared" si="134"/>
        <v>5.5528039962075504E-2</v>
      </c>
      <c r="U395" s="157">
        <f>IFERROR('Ενεργές συνδέσεις'!AM27/'Ανάπτυξη δικτύου'!AE90,0)</f>
        <v>4.1506692360843242E-2</v>
      </c>
      <c r="V395" s="161">
        <f t="shared" si="135"/>
        <v>3.7944702890875981E-2</v>
      </c>
      <c r="W395" s="157">
        <f>IFERROR('Ενεργές συνδέσεις'!AR27/'Ανάπτυξη δικτύου'!AH90,0)</f>
        <v>4.1002473740874054E-2</v>
      </c>
      <c r="X395" s="161">
        <f t="shared" si="136"/>
        <v>-1.2147887275278522E-2</v>
      </c>
      <c r="Y395" s="192">
        <f t="shared" si="137"/>
        <v>1.9141079809490869E-2</v>
      </c>
    </row>
    <row r="396" spans="1:25" outlineLevel="1" x14ac:dyDescent="0.35">
      <c r="B396" s="48" t="s">
        <v>88</v>
      </c>
      <c r="C396" s="49" t="s">
        <v>259</v>
      </c>
      <c r="D396" s="321">
        <f>IFERROR('Ενεργές συνδέσεις'!E28/'Ανάπτυξη δικτύου'!E91,0)</f>
        <v>1.8015617189323371E-2</v>
      </c>
      <c r="E396" s="321">
        <f>IFERROR('Ενεργές συνδέσεις'!G28/'Ανάπτυξη δικτύου'!G91,0)</f>
        <v>1.9769203831428536E-2</v>
      </c>
      <c r="F396" s="161">
        <f t="shared" si="128"/>
        <v>9.7337028405798776E-2</v>
      </c>
      <c r="G396" s="322">
        <f>IFERROR('Ενεργές συνδέσεις'!J28/'Ανάπτυξη δικτύου'!J91,0)</f>
        <v>2.1447835106638335E-2</v>
      </c>
      <c r="H396" s="161">
        <f t="shared" si="129"/>
        <v>8.4911425342337629E-2</v>
      </c>
      <c r="I396" s="322">
        <f>IFERROR('Ενεργές συνδέσεις'!M28/'Ανάπτυξη δικτύου'!M91,0)</f>
        <v>2.1211262942934857E-2</v>
      </c>
      <c r="J396" s="161">
        <f t="shared" si="130"/>
        <v>-1.103011854237247E-2</v>
      </c>
      <c r="K396" s="322">
        <f>IFERROR('Ενεργές συνδέσεις'!P28/'Ανάπτυξη δικτύου'!P91,0)</f>
        <v>2.0999690114602499E-2</v>
      </c>
      <c r="L396" s="161">
        <f t="shared" si="131"/>
        <v>-9.974551204308622E-3</v>
      </c>
      <c r="M396" s="192">
        <f t="shared" si="127"/>
        <v>3.9060738946242735E-2</v>
      </c>
      <c r="N396" s="52"/>
      <c r="O396" s="158">
        <f>IFERROR('Ενεργές συνδέσεις'!X28/'Ανάπτυξη δικτύου'!V91,0)</f>
        <v>2.1708091033828113E-2</v>
      </c>
      <c r="P396" s="161">
        <f t="shared" si="132"/>
        <v>3.3733874898135514E-2</v>
      </c>
      <c r="Q396" s="157">
        <f>IFERROR('Ενεργές συνδέσεις'!AC28/'Ανάπτυξη δικτύου'!Y91,0)</f>
        <v>2.1732633243951652E-2</v>
      </c>
      <c r="R396" s="161">
        <f t="shared" si="133"/>
        <v>1.1305558874474245E-3</v>
      </c>
      <c r="S396" s="157">
        <f>IFERROR('Ενεργές συνδέσεις'!AH28/'Ανάπτυξη δικτύου'!AB91,0)</f>
        <v>2.2027387551002236E-2</v>
      </c>
      <c r="T396" s="161">
        <f t="shared" si="134"/>
        <v>1.356275163446272E-2</v>
      </c>
      <c r="U396" s="157">
        <f>IFERROR('Ενεργές συνδέσεις'!AM28/'Ανάπτυξη δικτύου'!AE91,0)</f>
        <v>2.3349392298787443E-2</v>
      </c>
      <c r="V396" s="161">
        <f t="shared" si="135"/>
        <v>6.0016411148359546E-2</v>
      </c>
      <c r="W396" s="157">
        <f>IFERROR('Ενεργές συνδέσεις'!AR28/'Ανάπτυξη δικτύου'!AH91,0)</f>
        <v>2.2916460063979679E-2</v>
      </c>
      <c r="X396" s="161">
        <f t="shared" si="136"/>
        <v>-1.8541477622535236E-2</v>
      </c>
      <c r="Y396" s="192">
        <f t="shared" si="137"/>
        <v>1.3634711983974146E-2</v>
      </c>
    </row>
    <row r="397" spans="1:25" outlineLevel="1" x14ac:dyDescent="0.35">
      <c r="B397" s="48" t="s">
        <v>89</v>
      </c>
      <c r="C397" s="49" t="s">
        <v>259</v>
      </c>
      <c r="D397" s="321">
        <f>IFERROR('Ενεργές συνδέσεις'!E29/'Ανάπτυξη δικτύου'!E92,0)</f>
        <v>3.2327429161195957E-2</v>
      </c>
      <c r="E397" s="321">
        <f>IFERROR('Ενεργές συνδέσεις'!G29/'Ανάπτυξη δικτύου'!G92,0)</f>
        <v>3.5065580210891324E-2</v>
      </c>
      <c r="F397" s="161">
        <f t="shared" si="128"/>
        <v>8.4700550608029501E-2</v>
      </c>
      <c r="G397" s="322">
        <f>IFERROR('Ενεργές συνδέσεις'!J29/'Ανάπτυξη δικτύου'!J92,0)</f>
        <v>3.7724769250761361E-2</v>
      </c>
      <c r="H397" s="161">
        <f t="shared" si="129"/>
        <v>7.5834736624266569E-2</v>
      </c>
      <c r="I397" s="322">
        <f>IFERROR('Ενεργές συνδέσεις'!M29/'Ανάπτυξη δικτύου'!M92,0)</f>
        <v>3.8403846931612091E-2</v>
      </c>
      <c r="J397" s="161">
        <f t="shared" si="130"/>
        <v>1.8000843857700333E-2</v>
      </c>
      <c r="K397" s="322">
        <f>IFERROR('Ενεργές συνδέσεις'!P29/'Ανάπτυξη δικτύου'!P92,0)</f>
        <v>3.9441166359151639E-2</v>
      </c>
      <c r="L397" s="161">
        <f t="shared" si="131"/>
        <v>2.7010820801019252E-2</v>
      </c>
      <c r="M397" s="192">
        <f t="shared" si="127"/>
        <v>5.0980468612787044E-2</v>
      </c>
      <c r="N397" s="52"/>
      <c r="O397" s="158">
        <f>IFERROR('Ενεργές συνδέσεις'!X29/'Ανάπτυξη δικτύου'!V92,0)</f>
        <v>3.9749515944538148E-2</v>
      </c>
      <c r="P397" s="161">
        <f t="shared" si="132"/>
        <v>7.8179631550110672E-3</v>
      </c>
      <c r="Q397" s="157">
        <f>IFERROR('Ενεργές συνδέσεις'!AC29/'Ανάπτυξη δικτύου'!Y92,0)</f>
        <v>4.0365626204518432E-2</v>
      </c>
      <c r="R397" s="161">
        <f t="shared" si="133"/>
        <v>1.5499817930863158E-2</v>
      </c>
      <c r="S397" s="157">
        <f>IFERROR('Ενεργές συνδέσεις'!AH29/'Ανάπτυξη δικτύου'!AB92,0)</f>
        <v>4.0260615728730645E-2</v>
      </c>
      <c r="T397" s="161">
        <f t="shared" si="134"/>
        <v>-2.601482639108226E-3</v>
      </c>
      <c r="U397" s="157">
        <f>IFERROR('Ενεργές συνδέσεις'!AM29/'Ανάπτυξη δικτύου'!AE92,0)</f>
        <v>3.9156216450022492E-2</v>
      </c>
      <c r="V397" s="161">
        <f t="shared" si="135"/>
        <v>-2.7431256544843029E-2</v>
      </c>
      <c r="W397" s="157">
        <f>IFERROR('Ενεργές συνδέσεις'!AR29/'Ανάπτυξη δικτύου'!AH92,0)</f>
        <v>3.9832807580699209E-2</v>
      </c>
      <c r="X397" s="161">
        <f t="shared" si="136"/>
        <v>1.7279277520091653E-2</v>
      </c>
      <c r="Y397" s="192">
        <f t="shared" si="137"/>
        <v>5.2344201677323454E-4</v>
      </c>
    </row>
    <row r="398" spans="1:25" outlineLevel="1" x14ac:dyDescent="0.35">
      <c r="B398" s="48" t="s">
        <v>90</v>
      </c>
      <c r="C398" s="49" t="s">
        <v>259</v>
      </c>
      <c r="D398" s="321">
        <f>IFERROR('Ενεργές συνδέσεις'!E30/'Ανάπτυξη δικτύου'!E93,0)</f>
        <v>2.4873765639380143E-3</v>
      </c>
      <c r="E398" s="321">
        <f>IFERROR('Ενεργές συνδέσεις'!G30/'Ανάπτυξη δικτύου'!G93,0)</f>
        <v>2.5955233710657543E-3</v>
      </c>
      <c r="F398" s="161">
        <f t="shared" si="128"/>
        <v>4.347826086956532E-2</v>
      </c>
      <c r="G398" s="322">
        <f>IFERROR('Ενεργές συνδέσεις'!J30/'Ανάπτυξη δικτύου'!J93,0)</f>
        <v>2.5955233710657543E-3</v>
      </c>
      <c r="H398" s="161">
        <f t="shared" si="129"/>
        <v>0</v>
      </c>
      <c r="I398" s="322">
        <f>IFERROR('Ενεργές συνδέσεις'!M30/'Ανάπτυξη δικτύου'!M93,0)</f>
        <v>2.8118169853212339E-3</v>
      </c>
      <c r="J398" s="161">
        <f t="shared" si="130"/>
        <v>8.3333333333333356E-2</v>
      </c>
      <c r="K398" s="322">
        <f>IFERROR('Ενεργές συνδέσεις'!P30/'Ανάπτυξη δικτύου'!P93,0)</f>
        <v>2.8118169853212339E-3</v>
      </c>
      <c r="L398" s="161">
        <f t="shared" si="131"/>
        <v>0</v>
      </c>
      <c r="M398" s="192">
        <f t="shared" si="127"/>
        <v>3.1125145723054359E-2</v>
      </c>
      <c r="N398" s="52"/>
      <c r="O398" s="158">
        <f>IFERROR('Ενεργές συνδέσεις'!X30/'Ανάπτυξη δικτύου'!V93,0)</f>
        <v>2.8634135897714435E-3</v>
      </c>
      <c r="P398" s="161">
        <f t="shared" si="132"/>
        <v>1.8349915630911873E-2</v>
      </c>
      <c r="Q398" s="157">
        <f>IFERROR('Ενεργές συνδέσεις'!AC30/'Ανάπτυξη δικτύου'!Y93,0)</f>
        <v>2.6558202026730066E-3</v>
      </c>
      <c r="R398" s="161">
        <f t="shared" si="133"/>
        <v>-7.2498568785170484E-2</v>
      </c>
      <c r="S398" s="157">
        <f>IFERROR('Ενεργές συνδέσεις'!AH30/'Ανάπτυξη δικτύου'!AB93,0)</f>
        <v>2.9234609982912159E-3</v>
      </c>
      <c r="T398" s="161">
        <f t="shared" si="134"/>
        <v>0.10077519379844936</v>
      </c>
      <c r="U398" s="157">
        <f>IFERROR('Ενεργές συνδέσεις'!AM30/'Ανάπτυξη δικτύου'!AE93,0)</f>
        <v>2.5315800338384766E-3</v>
      </c>
      <c r="V398" s="161">
        <f t="shared" si="135"/>
        <v>-0.13404692748827385</v>
      </c>
      <c r="W398" s="157">
        <f>IFERROR('Ενεργές συνδέσεις'!AR30/'Ανάπτυξη δικτύου'!AH93,0)</f>
        <v>2.8893465881748531E-3</v>
      </c>
      <c r="X398" s="161">
        <f t="shared" si="136"/>
        <v>0.14132144729942331</v>
      </c>
      <c r="Y398" s="192">
        <f t="shared" si="137"/>
        <v>2.2565187511971452E-3</v>
      </c>
    </row>
    <row r="399" spans="1:25" outlineLevel="1" x14ac:dyDescent="0.35">
      <c r="B399" s="294" t="s">
        <v>91</v>
      </c>
      <c r="C399" s="49" t="s">
        <v>259</v>
      </c>
      <c r="D399" s="321">
        <f>IFERROR('Ενεργές συνδέσεις'!E31/'Ανάπτυξη δικτύου'!E94,0)</f>
        <v>1.052960545989526E-2</v>
      </c>
      <c r="E399" s="321">
        <f>IFERROR('Ενεργές συνδέσεις'!G31/'Ανάπτυξη δικτύου'!G94,0)</f>
        <v>1.2130105489799339E-2</v>
      </c>
      <c r="F399" s="161">
        <f t="shared" si="128"/>
        <v>0.15199999999999991</v>
      </c>
      <c r="G399" s="322">
        <f>IFERROR('Ενεργές συνδέσεις'!J31/'Ανάπτυξη δικτύου'!J94,0)</f>
        <v>1.3497065001865047E-2</v>
      </c>
      <c r="H399" s="161">
        <f t="shared" si="129"/>
        <v>0.11269147768048976</v>
      </c>
      <c r="I399" s="322">
        <f>IFERROR('Ενεργές συνδέσεις'!M31/'Ανάπτυξη δικτύου'!M94,0)</f>
        <v>1.3906066971618534E-2</v>
      </c>
      <c r="J399" s="161">
        <f t="shared" si="130"/>
        <v>3.0303030303030335E-2</v>
      </c>
      <c r="K399" s="322">
        <f>IFERROR('Ενεργές συνδέσεις'!P31/'Ανάπτυξη δικτύου'!P94,0)</f>
        <v>1.4241675537196E-2</v>
      </c>
      <c r="L399" s="161">
        <f t="shared" si="131"/>
        <v>2.4133967300921502E-2</v>
      </c>
      <c r="M399" s="192">
        <f t="shared" si="127"/>
        <v>7.8418295545338523E-2</v>
      </c>
      <c r="N399" s="52"/>
      <c r="O399" s="158">
        <f>IFERROR('Ενεργές συνδέσεις'!X31/'Ανάπτυξη δικτύου'!V94,0)</f>
        <v>1.2478905141819119E-2</v>
      </c>
      <c r="P399" s="161">
        <f t="shared" si="132"/>
        <v>-0.12377549191967811</v>
      </c>
      <c r="Q399" s="157">
        <f>IFERROR('Ενεργές συνδέσεις'!AC31/'Ανάπτυξη δικτύου'!Y94,0)</f>
        <v>1.2171922400659556E-2</v>
      </c>
      <c r="R399" s="161">
        <f t="shared" si="133"/>
        <v>-2.4600134200139671E-2</v>
      </c>
      <c r="S399" s="157">
        <f>IFERROR('Ενεργές συνδέσεις'!AH31/'Ανάπτυξη δικτύου'!AB94,0)</f>
        <v>1.2037317980504695E-2</v>
      </c>
      <c r="T399" s="161">
        <f t="shared" si="134"/>
        <v>-1.1058599925642541E-2</v>
      </c>
      <c r="U399" s="157">
        <f>IFERROR('Ενεργές συνδέσεις'!AM31/'Ανάπτυξη δικτύου'!AE94,0)</f>
        <v>1.2382170184881577E-2</v>
      </c>
      <c r="V399" s="161">
        <f t="shared" si="135"/>
        <v>2.864859140012704E-2</v>
      </c>
      <c r="W399" s="157">
        <f>IFERROR('Ενεργές συνδέσεις'!AR31/'Ανάπτυξη δικτύου'!AH94,0)</f>
        <v>1.2113721843305888E-2</v>
      </c>
      <c r="X399" s="161">
        <f t="shared" si="136"/>
        <v>-2.1680233559013735E-2</v>
      </c>
      <c r="Y399" s="192">
        <f t="shared" si="137"/>
        <v>-7.3976971779970979E-3</v>
      </c>
    </row>
    <row r="400" spans="1:25" outlineLevel="1" x14ac:dyDescent="0.35">
      <c r="B400" s="294" t="s">
        <v>92</v>
      </c>
      <c r="C400" s="49" t="s">
        <v>259</v>
      </c>
      <c r="D400" s="321">
        <f>IFERROR('Ενεργές συνδέσεις'!E32/'Ανάπτυξη δικτύου'!E95,0)</f>
        <v>2.1364153553651049E-2</v>
      </c>
      <c r="E400" s="321">
        <f>IFERROR('Ενεργές συνδέσεις'!G32/'Ανάπτυξη δικτύου'!G95,0)</f>
        <v>1.8995218032569768E-2</v>
      </c>
      <c r="F400" s="161">
        <f t="shared" si="128"/>
        <v>-0.11088365916918996</v>
      </c>
      <c r="G400" s="322">
        <f>IFERROR('Ενεργές συνδέσεις'!J32/'Ανάπτυξη δικτύου'!J95,0)</f>
        <v>2.1730397519700947E-2</v>
      </c>
      <c r="H400" s="161">
        <f t="shared" si="129"/>
        <v>0.14399305564386572</v>
      </c>
      <c r="I400" s="322">
        <f>IFERROR('Ενεργές συνδέσεις'!M32/'Ανάπτυξη δικτύου'!M95,0)</f>
        <v>2.3145003789610891E-2</v>
      </c>
      <c r="J400" s="161">
        <f t="shared" si="130"/>
        <v>6.5098039215686271E-2</v>
      </c>
      <c r="K400" s="322">
        <f>IFERROR('Ενεργές συνδέσεις'!P32/'Ανάπτυξη δικτύου'!P95,0)</f>
        <v>2.2679349697170916E-2</v>
      </c>
      <c r="L400" s="161">
        <f t="shared" si="131"/>
        <v>-2.0118989682299967E-2</v>
      </c>
      <c r="M400" s="192">
        <f t="shared" si="127"/>
        <v>1.5047174632643934E-2</v>
      </c>
      <c r="N400" s="52"/>
      <c r="O400" s="158">
        <f>IFERROR('Ενεργές συνδέσεις'!X32/'Ανάπτυξη δικτύου'!V95,0)</f>
        <v>2.3729491163574562E-2</v>
      </c>
      <c r="P400" s="161">
        <f t="shared" si="132"/>
        <v>4.6303861461011966E-2</v>
      </c>
      <c r="Q400" s="157">
        <f>IFERROR('Ενεργές συνδέσεις'!AC32/'Ανάπτυξη δικτύου'!Y95,0)</f>
        <v>2.4479172248927334E-2</v>
      </c>
      <c r="R400" s="161">
        <f t="shared" si="133"/>
        <v>3.159280071304494E-2</v>
      </c>
      <c r="S400" s="157">
        <f>IFERROR('Ενεργές συνδέσεις'!AH32/'Ανάπτυξη δικτύου'!AB95,0)</f>
        <v>2.5373201830522382E-2</v>
      </c>
      <c r="T400" s="161">
        <f t="shared" si="134"/>
        <v>3.6522051174921709E-2</v>
      </c>
      <c r="U400" s="157">
        <f>IFERROR('Ενεργές συνδέσεις'!AM32/'Ανάπτυξη δικτύου'!AE95,0)</f>
        <v>2.6834845074686899E-2</v>
      </c>
      <c r="V400" s="161">
        <f t="shared" si="135"/>
        <v>5.7605786369706452E-2</v>
      </c>
      <c r="W400" s="157">
        <f>IFERROR('Ενεργές συνδέσεις'!AR32/'Ανάπτυξη δικτύου'!AH95,0)</f>
        <v>2.7585936920823874E-2</v>
      </c>
      <c r="X400" s="161">
        <f t="shared" si="136"/>
        <v>2.7989423603770845E-2</v>
      </c>
      <c r="Y400" s="192">
        <f t="shared" si="137"/>
        <v>3.8364491395984857E-2</v>
      </c>
    </row>
    <row r="401" spans="2:25" outlineLevel="1" x14ac:dyDescent="0.35">
      <c r="B401" s="294" t="s">
        <v>93</v>
      </c>
      <c r="C401" s="49" t="s">
        <v>259</v>
      </c>
      <c r="D401" s="321">
        <f>IFERROR('Ενεργές συνδέσεις'!E33/'Ανάπτυξη δικτύου'!E96,0)</f>
        <v>2.4526427807157188E-2</v>
      </c>
      <c r="E401" s="321">
        <f>IFERROR('Ενεργές συνδέσεις'!G33/'Ανάπτυξη δικτύου'!G96,0)</f>
        <v>2.3627837450122362E-2</v>
      </c>
      <c r="F401" s="161">
        <f t="shared" si="128"/>
        <v>-3.6637636923735138E-2</v>
      </c>
      <c r="G401" s="322">
        <f>IFERROR('Ενεργές συνδέσεις'!J33/'Ανάπτυξη δικτύου'!J96,0)</f>
        <v>2.4125907243825708E-2</v>
      </c>
      <c r="H401" s="161">
        <f t="shared" si="129"/>
        <v>2.1079787549527391E-2</v>
      </c>
      <c r="I401" s="322">
        <f>IFERROR('Ενεργές συνδέσεις'!M33/'Ανάπτυξη δικτύου'!M96,0)</f>
        <v>2.6948682497216648E-2</v>
      </c>
      <c r="J401" s="161">
        <f t="shared" si="130"/>
        <v>0.1170018281535648</v>
      </c>
      <c r="K401" s="322">
        <f>IFERROR('Ενεργές συνδέσεις'!P33/'Ανάπτυξη δικτύου'!P96,0)</f>
        <v>2.7127927153634393E-2</v>
      </c>
      <c r="L401" s="161">
        <f t="shared" si="131"/>
        <v>6.6513328225325337E-3</v>
      </c>
      <c r="M401" s="192">
        <f t="shared" si="127"/>
        <v>2.5523408130655012E-2</v>
      </c>
      <c r="N401" s="52"/>
      <c r="O401" s="158">
        <f>IFERROR('Ενεργές συνδέσεις'!X33/'Ανάπτυξη δικτύου'!V96,0)</f>
        <v>2.8801967395048846E-2</v>
      </c>
      <c r="P401" s="161">
        <f t="shared" si="132"/>
        <v>6.1709110022811951E-2</v>
      </c>
      <c r="Q401" s="157">
        <f>IFERROR('Ενεργές συνδέσεις'!AC33/'Ανάπτυξη δικτύου'!Y96,0)</f>
        <v>3.0950334606539117E-2</v>
      </c>
      <c r="R401" s="161">
        <f t="shared" si="133"/>
        <v>7.4590988248239704E-2</v>
      </c>
      <c r="S401" s="157">
        <f>IFERROR('Ενεργές συνδέσεις'!AH33/'Ανάπτυξη δικτύου'!AB96,0)</f>
        <v>3.2285470216474016E-2</v>
      </c>
      <c r="T401" s="161">
        <f t="shared" si="134"/>
        <v>4.313800244514366E-2</v>
      </c>
      <c r="U401" s="157">
        <f>IFERROR('Ενεργές συνδέσεις'!AM33/'Ανάπτυξη δικτύου'!AE96,0)</f>
        <v>3.6032960330653015E-2</v>
      </c>
      <c r="V401" s="161">
        <f t="shared" si="135"/>
        <v>0.1160735801291443</v>
      </c>
      <c r="W401" s="157">
        <f>IFERROR('Ενεργές συνδέσεις'!AR33/'Ανάπτυξη δικτύου'!AH96,0)</f>
        <v>3.8783582328124587E-2</v>
      </c>
      <c r="X401" s="161">
        <f t="shared" si="136"/>
        <v>7.6336275793905159E-2</v>
      </c>
      <c r="Y401" s="192">
        <f t="shared" si="137"/>
        <v>7.7225044181486124E-2</v>
      </c>
    </row>
    <row r="402" spans="2:25" outlineLevel="1" x14ac:dyDescent="0.35">
      <c r="B402" s="294" t="s">
        <v>94</v>
      </c>
      <c r="C402" s="49" t="s">
        <v>259</v>
      </c>
      <c r="D402" s="321">
        <f>IFERROR('Ενεργές συνδέσεις'!E34/'Ανάπτυξη δικτύου'!E97,0)</f>
        <v>2.5038160688104497E-2</v>
      </c>
      <c r="E402" s="321">
        <f>IFERROR('Ενεργές συνδέσεις'!G34/'Ανάπτυξη δικτύου'!G97,0)</f>
        <v>2.6976849371425127E-2</v>
      </c>
      <c r="F402" s="161">
        <f t="shared" si="128"/>
        <v>7.7429357031073426E-2</v>
      </c>
      <c r="G402" s="322">
        <f>IFERROR('Ενεργές συνδέσεις'!J34/'Ανάπτυξη δικτύου'!J97,0)</f>
        <v>2.8450240250006007E-2</v>
      </c>
      <c r="H402" s="161">
        <f t="shared" si="129"/>
        <v>5.461686271420374E-2</v>
      </c>
      <c r="I402" s="322">
        <f>IFERROR('Ενεργές συνδέσεις'!M34/'Ανάπτυξη δικτύου'!M97,0)</f>
        <v>2.9314442312112783E-2</v>
      </c>
      <c r="J402" s="161">
        <f t="shared" si="130"/>
        <v>3.0375914386402889E-2</v>
      </c>
      <c r="K402" s="322">
        <f>IFERROR('Ενεργές συνδέσεις'!P34/'Ανάπτυξη δικτύου'!P97,0)</f>
        <v>2.8764658349145329E-2</v>
      </c>
      <c r="L402" s="161">
        <f t="shared" si="131"/>
        <v>-1.8754713363258565E-2</v>
      </c>
      <c r="M402" s="192">
        <f t="shared" si="127"/>
        <v>3.529519756187649E-2</v>
      </c>
      <c r="N402" s="52"/>
      <c r="O402" s="158">
        <f>IFERROR('Ενεργές συνδέσεις'!X34/'Ανάπτυξη δικτύου'!V97,0)</f>
        <v>2.9593496090259335E-2</v>
      </c>
      <c r="P402" s="161">
        <f t="shared" si="132"/>
        <v>2.8814447613233436E-2</v>
      </c>
      <c r="Q402" s="157">
        <f>IFERROR('Ενεργές συνδέσεις'!AC34/'Ανάπτυξη δικτύου'!Y97,0)</f>
        <v>2.9638813808165933E-2</v>
      </c>
      <c r="R402" s="161">
        <f t="shared" si="133"/>
        <v>1.5313404596868365E-3</v>
      </c>
      <c r="S402" s="157">
        <f>IFERROR('Ενεργές συνδέσεις'!AH34/'Ανάπτυξη δικτύου'!AB97,0)</f>
        <v>3.028763626206591E-2</v>
      </c>
      <c r="T402" s="161">
        <f t="shared" si="134"/>
        <v>2.1890972361424826E-2</v>
      </c>
      <c r="U402" s="157">
        <f>IFERROR('Ενεργές συνδέσεις'!AM34/'Ανάπτυξη δικτύου'!AE97,0)</f>
        <v>3.0435774112608279E-2</v>
      </c>
      <c r="V402" s="161">
        <f t="shared" si="135"/>
        <v>4.8910337294266063E-3</v>
      </c>
      <c r="W402" s="157">
        <f>IFERROR('Ενεργές συνδέσεις'!AR34/'Ανάπτυξη δικτύου'!AH97,0)</f>
        <v>3.0785832899093049E-2</v>
      </c>
      <c r="X402" s="161">
        <f t="shared" si="136"/>
        <v>1.150155685837329E-2</v>
      </c>
      <c r="Y402" s="192">
        <f t="shared" si="137"/>
        <v>9.9239194224547411E-3</v>
      </c>
    </row>
    <row r="403" spans="2:25" outlineLevel="1" x14ac:dyDescent="0.35">
      <c r="B403" s="294" t="s">
        <v>95</v>
      </c>
      <c r="C403" s="49" t="s">
        <v>259</v>
      </c>
      <c r="D403" s="321">
        <f>IFERROR('Ενεργές συνδέσεις'!E35/'Ανάπτυξη δικτύου'!E98,0)</f>
        <v>3.5378688613379006E-2</v>
      </c>
      <c r="E403" s="321">
        <f>IFERROR('Ενεργές συνδέσεις'!G35/'Ανάπτυξη δικτύου'!G98,0)</f>
        <v>3.6710455798743366E-2</v>
      </c>
      <c r="F403" s="161">
        <f t="shared" si="128"/>
        <v>3.7643203791921549E-2</v>
      </c>
      <c r="G403" s="322">
        <f>IFERROR('Ενεργές συνδέσεις'!J35/'Ανάπτυξη δικτύου'!J98,0)</f>
        <v>3.5464800234684825E-2</v>
      </c>
      <c r="H403" s="161">
        <f t="shared" si="129"/>
        <v>-3.3931901333166807E-2</v>
      </c>
      <c r="I403" s="322">
        <f>IFERROR('Ενεργές συνδέσεις'!M35/'Ανάπτυξη δικτύου'!M98,0)</f>
        <v>3.584375920096497E-2</v>
      </c>
      <c r="J403" s="161">
        <f t="shared" si="130"/>
        <v>1.0685495583576425E-2</v>
      </c>
      <c r="K403" s="322">
        <f>IFERROR('Ενεργές συνδέσεις'!P35/'Ανάπτυξη δικτύου'!P98,0)</f>
        <v>3.5634898777301263E-2</v>
      </c>
      <c r="L403" s="161">
        <f t="shared" si="131"/>
        <v>-5.8269676038355837E-3</v>
      </c>
      <c r="M403" s="192">
        <f t="shared" si="127"/>
        <v>1.8055876449789565E-3</v>
      </c>
      <c r="N403" s="52"/>
      <c r="O403" s="158">
        <f>IFERROR('Ενεργές συνδέσεις'!X35/'Ανάπτυξη δικτύου'!V98,0)</f>
        <v>3.6222121095938177E-2</v>
      </c>
      <c r="P403" s="161">
        <f t="shared" si="132"/>
        <v>1.6478854684188495E-2</v>
      </c>
      <c r="Q403" s="157">
        <f>IFERROR('Ενεργές συνδέσεις'!AC35/'Ανάπτυξη δικτύου'!Y98,0)</f>
        <v>3.6340339896650892E-2</v>
      </c>
      <c r="R403" s="161">
        <f t="shared" si="133"/>
        <v>3.2637183338766799E-3</v>
      </c>
      <c r="S403" s="157">
        <f>IFERROR('Ενεργές συνδέσεις'!AH35/'Ανάπτυξη δικτύου'!AB98,0)</f>
        <v>3.6158721572389967E-2</v>
      </c>
      <c r="T403" s="161">
        <f t="shared" si="134"/>
        <v>-4.9977057115435227E-3</v>
      </c>
      <c r="U403" s="157">
        <f>IFERROR('Ενεργές συνδέσεις'!AM35/'Ανάπτυξη δικτύου'!AE98,0)</f>
        <v>3.5918107785357097E-2</v>
      </c>
      <c r="V403" s="161">
        <f t="shared" si="135"/>
        <v>-6.6543776043397965E-3</v>
      </c>
      <c r="W403" s="157">
        <f>IFERROR('Ενεργές συνδέσεις'!AR35/'Ανάπτυξη δικτύου'!AH98,0)</f>
        <v>3.6961728469936797E-2</v>
      </c>
      <c r="X403" s="161">
        <f t="shared" si="136"/>
        <v>2.9055558572747484E-2</v>
      </c>
      <c r="Y403" s="192">
        <f t="shared" si="137"/>
        <v>5.0660390615517858E-3</v>
      </c>
    </row>
    <row r="404" spans="2:25" outlineLevel="1" x14ac:dyDescent="0.35">
      <c r="B404" s="294" t="s">
        <v>96</v>
      </c>
      <c r="C404" s="49" t="s">
        <v>259</v>
      </c>
      <c r="D404" s="321">
        <f>IFERROR('Ενεργές συνδέσεις'!E36/'Ανάπτυξη δικτύου'!E99,0)</f>
        <v>3.2558279129687187E-2</v>
      </c>
      <c r="E404" s="321">
        <f>IFERROR('Ενεργές συνδέσεις'!G36/'Ανάπτυξη δικτύου'!G99,0)</f>
        <v>3.5179657496021394E-2</v>
      </c>
      <c r="F404" s="161">
        <f t="shared" si="128"/>
        <v>8.0513418903150502E-2</v>
      </c>
      <c r="G404" s="322">
        <f>IFERROR('Ενεργές συνδέσεις'!J36/'Ανάπτυξη δικτύου'!J99,0)</f>
        <v>3.7422463923580021E-2</v>
      </c>
      <c r="H404" s="161">
        <f t="shared" si="129"/>
        <v>6.3752935281199796E-2</v>
      </c>
      <c r="I404" s="322">
        <f>IFERROR('Ενεργές συνδέσεις'!M36/'Ανάπτυξη δικτύου'!M99,0)</f>
        <v>3.88126558564841E-2</v>
      </c>
      <c r="J404" s="161">
        <f t="shared" si="130"/>
        <v>3.71485943775101E-2</v>
      </c>
      <c r="K404" s="322">
        <f>IFERROR('Ενεργές συνδέσεις'!P36/'Ανάπτυξη δικτύου'!P99,0)</f>
        <v>3.8138511194279724E-2</v>
      </c>
      <c r="L404" s="161">
        <f t="shared" si="131"/>
        <v>-1.7369196910851245E-2</v>
      </c>
      <c r="M404" s="192">
        <f t="shared" si="127"/>
        <v>4.034066203654052E-2</v>
      </c>
      <c r="N404" s="52"/>
      <c r="O404" s="158">
        <f>IFERROR('Ενεργές συνδέσεις'!X36/'Ανάπτυξη δικτύου'!V99,0)</f>
        <v>3.9588490835835016E-2</v>
      </c>
      <c r="P404" s="161">
        <f t="shared" si="132"/>
        <v>3.8018779342723005E-2</v>
      </c>
      <c r="Q404" s="157">
        <f>IFERROR('Ενεργές συνδέσεις'!AC36/'Ανάπτυξη δικτύου'!Y99,0)</f>
        <v>4.050984941082153E-2</v>
      </c>
      <c r="R404" s="161">
        <f t="shared" si="133"/>
        <v>2.327339475523809E-2</v>
      </c>
      <c r="S404" s="157">
        <f>IFERROR('Ενεργές συνδέσεις'!AH36/'Ανάπτυξη δικτύου'!AB99,0)</f>
        <v>4.1353280764915568E-2</v>
      </c>
      <c r="T404" s="161">
        <f t="shared" si="134"/>
        <v>2.0820402108646913E-2</v>
      </c>
      <c r="U404" s="157">
        <f>IFERROR('Ενεργές συνδέσεις'!AM36/'Ανάπτυξη δικτύου'!AE99,0)</f>
        <v>4.3799262321977665E-2</v>
      </c>
      <c r="V404" s="161">
        <f t="shared" si="135"/>
        <v>5.9148428173497823E-2</v>
      </c>
      <c r="W404" s="157">
        <f>IFERROR('Ενεργές συνδέσεις'!AR36/'Ανάπτυξη δικτύου'!AH99,0)</f>
        <v>4.4468744827797342E-2</v>
      </c>
      <c r="X404" s="161">
        <f t="shared" si="136"/>
        <v>1.5285246150909322E-2</v>
      </c>
      <c r="Y404" s="192">
        <f t="shared" si="137"/>
        <v>2.9488456404059837E-2</v>
      </c>
    </row>
    <row r="405" spans="2:25" outlineLevel="1" x14ac:dyDescent="0.35">
      <c r="B405" s="294" t="s">
        <v>97</v>
      </c>
      <c r="C405" s="49" t="s">
        <v>259</v>
      </c>
      <c r="D405" s="321">
        <f>IFERROR('Ενεργές συνδέσεις'!E37/'Ανάπτυξη δικτύου'!E100,0)</f>
        <v>2.1995533048174379E-2</v>
      </c>
      <c r="E405" s="321">
        <f>IFERROR('Ενεργές συνδέσεις'!G37/'Ανάπτυξη δικτύου'!G100,0)</f>
        <v>2.4069006898136524E-2</v>
      </c>
      <c r="F405" s="161">
        <f t="shared" si="128"/>
        <v>9.4267951834622291E-2</v>
      </c>
      <c r="G405" s="322">
        <f>IFERROR('Ενεργές συνδέσεις'!J37/'Ανάπτυξη δικτύου'!J100,0)</f>
        <v>2.4800347945180126E-2</v>
      </c>
      <c r="H405" s="161">
        <f t="shared" si="129"/>
        <v>3.0385177508101661E-2</v>
      </c>
      <c r="I405" s="322">
        <f>IFERROR('Ενεργές συνδέσεις'!M37/'Ανάπτυξη δικτύου'!M100,0)</f>
        <v>2.5819964572729445E-2</v>
      </c>
      <c r="J405" s="161">
        <f t="shared" si="130"/>
        <v>4.1112996874202265E-2</v>
      </c>
      <c r="K405" s="322">
        <f>IFERROR('Ενεργές συνδέσεις'!P37/'Ανάπτυξη δικτύου'!P100,0)</f>
        <v>2.5989406529702871E-2</v>
      </c>
      <c r="L405" s="161">
        <f t="shared" si="131"/>
        <v>6.5624395609120353E-3</v>
      </c>
      <c r="M405" s="192">
        <f t="shared" si="127"/>
        <v>4.2594591772733947E-2</v>
      </c>
      <c r="N405" s="52"/>
      <c r="O405" s="158">
        <f>IFERROR('Ενεργές συνδέσεις'!X37/'Ανάπτυξη δικτύου'!V100,0)</f>
        <v>2.6683038732297788E-2</v>
      </c>
      <c r="P405" s="161">
        <f t="shared" si="132"/>
        <v>2.6689035850132829E-2</v>
      </c>
      <c r="Q405" s="157">
        <f>IFERROR('Ενεργές συνδέσεις'!AC37/'Ανάπτυξη δικτύου'!Y100,0)</f>
        <v>2.7341415191149274E-2</v>
      </c>
      <c r="R405" s="161">
        <f t="shared" si="133"/>
        <v>2.4673968563204616E-2</v>
      </c>
      <c r="S405" s="157">
        <f>IFERROR('Ενεργές συνδέσεις'!AH37/'Ανάπτυξη δικτύου'!AB100,0)</f>
        <v>2.9222186984781115E-2</v>
      </c>
      <c r="T405" s="161">
        <f t="shared" si="134"/>
        <v>6.8788384964091676E-2</v>
      </c>
      <c r="U405" s="157">
        <f>IFERROR('Ενεργές συνδέσεις'!AM37/'Ανάπτυξη δικτύου'!AE100,0)</f>
        <v>3.0739062258110038E-2</v>
      </c>
      <c r="V405" s="161">
        <f t="shared" si="135"/>
        <v>5.1908341908800663E-2</v>
      </c>
      <c r="W405" s="157">
        <f>IFERROR('Ενεργές συνδέσεις'!AR37/'Ανάπτυξη δικτύου'!AH100,0)</f>
        <v>3.0975940877573774E-2</v>
      </c>
      <c r="X405" s="161">
        <f t="shared" si="136"/>
        <v>7.7061107939699692E-3</v>
      </c>
      <c r="Y405" s="192">
        <f t="shared" si="137"/>
        <v>3.7999884104612747E-2</v>
      </c>
    </row>
    <row r="406" spans="2:25" outlineLevel="1" x14ac:dyDescent="0.35">
      <c r="B406" s="294" t="s">
        <v>98</v>
      </c>
      <c r="C406" s="49" t="s">
        <v>259</v>
      </c>
      <c r="D406" s="321">
        <f>IFERROR('Ενεργές συνδέσεις'!E38/'Ανάπτυξη δικτύου'!E101,0)</f>
        <v>1.6605240094709945E-2</v>
      </c>
      <c r="E406" s="321">
        <f>IFERROR('Ενεργές συνδέσεις'!G38/'Ανάπτυξη δικτύου'!G101,0)</f>
        <v>1.7806777004602127E-2</v>
      </c>
      <c r="F406" s="161">
        <f t="shared" si="128"/>
        <v>7.2358900144717839E-2</v>
      </c>
      <c r="G406" s="322">
        <f>IFERROR('Ενεργές συνδέσεις'!J38/'Ανάπτυξη δικτύου'!J101,0)</f>
        <v>1.9333929342883877E-2</v>
      </c>
      <c r="H406" s="161">
        <f t="shared" si="129"/>
        <v>8.5762422806050786E-2</v>
      </c>
      <c r="I406" s="322">
        <f>IFERROR('Ενεργές συνδέσεις'!M38/'Ανάπτυξη δικτύου'!M101,0)</f>
        <v>2.0059045232430604E-2</v>
      </c>
      <c r="J406" s="161">
        <f t="shared" si="130"/>
        <v>3.7504838084743253E-2</v>
      </c>
      <c r="K406" s="322">
        <f>IFERROR('Ενεργές συνδέσεις'!P38/'Ανάπτυξη δικτύου'!P101,0)</f>
        <v>1.9221025477469268E-2</v>
      </c>
      <c r="L406" s="161">
        <f t="shared" si="131"/>
        <v>-4.1777649197702639E-2</v>
      </c>
      <c r="M406" s="192">
        <f t="shared" si="127"/>
        <v>3.7248579486259148E-2</v>
      </c>
      <c r="N406" s="52"/>
      <c r="O406" s="158">
        <f>IFERROR('Ενεργές συνδέσεις'!X38/'Ανάπτυξη δικτύου'!V101,0)</f>
        <v>1.9538048461296083E-2</v>
      </c>
      <c r="P406" s="161">
        <f t="shared" si="132"/>
        <v>1.6493552032300622E-2</v>
      </c>
      <c r="Q406" s="157">
        <f>IFERROR('Ενεργές συνδέσεις'!AC38/'Ανάπτυξη δικτύου'!Y101,0)</f>
        <v>1.8995842216896559E-2</v>
      </c>
      <c r="R406" s="161">
        <f t="shared" si="133"/>
        <v>-2.77513000069382E-2</v>
      </c>
      <c r="S406" s="157">
        <f>IFERROR('Ενεργές συνδέσεις'!AH38/'Ανάπτυξη δικτύου'!AB101,0)</f>
        <v>1.9210410669547519E-2</v>
      </c>
      <c r="T406" s="161">
        <f t="shared" si="134"/>
        <v>1.1295548267931194E-2</v>
      </c>
      <c r="U406" s="157">
        <f>IFERROR('Ενεργές συνδέσεις'!AM38/'Ανάπτυξη δικτύου'!AE101,0)</f>
        <v>1.9481928501935353E-2</v>
      </c>
      <c r="V406" s="161">
        <f t="shared" si="135"/>
        <v>1.4133890058802681E-2</v>
      </c>
      <c r="W406" s="157">
        <f>IFERROR('Ενεργές συνδέσεις'!AR38/'Ανάπτυξη δικτύου'!AH101,0)</f>
        <v>1.9473865480156925E-2</v>
      </c>
      <c r="X406" s="161">
        <f t="shared" si="136"/>
        <v>-4.1387184937199066E-4</v>
      </c>
      <c r="Y406" s="192">
        <f t="shared" si="137"/>
        <v>-8.2226993060241504E-4</v>
      </c>
    </row>
    <row r="407" spans="2:25" outlineLevel="1" x14ac:dyDescent="0.35">
      <c r="B407" s="294" t="s">
        <v>99</v>
      </c>
      <c r="C407" s="49" t="s">
        <v>259</v>
      </c>
      <c r="D407" s="321">
        <f>IFERROR('Ενεργές συνδέσεις'!E39/'Ανάπτυξη δικτύου'!E102,0)</f>
        <v>2.1842056088623132E-2</v>
      </c>
      <c r="E407" s="321">
        <f>IFERROR('Ενεργές συνδέσεις'!G39/'Ανάπτυξη δικτύου'!G102,0)</f>
        <v>2.2298479163606746E-2</v>
      </c>
      <c r="F407" s="161">
        <f t="shared" si="128"/>
        <v>2.089652517746949E-2</v>
      </c>
      <c r="G407" s="322">
        <f>IFERROR('Ενεργές συνδέσεις'!J39/'Ανάπτυξη δικτύου'!J102,0)</f>
        <v>2.2822465279949845E-2</v>
      </c>
      <c r="H407" s="161">
        <f t="shared" si="129"/>
        <v>2.349873785106809E-2</v>
      </c>
      <c r="I407" s="322">
        <f>IFERROR('Ενεργές συνδέσεις'!M39/'Ανάπτυξη δικτύου'!M102,0)</f>
        <v>2.3271713463844036E-2</v>
      </c>
      <c r="J407" s="161">
        <f t="shared" si="130"/>
        <v>1.9684472224342373E-2</v>
      </c>
      <c r="K407" s="322">
        <f>IFERROR('Ενεργές συνδέσεις'!P39/'Ανάπτυξη δικτύου'!P102,0)</f>
        <v>2.2904845823005931E-2</v>
      </c>
      <c r="L407" s="161">
        <f t="shared" si="131"/>
        <v>-1.5764530678331293E-2</v>
      </c>
      <c r="M407" s="192">
        <f t="shared" si="127"/>
        <v>1.1948622825055821E-2</v>
      </c>
      <c r="N407" s="52"/>
      <c r="O407" s="158">
        <f>IFERROR('Ενεργές συνδέσεις'!X39/'Ανάπτυξη δικτύου'!V102,0)</f>
        <v>2.2967612199172156E-2</v>
      </c>
      <c r="P407" s="161">
        <f t="shared" si="132"/>
        <v>2.7403099174403557E-3</v>
      </c>
      <c r="Q407" s="157">
        <f>IFERROR('Ενεργές συνδέσεις'!AC39/'Ανάπτυξη δικτύου'!Y102,0)</f>
        <v>2.30664482611166E-2</v>
      </c>
      <c r="R407" s="161">
        <f t="shared" si="133"/>
        <v>4.3032798136502202E-3</v>
      </c>
      <c r="S407" s="157">
        <f>IFERROR('Ενεργές συνδέσεις'!AH39/'Ανάπτυξη δικτύου'!AB102,0)</f>
        <v>2.3313429959302301E-2</v>
      </c>
      <c r="T407" s="161">
        <f t="shared" si="134"/>
        <v>1.0707400436765145E-2</v>
      </c>
      <c r="U407" s="157">
        <f>IFERROR('Ενεργές συνδέσεις'!AM39/'Ανάπτυξη δικτύου'!AE102,0)</f>
        <v>2.2989772463555238E-2</v>
      </c>
      <c r="V407" s="161">
        <f t="shared" si="135"/>
        <v>-1.3882877650867509E-2</v>
      </c>
      <c r="W407" s="157">
        <f>IFERROR('Ενεργές συνδέσεις'!AR39/'Ανάπτυξη δικτύου'!AH102,0)</f>
        <v>2.3326665387514284E-2</v>
      </c>
      <c r="X407" s="161">
        <f t="shared" si="136"/>
        <v>1.4654034723184379E-2</v>
      </c>
      <c r="Y407" s="192">
        <f t="shared" si="137"/>
        <v>3.8855505431869553E-3</v>
      </c>
    </row>
    <row r="408" spans="2:25" outlineLevel="1" x14ac:dyDescent="0.35">
      <c r="B408" s="294" t="s">
        <v>100</v>
      </c>
      <c r="C408" s="49" t="s">
        <v>259</v>
      </c>
      <c r="D408" s="321">
        <f>IFERROR('Ενεργές συνδέσεις'!E40/'Ανάπτυξη δικτύου'!E103,0)</f>
        <v>2.8703878513160568E-2</v>
      </c>
      <c r="E408" s="321">
        <f>IFERROR('Ενεργές συνδέσεις'!G40/'Ανάπτυξη δικτύου'!G103,0)</f>
        <v>3.1398543456456325E-2</v>
      </c>
      <c r="F408" s="161">
        <f t="shared" si="128"/>
        <v>9.3878077907146515E-2</v>
      </c>
      <c r="G408" s="322">
        <f>IFERROR('Ενεργές συνδέσεις'!J40/'Ανάπτυξη δικτύου'!J103,0)</f>
        <v>3.3997289116684572E-2</v>
      </c>
      <c r="H408" s="161">
        <f t="shared" si="129"/>
        <v>8.2766439909297121E-2</v>
      </c>
      <c r="I408" s="322">
        <f>IFERROR('Ενεργές συνδέσεις'!M40/'Ανάπτυξη δικτύου'!M103,0)</f>
        <v>3.5329829318969656E-2</v>
      </c>
      <c r="J408" s="161">
        <f t="shared" si="130"/>
        <v>3.9195484019669227E-2</v>
      </c>
      <c r="K408" s="322">
        <f>IFERROR('Ενεργές συνδέσεις'!P40/'Ανάπτυξη δικτύου'!P103,0)</f>
        <v>3.3245075187328527E-2</v>
      </c>
      <c r="L408" s="161">
        <f t="shared" si="131"/>
        <v>-5.9008327292477521E-2</v>
      </c>
      <c r="M408" s="192">
        <f t="shared" si="127"/>
        <v>3.740105199103283E-2</v>
      </c>
      <c r="N408" s="52"/>
      <c r="O408" s="158">
        <f>IFERROR('Ενεργές συνδέσεις'!X40/'Ανάπτυξη δικτύου'!V103,0)</f>
        <v>3.3843219139127516E-2</v>
      </c>
      <c r="P408" s="161">
        <f t="shared" si="132"/>
        <v>1.7991956656093648E-2</v>
      </c>
      <c r="Q408" s="157">
        <f>IFERROR('Ενεργές συνδέσεις'!AC40/'Ανάπτυξη δικτύου'!Y103,0)</f>
        <v>3.2008259609642556E-2</v>
      </c>
      <c r="R408" s="161">
        <f t="shared" si="133"/>
        <v>-5.4219414587647452E-2</v>
      </c>
      <c r="S408" s="157">
        <f>IFERROR('Ενεργές συνδέσεις'!AH40/'Ανάπτυξη δικτύου'!AB103,0)</f>
        <v>3.2515130846204984E-2</v>
      </c>
      <c r="T408" s="161">
        <f t="shared" si="134"/>
        <v>1.5835638761494311E-2</v>
      </c>
      <c r="U408" s="157">
        <f>IFERROR('Ενεργές συνδέσεις'!AM40/'Ανάπτυξη δικτύου'!AE103,0)</f>
        <v>3.3119750633216934E-2</v>
      </c>
      <c r="V408" s="161">
        <f t="shared" si="135"/>
        <v>1.8595028569061343E-2</v>
      </c>
      <c r="W408" s="157">
        <f>IFERROR('Ενεργές συνδέσεις'!AR40/'Ανάπτυξη δικτύου'!AH103,0)</f>
        <v>3.0587411148352728E-2</v>
      </c>
      <c r="X408" s="161">
        <f t="shared" si="136"/>
        <v>-7.6460101191837951E-2</v>
      </c>
      <c r="Y408" s="192">
        <f t="shared" si="137"/>
        <v>-2.4970482055088672E-2</v>
      </c>
    </row>
    <row r="409" spans="2:25" outlineLevel="1" x14ac:dyDescent="0.35">
      <c r="B409" s="294" t="s">
        <v>101</v>
      </c>
      <c r="C409" s="49" t="s">
        <v>259</v>
      </c>
      <c r="D409" s="321">
        <f>IFERROR('Ενεργές συνδέσεις'!E41/'Ανάπτυξη δικτύου'!E104,0)</f>
        <v>2.1469658692982231E-3</v>
      </c>
      <c r="E409" s="321">
        <f>IFERROR('Ενεργές συνδέσεις'!G41/'Ανάπτυξη δικτύου'!G104,0)</f>
        <v>2.2967549586666138E-3</v>
      </c>
      <c r="F409" s="161">
        <f t="shared" si="128"/>
        <v>6.9767801859538722E-2</v>
      </c>
      <c r="G409" s="322">
        <f>IFERROR('Ενεργές συνδέσεις'!J41/'Ανάπτυξη δικτύου'!J104,0)</f>
        <v>2.5701781680316869E-3</v>
      </c>
      <c r="H409" s="161">
        <f t="shared" si="129"/>
        <v>0.11904761904761905</v>
      </c>
      <c r="I409" s="322">
        <f>IFERROR('Ενεργές συνδέσεις'!M41/'Ανάπτυξη δικτύου'!M104,0)</f>
        <v>2.5684870682140984E-3</v>
      </c>
      <c r="J409" s="161">
        <f t="shared" si="130"/>
        <v>-6.5796987875108774E-4</v>
      </c>
      <c r="K409" s="322">
        <f>IFERROR('Ενεργές συνδέσεις'!P41/'Ανάπτυξη δικτύου'!P104,0)</f>
        <v>2.5638409756269524E-3</v>
      </c>
      <c r="L409" s="161">
        <f t="shared" si="131"/>
        <v>-1.8088829975602772E-3</v>
      </c>
      <c r="M409" s="192">
        <f t="shared" si="127"/>
        <v>4.5361463115648926E-2</v>
      </c>
      <c r="N409" s="52"/>
      <c r="O409" s="158">
        <f>IFERROR('Ενεργές συνδέσεις'!X41/'Ανάπτυξη δικτύου'!V104,0)</f>
        <v>2.7192738347743364E-3</v>
      </c>
      <c r="P409" s="161">
        <f t="shared" si="132"/>
        <v>6.0624999999999978E-2</v>
      </c>
      <c r="Q409" s="157">
        <f>IFERROR('Ενεργές συνδέσεις'!AC41/'Ανάπτυξη δικτύου'!Y104,0)</f>
        <v>2.7806991914820656E-3</v>
      </c>
      <c r="R409" s="161">
        <f t="shared" si="133"/>
        <v>2.2588882341386833E-2</v>
      </c>
      <c r="S409" s="157">
        <f>IFERROR('Ενεργές συνδέσεις'!AH41/'Ανάπτυξη δικτύου'!AB104,0)</f>
        <v>2.8394538805068498E-3</v>
      </c>
      <c r="T409" s="161">
        <f t="shared" si="134"/>
        <v>2.1129466000768267E-2</v>
      </c>
      <c r="U409" s="157">
        <f>IFERROR('Ενεργές συνδέσεις'!AM41/'Ανάπτυξη δικτύου'!AE104,0)</f>
        <v>2.8859234981900884E-3</v>
      </c>
      <c r="V409" s="161">
        <f t="shared" si="135"/>
        <v>1.6365688487584715E-2</v>
      </c>
      <c r="W409" s="157">
        <f>IFERROR('Ενεργές συνδέσεις'!AR41/'Ανάπτυξη δικτύου'!AH104,0)</f>
        <v>2.9206421780683701E-3</v>
      </c>
      <c r="X409" s="161">
        <f t="shared" si="136"/>
        <v>1.203035350731077E-2</v>
      </c>
      <c r="Y409" s="192">
        <f t="shared" si="137"/>
        <v>1.8020098426871467E-2</v>
      </c>
    </row>
    <row r="410" spans="2:25" outlineLevel="1" x14ac:dyDescent="0.35">
      <c r="B410" s="294" t="s">
        <v>102</v>
      </c>
      <c r="C410" s="49" t="s">
        <v>259</v>
      </c>
      <c r="D410" s="321">
        <f>IFERROR('Ενεργές συνδέσεις'!E42/'Ανάπτυξη δικτύου'!E105,0)</f>
        <v>2.8309420008317113E-2</v>
      </c>
      <c r="E410" s="321">
        <f>IFERROR('Ενεργές συνδέσεις'!G42/'Ανάπτυξη δικτύου'!G105,0)</f>
        <v>2.9780111643294346E-2</v>
      </c>
      <c r="F410" s="161">
        <f t="shared" si="128"/>
        <v>5.1950609886926492E-2</v>
      </c>
      <c r="G410" s="322">
        <f>IFERROR('Ενεργές συνδέσεις'!J42/'Ανάπτυξη δικτύου'!J105,0)</f>
        <v>3.1516561301795476E-2</v>
      </c>
      <c r="H410" s="161">
        <f t="shared" si="129"/>
        <v>5.8309037900874688E-2</v>
      </c>
      <c r="I410" s="322">
        <f>IFERROR('Ενεργές συνδέσεις'!M42/'Ανάπτυξη δικτύου'!M105,0)</f>
        <v>3.198760003007764E-2</v>
      </c>
      <c r="J410" s="161">
        <f t="shared" si="130"/>
        <v>1.4945752608338303E-2</v>
      </c>
      <c r="K410" s="322">
        <f>IFERROR('Ενεργές συνδέσεις'!P42/'Ανάπτυξη δικτύου'!P105,0)</f>
        <v>3.19700827686836E-2</v>
      </c>
      <c r="L410" s="161">
        <f t="shared" si="131"/>
        <v>-5.4762662336557471E-4</v>
      </c>
      <c r="M410" s="192">
        <f t="shared" si="127"/>
        <v>3.0868329122222704E-2</v>
      </c>
      <c r="N410" s="52"/>
      <c r="O410" s="158">
        <f>IFERROR('Ενεργές συνδέσεις'!X42/'Ανάπτυξη δικτύου'!V105,0)</f>
        <v>3.2494606087195566E-2</v>
      </c>
      <c r="P410" s="161">
        <f t="shared" si="132"/>
        <v>1.6406692541495835E-2</v>
      </c>
      <c r="Q410" s="157">
        <f>IFERROR('Ενεργές συνδέσεις'!AC42/'Ανάπτυξη δικτύου'!Y105,0)</f>
        <v>3.3288797701428785E-2</v>
      </c>
      <c r="R410" s="161">
        <f t="shared" si="133"/>
        <v>2.4440721395486285E-2</v>
      </c>
      <c r="S410" s="157">
        <f>IFERROR('Ενεργές συνδέσεις'!AH42/'Ανάπτυξη δικτύου'!AB105,0)</f>
        <v>3.3741665731348493E-2</v>
      </c>
      <c r="T410" s="161">
        <f t="shared" si="134"/>
        <v>1.3604217069704209E-2</v>
      </c>
      <c r="U410" s="157">
        <f>IFERROR('Ενεργές συνδέσεις'!AM42/'Ανάπτυξη δικτύου'!AE105,0)</f>
        <v>3.4399751708463579E-2</v>
      </c>
      <c r="V410" s="161">
        <f t="shared" si="135"/>
        <v>1.9503660025405198E-2</v>
      </c>
      <c r="W410" s="157">
        <f>IFERROR('Ενεργές συνδέσεις'!AR42/'Ανάπτυξη δικτύου'!AH105,0)</f>
        <v>3.4876722284882519E-2</v>
      </c>
      <c r="X410" s="161">
        <f t="shared" si="136"/>
        <v>1.3865523811370666E-2</v>
      </c>
      <c r="Y410" s="192">
        <f t="shared" si="137"/>
        <v>1.784370876425756E-2</v>
      </c>
    </row>
    <row r="411" spans="2:25" outlineLevel="1" x14ac:dyDescent="0.35">
      <c r="B411" s="294" t="s">
        <v>103</v>
      </c>
      <c r="C411" s="49" t="s">
        <v>259</v>
      </c>
      <c r="D411" s="321">
        <f>IFERROR('Ενεργές συνδέσεις'!E43/'Ανάπτυξη δικτύου'!E106,0)</f>
        <v>2.4304202840017583E-3</v>
      </c>
      <c r="E411" s="321">
        <f>IFERROR('Ενεργές συνδέσεις'!G43/'Ανάπτυξη δικτύου'!G106,0)</f>
        <v>2.254320504702579E-3</v>
      </c>
      <c r="F411" s="161">
        <f t="shared" si="128"/>
        <v>-7.2456513162911004E-2</v>
      </c>
      <c r="G411" s="322">
        <f>IFERROR('Ενεργές συνδέσεις'!J43/'Ανάπτυξη δικτύου'!J106,0)</f>
        <v>2.3869275932144954E-3</v>
      </c>
      <c r="H411" s="161">
        <f t="shared" si="129"/>
        <v>5.8823529411764705E-2</v>
      </c>
      <c r="I411" s="322">
        <f>IFERROR('Ενεργές συνδέσεις'!M43/'Ανάπτυξη δικτύου'!M106,0)</f>
        <v>2.3869275932144954E-3</v>
      </c>
      <c r="J411" s="161">
        <f t="shared" si="130"/>
        <v>0</v>
      </c>
      <c r="K411" s="322">
        <f>IFERROR('Ενεργές συνδέσεις'!P43/'Ανάπτυξη δικτύου'!P106,0)</f>
        <v>2.254320504702579E-3</v>
      </c>
      <c r="L411" s="161">
        <f t="shared" si="131"/>
        <v>-5.5555555555555552E-2</v>
      </c>
      <c r="M411" s="192">
        <f t="shared" si="127"/>
        <v>-1.8628209500007209E-2</v>
      </c>
      <c r="N411" s="52"/>
      <c r="O411" s="158">
        <f>IFERROR('Ενεργές συνδέσεις'!X43/'Ανάπτυξη δικτύου'!V106,0)</f>
        <v>2.254320504702579E-3</v>
      </c>
      <c r="P411" s="161">
        <f t="shared" si="132"/>
        <v>0</v>
      </c>
      <c r="Q411" s="157">
        <f>IFERROR('Ενεργές συνδέσεις'!AC43/'Ανάπτυξη δικτύου'!Y106,0)</f>
        <v>2.254320504702579E-3</v>
      </c>
      <c r="R411" s="161">
        <f t="shared" si="133"/>
        <v>0</v>
      </c>
      <c r="S411" s="157">
        <f>IFERROR('Ενεργές συνδέσεις'!AH43/'Ανάπτυξη δικτύου'!AB106,0)</f>
        <v>2.254320504702579E-3</v>
      </c>
      <c r="T411" s="161">
        <f t="shared" si="134"/>
        <v>0</v>
      </c>
      <c r="U411" s="157">
        <f>IFERROR('Ενεργές συνδέσεις'!AM43/'Ανάπτυξη δικτύου'!AE106,0)</f>
        <v>2.254320504702579E-3</v>
      </c>
      <c r="V411" s="161">
        <f t="shared" si="135"/>
        <v>0</v>
      </c>
      <c r="W411" s="157">
        <f>IFERROR('Ενεργές συνδέσεις'!AR43/'Ανάπτυξη δικτύου'!AH106,0)</f>
        <v>2.254320504702579E-3</v>
      </c>
      <c r="X411" s="161">
        <f t="shared" si="136"/>
        <v>0</v>
      </c>
      <c r="Y411" s="192">
        <f t="shared" si="137"/>
        <v>0</v>
      </c>
    </row>
    <row r="412" spans="2:25" outlineLevel="1" x14ac:dyDescent="0.35">
      <c r="B412" s="294" t="s">
        <v>104</v>
      </c>
      <c r="C412" s="49" t="s">
        <v>259</v>
      </c>
      <c r="D412" s="321">
        <f>IFERROR('Ενεργές συνδέσεις'!E44/'Ανάπτυξη δικτύου'!E107,0)</f>
        <v>0</v>
      </c>
      <c r="E412" s="321">
        <f>IFERROR('Ενεργές συνδέσεις'!G44/'Ανάπτυξη δικτύου'!G107,0)</f>
        <v>0</v>
      </c>
      <c r="F412" s="161">
        <f t="shared" si="128"/>
        <v>0</v>
      </c>
      <c r="G412" s="322">
        <f>IFERROR('Ενεργές συνδέσεις'!J44/'Ανάπτυξη δικτύου'!J107,0)</f>
        <v>0</v>
      </c>
      <c r="H412" s="161">
        <f t="shared" si="129"/>
        <v>0</v>
      </c>
      <c r="I412" s="322">
        <f>IFERROR('Ενεργές συνδέσεις'!M44/'Ανάπτυξη δικτύου'!M107,0)</f>
        <v>0</v>
      </c>
      <c r="J412" s="161">
        <f t="shared" si="130"/>
        <v>0</v>
      </c>
      <c r="K412" s="322">
        <f>IFERROR('Ενεργές συνδέσεις'!P44/'Ανάπτυξη δικτύου'!P107,0)</f>
        <v>0</v>
      </c>
      <c r="L412" s="161">
        <f t="shared" si="131"/>
        <v>0</v>
      </c>
      <c r="M412" s="192">
        <f t="shared" si="127"/>
        <v>0</v>
      </c>
      <c r="N412" s="52"/>
      <c r="O412" s="158">
        <f>IFERROR('Ενεργές συνδέσεις'!X44/'Ανάπτυξη δικτύου'!V107,0)</f>
        <v>0</v>
      </c>
      <c r="P412" s="161">
        <f t="shared" si="132"/>
        <v>0</v>
      </c>
      <c r="Q412" s="157">
        <f>IFERROR('Ενεργές συνδέσεις'!AC44/'Ανάπτυξη δικτύου'!Y107,0)</f>
        <v>0</v>
      </c>
      <c r="R412" s="161">
        <f t="shared" si="133"/>
        <v>0</v>
      </c>
      <c r="S412" s="157">
        <f>IFERROR('Ενεργές συνδέσεις'!AH44/'Ανάπτυξη δικτύου'!AB107,0)</f>
        <v>0</v>
      </c>
      <c r="T412" s="161">
        <f t="shared" si="134"/>
        <v>0</v>
      </c>
      <c r="U412" s="157">
        <f>IFERROR('Ενεργές συνδέσεις'!AM44/'Ανάπτυξη δικτύου'!AE107,0)</f>
        <v>3.2399999999999998E-3</v>
      </c>
      <c r="V412" s="161">
        <f t="shared" si="135"/>
        <v>0</v>
      </c>
      <c r="W412" s="157">
        <f>IFERROR('Ενεργές συνδέσεις'!AR44/'Ανάπτυξη δικτύου'!AH107,0)</f>
        <v>4.4530000000000004E-3</v>
      </c>
      <c r="X412" s="161">
        <f t="shared" si="136"/>
        <v>0.37438271604938289</v>
      </c>
      <c r="Y412" s="192">
        <f t="shared" si="137"/>
        <v>0</v>
      </c>
    </row>
    <row r="413" spans="2:25" outlineLevel="1" x14ac:dyDescent="0.35">
      <c r="B413" s="294" t="s">
        <v>136</v>
      </c>
      <c r="C413" s="49" t="s">
        <v>259</v>
      </c>
      <c r="D413" s="321">
        <f>IFERROR('Ενεργές συνδέσεις'!E45/'Ανάπτυξη δικτύου'!E108,0)</f>
        <v>0</v>
      </c>
      <c r="E413" s="321">
        <f>IFERROR('Ενεργές συνδέσεις'!G45/'Ανάπτυξη δικτύου'!G108,0)</f>
        <v>0</v>
      </c>
      <c r="F413" s="161">
        <f t="shared" si="128"/>
        <v>0</v>
      </c>
      <c r="G413" s="322">
        <f>IFERROR('Ενεργές συνδέσεις'!J45/'Ανάπτυξη δικτύου'!J108,0)</f>
        <v>0</v>
      </c>
      <c r="H413" s="161">
        <f t="shared" si="129"/>
        <v>0</v>
      </c>
      <c r="I413" s="322">
        <f>IFERROR('Ενεργές συνδέσεις'!M45/'Ανάπτυξη δικτύου'!M108,0)</f>
        <v>0</v>
      </c>
      <c r="J413" s="161">
        <f t="shared" si="130"/>
        <v>0</v>
      </c>
      <c r="K413" s="322">
        <f>IFERROR('Ενεργές συνδέσεις'!P45/'Ανάπτυξη δικτύου'!P108,0)</f>
        <v>0</v>
      </c>
      <c r="L413" s="161">
        <f t="shared" si="131"/>
        <v>0</v>
      </c>
      <c r="M413" s="192">
        <f t="shared" si="127"/>
        <v>0</v>
      </c>
      <c r="N413" s="52"/>
      <c r="O413" s="158">
        <f>IFERROR('Ενεργές συνδέσεις'!X45/'Ανάπτυξη δικτύου'!V108,0)</f>
        <v>0</v>
      </c>
      <c r="P413" s="161">
        <f t="shared" si="132"/>
        <v>0</v>
      </c>
      <c r="Q413" s="157">
        <f>IFERROR('Ενεργές συνδέσεις'!AC45/'Ανάπτυξη δικτύου'!Y108,0)</f>
        <v>0</v>
      </c>
      <c r="R413" s="161">
        <f t="shared" si="133"/>
        <v>0</v>
      </c>
      <c r="S413" s="157">
        <f>IFERROR('Ενεργές συνδέσεις'!AH45/'Ανάπτυξη δικτύου'!AB108,0)</f>
        <v>0</v>
      </c>
      <c r="T413" s="161">
        <f t="shared" si="134"/>
        <v>0</v>
      </c>
      <c r="U413" s="157">
        <f>IFERROR('Ενεργές συνδέσεις'!AM45/'Ανάπτυξη δικτύου'!AE108,0)</f>
        <v>3.0399999999999997E-3</v>
      </c>
      <c r="V413" s="161">
        <f t="shared" si="135"/>
        <v>0</v>
      </c>
      <c r="W413" s="157">
        <f>IFERROR('Ενεργές συνδέσεις'!AR45/'Ανάπτυξη δικτύου'!AH108,0)</f>
        <v>3.98E-3</v>
      </c>
      <c r="X413" s="161">
        <f t="shared" si="136"/>
        <v>0.3092105263157896</v>
      </c>
      <c r="Y413" s="192">
        <f t="shared" si="137"/>
        <v>0</v>
      </c>
    </row>
    <row r="414" spans="2:25" outlineLevel="1" x14ac:dyDescent="0.35">
      <c r="B414" s="294" t="s">
        <v>106</v>
      </c>
      <c r="C414" s="49" t="s">
        <v>259</v>
      </c>
      <c r="D414" s="321">
        <f>IFERROR('Ενεργές συνδέσεις'!E46/'Ανάπτυξη δικτύου'!E109,0)</f>
        <v>1.8811154308284003E-2</v>
      </c>
      <c r="E414" s="321">
        <f>IFERROR('Ενεργές συνδέσεις'!G46/'Ανάπτυξη δικτύου'!G109,0)</f>
        <v>2.0546296862916567E-2</v>
      </c>
      <c r="F414" s="161">
        <f t="shared" si="128"/>
        <v>9.2240089374443487E-2</v>
      </c>
      <c r="G414" s="322">
        <f>IFERROR('Ενεργές συνδέσεις'!J46/'Ανάπτυξη δικτύου'!J109,0)</f>
        <v>2.1101057903595205E-2</v>
      </c>
      <c r="H414" s="161">
        <f t="shared" si="129"/>
        <v>2.7000536611534655E-2</v>
      </c>
      <c r="I414" s="322">
        <f>IFERROR('Ενεργές συνδέσεις'!M46/'Ανάπτυξη δικτύου'!M109,0)</f>
        <v>2.1048905897187602E-2</v>
      </c>
      <c r="J414" s="161">
        <f t="shared" si="130"/>
        <v>-2.4715351545818798E-3</v>
      </c>
      <c r="K414" s="322">
        <f>IFERROR('Ενεργές συνδέσεις'!P46/'Ανάπτυξη δικτύου'!P109,0)</f>
        <v>2.0211838052383056E-2</v>
      </c>
      <c r="L414" s="161">
        <f t="shared" si="131"/>
        <v>-3.9767760324131096E-2</v>
      </c>
      <c r="M414" s="192">
        <f t="shared" si="127"/>
        <v>1.8116769838340874E-2</v>
      </c>
      <c r="N414" s="52"/>
      <c r="O414" s="158">
        <f>IFERROR('Ενεργές συνδέσεις'!X46/'Ανάπτυξη δικτύου'!V109,0)</f>
        <v>2.0616769292913114E-2</v>
      </c>
      <c r="P414" s="161">
        <f t="shared" si="132"/>
        <v>2.0034360035964933E-2</v>
      </c>
      <c r="Q414" s="157">
        <f>IFERROR('Ενεργές συνδέσεις'!AC46/'Ανάπτυξη δικτύου'!Y109,0)</f>
        <v>2.0748036517239471E-2</v>
      </c>
      <c r="R414" s="161">
        <f t="shared" si="133"/>
        <v>6.3670123316304107E-3</v>
      </c>
      <c r="S414" s="157">
        <f>IFERROR('Ενεργές συνδέσεις'!AH46/'Ανάπτυξη δικτύου'!AB109,0)</f>
        <v>2.1466746989121967E-2</v>
      </c>
      <c r="T414" s="161">
        <f t="shared" si="134"/>
        <v>3.4639927073837652E-2</v>
      </c>
      <c r="U414" s="157">
        <f>IFERROR('Ενεργές συνδέσεις'!AM46/'Ανάπτυξη δικτύου'!AE109,0)</f>
        <v>2.1555416481920556E-2</v>
      </c>
      <c r="V414" s="161">
        <f t="shared" si="135"/>
        <v>4.130550979313352E-3</v>
      </c>
      <c r="W414" s="157">
        <f>IFERROR('Ενεργές συνδέσεις'!AR46/'Ανάπτυξη δικτύου'!AH109,0)</f>
        <v>2.0334368130795637E-2</v>
      </c>
      <c r="X414" s="161">
        <f t="shared" si="136"/>
        <v>-5.6646938468995246E-2</v>
      </c>
      <c r="Y414" s="192">
        <f t="shared" si="137"/>
        <v>-3.4421427216111411E-3</v>
      </c>
    </row>
    <row r="415" spans="2:25" outlineLevel="1" x14ac:dyDescent="0.35">
      <c r="B415" s="294" t="s">
        <v>107</v>
      </c>
      <c r="C415" s="49" t="s">
        <v>259</v>
      </c>
      <c r="D415" s="321">
        <f>IFERROR('Ενεργές συνδέσεις'!E47/'Ανάπτυξη δικτύου'!E110,0)</f>
        <v>1.8991858224092689E-2</v>
      </c>
      <c r="E415" s="321">
        <f>IFERROR('Ενεργές συνδέσεις'!G47/'Ανάπτυξη δικτύου'!G110,0)</f>
        <v>2.0311942586623041E-2</v>
      </c>
      <c r="F415" s="161">
        <f t="shared" si="128"/>
        <v>6.9507909492274936E-2</v>
      </c>
      <c r="G415" s="322">
        <f>IFERROR('Ενεργές συνδέσεις'!J47/'Ανάπτυξη δικτύου'!J110,0)</f>
        <v>2.0063957324867217E-2</v>
      </c>
      <c r="H415" s="161">
        <f t="shared" si="129"/>
        <v>-1.2208840227775243E-2</v>
      </c>
      <c r="I415" s="322">
        <f>IFERROR('Ενεργές συνδέσεις'!M47/'Ανάπτυξη δικτύου'!M110,0)</f>
        <v>2.1485231210805374E-2</v>
      </c>
      <c r="J415" s="161">
        <f t="shared" si="130"/>
        <v>7.0837166513339503E-2</v>
      </c>
      <c r="K415" s="322">
        <f>IFERROR('Ενεργές συνδέσεις'!P47/'Ανάπτυξη δικτύου'!P110,0)</f>
        <v>2.1805372561271016E-2</v>
      </c>
      <c r="L415" s="161">
        <f t="shared" si="131"/>
        <v>1.4900530849518449E-2</v>
      </c>
      <c r="M415" s="192">
        <f t="shared" si="127"/>
        <v>3.5139814013604109E-2</v>
      </c>
      <c r="N415" s="52"/>
      <c r="O415" s="158">
        <f>IFERROR('Ενεργές συνδέσεις'!X47/'Ανάπτυξη δικτύου'!V110,0)</f>
        <v>2.2333373822988226E-2</v>
      </c>
      <c r="P415" s="161">
        <f t="shared" si="132"/>
        <v>2.4214273809519991E-2</v>
      </c>
      <c r="Q415" s="157">
        <f>IFERROR('Ενεργές συνδέσεις'!AC47/'Ανάπτυξη δικτύου'!Y110,0)</f>
        <v>2.2493754180060839E-2</v>
      </c>
      <c r="R415" s="161">
        <f t="shared" si="133"/>
        <v>7.1811969988846789E-3</v>
      </c>
      <c r="S415" s="157">
        <f>IFERROR('Ενεργές συνδέσεις'!AH47/'Ανάπτυξη δικτύου'!AB110,0)</f>
        <v>2.3484256788977819E-2</v>
      </c>
      <c r="T415" s="161">
        <f t="shared" si="134"/>
        <v>4.403456181605258E-2</v>
      </c>
      <c r="U415" s="157">
        <f>IFERROR('Ενεργές συνδέσεις'!AM47/'Ανάπτυξη δικτύου'!AE110,0)</f>
        <v>2.4312381050578476E-2</v>
      </c>
      <c r="V415" s="161">
        <f t="shared" si="135"/>
        <v>3.5262953775455734E-2</v>
      </c>
      <c r="W415" s="157">
        <f>IFERROR('Ενεργές συνδέσεις'!AR47/'Ανάπτυξη δικτύου'!AH110,0)</f>
        <v>2.4728794134062742E-2</v>
      </c>
      <c r="X415" s="161">
        <f t="shared" si="136"/>
        <v>1.7127614223303628E-2</v>
      </c>
      <c r="Y415" s="192">
        <f t="shared" si="137"/>
        <v>2.5798715571596853E-2</v>
      </c>
    </row>
    <row r="416" spans="2:25" outlineLevel="1" x14ac:dyDescent="0.35">
      <c r="B416" s="294" t="s">
        <v>108</v>
      </c>
      <c r="C416" s="49" t="s">
        <v>259</v>
      </c>
      <c r="D416" s="321">
        <f>IFERROR('Ενεργές συνδέσεις'!E48/'Ανάπτυξη δικτύου'!E111,0)</f>
        <v>2.9341602617253746E-2</v>
      </c>
      <c r="E416" s="321">
        <f>IFERROR('Ενεργές συνδέσεις'!G48/'Ανάπτυξη δικτύου'!G111,0)</f>
        <v>2.899959341269262E-2</v>
      </c>
      <c r="F416" s="161">
        <f t="shared" si="128"/>
        <v>-1.165611875474089E-2</v>
      </c>
      <c r="G416" s="322">
        <f>IFERROR('Ενεργές συνδέσεις'!J48/'Ανάπτυξη δικτύου'!J111,0)</f>
        <v>3.2304845375666726E-2</v>
      </c>
      <c r="H416" s="161">
        <f t="shared" si="129"/>
        <v>0.11397580358928253</v>
      </c>
      <c r="I416" s="322">
        <f>IFERROR('Ενεργές συνδέσεις'!M48/'Ανάπτυξη δικτύου'!M111,0)</f>
        <v>3.3175932779354621E-2</v>
      </c>
      <c r="J416" s="161">
        <f t="shared" si="130"/>
        <v>2.6964605264572238E-2</v>
      </c>
      <c r="K416" s="322">
        <f>IFERROR('Ενεργές συνδέσεις'!P48/'Ανάπτυξη δικτύου'!P111,0)</f>
        <v>3.2246156016400324E-2</v>
      </c>
      <c r="L416" s="161">
        <f t="shared" si="131"/>
        <v>-2.8025640428500542E-2</v>
      </c>
      <c r="M416" s="192">
        <f t="shared" si="127"/>
        <v>2.3878750958911343E-2</v>
      </c>
      <c r="N416" s="52"/>
      <c r="O416" s="158">
        <f>IFERROR('Ενεργές συνδέσεις'!X48/'Ανάπτυξη δικτύου'!V111,0)</f>
        <v>3.2384358471221508E-2</v>
      </c>
      <c r="P416" s="161">
        <f t="shared" si="132"/>
        <v>4.285858281864517E-3</v>
      </c>
      <c r="Q416" s="157">
        <f>IFERROR('Ενεργές συνδέσεις'!AC48/'Ανάπτυξη δικτύου'!Y111,0)</f>
        <v>3.3876673151801831E-2</v>
      </c>
      <c r="R416" s="161">
        <f t="shared" si="133"/>
        <v>4.6081341457064044E-2</v>
      </c>
      <c r="S416" s="157">
        <f>IFERROR('Ενεργές συνδέσεις'!AH48/'Ανάπτυξη δικτύου'!AB111,0)</f>
        <v>3.2123749937241056E-2</v>
      </c>
      <c r="T416" s="161">
        <f t="shared" si="134"/>
        <v>-5.1744255013055816E-2</v>
      </c>
      <c r="U416" s="157">
        <f>IFERROR('Ενεργές συνδέσεις'!AM48/'Ανάπτυξη δικτύου'!AE111,0)</f>
        <v>3.1141899839376083E-2</v>
      </c>
      <c r="V416" s="161">
        <f t="shared" si="135"/>
        <v>-3.0564616515293998E-2</v>
      </c>
      <c r="W416" s="157">
        <f>IFERROR('Ενεργές συνδέσεις'!AR48/'Ανάπτυξη δικτύου'!AH111,0)</f>
        <v>3.244878965401593E-2</v>
      </c>
      <c r="X416" s="161">
        <f t="shared" si="136"/>
        <v>4.1965641832403706E-2</v>
      </c>
      <c r="Y416" s="192">
        <f t="shared" si="137"/>
        <v>4.9702364037029767E-4</v>
      </c>
    </row>
    <row r="417" spans="2:25" outlineLevel="1" x14ac:dyDescent="0.35">
      <c r="B417" s="294" t="s">
        <v>109</v>
      </c>
      <c r="C417" s="49" t="s">
        <v>259</v>
      </c>
      <c r="D417" s="321">
        <f>IFERROR('Ενεργές συνδέσεις'!E49/'Ανάπτυξη δικτύου'!E112,0)</f>
        <v>3.4928168193869964E-2</v>
      </c>
      <c r="E417" s="321">
        <f>IFERROR('Ενεργές συνδέσεις'!G49/'Ανάπτυξη δικτύου'!G112,0)</f>
        <v>3.7593180351808725E-2</v>
      </c>
      <c r="F417" s="161">
        <f t="shared" si="128"/>
        <v>7.6299797434166081E-2</v>
      </c>
      <c r="G417" s="322">
        <f>IFERROR('Ενεργές συνδέσεις'!J49/'Ανάπτυξη δικτύου'!J112,0)</f>
        <v>3.9752757641374863E-2</v>
      </c>
      <c r="H417" s="161">
        <f t="shared" si="129"/>
        <v>5.7445985398312645E-2</v>
      </c>
      <c r="I417" s="322">
        <f>IFERROR('Ενεργές συνδέσεις'!M49/'Ανάπτυξη δικτύου'!M112,0)</f>
        <v>4.0966312483420392E-2</v>
      </c>
      <c r="J417" s="161">
        <f t="shared" si="130"/>
        <v>3.0527563722584503E-2</v>
      </c>
      <c r="K417" s="322">
        <f>IFERROR('Ενεργές συνδέσεις'!P49/'Ανάπτυξη δικτύου'!P112,0)</f>
        <v>4.1580884903654677E-2</v>
      </c>
      <c r="L417" s="161">
        <f t="shared" si="131"/>
        <v>1.5001897485476907E-2</v>
      </c>
      <c r="M417" s="192">
        <f t="shared" si="127"/>
        <v>4.4550591806867601E-2</v>
      </c>
      <c r="N417" s="52"/>
      <c r="O417" s="158">
        <f>IFERROR('Ενεργές συνδέσεις'!X49/'Ανάπτυξη δικτύου'!V112,0)</f>
        <v>4.3205426813989478E-2</v>
      </c>
      <c r="P417" s="161">
        <f t="shared" si="132"/>
        <v>3.9069440539780689E-2</v>
      </c>
      <c r="Q417" s="157">
        <f>IFERROR('Ενεργές συνδέσεις'!AC49/'Ανάπτυξη δικτύου'!Y112,0)</f>
        <v>4.5238763648440337E-2</v>
      </c>
      <c r="R417" s="161">
        <f t="shared" si="133"/>
        <v>4.7062070309012327E-2</v>
      </c>
      <c r="S417" s="157">
        <f>IFERROR('Ενεργές συνδέσεις'!AH49/'Ανάπτυξη δικτύου'!AB112,0)</f>
        <v>4.6853314475472099E-2</v>
      </c>
      <c r="T417" s="161">
        <f t="shared" si="134"/>
        <v>3.5689543586530474E-2</v>
      </c>
      <c r="U417" s="157">
        <f>IFERROR('Ενεργές συνδέσεις'!AM49/'Ανάπτυξη δικτύου'!AE112,0)</f>
        <v>4.8487953297953024E-2</v>
      </c>
      <c r="V417" s="161">
        <f t="shared" si="135"/>
        <v>3.4888435125260228E-2</v>
      </c>
      <c r="W417" s="157">
        <f>IFERROR('Ενεργές συνδέσεις'!AR49/'Ανάπτυξη δικτύου'!AH112,0)</f>
        <v>4.9712918945693282E-2</v>
      </c>
      <c r="X417" s="161">
        <f t="shared" si="136"/>
        <v>2.5263298704587149E-2</v>
      </c>
      <c r="Y417" s="192">
        <f t="shared" si="137"/>
        <v>3.569705430874337E-2</v>
      </c>
    </row>
    <row r="418" spans="2:25" outlineLevel="1" x14ac:dyDescent="0.35">
      <c r="B418" s="294" t="s">
        <v>110</v>
      </c>
      <c r="C418" s="49" t="s">
        <v>259</v>
      </c>
      <c r="D418" s="321">
        <f>IFERROR('Ενεργές συνδέσεις'!E50/'Ανάπτυξη δικτύου'!E113,0)</f>
        <v>2.9276916549735681E-2</v>
      </c>
      <c r="E418" s="321">
        <f>IFERROR('Ενεργές συνδέσεις'!G50/'Ανάπτυξη δικτύου'!G113,0)</f>
        <v>3.0969197913105335E-2</v>
      </c>
      <c r="F418" s="161">
        <f t="shared" si="128"/>
        <v>5.7802581788106114E-2</v>
      </c>
      <c r="G418" s="322">
        <f>IFERROR('Ενεργές συνδέσεις'!J50/'Ανάπτυξη δικτύου'!J113,0)</f>
        <v>3.3373658047142755E-2</v>
      </c>
      <c r="H418" s="161">
        <f t="shared" si="129"/>
        <v>7.7640374826108027E-2</v>
      </c>
      <c r="I418" s="322">
        <f>IFERROR('Ενεργές συνδέσεις'!M50/'Ανάπτυξη δικτύου'!M113,0)</f>
        <v>3.4238120647631758E-2</v>
      </c>
      <c r="J418" s="161">
        <f t="shared" si="130"/>
        <v>2.5902542636107941E-2</v>
      </c>
      <c r="K418" s="322">
        <f>IFERROR('Ενεργές συνδέσεις'!P50/'Ανάπτυξη δικτύου'!P113,0)</f>
        <v>3.3009023996602507E-2</v>
      </c>
      <c r="L418" s="161">
        <f t="shared" si="131"/>
        <v>-3.5898484723467627E-2</v>
      </c>
      <c r="M418" s="192">
        <f t="shared" si="127"/>
        <v>3.0449794922853712E-2</v>
      </c>
      <c r="N418" s="52"/>
      <c r="O418" s="158">
        <f>IFERROR('Ενεργές συνδέσεις'!X50/'Ανάπτυξη δικτύου'!V113,0)</f>
        <v>3.3550246426718479E-2</v>
      </c>
      <c r="P418" s="161">
        <f t="shared" si="132"/>
        <v>1.6396196087823667E-2</v>
      </c>
      <c r="Q418" s="157">
        <f>IFERROR('Ενεργές συνδέσεις'!AC50/'Ανάπτυξη δικτύου'!Y113,0)</f>
        <v>3.44440744373311E-2</v>
      </c>
      <c r="R418" s="161">
        <f t="shared" si="133"/>
        <v>2.6641473783656073E-2</v>
      </c>
      <c r="S418" s="157">
        <f>IFERROR('Ενεργές συνδέσεις'!AH50/'Ανάπτυξη δικτύου'!AB113,0)</f>
        <v>3.4564511163280694E-2</v>
      </c>
      <c r="T418" s="161">
        <f t="shared" si="134"/>
        <v>3.4965876690552667E-3</v>
      </c>
      <c r="U418" s="157">
        <f>IFERROR('Ενεργές συνδέσεις'!AM50/'Ανάπτυξη δικτύου'!AE113,0)</f>
        <v>3.54087076314549E-2</v>
      </c>
      <c r="V418" s="161">
        <f t="shared" si="135"/>
        <v>2.4423793068742455E-2</v>
      </c>
      <c r="W418" s="157">
        <f>IFERROR('Ενεργές συνδέσεις'!AR50/'Ανάπτυξη δικτύου'!AH113,0)</f>
        <v>3.4492951562088467E-2</v>
      </c>
      <c r="X418" s="161">
        <f t="shared" si="136"/>
        <v>-2.5862453916644278E-2</v>
      </c>
      <c r="Y418" s="192">
        <f t="shared" si="137"/>
        <v>6.9517500514755248E-3</v>
      </c>
    </row>
    <row r="419" spans="2:25" outlineLevel="1" x14ac:dyDescent="0.35">
      <c r="B419" s="294" t="s">
        <v>111</v>
      </c>
      <c r="C419" s="49" t="s">
        <v>259</v>
      </c>
      <c r="D419" s="321">
        <f>IFERROR('Ενεργές συνδέσεις'!E51/'Ανάπτυξη δικτύου'!E114,0)</f>
        <v>1.8615835654400139E-2</v>
      </c>
      <c r="E419" s="321">
        <f>IFERROR('Ενεργές συνδέσεις'!G51/'Ανάπτυξη δικτύου'!G114,0)</f>
        <v>2.0721363035356936E-2</v>
      </c>
      <c r="F419" s="161">
        <f t="shared" si="128"/>
        <v>0.11310410233768491</v>
      </c>
      <c r="G419" s="322">
        <f>IFERROR('Ενεργές συνδέσεις'!J51/'Ανάπτυξη δικτύου'!J114,0)</f>
        <v>2.237692434991442E-2</v>
      </c>
      <c r="H419" s="161">
        <f t="shared" si="129"/>
        <v>7.9896351978998387E-2</v>
      </c>
      <c r="I419" s="322">
        <f>IFERROR('Ενεργές συνδέσεις'!M51/'Ανάπτυξη δικτύου'!M114,0)</f>
        <v>2.3517440371826473E-2</v>
      </c>
      <c r="J419" s="161">
        <f t="shared" si="130"/>
        <v>5.0968399592252946E-2</v>
      </c>
      <c r="K419" s="322">
        <f>IFERROR('Ενεργές συνδέσεις'!P51/'Ανάπτυξη δικτύου'!P114,0)</f>
        <v>2.3489072568343893E-2</v>
      </c>
      <c r="L419" s="161">
        <f t="shared" si="131"/>
        <v>-1.2062453665903467E-3</v>
      </c>
      <c r="M419" s="192">
        <f t="shared" si="127"/>
        <v>5.985348782292288E-2</v>
      </c>
      <c r="N419" s="52"/>
      <c r="O419" s="158">
        <f>IFERROR('Ενεργές συνδέσεις'!X51/'Ανάπτυξη δικτύου'!V114,0)</f>
        <v>2.3946100786292009E-2</v>
      </c>
      <c r="P419" s="161">
        <f t="shared" si="132"/>
        <v>1.9457056749190293E-2</v>
      </c>
      <c r="Q419" s="157">
        <f>IFERROR('Ενεργές συνδέσεις'!AC51/'Ανάπτυξη δικτύου'!Y114,0)</f>
        <v>2.3533942701912666E-2</v>
      </c>
      <c r="R419" s="161">
        <f t="shared" si="133"/>
        <v>-1.7211908028687651E-2</v>
      </c>
      <c r="S419" s="157">
        <f>IFERROR('Ενεργές συνδέσεις'!AH51/'Ανάπτυξη δικτύου'!AB114,0)</f>
        <v>2.281009483145114E-2</v>
      </c>
      <c r="T419" s="161">
        <f t="shared" si="134"/>
        <v>-3.0757611660314634E-2</v>
      </c>
      <c r="U419" s="157">
        <f>IFERROR('Ενεργές συνδέσεις'!AM51/'Ανάπτυξη δικτύου'!AE114,0)</f>
        <v>2.3791834983154191E-2</v>
      </c>
      <c r="V419" s="161">
        <f t="shared" si="135"/>
        <v>4.3039722498189832E-2</v>
      </c>
      <c r="W419" s="157">
        <f>IFERROR('Ενεργές συνδέσεις'!AR51/'Ανάπτυξη δικτύου'!AH114,0)</f>
        <v>2.4072516414769988E-2</v>
      </c>
      <c r="X419" s="161">
        <f t="shared" si="136"/>
        <v>1.1797384767275539E-2</v>
      </c>
      <c r="Y419" s="192">
        <f t="shared" si="137"/>
        <v>1.317188691081661E-3</v>
      </c>
    </row>
    <row r="420" spans="2:25" outlineLevel="1" x14ac:dyDescent="0.35">
      <c r="B420" s="294" t="s">
        <v>112</v>
      </c>
      <c r="C420" s="49" t="s">
        <v>259</v>
      </c>
      <c r="D420" s="321">
        <f>IFERROR('Ενεργές συνδέσεις'!E52/'Ανάπτυξη δικτύου'!E115,0)</f>
        <v>1.9290914119340391E-2</v>
      </c>
      <c r="E420" s="321">
        <f>IFERROR('Ενεργές συνδέσεις'!G52/'Ανάπτυξη δικτύου'!G115,0)</f>
        <v>2.0426553686054984E-2</v>
      </c>
      <c r="F420" s="161">
        <f t="shared" si="128"/>
        <v>5.8869142213226713E-2</v>
      </c>
      <c r="G420" s="322">
        <f>IFERROR('Ενεργές συνδέσεις'!J52/'Ανάπτυξη δικτύου'!J115,0)</f>
        <v>2.2492455655498882E-2</v>
      </c>
      <c r="H420" s="161">
        <f t="shared" si="129"/>
        <v>0.10113805790226231</v>
      </c>
      <c r="I420" s="322">
        <f>IFERROR('Ενεργές συνδέσεις'!M52/'Ανάπτυξη δικτύου'!M115,0)</f>
        <v>2.2879648572937863E-2</v>
      </c>
      <c r="J420" s="161">
        <f t="shared" si="130"/>
        <v>1.7214346150964659E-2</v>
      </c>
      <c r="K420" s="322">
        <f>IFERROR('Ενεργές συνδέσεις'!P52/'Ανάπτυξη δικτύου'!P115,0)</f>
        <v>2.2536072286394624E-2</v>
      </c>
      <c r="L420" s="161">
        <f t="shared" si="131"/>
        <v>-1.5016676739940059E-2</v>
      </c>
      <c r="M420" s="192">
        <f t="shared" si="127"/>
        <v>3.963610826893027E-2</v>
      </c>
      <c r="N420" s="52"/>
      <c r="O420" s="158">
        <f>IFERROR('Ενεργές συνδέσεις'!X52/'Ανάπτυξη δικτύου'!V115,0)</f>
        <v>2.2904795817650918E-2</v>
      </c>
      <c r="P420" s="161">
        <f t="shared" si="132"/>
        <v>1.6361481564775505E-2</v>
      </c>
      <c r="Q420" s="157">
        <f>IFERROR('Ενεργές συνδέσεις'!AC52/'Ανάπτυξη δικτύου'!Y115,0)</f>
        <v>2.2924569461594806E-2</v>
      </c>
      <c r="R420" s="161">
        <f t="shared" si="133"/>
        <v>8.6329710604320326E-4</v>
      </c>
      <c r="S420" s="157">
        <f>IFERROR('Ενεργές συνδέσεις'!AH52/'Ανάπτυξη δικτύου'!AB115,0)</f>
        <v>2.3269654065065148E-2</v>
      </c>
      <c r="T420" s="161">
        <f t="shared" si="134"/>
        <v>1.5053046210898629E-2</v>
      </c>
      <c r="U420" s="157">
        <f>IFERROR('Ενεργές συνδέσεις'!AM52/'Ανάπτυξη δικτύου'!AE115,0)</f>
        <v>2.3500093121627222E-2</v>
      </c>
      <c r="V420" s="161">
        <f t="shared" si="135"/>
        <v>9.9029859196760796E-3</v>
      </c>
      <c r="W420" s="157">
        <f>IFERROR('Ενεργές συνδέσεις'!AR52/'Ανάπτυξη δικτύου'!AH115,0)</f>
        <v>2.3484165668115141E-2</v>
      </c>
      <c r="X420" s="161">
        <f t="shared" si="136"/>
        <v>-6.7776129352538079E-4</v>
      </c>
      <c r="Y420" s="192">
        <f t="shared" si="137"/>
        <v>6.2645607187066243E-3</v>
      </c>
    </row>
    <row r="421" spans="2:25" outlineLevel="1" x14ac:dyDescent="0.35">
      <c r="B421" s="294" t="s">
        <v>113</v>
      </c>
      <c r="C421" s="49" t="s">
        <v>259</v>
      </c>
      <c r="D421" s="321">
        <f>IFERROR('Ενεργές συνδέσεις'!E53/'Ανάπτυξη δικτύου'!E116,0)</f>
        <v>9.7103876872284122E-3</v>
      </c>
      <c r="E421" s="321">
        <f>IFERROR('Ενεργές συνδέσεις'!G53/'Ανάπτυξη δικτύου'!G116,0)</f>
        <v>9.7103876872284122E-3</v>
      </c>
      <c r="F421" s="161">
        <f t="shared" si="128"/>
        <v>0</v>
      </c>
      <c r="G421" s="322">
        <f>IFERROR('Ενεργές συνδέσεις'!J53/'Ανάπτυξη δικτύου'!J116,0)</f>
        <v>9.7103876872284122E-3</v>
      </c>
      <c r="H421" s="161">
        <f t="shared" si="129"/>
        <v>0</v>
      </c>
      <c r="I421" s="322">
        <f>IFERROR('Ενεργές συνδέσεις'!M53/'Ανάπτυξη δικτύου'!M116,0)</f>
        <v>9.7103876872284122E-3</v>
      </c>
      <c r="J421" s="161">
        <f t="shared" si="130"/>
        <v>0</v>
      </c>
      <c r="K421" s="322">
        <f>IFERROR('Ενεργές συνδέσεις'!P53/'Ανάπτυξη δικτύου'!P116,0)</f>
        <v>5.2691203203625156E-3</v>
      </c>
      <c r="L421" s="161">
        <f t="shared" si="131"/>
        <v>-0.45737281660826723</v>
      </c>
      <c r="M421" s="192">
        <f t="shared" si="127"/>
        <v>-0.14172712626740125</v>
      </c>
      <c r="N421" s="52"/>
      <c r="O421" s="158">
        <f>IFERROR('Ενεργές συνδέσεις'!X53/'Ανάπτυξη δικτύου'!V116,0)</f>
        <v>5.2691203203625156E-3</v>
      </c>
      <c r="P421" s="161">
        <f t="shared" si="132"/>
        <v>0</v>
      </c>
      <c r="Q421" s="157">
        <f>IFERROR('Ενεργές συνδέσεις'!AC53/'Ανάπτυξη δικτύου'!Y116,0)</f>
        <v>5.2691203203625156E-3</v>
      </c>
      <c r="R421" s="161">
        <f t="shared" si="133"/>
        <v>0</v>
      </c>
      <c r="S421" s="157">
        <f>IFERROR('Ενεργές συνδέσεις'!AH53/'Ανάπτυξη δικτύου'!AB116,0)</f>
        <v>6.0218517947000184E-3</v>
      </c>
      <c r="T421" s="161">
        <f t="shared" si="134"/>
        <v>0.14285714285714299</v>
      </c>
      <c r="U421" s="157">
        <f>IFERROR('Ενεργές συνδέσεις'!AM53/'Ανάπτυξη δικτύου'!AE116,0)</f>
        <v>6.0218517947000184E-3</v>
      </c>
      <c r="V421" s="161">
        <f t="shared" si="135"/>
        <v>0</v>
      </c>
      <c r="W421" s="157">
        <f>IFERROR('Ενεργές συνδέσεις'!AR53/'Ανάπτυξη δικτύου'!AH116,0)</f>
        <v>6.0218517947000184E-3</v>
      </c>
      <c r="X421" s="161">
        <f t="shared" si="136"/>
        <v>0</v>
      </c>
      <c r="Y421" s="192">
        <f t="shared" si="137"/>
        <v>3.3946307914341167E-2</v>
      </c>
    </row>
    <row r="422" spans="2:25" outlineLevel="1" x14ac:dyDescent="0.35">
      <c r="B422" s="294" t="s">
        <v>114</v>
      </c>
      <c r="C422" s="49" t="s">
        <v>259</v>
      </c>
      <c r="D422" s="321">
        <f>IFERROR('Ενεργές συνδέσεις'!E54/'Ανάπτυξη δικτύου'!E117,0)</f>
        <v>3.0974433711337793E-2</v>
      </c>
      <c r="E422" s="321">
        <f>IFERROR('Ενεργές συνδέσεις'!G54/'Ανάπτυξη δικτύου'!G117,0)</f>
        <v>3.2924116369660215E-2</v>
      </c>
      <c r="F422" s="161">
        <f t="shared" si="128"/>
        <v>6.2944900833126954E-2</v>
      </c>
      <c r="G422" s="322">
        <f>IFERROR('Ενεργές συνδέσεις'!J54/'Ανάπτυξη δικτύου'!J117,0)</f>
        <v>3.3616124930923461E-2</v>
      </c>
      <c r="H422" s="161">
        <f t="shared" si="129"/>
        <v>2.1018288038276267E-2</v>
      </c>
      <c r="I422" s="322">
        <f>IFERROR('Ενεργές συνδέσεις'!M54/'Ανάπτυξη δικτύου'!M117,0)</f>
        <v>3.4806117782283687E-2</v>
      </c>
      <c r="J422" s="161">
        <f t="shared" si="130"/>
        <v>3.5399465399581269E-2</v>
      </c>
      <c r="K422" s="322">
        <f>IFERROR('Ενεργές συνδέσεις'!P54/'Ανάπτυξη δικτύου'!P117,0)</f>
        <v>3.5220207381302611E-2</v>
      </c>
      <c r="L422" s="161">
        <f t="shared" si="131"/>
        <v>1.1897034929580563E-2</v>
      </c>
      <c r="M422" s="192">
        <f t="shared" si="127"/>
        <v>3.2635695569271927E-2</v>
      </c>
      <c r="N422" s="52"/>
      <c r="O422" s="158">
        <f>IFERROR('Ενεργές συνδέσεις'!X54/'Ανάπτυξη δικτύου'!V117,0)</f>
        <v>3.6666554122223798E-2</v>
      </c>
      <c r="P422" s="161">
        <f t="shared" si="132"/>
        <v>4.1065821256038665E-2</v>
      </c>
      <c r="Q422" s="157">
        <f>IFERROR('Ενεργές συνδέσεις'!AC54/'Ανάπτυξη δικτύου'!Y117,0)</f>
        <v>3.8490624826364755E-2</v>
      </c>
      <c r="R422" s="161">
        <f t="shared" si="133"/>
        <v>4.9747535534989874E-2</v>
      </c>
      <c r="S422" s="157">
        <f>IFERROR('Ενεργές συνδέσεις'!AH54/'Ανάπτυξη δικτύου'!AB117,0)</f>
        <v>4.0229516224610705E-2</v>
      </c>
      <c r="T422" s="161">
        <f t="shared" si="134"/>
        <v>4.5177011443442938E-2</v>
      </c>
      <c r="U422" s="157">
        <f>IFERROR('Ενεργές συνδέσεις'!AM54/'Ανάπτυξη δικτύου'!AE117,0)</f>
        <v>4.1591321706872061E-2</v>
      </c>
      <c r="V422" s="161">
        <f t="shared" si="135"/>
        <v>3.3850903765734623E-2</v>
      </c>
      <c r="W422" s="157">
        <f>IFERROR('Ενεργές συνδέσεις'!AR54/'Ανάπτυξη δικτύου'!AH117,0)</f>
        <v>4.2619747508757869E-2</v>
      </c>
      <c r="X422" s="161">
        <f t="shared" si="136"/>
        <v>2.4726932438790043E-2</v>
      </c>
      <c r="Y422" s="192">
        <f t="shared" si="137"/>
        <v>3.8329501993941362E-2</v>
      </c>
    </row>
    <row r="423" spans="2:25" outlineLevel="1" x14ac:dyDescent="0.35">
      <c r="B423" s="294" t="s">
        <v>115</v>
      </c>
      <c r="C423" s="49" t="s">
        <v>259</v>
      </c>
      <c r="D423" s="321">
        <f>IFERROR('Ενεργές συνδέσεις'!E55/'Ανάπτυξη δικτύου'!E118,0)</f>
        <v>1.0438465472960061E-2</v>
      </c>
      <c r="E423" s="321">
        <f>IFERROR('Ενεργές συνδέσεις'!G55/'Ανάπτυξη δικτύου'!G118,0)</f>
        <v>1.673983330901584E-2</v>
      </c>
      <c r="F423" s="161">
        <f t="shared" si="128"/>
        <v>0.60366802499648298</v>
      </c>
      <c r="G423" s="322">
        <f>IFERROR('Ενεργές συνδέσεις'!J55/'Ανάπτυξη δικτύου'!J118,0)</f>
        <v>1.996067551231177E-2</v>
      </c>
      <c r="H423" s="161">
        <f t="shared" si="129"/>
        <v>0.19240587070608581</v>
      </c>
      <c r="I423" s="322">
        <f>IFERROR('Ενεργές συνδέσεις'!M55/'Ανάπτυξη δικτύου'!M118,0)</f>
        <v>2.0430729647006676E-2</v>
      </c>
      <c r="J423" s="161">
        <f t="shared" si="130"/>
        <v>2.3549009371199664E-2</v>
      </c>
      <c r="K423" s="322">
        <f>IFERROR('Ενεργές συνδέσεις'!P55/'Ανάπτυξη δικτύου'!P118,0)</f>
        <v>2.008669618105231E-2</v>
      </c>
      <c r="L423" s="161">
        <f t="shared" si="131"/>
        <v>-1.6839020039833504E-2</v>
      </c>
      <c r="M423" s="192">
        <f t="shared" si="127"/>
        <v>0.17779027199203123</v>
      </c>
      <c r="N423" s="52"/>
      <c r="O423" s="158">
        <f>IFERROR('Ενεργές συνδέσεις'!X55/'Ανάπτυξη δικτύου'!V118,0)</f>
        <v>2.0345232687128643E-2</v>
      </c>
      <c r="P423" s="161">
        <f t="shared" si="132"/>
        <v>1.2871031838486716E-2</v>
      </c>
      <c r="Q423" s="157">
        <f>IFERROR('Ενεργές συνδέσεις'!AC55/'Ανάπτυξη δικτύου'!Y118,0)</f>
        <v>2.0297622968708341E-2</v>
      </c>
      <c r="R423" s="161">
        <f t="shared" si="133"/>
        <v>-2.3400921067087679E-3</v>
      </c>
      <c r="S423" s="157">
        <f>IFERROR('Ενεργές συνδέσεις'!AH55/'Ανάπτυξη δικτύου'!AB118,0)</f>
        <v>2.1009741273962525E-2</v>
      </c>
      <c r="T423" s="161">
        <f t="shared" si="134"/>
        <v>3.508382761626893E-2</v>
      </c>
      <c r="U423" s="157">
        <f>IFERROR('Ενεργές συνδέσεις'!AM55/'Ανάπτυξη δικτύου'!AE118,0)</f>
        <v>2.0721257981127474E-2</v>
      </c>
      <c r="V423" s="161">
        <f t="shared" si="135"/>
        <v>-1.3730930289587584E-2</v>
      </c>
      <c r="W423" s="157">
        <f>IFERROR('Ενεργές συνδέσεις'!AR55/'Ανάπτυξη δικτύου'!AH118,0)</f>
        <v>2.0835631694495493E-2</v>
      </c>
      <c r="X423" s="161">
        <f t="shared" si="136"/>
        <v>5.5196317459194691E-3</v>
      </c>
      <c r="Y423" s="192">
        <f t="shared" si="137"/>
        <v>5.9722544397620148E-3</v>
      </c>
    </row>
    <row r="424" spans="2:25" outlineLevel="1" x14ac:dyDescent="0.35">
      <c r="B424" s="294" t="s">
        <v>116</v>
      </c>
      <c r="C424" s="49" t="s">
        <v>259</v>
      </c>
      <c r="D424" s="321">
        <f>IFERROR('Ενεργές συνδέσεις'!E56/'Ανάπτυξη δικτύου'!E119,0)</f>
        <v>3.2451803757825561E-2</v>
      </c>
      <c r="E424" s="321">
        <f>IFERROR('Ενεργές συνδέσεις'!G56/'Ανάπτυξη δικτύου'!G119,0)</f>
        <v>3.3806313997308449E-2</v>
      </c>
      <c r="F424" s="161">
        <f t="shared" si="128"/>
        <v>4.1739135660718275E-2</v>
      </c>
      <c r="G424" s="322">
        <f>IFERROR('Ενεργές συνδέσεις'!J56/'Ανάπτυξη δικτύου'!J119,0)</f>
        <v>3.4992329838087928E-2</v>
      </c>
      <c r="H424" s="161">
        <f t="shared" si="129"/>
        <v>3.5082672452072299E-2</v>
      </c>
      <c r="I424" s="322">
        <f>IFERROR('Ενεργές συνδέσεις'!M56/'Ανάπτυξη δικτύου'!M119,0)</f>
        <v>3.5837358460887259E-2</v>
      </c>
      <c r="J424" s="161">
        <f t="shared" si="130"/>
        <v>2.4148967122490556E-2</v>
      </c>
      <c r="K424" s="322">
        <f>IFERROR('Ενεργές συνδέσεις'!P56/'Ανάπτυξη δικτύου'!P119,0)</f>
        <v>3.682304754240262E-2</v>
      </c>
      <c r="L424" s="161">
        <f t="shared" si="131"/>
        <v>2.7504512716559137E-2</v>
      </c>
      <c r="M424" s="192">
        <f t="shared" si="127"/>
        <v>3.2096301818793638E-2</v>
      </c>
      <c r="N424" s="52"/>
      <c r="O424" s="158">
        <f>IFERROR('Ενεργές συνδέσεις'!X56/'Ανάπτυξη δικτύου'!V119,0)</f>
        <v>3.7881417468448565E-2</v>
      </c>
      <c r="P424" s="161">
        <f t="shared" si="132"/>
        <v>2.874205142383195E-2</v>
      </c>
      <c r="Q424" s="157">
        <f>IFERROR('Ενεργές συνδέσεις'!AC56/'Ανάπτυξη δικτύου'!Y119,0)</f>
        <v>3.9186971136360563E-2</v>
      </c>
      <c r="R424" s="161">
        <f t="shared" si="133"/>
        <v>3.4464224286205582E-2</v>
      </c>
      <c r="S424" s="157">
        <f>IFERROR('Ενεργές συνδέσεις'!AH56/'Ανάπτυξη δικτύου'!AB119,0)</f>
        <v>4.0429099980886014E-2</v>
      </c>
      <c r="T424" s="161">
        <f t="shared" si="134"/>
        <v>3.1697495583497978E-2</v>
      </c>
      <c r="U424" s="157">
        <f>IFERROR('Ενεργές συνδέσεις'!AM56/'Ανάπτυξη δικτύου'!AE119,0)</f>
        <v>4.140317495706989E-2</v>
      </c>
      <c r="V424" s="161">
        <f t="shared" si="135"/>
        <v>2.4093412335283157E-2</v>
      </c>
      <c r="W424" s="157">
        <f>IFERROR('Ενεργές συνδέσεις'!AR56/'Ανάπτυξη δικτύου'!AH119,0)</f>
        <v>4.2142079239798E-2</v>
      </c>
      <c r="X424" s="161">
        <f t="shared" si="136"/>
        <v>1.7846560885590661E-2</v>
      </c>
      <c r="Y424" s="192">
        <f t="shared" si="137"/>
        <v>2.7004708041813652E-2</v>
      </c>
    </row>
    <row r="425" spans="2:25" outlineLevel="1" x14ac:dyDescent="0.35">
      <c r="B425" s="294" t="s">
        <v>117</v>
      </c>
      <c r="C425" s="49" t="s">
        <v>259</v>
      </c>
      <c r="D425" s="321">
        <f>IFERROR('Ενεργές συνδέσεις'!E57/'Ανάπτυξη δικτύου'!E120,0)</f>
        <v>2.2744128336338692E-2</v>
      </c>
      <c r="E425" s="321">
        <f>IFERROR('Ενεργές συνδέσεις'!G57/'Ανάπτυξη δικτύου'!G120,0)</f>
        <v>2.4895171008361958E-2</v>
      </c>
      <c r="F425" s="161">
        <f t="shared" si="128"/>
        <v>9.4575735777330597E-2</v>
      </c>
      <c r="G425" s="322">
        <f>IFERROR('Ενεργές συνδέσεις'!J57/'Ανάπτυξη δικτύου'!J120,0)</f>
        <v>2.6278134870531253E-2</v>
      </c>
      <c r="H425" s="161">
        <f t="shared" si="129"/>
        <v>5.5551490757174395E-2</v>
      </c>
      <c r="I425" s="322">
        <f>IFERROR('Ενεργές συνδέσεις'!M57/'Ανάπτυξη δικτύου'!M120,0)</f>
        <v>2.7419915967486708E-2</v>
      </c>
      <c r="J425" s="161">
        <f t="shared" si="130"/>
        <v>4.344985298921912E-2</v>
      </c>
      <c r="K425" s="322">
        <f>IFERROR('Ενεργές συνδέσεις'!P57/'Ανάπτυξη δικτύου'!P120,0)</f>
        <v>2.7617433774934107E-2</v>
      </c>
      <c r="L425" s="161">
        <f t="shared" si="131"/>
        <v>7.2034432082726295E-3</v>
      </c>
      <c r="M425" s="192">
        <f t="shared" si="127"/>
        <v>4.973216818351256E-2</v>
      </c>
      <c r="N425" s="52"/>
      <c r="O425" s="158">
        <f>IFERROR('Ενεργές συνδέσεις'!X57/'Ανάπτυξη δικτύου'!V120,0)</f>
        <v>2.81713362769015E-2</v>
      </c>
      <c r="P425" s="161">
        <f t="shared" si="132"/>
        <v>2.0056262521759766E-2</v>
      </c>
      <c r="Q425" s="157">
        <f>IFERROR('Ενεργές συνδέσεις'!AC57/'Ανάπτυξη δικτύου'!Y120,0)</f>
        <v>2.816930134958073E-2</v>
      </c>
      <c r="R425" s="161">
        <f t="shared" si="133"/>
        <v>-7.2233965076009963E-5</v>
      </c>
      <c r="S425" s="157">
        <f>IFERROR('Ενεργές συνδέσεις'!AH57/'Ανάπτυξη δικτύου'!AB120,0)</f>
        <v>2.9057519679640296E-2</v>
      </c>
      <c r="T425" s="161">
        <f t="shared" si="134"/>
        <v>3.153142916243417E-2</v>
      </c>
      <c r="U425" s="157">
        <f>IFERROR('Ενεργές συνδέσεις'!AM57/'Ανάπτυξη δικτύου'!AE120,0)</f>
        <v>2.833284455008906E-2</v>
      </c>
      <c r="V425" s="161">
        <f t="shared" si="135"/>
        <v>-2.4939331971234723E-2</v>
      </c>
      <c r="W425" s="157">
        <f>IFERROR('Ενεργές συνδέσεις'!AR57/'Ανάπτυξη δικτύου'!AH120,0)</f>
        <v>2.9364300606447669E-2</v>
      </c>
      <c r="X425" s="161">
        <f t="shared" si="136"/>
        <v>3.6404959429157162E-2</v>
      </c>
      <c r="Y425" s="192">
        <f t="shared" si="137"/>
        <v>1.0422604489980891E-2</v>
      </c>
    </row>
    <row r="426" spans="2:25" outlineLevel="1" x14ac:dyDescent="0.35">
      <c r="B426" s="294" t="s">
        <v>118</v>
      </c>
      <c r="C426" s="49" t="s">
        <v>259</v>
      </c>
      <c r="D426" s="321">
        <f>IFERROR('Ενεργές συνδέσεις'!E58/'Ανάπτυξη δικτύου'!E121,0)</f>
        <v>2.6595631925967356E-2</v>
      </c>
      <c r="E426" s="321">
        <f>IFERROR('Ενεργές συνδέσεις'!G58/'Ανάπτυξη δικτύου'!G121,0)</f>
        <v>2.8363921693962145E-2</v>
      </c>
      <c r="F426" s="161">
        <f t="shared" si="128"/>
        <v>6.6487977157943426E-2</v>
      </c>
      <c r="G426" s="322">
        <f>IFERROR('Ενεργές συνδέσεις'!J58/'Ανάπτυξη δικτύου'!J121,0)</f>
        <v>2.8734752179294776E-2</v>
      </c>
      <c r="H426" s="161">
        <f t="shared" si="129"/>
        <v>1.3074020205448875E-2</v>
      </c>
      <c r="I426" s="322">
        <f>IFERROR('Ενεργές συνδέσεις'!M58/'Ανάπτυξη δικτύου'!M121,0)</f>
        <v>2.8909123935163639E-2</v>
      </c>
      <c r="J426" s="161">
        <f t="shared" si="130"/>
        <v>6.0683229415324337E-3</v>
      </c>
      <c r="K426" s="322">
        <f>IFERROR('Ενεργές συνδέσεις'!P58/'Ανάπτυξη δικτύου'!P121,0)</f>
        <v>2.9025240357882398E-2</v>
      </c>
      <c r="L426" s="161">
        <f t="shared" si="131"/>
        <v>4.0166012287048388E-3</v>
      </c>
      <c r="M426" s="192">
        <f t="shared" si="127"/>
        <v>2.2095268252257272E-2</v>
      </c>
      <c r="N426" s="52"/>
      <c r="O426" s="158">
        <f>IFERROR('Ενεργές συνδέσεις'!X58/'Ανάπτυξη δικτύου'!V121,0)</f>
        <v>2.9715107068628809E-2</v>
      </c>
      <c r="P426" s="161">
        <f t="shared" si="132"/>
        <v>2.3767820773930748E-2</v>
      </c>
      <c r="Q426" s="157">
        <f>IFERROR('Ενεργές συνδέσεις'!AC58/'Ανάπτυξη δικτύου'!Y121,0)</f>
        <v>3.0575814807143612E-2</v>
      </c>
      <c r="R426" s="161">
        <f t="shared" si="133"/>
        <v>2.8965325163626297E-2</v>
      </c>
      <c r="S426" s="157">
        <f>IFERROR('Ενεργές συνδέσεις'!AH58/'Ανάπτυξη δικτύου'!AB121,0)</f>
        <v>3.1384058389207048E-2</v>
      </c>
      <c r="T426" s="161">
        <f t="shared" si="134"/>
        <v>2.6434081549794087E-2</v>
      </c>
      <c r="U426" s="157">
        <f>IFERROR('Ενεργές συνδέσεις'!AM58/'Ανάπτυξη δικτύου'!AE121,0)</f>
        <v>3.201835743002187E-2</v>
      </c>
      <c r="V426" s="161">
        <f t="shared" si="135"/>
        <v>2.0210867343815438E-2</v>
      </c>
      <c r="W426" s="157">
        <f>IFERROR('Ενεργές συνδέσεις'!AR58/'Ανάπτυξη δικτύου'!AH121,0)</f>
        <v>3.1978002371089692E-2</v>
      </c>
      <c r="X426" s="161">
        <f t="shared" si="136"/>
        <v>-1.2603725541004394E-3</v>
      </c>
      <c r="Y426" s="192">
        <f t="shared" si="137"/>
        <v>1.8517528987846088E-2</v>
      </c>
    </row>
    <row r="427" spans="2:25" outlineLevel="1" x14ac:dyDescent="0.35">
      <c r="B427" s="294" t="s">
        <v>119</v>
      </c>
      <c r="C427" s="49" t="s">
        <v>259</v>
      </c>
      <c r="D427" s="321">
        <f>IFERROR('Ενεργές συνδέσεις'!E59/'Ανάπτυξη δικτύου'!E122,0)</f>
        <v>2.1922482103282792E-2</v>
      </c>
      <c r="E427" s="321">
        <f>IFERROR('Ενεργές συνδέσεις'!G59/'Ανάπτυξη δικτύου'!G122,0)</f>
        <v>2.2321072686978843E-2</v>
      </c>
      <c r="F427" s="161">
        <f t="shared" si="128"/>
        <v>1.8181818181818174E-2</v>
      </c>
      <c r="G427" s="322">
        <f>IFERROR('Ενεργές συνδέσεις'!J59/'Ανάπτυξη δικτύου'!J122,0)</f>
        <v>2.3118253854370944E-2</v>
      </c>
      <c r="H427" s="161">
        <f t="shared" si="129"/>
        <v>3.5714285714285698E-2</v>
      </c>
      <c r="I427" s="322">
        <f>IFERROR('Ενεργές συνδέσεις'!M59/'Ανάπτυξη δικτύου'!M122,0)</f>
        <v>2.3118253854370944E-2</v>
      </c>
      <c r="J427" s="161">
        <f t="shared" si="130"/>
        <v>0</v>
      </c>
      <c r="K427" s="322">
        <f>IFERROR('Ενεργές συνδέσεις'!P59/'Ανάπτυξη δικτύου'!P122,0)</f>
        <v>2.2719663270674893E-2</v>
      </c>
      <c r="L427" s="161">
        <f t="shared" si="131"/>
        <v>-1.724137931034482E-2</v>
      </c>
      <c r="M427" s="192">
        <f t="shared" si="127"/>
        <v>8.9695077533105128E-3</v>
      </c>
      <c r="N427" s="52"/>
      <c r="O427" s="158">
        <f>IFERROR('Ενεργές συνδέσεις'!X59/'Ανάπτυξη δικτύου'!V122,0)</f>
        <v>2.2719663270674893E-2</v>
      </c>
      <c r="P427" s="161">
        <f t="shared" si="132"/>
        <v>0</v>
      </c>
      <c r="Q427" s="157">
        <f>IFERROR('Ενεργές συνδέσεις'!AC59/'Ανάπτυξη δικτύου'!Y122,0)</f>
        <v>2.2719663270674893E-2</v>
      </c>
      <c r="R427" s="161">
        <f t="shared" si="133"/>
        <v>0</v>
      </c>
      <c r="S427" s="157">
        <f>IFERROR('Ενεργές συνδέσεις'!AH59/'Ανάπτυξη δικτύου'!AB122,0)</f>
        <v>2.2719663270674893E-2</v>
      </c>
      <c r="T427" s="161">
        <f t="shared" si="134"/>
        <v>0</v>
      </c>
      <c r="U427" s="157">
        <f>IFERROR('Ενεργές συνδέσεις'!AM59/'Ανάπτυξη δικτύου'!AE122,0)</f>
        <v>2.2719663270674893E-2</v>
      </c>
      <c r="V427" s="161">
        <f t="shared" si="135"/>
        <v>0</v>
      </c>
      <c r="W427" s="157">
        <f>IFERROR('Ενεργές συνδέσεις'!AR59/'Ανάπτυξη δικτύου'!AH122,0)</f>
        <v>2.2719663270674893E-2</v>
      </c>
      <c r="X427" s="161">
        <f t="shared" si="136"/>
        <v>0</v>
      </c>
      <c r="Y427" s="192">
        <f t="shared" si="137"/>
        <v>0</v>
      </c>
    </row>
    <row r="428" spans="2:25" outlineLevel="1" x14ac:dyDescent="0.35">
      <c r="B428" s="294" t="s">
        <v>120</v>
      </c>
      <c r="C428" s="49" t="s">
        <v>259</v>
      </c>
      <c r="D428" s="321">
        <f>IFERROR('Ενεργές συνδέσεις'!E60/'Ανάπτυξη δικτύου'!E123,0)</f>
        <v>2.3636179774180491E-2</v>
      </c>
      <c r="E428" s="321">
        <f>IFERROR('Ενεργές συνδέσεις'!G60/'Ανάπτυξη δικτύου'!G123,0)</f>
        <v>2.5491329463212749E-2</v>
      </c>
      <c r="F428" s="161">
        <f t="shared" si="128"/>
        <v>7.8487712767304846E-2</v>
      </c>
      <c r="G428" s="322">
        <f>IFERROR('Ενεργές συνδέσεις'!J60/'Ανάπτυξη δικτύου'!J123,0)</f>
        <v>2.7200131884019221E-2</v>
      </c>
      <c r="H428" s="161">
        <f t="shared" si="129"/>
        <v>6.70346528325442E-2</v>
      </c>
      <c r="I428" s="322">
        <f>IFERROR('Ενεργές συνδέσεις'!M60/'Ανάπτυξη δικτύου'!M123,0)</f>
        <v>2.8263990542616475E-2</v>
      </c>
      <c r="J428" s="161">
        <f t="shared" si="130"/>
        <v>3.9112261040995112E-2</v>
      </c>
      <c r="K428" s="322">
        <f>IFERROR('Ενεργές συνδέσεις'!P60/'Ανάπτυξη δικτύου'!P123,0)</f>
        <v>2.8257214085686367E-2</v>
      </c>
      <c r="L428" s="161">
        <f t="shared" si="131"/>
        <v>-2.3975584480509887E-4</v>
      </c>
      <c r="M428" s="192">
        <f t="shared" si="127"/>
        <v>4.565402706245214E-2</v>
      </c>
      <c r="N428" s="52"/>
      <c r="O428" s="158">
        <f>IFERROR('Ενεργές συνδέσεις'!X60/'Ανάπτυξη δικτύου'!V123,0)</f>
        <v>2.874846838828795E-2</v>
      </c>
      <c r="P428" s="161">
        <f t="shared" si="132"/>
        <v>1.7385093276071632E-2</v>
      </c>
      <c r="Q428" s="157">
        <f>IFERROR('Ενεργές συνδέσεις'!AC60/'Ανάπτυξη δικτύου'!Y123,0)</f>
        <v>2.9139889848453081E-2</v>
      </c>
      <c r="R428" s="161">
        <f t="shared" si="133"/>
        <v>1.3615384822538762E-2</v>
      </c>
      <c r="S428" s="157">
        <f>IFERROR('Ενεργές συνδέσεις'!AH60/'Ανάπτυξη δικτύου'!AB123,0)</f>
        <v>2.9519153117823792E-2</v>
      </c>
      <c r="T428" s="161">
        <f t="shared" si="134"/>
        <v>1.3015260913583876E-2</v>
      </c>
      <c r="U428" s="157">
        <f>IFERROR('Ενεργές συνδέσεις'!AM60/'Ανάπτυξη δικτύου'!AE123,0)</f>
        <v>2.9992672687799697E-2</v>
      </c>
      <c r="V428" s="161">
        <f t="shared" si="135"/>
        <v>1.604109603300212E-2</v>
      </c>
      <c r="W428" s="157">
        <f>IFERROR('Ενεργές συνδέσεις'!AR60/'Ανάπτυξη δικτύου'!AH123,0)</f>
        <v>2.996685858334824E-2</v>
      </c>
      <c r="X428" s="161">
        <f t="shared" si="136"/>
        <v>-8.6068036417299564E-4</v>
      </c>
      <c r="Y428" s="192">
        <f t="shared" si="137"/>
        <v>1.0430917838426534E-2</v>
      </c>
    </row>
    <row r="429" spans="2:25" outlineLevel="1" x14ac:dyDescent="0.35">
      <c r="B429" s="294" t="s">
        <v>121</v>
      </c>
      <c r="C429" s="49" t="s">
        <v>259</v>
      </c>
      <c r="D429" s="321">
        <f>IFERROR('Ενεργές συνδέσεις'!E61/'Ανάπτυξη δικτύου'!E124,0)</f>
        <v>3.0504226226248311E-2</v>
      </c>
      <c r="E429" s="321">
        <f>IFERROR('Ενεργές συνδέσεις'!G61/'Ανάπτυξη δικτύου'!G124,0)</f>
        <v>2.6422978928998395E-2</v>
      </c>
      <c r="F429" s="161">
        <f t="shared" si="128"/>
        <v>-0.13379284781654546</v>
      </c>
      <c r="G429" s="322">
        <f>IFERROR('Ενεργές συνδέσεις'!J61/'Ανάπτυξη δικτύου'!J124,0)</f>
        <v>2.7572162488693527E-2</v>
      </c>
      <c r="H429" s="161">
        <f t="shared" si="129"/>
        <v>4.349182439963039E-2</v>
      </c>
      <c r="I429" s="322">
        <f>IFERROR('Ενεργές συνδέσεις'!M61/'Ανάπτυξη δικτύου'!M124,0)</f>
        <v>3.2272366376798249E-2</v>
      </c>
      <c r="J429" s="161">
        <f t="shared" si="130"/>
        <v>0.17046917847057252</v>
      </c>
      <c r="K429" s="322">
        <f>IFERROR('Ενεργές συνδέσεις'!P61/'Ανάπτυξη δικτύου'!P124,0)</f>
        <v>3.1133001289004696E-2</v>
      </c>
      <c r="L429" s="161">
        <f t="shared" si="131"/>
        <v>-3.530466512714988E-2</v>
      </c>
      <c r="M429" s="192">
        <f t="shared" si="127"/>
        <v>5.1138192829993656E-3</v>
      </c>
      <c r="N429" s="52"/>
      <c r="O429" s="158">
        <f>IFERROR('Ενεργές συνδέσεις'!X61/'Ανάπτυξη δικτύου'!V124,0)</f>
        <v>3.2188544159978821E-2</v>
      </c>
      <c r="P429" s="161">
        <f t="shared" si="132"/>
        <v>3.3904308202592534E-2</v>
      </c>
      <c r="Q429" s="157">
        <f>IFERROR('Ενεργές συνδέσεις'!AC61/'Ανάπτυξη δικτύου'!Y124,0)</f>
        <v>3.2244233526749523E-2</v>
      </c>
      <c r="R429" s="161">
        <f t="shared" si="133"/>
        <v>1.7300989598635636E-3</v>
      </c>
      <c r="S429" s="157">
        <f>IFERROR('Ενεργές συνδέσεις'!AH61/'Ανάπτυξη δικτύου'!AB124,0)</f>
        <v>3.2177386742727659E-2</v>
      </c>
      <c r="T429" s="161">
        <f t="shared" si="134"/>
        <v>-2.07313918522542E-3</v>
      </c>
      <c r="U429" s="157">
        <f>IFERROR('Ενεργές συνδέσεις'!AM61/'Ανάπτυξη δικτύου'!AE124,0)</f>
        <v>3.2504636541192754E-2</v>
      </c>
      <c r="V429" s="161">
        <f t="shared" si="135"/>
        <v>1.0170179482926945E-2</v>
      </c>
      <c r="W429" s="157">
        <f>IFERROR('Ενεργές συνδέσεις'!AR61/'Ανάπτυξη δικτύου'!AH124,0)</f>
        <v>3.0878618444133695E-2</v>
      </c>
      <c r="X429" s="161">
        <f t="shared" si="136"/>
        <v>-5.0024189472121137E-2</v>
      </c>
      <c r="Y429" s="192">
        <f t="shared" si="137"/>
        <v>-1.0332903229357981E-2</v>
      </c>
    </row>
    <row r="430" spans="2:25" outlineLevel="1" x14ac:dyDescent="0.35">
      <c r="B430" s="294" t="s">
        <v>137</v>
      </c>
      <c r="C430" s="49" t="s">
        <v>259</v>
      </c>
      <c r="D430" s="321">
        <f>IFERROR('Ενεργές συνδέσεις'!E62/'Ανάπτυξη δικτύου'!E125,0)</f>
        <v>0</v>
      </c>
      <c r="E430" s="321">
        <f>IFERROR('Ενεργές συνδέσεις'!G62/'Ανάπτυξη δικτύου'!G125,0)</f>
        <v>0</v>
      </c>
      <c r="F430" s="161">
        <f t="shared" si="128"/>
        <v>0</v>
      </c>
      <c r="G430" s="322">
        <f>IFERROR('Ενεργές συνδέσεις'!J62/'Ανάπτυξη δικτύου'!J125,0)</f>
        <v>0</v>
      </c>
      <c r="H430" s="161">
        <f t="shared" si="129"/>
        <v>0</v>
      </c>
      <c r="I430" s="322">
        <f>IFERROR('Ενεργές συνδέσεις'!M62/'Ανάπτυξη δικτύου'!M125,0)</f>
        <v>0</v>
      </c>
      <c r="J430" s="161">
        <f t="shared" si="130"/>
        <v>0</v>
      </c>
      <c r="K430" s="322">
        <f>IFERROR('Ενεργές συνδέσεις'!P62/'Ανάπτυξη δικτύου'!P125,0)</f>
        <v>0</v>
      </c>
      <c r="L430" s="161">
        <f t="shared" si="131"/>
        <v>0</v>
      </c>
      <c r="M430" s="192">
        <f t="shared" si="127"/>
        <v>0</v>
      </c>
      <c r="N430" s="52"/>
      <c r="O430" s="158">
        <f>IFERROR('Ενεργές συνδέσεις'!X62/'Ανάπτυξη δικτύου'!V125,0)</f>
        <v>0</v>
      </c>
      <c r="P430" s="161">
        <f t="shared" si="132"/>
        <v>0</v>
      </c>
      <c r="Q430" s="157">
        <f>IFERROR('Ενεργές συνδέσεις'!AC62/'Ανάπτυξη δικτύου'!Y125,0)</f>
        <v>0</v>
      </c>
      <c r="R430" s="161">
        <f t="shared" si="133"/>
        <v>0</v>
      </c>
      <c r="S430" s="157">
        <f>IFERROR('Ενεργές συνδέσεις'!AH62/'Ανάπτυξη δικτύου'!AB125,0)</f>
        <v>0</v>
      </c>
      <c r="T430" s="161">
        <f t="shared" si="134"/>
        <v>0</v>
      </c>
      <c r="U430" s="157">
        <f>IFERROR('Ενεργές συνδέσεις'!AM62/'Ανάπτυξη δικτύου'!AE125,0)</f>
        <v>0</v>
      </c>
      <c r="V430" s="161">
        <f t="shared" si="135"/>
        <v>0</v>
      </c>
      <c r="W430" s="157">
        <f>IFERROR('Ενεργές συνδέσεις'!AR62/'Ανάπτυξη δικτύου'!AH125,0)</f>
        <v>0</v>
      </c>
      <c r="X430" s="161">
        <f t="shared" si="136"/>
        <v>0</v>
      </c>
      <c r="Y430" s="192">
        <f t="shared" si="137"/>
        <v>0</v>
      </c>
    </row>
    <row r="431" spans="2:25" outlineLevel="1" x14ac:dyDescent="0.35">
      <c r="B431" s="294" t="s">
        <v>123</v>
      </c>
      <c r="C431" s="49" t="s">
        <v>259</v>
      </c>
      <c r="D431" s="321">
        <f>IFERROR('Ενεργές συνδέσεις'!E63/'Ανάπτυξη δικτύου'!E126,0)</f>
        <v>2.6094734463366829E-2</v>
      </c>
      <c r="E431" s="321">
        <f>IFERROR('Ενεργές συνδέσεις'!G63/'Ανάπτυξη δικτύου'!G126,0)</f>
        <v>2.7017910495574903E-2</v>
      </c>
      <c r="F431" s="161">
        <f t="shared" si="128"/>
        <v>3.5377866500388336E-2</v>
      </c>
      <c r="G431" s="322">
        <f>IFERROR('Ενεργές συνδέσεις'!J63/'Ανάπτυξη δικτύου'!J126,0)</f>
        <v>2.8585132205946544E-2</v>
      </c>
      <c r="H431" s="161">
        <f t="shared" si="129"/>
        <v>5.8006769643726745E-2</v>
      </c>
      <c r="I431" s="322">
        <f>IFERROR('Ενεργές συνδέσεις'!M63/'Ανάπτυξη δικτύου'!M126,0)</f>
        <v>2.9009128462808779E-2</v>
      </c>
      <c r="J431" s="161">
        <f t="shared" si="130"/>
        <v>1.4832754797405909E-2</v>
      </c>
      <c r="K431" s="322">
        <f>IFERROR('Ενεργές συνδέσεις'!P63/'Ανάπτυξη δικτύου'!P126,0)</f>
        <v>2.8882592812676168E-2</v>
      </c>
      <c r="L431" s="161">
        <f t="shared" si="131"/>
        <v>-4.3619252572457256E-3</v>
      </c>
      <c r="M431" s="192">
        <f t="shared" si="127"/>
        <v>2.5701106275806795E-2</v>
      </c>
      <c r="N431" s="52"/>
      <c r="O431" s="158">
        <f>IFERROR('Ενεργές συνδέσεις'!X63/'Ανάπτυξη δικτύου'!V126,0)</f>
        <v>2.9261058385751153E-2</v>
      </c>
      <c r="P431" s="161">
        <f t="shared" si="132"/>
        <v>1.3103587185873474E-2</v>
      </c>
      <c r="Q431" s="157">
        <f>IFERROR('Ενεργές συνδέσεις'!AC63/'Ανάπτυξη δικτύου'!Y126,0)</f>
        <v>2.9649969406283051E-2</v>
      </c>
      <c r="R431" s="161">
        <f t="shared" si="133"/>
        <v>1.3291078381542082E-2</v>
      </c>
      <c r="S431" s="157">
        <f>IFERROR('Ενεργές συνδέσεις'!AH63/'Ανάπτυξη δικτύου'!AB126,0)</f>
        <v>2.9506451983750018E-2</v>
      </c>
      <c r="T431" s="161">
        <f t="shared" si="134"/>
        <v>-4.8403902400863761E-3</v>
      </c>
      <c r="U431" s="157">
        <f>IFERROR('Ενεργές συνδέσεις'!AM63/'Ανάπτυξη δικτύου'!AE126,0)</f>
        <v>3.0244632283766691E-2</v>
      </c>
      <c r="V431" s="161">
        <f t="shared" si="135"/>
        <v>2.5017589387677248E-2</v>
      </c>
      <c r="W431" s="157">
        <f>IFERROR('Ενεργές συνδέσεις'!AR63/'Ανάπτυξη δικτύου'!AH126,0)</f>
        <v>2.9944057084393058E-2</v>
      </c>
      <c r="X431" s="161">
        <f t="shared" si="136"/>
        <v>-9.9381337009992951E-3</v>
      </c>
      <c r="Y431" s="192">
        <f t="shared" si="137"/>
        <v>5.7849964045770808E-3</v>
      </c>
    </row>
    <row r="432" spans="2:25" outlineLevel="1" x14ac:dyDescent="0.35">
      <c r="B432" s="294" t="s">
        <v>124</v>
      </c>
      <c r="C432" s="49" t="s">
        <v>259</v>
      </c>
      <c r="D432" s="321">
        <f>IFERROR('Ενεργές συνδέσεις'!E64/'Ανάπτυξη δικτύου'!E127,0)</f>
        <v>1.0984793806266262E-2</v>
      </c>
      <c r="E432" s="321">
        <f>IFERROR('Ενεργές συνδέσεις'!G64/'Ανάπτυξη δικτύου'!G127,0)</f>
        <v>9.5118354047716014E-3</v>
      </c>
      <c r="F432" s="161">
        <f t="shared" ref="F432:F436" si="138">IFERROR((E432-D432)/D432,0)</f>
        <v>-0.13409067365965605</v>
      </c>
      <c r="G432" s="322">
        <f>IFERROR('Ενεργές συνδέσεις'!J64/'Ανάπτυξη δικτύου'!J127,0)</f>
        <v>1.1333250695047014E-2</v>
      </c>
      <c r="H432" s="161">
        <f t="shared" ref="H432:H436" si="139">IFERROR((G432-E432)/E432,0)</f>
        <v>0.19148936170212766</v>
      </c>
      <c r="I432" s="322">
        <f>IFERROR('Ενεργές συνδέσεις'!M64/'Ανάπτυξη δικτύου'!M127,0)</f>
        <v>1.2446337816881989E-2</v>
      </c>
      <c r="J432" s="161">
        <f t="shared" ref="J432:J436" si="140">IFERROR((I432-G432)/G432,0)</f>
        <v>9.821428571428574E-2</v>
      </c>
      <c r="K432" s="322">
        <f>IFERROR('Ενεργές συνδέσεις'!P64/'Ανάπτυξη δικτύου'!P127,0)</f>
        <v>1.2446337816881989E-2</v>
      </c>
      <c r="L432" s="161">
        <f t="shared" ref="L432:L436" si="141">IFERROR((K432-I432)/I432,0)</f>
        <v>0</v>
      </c>
      <c r="M432" s="192">
        <f t="shared" ref="M432:M436" si="142">IFERROR((K432/D432)^(1/4)-1,0)</f>
        <v>3.1721352467053432E-2</v>
      </c>
      <c r="N432" s="52"/>
      <c r="O432" s="158">
        <f>IFERROR('Ενεργές συνδέσεις'!X64/'Ανάπτυξη δικτύου'!V127,0)</f>
        <v>1.2801513798485695E-2</v>
      </c>
      <c r="P432" s="161">
        <f t="shared" ref="P432:P436" si="143">IFERROR((O432-K432)/K432,0)</f>
        <v>2.853658536585366E-2</v>
      </c>
      <c r="Q432" s="157">
        <f>IFERROR('Ενεργές συνδέσεις'!AC64/'Ανάπτυξη δικτύου'!Y127,0)</f>
        <v>9.4912882389830595E-3</v>
      </c>
      <c r="R432" s="161">
        <f t="shared" ref="R432:R436" si="144">IFERROR((Q432-O432)/O432,0)</f>
        <v>-0.25858079064791584</v>
      </c>
      <c r="S432" s="157">
        <f>IFERROR('Ενεργές συνδέσεις'!AH64/'Ανάπτυξη δικτύου'!AB127,0)</f>
        <v>8.69488356734382E-3</v>
      </c>
      <c r="T432" s="161">
        <f t="shared" ref="T432:T436" si="145">IFERROR((S432-Q432)/Q432,0)</f>
        <v>-8.3909017573421632E-2</v>
      </c>
      <c r="U432" s="157">
        <f>IFERROR('Ενεργές συνδέσεις'!AM64/'Ανάπτυξη δικτύου'!AE127,0)</f>
        <v>7.506038553460808E-3</v>
      </c>
      <c r="V432" s="161">
        <f t="shared" ref="V432:V436" si="146">IFERROR((U432-S432)/S432,0)</f>
        <v>-0.1367292620625844</v>
      </c>
      <c r="W432" s="157">
        <f>IFERROR('Ενεργές συνδέσεις'!AR64/'Ανάπτυξη δικτύου'!AH127,0)</f>
        <v>6.237734710091045E-3</v>
      </c>
      <c r="X432" s="161">
        <f t="shared" ref="X432:X436" si="147">IFERROR((W432-U432)/U432,0)</f>
        <v>-0.1689711336194758</v>
      </c>
      <c r="Y432" s="192">
        <f t="shared" ref="Y432:Y436" si="148">IFERROR((W432/O432)^(1/4)-1,0)</f>
        <v>-0.16450973694604665</v>
      </c>
    </row>
    <row r="433" spans="2:25" outlineLevel="1" x14ac:dyDescent="0.35">
      <c r="B433" s="294" t="s">
        <v>125</v>
      </c>
      <c r="C433" s="49" t="s">
        <v>259</v>
      </c>
      <c r="D433" s="321">
        <f>IFERROR('Ενεργές συνδέσεις'!E65/'Ανάπτυξη δικτύου'!E128,0)</f>
        <v>2.3350410476820779E-2</v>
      </c>
      <c r="E433" s="321">
        <f>IFERROR('Ενεργές συνδέσεις'!G65/'Ανάπτυξη δικτύου'!G128,0)</f>
        <v>2.3157813481356204E-2</v>
      </c>
      <c r="F433" s="161">
        <f t="shared" si="138"/>
        <v>-8.2481203341483057E-3</v>
      </c>
      <c r="G433" s="322">
        <f>IFERROR('Ενεργές συνδέσεις'!J65/'Ανάπτυξη δικτύου'!J128,0)</f>
        <v>2.6211618493770281E-2</v>
      </c>
      <c r="H433" s="161">
        <f t="shared" si="139"/>
        <v>0.13186931550651881</v>
      </c>
      <c r="I433" s="322">
        <f>IFERROR('Ενεργές συνδέσεις'!M65/'Ανάπτυξη δικτύου'!M128,0)</f>
        <v>2.6125103487883754E-2</v>
      </c>
      <c r="J433" s="161">
        <f t="shared" si="140"/>
        <v>-3.3006357813077521E-3</v>
      </c>
      <c r="K433" s="322">
        <f>IFERROR('Ενεργές συνδέσεις'!P65/'Ανάπτυξη δικτύου'!P128,0)</f>
        <v>2.5662406545781283E-2</v>
      </c>
      <c r="L433" s="161">
        <f t="shared" si="141"/>
        <v>-1.7710817578849385E-2</v>
      </c>
      <c r="M433" s="192">
        <f t="shared" si="142"/>
        <v>2.3883903141666218E-2</v>
      </c>
      <c r="N433" s="52"/>
      <c r="O433" s="158">
        <f>IFERROR('Ενεργές συνδέσεις'!X65/'Ανάπτυξη δικτύου'!V128,0)</f>
        <v>2.6150795667616859E-2</v>
      </c>
      <c r="P433" s="161">
        <f t="shared" si="143"/>
        <v>1.9031306396159593E-2</v>
      </c>
      <c r="Q433" s="157">
        <f>IFERROR('Ενεργές συνδέσεις'!AC65/'Ανάπτυξη δικτύου'!Y128,0)</f>
        <v>2.7276767760836842E-2</v>
      </c>
      <c r="R433" s="161">
        <f t="shared" si="144"/>
        <v>4.3056896146923006E-2</v>
      </c>
      <c r="S433" s="157">
        <f>IFERROR('Ενεργές συνδέσεις'!AH65/'Ανάπτυξη δικτύου'!AB128,0)</f>
        <v>2.8367265422764829E-2</v>
      </c>
      <c r="T433" s="161">
        <f t="shared" si="145"/>
        <v>3.997899133392524E-2</v>
      </c>
      <c r="U433" s="157">
        <f>IFERROR('Ενεργές συνδέσεις'!AM65/'Ανάπτυξη δικτύου'!AE128,0)</f>
        <v>2.9278685426728415E-2</v>
      </c>
      <c r="V433" s="161">
        <f t="shared" si="146"/>
        <v>3.212928671059595E-2</v>
      </c>
      <c r="W433" s="157">
        <f>IFERROR('Ενεργές συνδέσεις'!AR65/'Ανάπτυξη δικτύου'!AH128,0)</f>
        <v>2.995065301947103E-2</v>
      </c>
      <c r="X433" s="161">
        <f t="shared" si="147"/>
        <v>2.2950743277878775E-2</v>
      </c>
      <c r="Y433" s="192">
        <f t="shared" si="148"/>
        <v>3.4499647767574748E-2</v>
      </c>
    </row>
    <row r="434" spans="2:25" outlineLevel="1" x14ac:dyDescent="0.35">
      <c r="B434" s="294" t="s">
        <v>126</v>
      </c>
      <c r="C434" s="49" t="s">
        <v>259</v>
      </c>
      <c r="D434" s="321">
        <f>IFERROR('Ενεργές συνδέσεις'!E66/'Ανάπτυξη δικτύου'!E129,0)</f>
        <v>2.8540889130260448E-2</v>
      </c>
      <c r="E434" s="321">
        <f>IFERROR('Ενεργές συνδέσεις'!G66/'Ανάπτυξη δικτύου'!G129,0)</f>
        <v>2.6774695109543056E-2</v>
      </c>
      <c r="F434" s="161">
        <f t="shared" si="138"/>
        <v>-6.1882936185221588E-2</v>
      </c>
      <c r="G434" s="322">
        <f>IFERROR('Ενεργές συνδέσεις'!J66/'Ανάπτυξη δικτύου'!J129,0)</f>
        <v>2.9472671928514525E-2</v>
      </c>
      <c r="H434" s="161">
        <f t="shared" si="139"/>
        <v>0.1007659212526328</v>
      </c>
      <c r="I434" s="322">
        <f>IFERROR('Ενεργές συνδέσεις'!M66/'Ανάπτυξη δικτύου'!M129,0)</f>
        <v>2.9661194536088831E-2</v>
      </c>
      <c r="J434" s="161">
        <f t="shared" si="140"/>
        <v>6.3965224473561573E-3</v>
      </c>
      <c r="K434" s="322">
        <f>IFERROR('Ενεργές συνδέσεις'!P66/'Ανάπτυξη δικτύου'!P129,0)</f>
        <v>2.9138090775782922E-2</v>
      </c>
      <c r="L434" s="161">
        <f t="shared" si="141"/>
        <v>-1.7635964042832044E-2</v>
      </c>
      <c r="M434" s="192">
        <f t="shared" si="142"/>
        <v>5.1905530392231114E-3</v>
      </c>
      <c r="N434" s="52"/>
      <c r="O434" s="158">
        <f>IFERROR('Ενεργές συνδέσεις'!X66/'Ανάπτυξη δικτύου'!V129,0)</f>
        <v>3.0097315789485206E-2</v>
      </c>
      <c r="P434" s="161">
        <f t="shared" si="143"/>
        <v>3.2919967923893928E-2</v>
      </c>
      <c r="Q434" s="157">
        <f>IFERROR('Ενεργές συνδέσεις'!AC66/'Ανάπτυξη δικτύου'!Y129,0)</f>
        <v>3.1383562412196427E-2</v>
      </c>
      <c r="R434" s="161">
        <f t="shared" si="144"/>
        <v>4.2736257004040996E-2</v>
      </c>
      <c r="S434" s="157">
        <f>IFERROR('Ενεργές συνδέσεις'!AH66/'Ανάπτυξη δικτύου'!AB129,0)</f>
        <v>3.2751225997179119E-2</v>
      </c>
      <c r="T434" s="161">
        <f t="shared" si="145"/>
        <v>4.3578978288684796E-2</v>
      </c>
      <c r="U434" s="157">
        <f>IFERROR('Ενεργές συνδέσεις'!AM66/'Ανάπτυξη δικτύου'!AE129,0)</f>
        <v>3.362088588345738E-2</v>
      </c>
      <c r="V434" s="161">
        <f t="shared" si="146"/>
        <v>2.6553506313112225E-2</v>
      </c>
      <c r="W434" s="157">
        <f>IFERROR('Ενεργές συνδέσεις'!AR66/'Ανάπτυξη δικτύου'!AH129,0)</f>
        <v>3.4682539901821664E-2</v>
      </c>
      <c r="X434" s="161">
        <f t="shared" si="147"/>
        <v>3.1577217270371043E-2</v>
      </c>
      <c r="Y434" s="192">
        <f t="shared" si="148"/>
        <v>3.6085945142165121E-2</v>
      </c>
    </row>
    <row r="435" spans="2:25" ht="15" customHeight="1" outlineLevel="1" x14ac:dyDescent="0.35">
      <c r="B435" s="294" t="s">
        <v>127</v>
      </c>
      <c r="C435" s="49" t="s">
        <v>259</v>
      </c>
      <c r="D435" s="321">
        <f>IFERROR('Ενεργές συνδέσεις'!E67/'Ανάπτυξη δικτύου'!E130,0)</f>
        <v>4.2191422483809048E-3</v>
      </c>
      <c r="E435" s="321">
        <f>IFERROR('Ενεργές συνδέσεις'!G67/'Ανάπτυξη δικτύου'!G130,0)</f>
        <v>4.2191422483809048E-3</v>
      </c>
      <c r="F435" s="161">
        <f t="shared" si="138"/>
        <v>0</v>
      </c>
      <c r="G435" s="322">
        <f>IFERROR('Ενεργές συνδέσεις'!J67/'Ανάπτυξη δικτύου'!J130,0)</f>
        <v>4.2191422483809048E-3</v>
      </c>
      <c r="H435" s="161">
        <f t="shared" si="139"/>
        <v>0</v>
      </c>
      <c r="I435" s="322">
        <f>IFERROR('Ενεργές συνδέσεις'!M67/'Ανάπτυξη δικτύου'!M130,0)</f>
        <v>4.2191422483809048E-3</v>
      </c>
      <c r="J435" s="161">
        <f t="shared" si="140"/>
        <v>0</v>
      </c>
      <c r="K435" s="322">
        <f>IFERROR('Ενεργές συνδέσεις'!P67/'Ανάπτυξη δικτύου'!P130,0)</f>
        <v>1.455572294636944E-3</v>
      </c>
      <c r="L435" s="161">
        <f t="shared" si="141"/>
        <v>-0.65500753258662481</v>
      </c>
      <c r="M435" s="192">
        <f t="shared" si="142"/>
        <v>-0.23360545798852517</v>
      </c>
      <c r="N435" s="52"/>
      <c r="O435" s="158">
        <f>IFERROR('Ενεργές συνδέσεις'!X67/'Ανάπτυξη δικτύου'!V130,0)</f>
        <v>3.8262756085452213E-4</v>
      </c>
      <c r="P435" s="161">
        <f t="shared" si="143"/>
        <v>-0.73712912627953053</v>
      </c>
      <c r="Q435" s="157">
        <f>IFERROR('Ενεργές συνδέσεις'!AC67/'Ανάπτυξη δικτύου'!Y130,0)</f>
        <v>3.8262756085452213E-4</v>
      </c>
      <c r="R435" s="161">
        <f t="shared" si="144"/>
        <v>0</v>
      </c>
      <c r="S435" s="157">
        <f>IFERROR('Ενεργές συνδέσεις'!AH67/'Ανάπτυξη δικτύου'!AB130,0)</f>
        <v>3.8262756085452213E-4</v>
      </c>
      <c r="T435" s="161">
        <f t="shared" si="145"/>
        <v>0</v>
      </c>
      <c r="U435" s="157">
        <f>IFERROR('Ενεργές συνδέσεις'!AM67/'Ανάπτυξη δικτύου'!AE130,0)</f>
        <v>3.8262756085452213E-4</v>
      </c>
      <c r="V435" s="161">
        <f t="shared" si="146"/>
        <v>0</v>
      </c>
      <c r="W435" s="157">
        <f>IFERROR('Ενεργές συνδέσεις'!AR67/'Ανάπτυξη δικτύου'!AH130,0)</f>
        <v>3.8262756085452213E-4</v>
      </c>
      <c r="X435" s="161">
        <f t="shared" si="147"/>
        <v>0</v>
      </c>
      <c r="Y435" s="192">
        <f t="shared" si="148"/>
        <v>0</v>
      </c>
    </row>
    <row r="436" spans="2:25" ht="15" customHeight="1" outlineLevel="1" x14ac:dyDescent="0.35">
      <c r="B436" s="48" t="s">
        <v>138</v>
      </c>
      <c r="C436" s="53" t="s">
        <v>259</v>
      </c>
      <c r="D436" s="321">
        <f>IFERROR('Ενεργές συνδέσεις'!E68/'Ανάπτυξη δικτύου'!E131,0)</f>
        <v>0</v>
      </c>
      <c r="E436" s="321">
        <f>IFERROR('Ενεργές συνδέσεις'!G68/'Ανάπτυξη δικτύου'!G131,0)</f>
        <v>0</v>
      </c>
      <c r="F436" s="161">
        <f t="shared" si="138"/>
        <v>0</v>
      </c>
      <c r="G436" s="322">
        <f>IFERROR('Ενεργές συνδέσεις'!J68/'Ανάπτυξη δικτύου'!J131,0)</f>
        <v>0</v>
      </c>
      <c r="H436" s="161">
        <f t="shared" si="139"/>
        <v>0</v>
      </c>
      <c r="I436" s="322">
        <f>IFERROR('Ενεργές συνδέσεις'!M68/'Ανάπτυξη δικτύου'!M131,0)</f>
        <v>0</v>
      </c>
      <c r="J436" s="161">
        <f t="shared" si="140"/>
        <v>0</v>
      </c>
      <c r="K436" s="322">
        <f>IFERROR('Ενεργές συνδέσεις'!P68/'Ανάπτυξη δικτύου'!P131,0)</f>
        <v>0</v>
      </c>
      <c r="L436" s="161">
        <f t="shared" si="141"/>
        <v>0</v>
      </c>
      <c r="M436" s="192">
        <f t="shared" si="142"/>
        <v>0</v>
      </c>
      <c r="N436" s="52"/>
      <c r="O436" s="158">
        <f>IFERROR('Ενεργές συνδέσεις'!X68/'Ανάπτυξη δικτύου'!V131,0)</f>
        <v>0</v>
      </c>
      <c r="P436" s="161">
        <f t="shared" si="143"/>
        <v>0</v>
      </c>
      <c r="Q436" s="157">
        <f>IFERROR('Ενεργές συνδέσεις'!AC68/'Ανάπτυξη δικτύου'!Y131,0)</f>
        <v>0</v>
      </c>
      <c r="R436" s="161">
        <f t="shared" si="144"/>
        <v>0</v>
      </c>
      <c r="S436" s="157">
        <f>IFERROR('Ενεργές συνδέσεις'!AH68/'Ανάπτυξη δικτύου'!AB131,0)</f>
        <v>0</v>
      </c>
      <c r="T436" s="161">
        <f t="shared" si="145"/>
        <v>0</v>
      </c>
      <c r="U436" s="157">
        <f>IFERROR('Ενεργές συνδέσεις'!AM68/'Ανάπτυξη δικτύου'!AE131,0)</f>
        <v>0</v>
      </c>
      <c r="V436" s="161">
        <f t="shared" si="146"/>
        <v>0</v>
      </c>
      <c r="W436" s="157">
        <f>IFERROR('Ενεργές συνδέσεις'!AR68/'Ανάπτυξη δικτύου'!AH131,0)</f>
        <v>0</v>
      </c>
      <c r="X436" s="161">
        <f t="shared" si="147"/>
        <v>0</v>
      </c>
      <c r="Y436" s="192">
        <f t="shared" si="148"/>
        <v>0</v>
      </c>
    </row>
    <row r="437" spans="2:25" ht="15" customHeight="1" outlineLevel="1" x14ac:dyDescent="0.35">
      <c r="B437" s="48"/>
      <c r="C437" s="53"/>
      <c r="D437" s="321"/>
      <c r="E437" s="321"/>
      <c r="F437" s="161"/>
      <c r="G437" s="322"/>
      <c r="H437" s="161"/>
      <c r="I437" s="322"/>
      <c r="J437" s="161"/>
      <c r="K437" s="322"/>
      <c r="L437" s="161"/>
      <c r="M437" s="192"/>
      <c r="O437" s="158"/>
      <c r="P437" s="161"/>
      <c r="Q437" s="157"/>
      <c r="R437" s="161"/>
      <c r="S437" s="157"/>
      <c r="T437" s="161"/>
      <c r="U437" s="157"/>
      <c r="V437" s="161"/>
      <c r="W437" s="157"/>
      <c r="X437" s="161"/>
      <c r="Y437" s="192"/>
    </row>
    <row r="438" spans="2:25" x14ac:dyDescent="0.35">
      <c r="B438" s="31"/>
    </row>
    <row r="439" spans="2:25" ht="15.5" x14ac:dyDescent="0.35">
      <c r="N439" s="103"/>
    </row>
    <row r="444" spans="2:25" x14ac:dyDescent="0.35">
      <c r="N444" s="52"/>
    </row>
    <row r="445" spans="2:25" x14ac:dyDescent="0.35">
      <c r="N445" s="52"/>
    </row>
    <row r="447" spans="2:25" x14ac:dyDescent="0.35">
      <c r="N447" s="58"/>
    </row>
  </sheetData>
  <mergeCells count="122">
    <mergeCell ref="B377:Y377"/>
    <mergeCell ref="B379:B381"/>
    <mergeCell ref="C379:C381"/>
    <mergeCell ref="D379:J379"/>
    <mergeCell ref="K379:L379"/>
    <mergeCell ref="M379:M381"/>
    <mergeCell ref="O379:X379"/>
    <mergeCell ref="Y379:Y381"/>
    <mergeCell ref="E380:F380"/>
    <mergeCell ref="G380:H380"/>
    <mergeCell ref="I380:J380"/>
    <mergeCell ref="K380:L380"/>
    <mergeCell ref="O380:P380"/>
    <mergeCell ref="Q380:R380"/>
    <mergeCell ref="S380:T380"/>
    <mergeCell ref="U380:V380"/>
    <mergeCell ref="W380:X380"/>
    <mergeCell ref="B315:Y315"/>
    <mergeCell ref="B317:B319"/>
    <mergeCell ref="C317:C319"/>
    <mergeCell ref="D317:J317"/>
    <mergeCell ref="K317:L317"/>
    <mergeCell ref="M317:M319"/>
    <mergeCell ref="O317:X317"/>
    <mergeCell ref="Y317:Y319"/>
    <mergeCell ref="E318:F318"/>
    <mergeCell ref="G318:H318"/>
    <mergeCell ref="I318:J318"/>
    <mergeCell ref="K318:L318"/>
    <mergeCell ref="O318:P318"/>
    <mergeCell ref="Q318:R318"/>
    <mergeCell ref="S318:T318"/>
    <mergeCell ref="U318:V318"/>
    <mergeCell ref="W318:X318"/>
    <mergeCell ref="B254:Y254"/>
    <mergeCell ref="B256:B258"/>
    <mergeCell ref="C256:C258"/>
    <mergeCell ref="D256:J256"/>
    <mergeCell ref="K256:L256"/>
    <mergeCell ref="M256:M258"/>
    <mergeCell ref="O256:X256"/>
    <mergeCell ref="Y256:Y258"/>
    <mergeCell ref="E257:F257"/>
    <mergeCell ref="G257:H257"/>
    <mergeCell ref="I257:J257"/>
    <mergeCell ref="K257:L257"/>
    <mergeCell ref="O257:P257"/>
    <mergeCell ref="Q257:R257"/>
    <mergeCell ref="S257:T257"/>
    <mergeCell ref="U257:V257"/>
    <mergeCell ref="W257:X257"/>
    <mergeCell ref="B193:Y193"/>
    <mergeCell ref="B195:B197"/>
    <mergeCell ref="C195:C197"/>
    <mergeCell ref="D195:J195"/>
    <mergeCell ref="K195:L195"/>
    <mergeCell ref="M195:M197"/>
    <mergeCell ref="O195:X195"/>
    <mergeCell ref="Y195:Y197"/>
    <mergeCell ref="E196:F196"/>
    <mergeCell ref="G196:H196"/>
    <mergeCell ref="I196:J196"/>
    <mergeCell ref="K196:L196"/>
    <mergeCell ref="O196:P196"/>
    <mergeCell ref="Q196:R196"/>
    <mergeCell ref="S196:T196"/>
    <mergeCell ref="U196:V196"/>
    <mergeCell ref="W196:X196"/>
    <mergeCell ref="B134:B136"/>
    <mergeCell ref="C134:C136"/>
    <mergeCell ref="D134:J134"/>
    <mergeCell ref="K134:L134"/>
    <mergeCell ref="M134:M136"/>
    <mergeCell ref="O134:X134"/>
    <mergeCell ref="B132:Y132"/>
    <mergeCell ref="Y134:Y136"/>
    <mergeCell ref="E135:F135"/>
    <mergeCell ref="G135:H135"/>
    <mergeCell ref="I135:J135"/>
    <mergeCell ref="K135:L135"/>
    <mergeCell ref="O135:P135"/>
    <mergeCell ref="Q135:R135"/>
    <mergeCell ref="S135:T135"/>
    <mergeCell ref="U135:V135"/>
    <mergeCell ref="W135:X135"/>
    <mergeCell ref="C2:G2"/>
    <mergeCell ref="E12:F12"/>
    <mergeCell ref="G12:H12"/>
    <mergeCell ref="I12:J12"/>
    <mergeCell ref="K12:L12"/>
    <mergeCell ref="B5:I5"/>
    <mergeCell ref="J2:L2"/>
    <mergeCell ref="B11:B13"/>
    <mergeCell ref="M11:M13"/>
    <mergeCell ref="B9:Y9"/>
    <mergeCell ref="O12:P12"/>
    <mergeCell ref="U12:V12"/>
    <mergeCell ref="S12:T12"/>
    <mergeCell ref="Q12:R12"/>
    <mergeCell ref="W12:X12"/>
    <mergeCell ref="D11:J11"/>
    <mergeCell ref="K11:L11"/>
    <mergeCell ref="O11:X11"/>
    <mergeCell ref="C11:C13"/>
    <mergeCell ref="Y11:Y13"/>
    <mergeCell ref="B71:Y71"/>
    <mergeCell ref="B73:B75"/>
    <mergeCell ref="C73:C75"/>
    <mergeCell ref="D73:J73"/>
    <mergeCell ref="M73:M75"/>
    <mergeCell ref="O73:X73"/>
    <mergeCell ref="Y73:Y75"/>
    <mergeCell ref="E74:F74"/>
    <mergeCell ref="G74:H74"/>
    <mergeCell ref="I74:J74"/>
    <mergeCell ref="K74:L74"/>
    <mergeCell ref="O74:P74"/>
    <mergeCell ref="Q74:R74"/>
    <mergeCell ref="S74:T74"/>
    <mergeCell ref="K73:L73"/>
    <mergeCell ref="U74:V74"/>
    <mergeCell ref="W74:X74"/>
  </mergeCells>
  <hyperlinks>
    <hyperlink ref="J2" location="'Αρχική σελίδα'!A1" display="Πίσω στην αρχική σελίδα" xr:uid="{3BF0108A-DC57-448F-85B9-BC442A6E198B}"/>
  </hyperlinks>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038B-9B25-4AD3-97C1-0AF2E55E0030}">
  <sheetPr codeName="Sheet15">
    <tabColor theme="4" tint="0.79998168889431442"/>
  </sheetPr>
  <dimension ref="A2:AF366"/>
  <sheetViews>
    <sheetView showGridLines="0" zoomScale="85" zoomScaleNormal="85" workbookViewId="0"/>
  </sheetViews>
  <sheetFormatPr defaultColWidth="8.54296875" defaultRowHeight="14.5" outlineLevelRow="1" x14ac:dyDescent="0.35"/>
  <cols>
    <col min="1" max="1" width="28.453125" customWidth="1"/>
    <col min="2" max="7" width="13.453125" customWidth="1"/>
    <col min="8" max="8" width="24.453125" customWidth="1"/>
    <col min="11" max="12" width="11.453125" customWidth="1"/>
    <col min="13" max="13" width="10" customWidth="1"/>
    <col min="14" max="14" width="7.453125" customWidth="1"/>
    <col min="15" max="15" width="11.453125" customWidth="1"/>
    <col min="24" max="25" width="14.453125" customWidth="1"/>
  </cols>
  <sheetData>
    <row r="2" spans="1:32" ht="18.5" x14ac:dyDescent="0.45">
      <c r="A2" s="1" t="s">
        <v>0</v>
      </c>
      <c r="B2" s="420">
        <f>'Αρχική σελίδα'!C3</f>
        <v>0</v>
      </c>
      <c r="C2" s="420"/>
      <c r="D2" s="420"/>
      <c r="E2" s="420"/>
      <c r="F2" s="420"/>
      <c r="G2" s="98"/>
      <c r="I2" s="421" t="s">
        <v>58</v>
      </c>
      <c r="J2" s="421"/>
      <c r="K2" s="421"/>
    </row>
    <row r="3" spans="1:32" ht="18.5" x14ac:dyDescent="0.45">
      <c r="A3" s="2" t="s">
        <v>1</v>
      </c>
      <c r="B3" s="99">
        <f>'Αρχική σελίδα'!C4</f>
        <v>2024</v>
      </c>
      <c r="C3" s="46" t="s">
        <v>2</v>
      </c>
      <c r="D3" s="46">
        <f>B3+4</f>
        <v>2028</v>
      </c>
    </row>
    <row r="4" spans="1:32" ht="14.9" customHeight="1" x14ac:dyDescent="0.45">
      <c r="B4" s="2"/>
      <c r="C4" s="46"/>
      <c r="D4" s="46"/>
    </row>
    <row r="5" spans="1:32" ht="44.9" customHeight="1" x14ac:dyDescent="0.35">
      <c r="A5" s="422" t="s">
        <v>250</v>
      </c>
      <c r="B5" s="422"/>
      <c r="C5" s="422"/>
      <c r="D5" s="422"/>
      <c r="E5" s="422"/>
      <c r="F5" s="422"/>
      <c r="G5" s="422"/>
      <c r="H5" s="422"/>
    </row>
    <row r="6" spans="1:32" x14ac:dyDescent="0.35">
      <c r="A6" s="226"/>
      <c r="B6" s="226"/>
      <c r="C6" s="226"/>
      <c r="D6" s="226"/>
      <c r="E6" s="226"/>
      <c r="F6" s="226"/>
      <c r="G6" s="226"/>
    </row>
    <row r="7" spans="1:32" ht="18.5" x14ac:dyDescent="0.45">
      <c r="A7" s="100" t="s">
        <v>260</v>
      </c>
      <c r="B7" s="101"/>
      <c r="C7" s="101"/>
      <c r="D7" s="101"/>
      <c r="E7" s="101"/>
      <c r="F7" s="101"/>
      <c r="G7" s="101"/>
      <c r="H7" s="101"/>
      <c r="I7" s="23"/>
    </row>
    <row r="8" spans="1:32" ht="18.5" x14ac:dyDescent="0.45">
      <c r="B8" s="2"/>
      <c r="C8" s="46"/>
      <c r="D8" s="46"/>
    </row>
    <row r="9" spans="1:32" ht="15.5" outlineLevel="1" x14ac:dyDescent="0.35">
      <c r="A9" s="419" t="s">
        <v>261</v>
      </c>
      <c r="B9" s="419"/>
      <c r="C9" s="419"/>
      <c r="D9" s="419"/>
      <c r="E9" s="419"/>
      <c r="F9" s="419"/>
      <c r="G9" s="419"/>
      <c r="H9" s="419"/>
    </row>
    <row r="10" spans="1:32" ht="5.9" customHeight="1" outlineLevel="1" x14ac:dyDescent="0.3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row>
    <row r="11" spans="1:32" ht="29" outlineLevel="1" x14ac:dyDescent="0.35">
      <c r="A11" s="60"/>
      <c r="B11" s="61" t="s">
        <v>134</v>
      </c>
      <c r="C11" s="90">
        <f>$B$3</f>
        <v>2024</v>
      </c>
      <c r="D11" s="90">
        <f>$B$3+1</f>
        <v>2025</v>
      </c>
      <c r="E11" s="90">
        <f>$B$3+2</f>
        <v>2026</v>
      </c>
      <c r="F11" s="90">
        <f>$B$3+3</f>
        <v>2027</v>
      </c>
      <c r="G11" s="90">
        <f>$B$3+4</f>
        <v>2028</v>
      </c>
      <c r="H11" s="233" t="str">
        <f>"Ετήσιος ρυθμός ανάπτυξης (CAGR) "&amp;$B$3&amp;" - "&amp;$D$3</f>
        <v>Ετήσιος ρυθμός ανάπτυξης (CAGR) 2024 - 2028</v>
      </c>
    </row>
    <row r="12" spans="1:32" outlineLevel="1" x14ac:dyDescent="0.35">
      <c r="A12" s="48" t="s">
        <v>74</v>
      </c>
      <c r="B12" s="62" t="s">
        <v>262</v>
      </c>
      <c r="C12" s="184">
        <f>IFERROR(Επενδύσεις!D12/'Ενεργοί πελάτες'!U14,0)</f>
        <v>641.09734105289647</v>
      </c>
      <c r="D12" s="184">
        <f>IFERROR(Επενδύσεις!E12/'Ενεργοί πελάτες'!X14,0)</f>
        <v>3122.5394382941267</v>
      </c>
      <c r="E12" s="184">
        <f>IFERROR(Επενδύσεις!F12/'Ενεργοί πελάτες'!AA14,0)</f>
        <v>2330.2655434854828</v>
      </c>
      <c r="F12" s="184">
        <f>IFERROR(Επενδύσεις!G12/'Ενεργοί πελάτες'!AD14,0)</f>
        <v>585.20559798132138</v>
      </c>
      <c r="G12" s="184">
        <f>IFERROR(Επενδύσεις!H12/'Ενεργοί πελάτες'!AG14,0)</f>
        <v>1456.002128600046</v>
      </c>
      <c r="H12" s="192">
        <f>IFERROR((G12/C12)^(1/4)-1,0)</f>
        <v>0.22760743072952305</v>
      </c>
    </row>
    <row r="13" spans="1:32" outlineLevel="1" x14ac:dyDescent="0.35">
      <c r="A13" s="48" t="s">
        <v>75</v>
      </c>
      <c r="B13" s="62" t="s">
        <v>262</v>
      </c>
      <c r="C13" s="184">
        <f>IFERROR(Επενδύσεις!D13/'Ενεργοί πελάτες'!U15,0)</f>
        <v>645.79385240421652</v>
      </c>
      <c r="D13" s="184">
        <f>IFERROR(Επενδύσεις!E13/'Ενεργοί πελάτες'!X15,0)</f>
        <v>934.57971906575347</v>
      </c>
      <c r="E13" s="184">
        <f>IFERROR(Επενδύσεις!F13/'Ενεργοί πελάτες'!AA15,0)</f>
        <v>655.44862010822237</v>
      </c>
      <c r="F13" s="184">
        <f>IFERROR(Επενδύσεις!G13/'Ενεργοί πελάτες'!AD15,0)</f>
        <v>722.02655043082075</v>
      </c>
      <c r="G13" s="184">
        <f>IFERROR(Επενδύσεις!H13/'Ενεργοί πελάτες'!AG15,0)</f>
        <v>592.68087796846703</v>
      </c>
      <c r="H13" s="192">
        <f t="shared" ref="H13:H65" si="0">IFERROR((G13/C13)^(1/4)-1,0)</f>
        <v>-2.1227514557869864E-2</v>
      </c>
    </row>
    <row r="14" spans="1:32" outlineLevel="1" x14ac:dyDescent="0.35">
      <c r="A14" s="48" t="s">
        <v>76</v>
      </c>
      <c r="B14" s="62" t="s">
        <v>262</v>
      </c>
      <c r="C14" s="184">
        <f>IFERROR(Επενδύσεις!D14/'Ενεργοί πελάτες'!U16,0)</f>
        <v>827.08813322176127</v>
      </c>
      <c r="D14" s="184">
        <f>IFERROR(Επενδύσεις!E14/'Ενεργοί πελάτες'!X16,0)</f>
        <v>1410.3633274431529</v>
      </c>
      <c r="E14" s="184">
        <f>IFERROR(Επενδύσεις!F14/'Ενεργοί πελάτες'!AA16,0)</f>
        <v>1806.8128362229531</v>
      </c>
      <c r="F14" s="184">
        <f>IFERROR(Επενδύσεις!G14/'Ενεργοί πελάτες'!AD16,0)</f>
        <v>1073.1416060757101</v>
      </c>
      <c r="G14" s="184">
        <f>IFERROR(Επενδύσεις!H14/'Ενεργοί πελάτες'!AG16,0)</f>
        <v>1443.498810929621</v>
      </c>
      <c r="H14" s="192">
        <f t="shared" si="0"/>
        <v>0.14938668078783568</v>
      </c>
    </row>
    <row r="15" spans="1:32" outlineLevel="1" x14ac:dyDescent="0.35">
      <c r="A15" s="48" t="s">
        <v>77</v>
      </c>
      <c r="B15" s="62" t="s">
        <v>262</v>
      </c>
      <c r="C15" s="184">
        <f>IFERROR(Επενδύσεις!D15/'Ενεργοί πελάτες'!U17,0)</f>
        <v>654.41421464537791</v>
      </c>
      <c r="D15" s="184">
        <f>IFERROR(Επενδύσεις!E15/'Ενεργοί πελάτες'!X17,0)</f>
        <v>536.2186025124339</v>
      </c>
      <c r="E15" s="184">
        <f>IFERROR(Επενδύσεις!F15/'Ενεργοί πελάτες'!AA17,0)</f>
        <v>2354.4544161397457</v>
      </c>
      <c r="F15" s="184">
        <f>IFERROR(Επενδύσεις!G15/'Ενεργοί πελάτες'!AD17,0)</f>
        <v>1444.6729450051885</v>
      </c>
      <c r="G15" s="184">
        <f>IFERROR(Επενδύσεις!H15/'Ενεργοί πελάτες'!AG17,0)</f>
        <v>543.67172177750911</v>
      </c>
      <c r="H15" s="192">
        <f t="shared" si="0"/>
        <v>-4.5291025466617119E-2</v>
      </c>
    </row>
    <row r="16" spans="1:32" outlineLevel="1" x14ac:dyDescent="0.35">
      <c r="A16" s="48" t="s">
        <v>78</v>
      </c>
      <c r="B16" s="62" t="s">
        <v>262</v>
      </c>
      <c r="C16" s="184">
        <f>IFERROR(Επενδύσεις!D16/'Ενεργοί πελάτες'!U18,0)</f>
        <v>788.80129332356262</v>
      </c>
      <c r="D16" s="184">
        <f>IFERROR(Επενδύσεις!E16/'Ενεργοί πελάτες'!X18,0)</f>
        <v>744.70865813239925</v>
      </c>
      <c r="E16" s="184">
        <f>IFERROR(Επενδύσεις!F16/'Ενεργοί πελάτες'!AA18,0)</f>
        <v>703.49759350455122</v>
      </c>
      <c r="F16" s="184">
        <f>IFERROR(Επενδύσεις!G16/'Ενεργοί πελάτες'!AD18,0)</f>
        <v>907.51886898818327</v>
      </c>
      <c r="G16" s="184">
        <f>IFERROR(Επενδύσεις!H16/'Ενεργοί πελάτες'!AG18,0)</f>
        <v>739.94636913780209</v>
      </c>
      <c r="H16" s="192">
        <f t="shared" si="0"/>
        <v>-1.5857114239574477E-2</v>
      </c>
    </row>
    <row r="17" spans="1:8" outlineLevel="1" x14ac:dyDescent="0.35">
      <c r="A17" s="48" t="s">
        <v>79</v>
      </c>
      <c r="B17" s="62" t="s">
        <v>262</v>
      </c>
      <c r="C17" s="184">
        <f>IFERROR(Επενδύσεις!D17/'Ενεργοί πελάτες'!U19,0)</f>
        <v>700.17312155224181</v>
      </c>
      <c r="D17" s="184">
        <f>IFERROR(Επενδύσεις!E17/'Ενεργοί πελάτες'!X19,0)</f>
        <v>536.70072410582384</v>
      </c>
      <c r="E17" s="184">
        <f>IFERROR(Επενδύσεις!F17/'Ενεργοί πελάτες'!AA19,0)</f>
        <v>507.40657520605697</v>
      </c>
      <c r="F17" s="184">
        <f>IFERROR(Επενδύσεις!G17/'Ενεργοί πελάτες'!AD19,0)</f>
        <v>1050.6959815322471</v>
      </c>
      <c r="G17" s="184">
        <f>IFERROR(Επενδύσεις!H17/'Ενεργοί πελάτες'!AG19,0)</f>
        <v>1514.9267510710488</v>
      </c>
      <c r="H17" s="192">
        <f t="shared" si="0"/>
        <v>0.21282055806014588</v>
      </c>
    </row>
    <row r="18" spans="1:8" outlineLevel="1" x14ac:dyDescent="0.35">
      <c r="A18" s="48" t="s">
        <v>80</v>
      </c>
      <c r="B18" s="62" t="s">
        <v>262</v>
      </c>
      <c r="C18" s="184">
        <f>IFERROR(Επενδύσεις!D18/'Ενεργοί πελάτες'!U20,0)</f>
        <v>832.64621958399368</v>
      </c>
      <c r="D18" s="184">
        <f>IFERROR(Επενδύσεις!E18/'Ενεργοί πελάτες'!X20,0)</f>
        <v>817.69622687332435</v>
      </c>
      <c r="E18" s="184">
        <f>IFERROR(Επενδύσεις!F18/'Ενεργοί πελάτες'!AA20,0)</f>
        <v>585.79741378458937</v>
      </c>
      <c r="F18" s="184">
        <f>IFERROR(Επενδύσεις!G18/'Ενεργοί πελάτες'!AD20,0)</f>
        <v>497.22929171622059</v>
      </c>
      <c r="G18" s="184">
        <f>IFERROR(Επενδύσεις!H18/'Ενεργοί πελάτες'!AG20,0)</f>
        <v>1033.2962137510635</v>
      </c>
      <c r="H18" s="192">
        <f t="shared" si="0"/>
        <v>5.5458303345405469E-2</v>
      </c>
    </row>
    <row r="19" spans="1:8" outlineLevel="1" x14ac:dyDescent="0.35">
      <c r="A19" s="48" t="s">
        <v>81</v>
      </c>
      <c r="B19" s="62" t="s">
        <v>262</v>
      </c>
      <c r="C19" s="184">
        <f>IFERROR(Επενδύσεις!D19/'Ενεργοί πελάτες'!U21,0)</f>
        <v>944.53553214944702</v>
      </c>
      <c r="D19" s="184">
        <f>IFERROR(Επενδύσεις!E19/'Ενεργοί πελάτες'!X21,0)</f>
        <v>627.04356938821059</v>
      </c>
      <c r="E19" s="184">
        <f>IFERROR(Επενδύσεις!F19/'Ενεργοί πελάτες'!AA21,0)</f>
        <v>555.70818936893841</v>
      </c>
      <c r="F19" s="184">
        <f>IFERROR(Επενδύσεις!G19/'Ενεργοί πελάτες'!AD21,0)</f>
        <v>487.19043239899622</v>
      </c>
      <c r="G19" s="184">
        <f>IFERROR(Επενδύσεις!H19/'Ενεργοί πελάτες'!AG21,0)</f>
        <v>604.68729716091661</v>
      </c>
      <c r="H19" s="192">
        <f t="shared" si="0"/>
        <v>-0.10550454895695016</v>
      </c>
    </row>
    <row r="20" spans="1:8" outlineLevel="1" x14ac:dyDescent="0.35">
      <c r="A20" s="48" t="s">
        <v>82</v>
      </c>
      <c r="B20" s="62" t="s">
        <v>262</v>
      </c>
      <c r="C20" s="184">
        <f>IFERROR(Επενδύσεις!D20/'Ενεργοί πελάτες'!U22,0)</f>
        <v>0</v>
      </c>
      <c r="D20" s="184">
        <f>IFERROR(Επενδύσεις!E20/'Ενεργοί πελάτες'!X22,0)</f>
        <v>0</v>
      </c>
      <c r="E20" s="184">
        <f>IFERROR(Επενδύσεις!F20/'Ενεργοί πελάτες'!AA22,0)</f>
        <v>0</v>
      </c>
      <c r="F20" s="184">
        <f>IFERROR(Επενδύσεις!G20/'Ενεργοί πελάτες'!AD22,0)</f>
        <v>0</v>
      </c>
      <c r="G20" s="184">
        <f>IFERROR(Επενδύσεις!H20/'Ενεργοί πελάτες'!AG22,0)</f>
        <v>0</v>
      </c>
      <c r="H20" s="192">
        <f t="shared" si="0"/>
        <v>0</v>
      </c>
    </row>
    <row r="21" spans="1:8" outlineLevel="1" x14ac:dyDescent="0.35">
      <c r="A21" s="48" t="s">
        <v>83</v>
      </c>
      <c r="B21" s="62" t="s">
        <v>262</v>
      </c>
      <c r="C21" s="184">
        <f>IFERROR(Επενδύσεις!D21/'Ενεργοί πελάτες'!U23,0)</f>
        <v>716.99754351079093</v>
      </c>
      <c r="D21" s="184">
        <f>IFERROR(Επενδύσεις!E21/'Ενεργοί πελάτες'!X23,0)</f>
        <v>6246.0588259426659</v>
      </c>
      <c r="E21" s="184">
        <f>IFERROR(Επενδύσεις!F21/'Ενεργοί πελάτες'!AA23,0)</f>
        <v>1763.3485899575621</v>
      </c>
      <c r="F21" s="184">
        <f>IFERROR(Επενδύσεις!G21/'Ενεργοί πελάτες'!AD23,0)</f>
        <v>5347.1907114876176</v>
      </c>
      <c r="G21" s="184">
        <f>IFERROR(Επενδύσεις!H21/'Ενεργοί πελάτες'!AG23,0)</f>
        <v>2558.8583344888966</v>
      </c>
      <c r="H21" s="192">
        <f t="shared" si="0"/>
        <v>0.37446012148553165</v>
      </c>
    </row>
    <row r="22" spans="1:8" outlineLevel="1" x14ac:dyDescent="0.35">
      <c r="A22" s="48" t="s">
        <v>84</v>
      </c>
      <c r="B22" s="62" t="s">
        <v>262</v>
      </c>
      <c r="C22" s="184">
        <f>IFERROR(Επενδύσεις!D22/'Ενεργοί πελάτες'!U24,0)</f>
        <v>2995.5777743828357</v>
      </c>
      <c r="D22" s="184">
        <f>IFERROR(Επενδύσεις!E22/'Ενεργοί πελάτες'!X24,0)</f>
        <v>2444.8702552922446</v>
      </c>
      <c r="E22" s="184">
        <f>IFERROR(Επενδύσεις!F22/'Ενεργοί πελάτες'!AA24,0)</f>
        <v>2781.5250819492835</v>
      </c>
      <c r="F22" s="184">
        <f>IFERROR(Επενδύσεις!G22/'Ενεργοί πελάτες'!AD24,0)</f>
        <v>2505.0774249992196</v>
      </c>
      <c r="G22" s="184">
        <f>IFERROR(Επενδύσεις!H22/'Ενεργοί πελάτες'!AG24,0)</f>
        <v>1073.2151937746696</v>
      </c>
      <c r="H22" s="192">
        <f t="shared" si="0"/>
        <v>-0.22633748859357161</v>
      </c>
    </row>
    <row r="23" spans="1:8" outlineLevel="1" x14ac:dyDescent="0.35">
      <c r="A23" s="48" t="s">
        <v>85</v>
      </c>
      <c r="B23" s="62" t="s">
        <v>262</v>
      </c>
      <c r="C23" s="184">
        <f>IFERROR(Επενδύσεις!D23/'Ενεργοί πελάτες'!U25,0)</f>
        <v>706.4213596712525</v>
      </c>
      <c r="D23" s="184">
        <f>IFERROR(Επενδύσεις!E23/'Ενεργοί πελάτες'!X25,0)</f>
        <v>969.99056653156799</v>
      </c>
      <c r="E23" s="184">
        <f>IFERROR(Επενδύσεις!F23/'Ενεργοί πελάτες'!AA25,0)</f>
        <v>512.76335217249652</v>
      </c>
      <c r="F23" s="184">
        <f>IFERROR(Επενδύσεις!G23/'Ενεργοί πελάτες'!AD25,0)</f>
        <v>591.87778853457098</v>
      </c>
      <c r="G23" s="184">
        <f>IFERROR(Επενδύσεις!H23/'Ενεργοί πελάτες'!AG25,0)</f>
        <v>707.83752231993924</v>
      </c>
      <c r="H23" s="192">
        <f t="shared" si="0"/>
        <v>5.0079858670337707E-4</v>
      </c>
    </row>
    <row r="24" spans="1:8" outlineLevel="1" x14ac:dyDescent="0.35">
      <c r="A24" s="48" t="s">
        <v>86</v>
      </c>
      <c r="B24" s="62" t="s">
        <v>262</v>
      </c>
      <c r="C24" s="184">
        <f>IFERROR(Επενδύσεις!D24/'Ενεργοί πελάτες'!U26,0)</f>
        <v>1413.0442869012222</v>
      </c>
      <c r="D24" s="184">
        <f>IFERROR(Επενδύσεις!E24/'Ενεργοί πελάτες'!X26,0)</f>
        <v>1315.75143531821</v>
      </c>
      <c r="E24" s="184">
        <f>IFERROR(Επενδύσεις!F24/'Ενεργοί πελάτες'!AA26,0)</f>
        <v>1010.5681185976213</v>
      </c>
      <c r="F24" s="184">
        <f>IFERROR(Επενδύσεις!G24/'Ενεργοί πελάτες'!AD26,0)</f>
        <v>834.72462444305302</v>
      </c>
      <c r="G24" s="184">
        <f>IFERROR(Επενδύσεις!H24/'Ενεργοί πελάτες'!AG26,0)</f>
        <v>777.76895863974573</v>
      </c>
      <c r="H24" s="192">
        <f t="shared" si="0"/>
        <v>-0.13866180053321409</v>
      </c>
    </row>
    <row r="25" spans="1:8" outlineLevel="1" x14ac:dyDescent="0.35">
      <c r="A25" s="48" t="s">
        <v>87</v>
      </c>
      <c r="B25" s="62" t="s">
        <v>262</v>
      </c>
      <c r="C25" s="184">
        <f>IFERROR(Επενδύσεις!D25/'Ενεργοί πελάτες'!U27,0)</f>
        <v>742.55404594423374</v>
      </c>
      <c r="D25" s="184">
        <f>IFERROR(Επενδύσεις!E25/'Ενεργοί πελάτες'!X27,0)</f>
        <v>1236.8188630780462</v>
      </c>
      <c r="E25" s="184">
        <f>IFERROR(Επενδύσεις!F25/'Ενεργοί πελάτες'!AA27,0)</f>
        <v>543.31409244792292</v>
      </c>
      <c r="F25" s="184">
        <f>IFERROR(Επενδύσεις!G25/'Ενεργοί πελάτες'!AD27,0)</f>
        <v>524.85270491201686</v>
      </c>
      <c r="G25" s="184">
        <f>IFERROR(Επενδύσεις!H25/'Ενεργοί πελάτες'!AG27,0)</f>
        <v>1297.4209647199266</v>
      </c>
      <c r="H25" s="192">
        <f t="shared" si="0"/>
        <v>0.14970974012304161</v>
      </c>
    </row>
    <row r="26" spans="1:8" outlineLevel="1" x14ac:dyDescent="0.35">
      <c r="A26" s="48" t="s">
        <v>88</v>
      </c>
      <c r="B26" s="62" t="s">
        <v>262</v>
      </c>
      <c r="C26" s="184">
        <f>IFERROR(Επενδύσεις!D26/'Ενεργοί πελάτες'!U28,0)</f>
        <v>906.22433012214549</v>
      </c>
      <c r="D26" s="184">
        <f>IFERROR(Επενδύσεις!E26/'Ενεργοί πελάτες'!X28,0)</f>
        <v>1740.0017285580795</v>
      </c>
      <c r="E26" s="184">
        <f>IFERROR(Επενδύσεις!F26/'Ενεργοί πελάτες'!AA28,0)</f>
        <v>1422.2371468839544</v>
      </c>
      <c r="F26" s="184">
        <f>IFERROR(Επενδύσεις!G26/'Ενεργοί πελάτες'!AD28,0)</f>
        <v>533.98590470070087</v>
      </c>
      <c r="G26" s="184">
        <f>IFERROR(Επενδύσεις!H26/'Ενεργοί πελάτες'!AG28,0)</f>
        <v>1951.4462430286651</v>
      </c>
      <c r="H26" s="192">
        <f t="shared" si="0"/>
        <v>0.21137949635303044</v>
      </c>
    </row>
    <row r="27" spans="1:8" outlineLevel="1" x14ac:dyDescent="0.35">
      <c r="A27" s="48" t="s">
        <v>89</v>
      </c>
      <c r="B27" s="62" t="s">
        <v>262</v>
      </c>
      <c r="C27" s="184">
        <f>IFERROR(Επενδύσεις!D27/'Ενεργοί πελάτες'!U29,0)</f>
        <v>1069.581786447462</v>
      </c>
      <c r="D27" s="184">
        <f>IFERROR(Επενδύσεις!E27/'Ενεργοί πελάτες'!X29,0)</f>
        <v>890.30232362115453</v>
      </c>
      <c r="E27" s="184">
        <f>IFERROR(Επενδύσεις!F27/'Ενεργοί πελάτες'!AA29,0)</f>
        <v>1173.0525871869588</v>
      </c>
      <c r="F27" s="184">
        <f>IFERROR(Επενδύσεις!G27/'Ενεργοί πελάτες'!AD29,0)</f>
        <v>1565.7829377016449</v>
      </c>
      <c r="G27" s="184">
        <f>IFERROR(Επενδύσεις!H27/'Ενεργοί πελάτες'!AG29,0)</f>
        <v>905.08443206050094</v>
      </c>
      <c r="H27" s="192">
        <f t="shared" si="0"/>
        <v>-4.0889216257685712E-2</v>
      </c>
    </row>
    <row r="28" spans="1:8" outlineLevel="1" x14ac:dyDescent="0.35">
      <c r="A28" s="48" t="s">
        <v>90</v>
      </c>
      <c r="B28" s="62" t="s">
        <v>262</v>
      </c>
      <c r="C28" s="184">
        <f>IFERROR(Επενδύσεις!D28/'Ενεργοί πελάτες'!U30,0)</f>
        <v>11302.999666327396</v>
      </c>
      <c r="D28" s="184">
        <f>IFERROR(Επενδύσεις!E28/'Ενεργοί πελάτες'!X30,0)</f>
        <v>47438.584253441462</v>
      </c>
      <c r="E28" s="184">
        <f>IFERROR(Επενδύσεις!F28/'Ενεργοί πελάτες'!AA30,0)</f>
        <v>591.04178070049943</v>
      </c>
      <c r="F28" s="184">
        <f>IFERROR(Επενδύσεις!G28/'Ενεργοί πελάτες'!AD30,0)</f>
        <v>20360.108484555778</v>
      </c>
      <c r="G28" s="184">
        <f>IFERROR(Επενδύσεις!H28/'Ενεργοί πελάτες'!AG30,0)</f>
        <v>595.84333496691124</v>
      </c>
      <c r="H28" s="192">
        <f t="shared" si="0"/>
        <v>-0.52083554648374797</v>
      </c>
    </row>
    <row r="29" spans="1:8" outlineLevel="1" x14ac:dyDescent="0.35">
      <c r="A29" s="48" t="s">
        <v>91</v>
      </c>
      <c r="B29" s="62" t="s">
        <v>262</v>
      </c>
      <c r="C29" s="184">
        <f>IFERROR(Επενδύσεις!D29/'Ενεργοί πελάτες'!U31,0)</f>
        <v>17811.043939983014</v>
      </c>
      <c r="D29" s="184">
        <f>IFERROR(Επενδύσεις!E29/'Ενεργοί πελάτες'!X31,0)</f>
        <v>4388.7239598495507</v>
      </c>
      <c r="E29" s="184">
        <f>IFERROR(Επενδύσεις!F29/'Ενεργοί πελάτες'!AA31,0)</f>
        <v>3170.2909327177595</v>
      </c>
      <c r="F29" s="184">
        <f>IFERROR(Επενδύσεις!G29/'Ενεργοί πελάτες'!AD31,0)</f>
        <v>538.9246567712637</v>
      </c>
      <c r="G29" s="184">
        <f>IFERROR(Επενδύσεις!H29/'Ενεργοί πελάτες'!AG31,0)</f>
        <v>4289.0785438221283</v>
      </c>
      <c r="H29" s="192">
        <f t="shared" si="0"/>
        <v>-0.29948303717452729</v>
      </c>
    </row>
    <row r="30" spans="1:8" outlineLevel="1" x14ac:dyDescent="0.35">
      <c r="A30" s="48" t="s">
        <v>92</v>
      </c>
      <c r="B30" s="62" t="s">
        <v>262</v>
      </c>
      <c r="C30" s="184">
        <f>IFERROR(Επενδύσεις!D30/'Ενεργοί πελάτες'!U32,0)</f>
        <v>721.98068117102366</v>
      </c>
      <c r="D30" s="184">
        <f>IFERROR(Επενδύσεις!E30/'Ενεργοί πελάτες'!X32,0)</f>
        <v>1061.2728509535275</v>
      </c>
      <c r="E30" s="184">
        <f>IFERROR(Επενδύσεις!F30/'Ενεργοί πελάτες'!AA32,0)</f>
        <v>991.53910930660845</v>
      </c>
      <c r="F30" s="184">
        <f>IFERROR(Επενδύσεις!G30/'Ενεργοί πελάτες'!AD32,0)</f>
        <v>517.44147842996824</v>
      </c>
      <c r="G30" s="184">
        <f>IFERROR(Επενδύσεις!H30/'Ενεργοί πελάτες'!AG32,0)</f>
        <v>804.30570624073744</v>
      </c>
      <c r="H30" s="192">
        <f t="shared" si="0"/>
        <v>2.7362934951741691E-2</v>
      </c>
    </row>
    <row r="31" spans="1:8" outlineLevel="1" x14ac:dyDescent="0.35">
      <c r="A31" s="48" t="s">
        <v>93</v>
      </c>
      <c r="B31" s="62" t="s">
        <v>262</v>
      </c>
      <c r="C31" s="184">
        <f>IFERROR(Επενδύσεις!D31/'Ενεργοί πελάτες'!U33,0)</f>
        <v>769.0899430820084</v>
      </c>
      <c r="D31" s="184">
        <f>IFERROR(Επενδύσεις!E31/'Ενεργοί πελάτες'!X33,0)</f>
        <v>790.07336463594538</v>
      </c>
      <c r="E31" s="184">
        <f>IFERROR(Επενδύσεις!F31/'Ενεργοί πελάτες'!AA33,0)</f>
        <v>1063.0510959865564</v>
      </c>
      <c r="F31" s="184">
        <f>IFERROR(Επενδύσεις!G31/'Ενεργοί πελάτες'!AD33,0)</f>
        <v>698.59568478569054</v>
      </c>
      <c r="G31" s="184">
        <f>IFERROR(Επενδύσεις!H31/'Ενεργοί πελάτες'!AG33,0)</f>
        <v>740.44284840593002</v>
      </c>
      <c r="H31" s="192">
        <f t="shared" si="0"/>
        <v>-9.4449814944901345E-3</v>
      </c>
    </row>
    <row r="32" spans="1:8" outlineLevel="1" x14ac:dyDescent="0.35">
      <c r="A32" s="48" t="s">
        <v>94</v>
      </c>
      <c r="B32" s="62" t="s">
        <v>262</v>
      </c>
      <c r="C32" s="184">
        <f>IFERROR(Επενδύσεις!D32/'Ενεργοί πελάτες'!U34,0)</f>
        <v>679.11601566348895</v>
      </c>
      <c r="D32" s="184">
        <f>IFERROR(Επενδύσεις!E32/'Ενεργοί πελάτες'!X34,0)</f>
        <v>1303.451266327364</v>
      </c>
      <c r="E32" s="184">
        <f>IFERROR(Επενδύσεις!F32/'Ενεργοί πελάτες'!AA34,0)</f>
        <v>977.0139042240246</v>
      </c>
      <c r="F32" s="184">
        <f>IFERROR(Επενδύσεις!G32/'Ενεργοί πελάτες'!AD34,0)</f>
        <v>1232.9130689334445</v>
      </c>
      <c r="G32" s="184">
        <f>IFERROR(Επενδύσεις!H32/'Ενεργοί πελάτες'!AG34,0)</f>
        <v>1087.4132813405172</v>
      </c>
      <c r="H32" s="192">
        <f t="shared" si="0"/>
        <v>0.12489675796386268</v>
      </c>
    </row>
    <row r="33" spans="1:8" outlineLevel="1" x14ac:dyDescent="0.35">
      <c r="A33" s="48" t="s">
        <v>95</v>
      </c>
      <c r="B33" s="62" t="s">
        <v>262</v>
      </c>
      <c r="C33" s="184">
        <f>IFERROR(Επενδύσεις!D33/'Ενεργοί πελάτες'!U35,0)</f>
        <v>853.90422834302274</v>
      </c>
      <c r="D33" s="184">
        <f>IFERROR(Επενδύσεις!E33/'Ενεργοί πελάτες'!X35,0)</f>
        <v>1093.4961217466664</v>
      </c>
      <c r="E33" s="184">
        <f>IFERROR(Επενδύσεις!F33/'Ενεργοί πελάτες'!AA35,0)</f>
        <v>1241.4832345860989</v>
      </c>
      <c r="F33" s="184">
        <f>IFERROR(Επενδύσεις!G33/'Ενεργοί πελάτες'!AD35,0)</f>
        <v>1300.5907947222649</v>
      </c>
      <c r="G33" s="184">
        <f>IFERROR(Επενδύσεις!H33/'Ενεργοί πελάτες'!AG35,0)</f>
        <v>546.7172309866088</v>
      </c>
      <c r="H33" s="192">
        <f t="shared" si="0"/>
        <v>-0.10548341022310792</v>
      </c>
    </row>
    <row r="34" spans="1:8" outlineLevel="1" x14ac:dyDescent="0.35">
      <c r="A34" s="48" t="s">
        <v>96</v>
      </c>
      <c r="B34" s="62" t="s">
        <v>262</v>
      </c>
      <c r="C34" s="184">
        <f>IFERROR(Επενδύσεις!D34/'Ενεργοί πελάτες'!U36,0)</f>
        <v>636.71650514973771</v>
      </c>
      <c r="D34" s="184">
        <f>IFERROR(Επενδύσεις!E34/'Ενεργοί πελάτες'!X36,0)</f>
        <v>879.79007649647474</v>
      </c>
      <c r="E34" s="184">
        <f>IFERROR(Επενδύσεις!F34/'Ενεργοί πελάτες'!AA36,0)</f>
        <v>927.14637580936869</v>
      </c>
      <c r="F34" s="184">
        <f>IFERROR(Επενδύσεις!G34/'Ενεργοί πελάτες'!AD36,0)</f>
        <v>526.19459905612121</v>
      </c>
      <c r="G34" s="184">
        <f>IFERROR(Επενδύσεις!H34/'Ενεργοί πελάτες'!AG36,0)</f>
        <v>891.71794008399513</v>
      </c>
      <c r="H34" s="192">
        <f t="shared" si="0"/>
        <v>8.7853338924006819E-2</v>
      </c>
    </row>
    <row r="35" spans="1:8" outlineLevel="1" x14ac:dyDescent="0.35">
      <c r="A35" s="48" t="s">
        <v>97</v>
      </c>
      <c r="B35" s="62" t="s">
        <v>262</v>
      </c>
      <c r="C35" s="184">
        <f>IFERROR(Επενδύσεις!D35/'Ενεργοί πελάτες'!U37,0)</f>
        <v>900.80070787224167</v>
      </c>
      <c r="D35" s="184">
        <f>IFERROR(Επενδύσεις!E35/'Ενεργοί πελάτες'!X37,0)</f>
        <v>1138.4652043924682</v>
      </c>
      <c r="E35" s="184">
        <f>IFERROR(Επενδύσεις!F35/'Ενεργοί πελάτες'!AA37,0)</f>
        <v>606.36649216459705</v>
      </c>
      <c r="F35" s="184">
        <f>IFERROR(Επενδύσεις!G35/'Ενεργοί πελάτες'!AD37,0)</f>
        <v>521.89174036726342</v>
      </c>
      <c r="G35" s="184">
        <f>IFERROR(Επενδύσεις!H35/'Ενεργοί πελάτες'!AG37,0)</f>
        <v>1196.9490803423473</v>
      </c>
      <c r="H35" s="192">
        <f t="shared" si="0"/>
        <v>7.3647554314320463E-2</v>
      </c>
    </row>
    <row r="36" spans="1:8" outlineLevel="1" x14ac:dyDescent="0.35">
      <c r="A36" s="48" t="s">
        <v>98</v>
      </c>
      <c r="B36" s="62" t="s">
        <v>262</v>
      </c>
      <c r="C36" s="184">
        <f>IFERROR(Επενδύσεις!D36/'Ενεργοί πελάτες'!U38,0)</f>
        <v>1031.6451703807625</v>
      </c>
      <c r="D36" s="184">
        <f>IFERROR(Επενδύσεις!E36/'Ενεργοί πελάτες'!X38,0)</f>
        <v>2562.8571444814884</v>
      </c>
      <c r="E36" s="184">
        <f>IFERROR(Επενδύσεις!F36/'Ενεργοί πελάτες'!AA38,0)</f>
        <v>1705.72456264124</v>
      </c>
      <c r="F36" s="184">
        <f>IFERROR(Επενδύσεις!G36/'Ενεργοί πελάτες'!AD38,0)</f>
        <v>1636.6420022544567</v>
      </c>
      <c r="G36" s="184">
        <f>IFERROR(Επενδύσεις!H36/'Ενεργοί πελάτες'!AG38,0)</f>
        <v>1982.4633386498722</v>
      </c>
      <c r="H36" s="192">
        <f t="shared" si="0"/>
        <v>0.1773855565214868</v>
      </c>
    </row>
    <row r="37" spans="1:8" outlineLevel="1" x14ac:dyDescent="0.35">
      <c r="A37" s="48" t="s">
        <v>99</v>
      </c>
      <c r="B37" s="62" t="s">
        <v>262</v>
      </c>
      <c r="C37" s="184">
        <f>IFERROR(Επενδύσεις!D37/'Ενεργοί πελάτες'!U39,0)</f>
        <v>1471.556071743965</v>
      </c>
      <c r="D37" s="184">
        <f>IFERROR(Επενδύσεις!E37/'Ενεργοί πελάτες'!X39,0)</f>
        <v>2364.6265793363245</v>
      </c>
      <c r="E37" s="184">
        <f>IFERROR(Επενδύσεις!F37/'Ενεργοί πελάτες'!AA39,0)</f>
        <v>1136.4546337690845</v>
      </c>
      <c r="F37" s="184">
        <f>IFERROR(Επενδύσεις!G37/'Ενεργοί πελάτες'!AD39,0)</f>
        <v>2049.7416566352863</v>
      </c>
      <c r="G37" s="184">
        <f>IFERROR(Επενδύσεις!H37/'Ενεργοί πελάτες'!AG39,0)</f>
        <v>957.25277501500307</v>
      </c>
      <c r="H37" s="192">
        <f t="shared" si="0"/>
        <v>-0.10192531474473721</v>
      </c>
    </row>
    <row r="38" spans="1:8" outlineLevel="1" x14ac:dyDescent="0.35">
      <c r="A38" s="48" t="s">
        <v>100</v>
      </c>
      <c r="B38" s="62" t="s">
        <v>262</v>
      </c>
      <c r="C38" s="184">
        <f>IFERROR(Επενδύσεις!D38/'Ενεργοί πελάτες'!U40,0)</f>
        <v>1016.1619370964553</v>
      </c>
      <c r="D38" s="184">
        <f>IFERROR(Επενδύσεις!E38/'Ενεργοί πελάτες'!X40,0)</f>
        <v>2062.0855864509294</v>
      </c>
      <c r="E38" s="184">
        <f>IFERROR(Επενδύσεις!F38/'Ενεργοί πελάτες'!AA40,0)</f>
        <v>1831.3983029882531</v>
      </c>
      <c r="F38" s="184">
        <f>IFERROR(Επενδύσεις!G38/'Ενεργοί πελάτες'!AD40,0)</f>
        <v>1172.9177247715863</v>
      </c>
      <c r="G38" s="184">
        <f>IFERROR(Επενδύσεις!H38/'Ενεργοί πελάτες'!AG40,0)</f>
        <v>2230.2765130299686</v>
      </c>
      <c r="H38" s="192">
        <f t="shared" si="0"/>
        <v>0.21716357435470113</v>
      </c>
    </row>
    <row r="39" spans="1:8" outlineLevel="1" x14ac:dyDescent="0.35">
      <c r="A39" s="48" t="s">
        <v>101</v>
      </c>
      <c r="B39" s="62" t="s">
        <v>262</v>
      </c>
      <c r="C39" s="184">
        <f>IFERROR(Επενδύσεις!D39/'Ενεργοί πελάτες'!U41,0)</f>
        <v>1055.8534788436382</v>
      </c>
      <c r="D39" s="184">
        <f>IFERROR(Επενδύσεις!E39/'Ενεργοί πελάτες'!X41,0)</f>
        <v>571.96411273676244</v>
      </c>
      <c r="E39" s="184">
        <f>IFERROR(Επενδύσεις!F39/'Ενεργοί πελάτες'!AA41,0)</f>
        <v>482.48343208607156</v>
      </c>
      <c r="F39" s="184">
        <f>IFERROR(Επενδύσεις!G39/'Ενεργοί πελάτες'!AD41,0)</f>
        <v>490.10151372311117</v>
      </c>
      <c r="G39" s="184">
        <f>IFERROR(Επενδύσεις!H39/'Ενεργοί πελάτες'!AG41,0)</f>
        <v>505.83087792456018</v>
      </c>
      <c r="H39" s="192">
        <f t="shared" si="0"/>
        <v>-0.1680438807759026</v>
      </c>
    </row>
    <row r="40" spans="1:8" outlineLevel="1" x14ac:dyDescent="0.35">
      <c r="A40" s="48" t="s">
        <v>102</v>
      </c>
      <c r="B40" s="62" t="s">
        <v>262</v>
      </c>
      <c r="C40" s="184">
        <f>IFERROR(Επενδύσεις!D40/'Ενεργοί πελάτες'!U42,0)</f>
        <v>772.43524575229162</v>
      </c>
      <c r="D40" s="184">
        <f>IFERROR(Επενδύσεις!E40/'Ενεργοί πελάτες'!X42,0)</f>
        <v>540.06034861545152</v>
      </c>
      <c r="E40" s="184">
        <f>IFERROR(Επενδύσεις!F40/'Ενεργοί πελάτες'!AA42,0)</f>
        <v>796.72713108599271</v>
      </c>
      <c r="F40" s="184">
        <f>IFERROR(Επενδύσεις!G40/'Ενεργοί πελάτες'!AD42,0)</f>
        <v>500.28161772887489</v>
      </c>
      <c r="G40" s="184">
        <f>IFERROR(Επενδύσεις!H40/'Ενεργοί πελάτες'!AG42,0)</f>
        <v>499.65119256036303</v>
      </c>
      <c r="H40" s="192">
        <f t="shared" si="0"/>
        <v>-0.10318841147471836</v>
      </c>
    </row>
    <row r="41" spans="1:8" outlineLevel="1" x14ac:dyDescent="0.35">
      <c r="A41" s="48" t="s">
        <v>103</v>
      </c>
      <c r="B41" s="62" t="s">
        <v>262</v>
      </c>
      <c r="C41" s="184">
        <f>IFERROR(Επενδύσεις!D41/'Ενεργοί πελάτες'!U43,0)</f>
        <v>0</v>
      </c>
      <c r="D41" s="184">
        <f>IFERROR(Επενδύσεις!E41/'Ενεργοί πελάτες'!X43,0)</f>
        <v>0</v>
      </c>
      <c r="E41" s="184">
        <f>IFERROR(Επενδύσεις!F41/'Ενεργοί πελάτες'!AA43,0)</f>
        <v>0</v>
      </c>
      <c r="F41" s="184">
        <f>IFERROR(Επενδύσεις!G41/'Ενεργοί πελάτες'!AD43,0)</f>
        <v>0</v>
      </c>
      <c r="G41" s="184">
        <f>IFERROR(Επενδύσεις!H41/'Ενεργοί πελάτες'!AG43,0)</f>
        <v>0</v>
      </c>
      <c r="H41" s="192">
        <f t="shared" si="0"/>
        <v>0</v>
      </c>
    </row>
    <row r="42" spans="1:8" outlineLevel="1" x14ac:dyDescent="0.35">
      <c r="A42" s="48" t="s">
        <v>104</v>
      </c>
      <c r="B42" s="62" t="s">
        <v>262</v>
      </c>
      <c r="C42" s="184">
        <f>IFERROR(Επενδύσεις!D42/'Ενεργοί πελάτες'!U44,0)</f>
        <v>0</v>
      </c>
      <c r="D42" s="184">
        <f>IFERROR(Επενδύσεις!E42/'Ενεργοί πελάτες'!X44,0)</f>
        <v>0</v>
      </c>
      <c r="E42" s="184">
        <f>IFERROR(Επενδύσεις!F42/'Ενεργοί πελάτες'!AA44,0)</f>
        <v>0</v>
      </c>
      <c r="F42" s="184">
        <f>IFERROR(Επενδύσεις!G42/'Ενεργοί πελάτες'!AD44,0)</f>
        <v>10134.835843376788</v>
      </c>
      <c r="G42" s="184">
        <f>IFERROR(Επενδύσεις!H42/'Ενεργοί πελάτες'!AG44,0)</f>
        <v>5772.9736321619412</v>
      </c>
      <c r="H42" s="192">
        <f t="shared" si="0"/>
        <v>0</v>
      </c>
    </row>
    <row r="43" spans="1:8" outlineLevel="1" x14ac:dyDescent="0.35">
      <c r="A43" s="48" t="s">
        <v>136</v>
      </c>
      <c r="B43" s="62" t="s">
        <v>262</v>
      </c>
      <c r="C43" s="184">
        <f>IFERROR(Επενδύσεις!D43/'Ενεργοί πελάτες'!U45,0)</f>
        <v>0</v>
      </c>
      <c r="D43" s="184">
        <f>IFERROR(Επενδύσεις!E43/'Ενεργοί πελάτες'!X45,0)</f>
        <v>0</v>
      </c>
      <c r="E43" s="184">
        <f>IFERROR(Επενδύσεις!F43/'Ενεργοί πελάτες'!AA45,0)</f>
        <v>0</v>
      </c>
      <c r="F43" s="184">
        <f>IFERROR(Επενδύσεις!G43/'Ενεργοί πελάτες'!AD45,0)</f>
        <v>10134.835843376788</v>
      </c>
      <c r="G43" s="184">
        <f>IFERROR(Επενδύσεις!H43/'Ενεργοί πελάτες'!AG45,0)</f>
        <v>6463.5376012189345</v>
      </c>
      <c r="H43" s="192">
        <f t="shared" si="0"/>
        <v>0</v>
      </c>
    </row>
    <row r="44" spans="1:8" outlineLevel="1" x14ac:dyDescent="0.35">
      <c r="A44" s="48" t="s">
        <v>106</v>
      </c>
      <c r="B44" s="62" t="s">
        <v>262</v>
      </c>
      <c r="C44" s="184">
        <f>IFERROR(Επενδύσεις!D44/'Ενεργοί πελάτες'!U46,0)</f>
        <v>810.19715660140844</v>
      </c>
      <c r="D44" s="184">
        <f>IFERROR(Επενδύσεις!E44/'Ενεργοί πελάτες'!X46,0)</f>
        <v>1503.9810082146462</v>
      </c>
      <c r="E44" s="184">
        <f>IFERROR(Επενδύσεις!F44/'Ενεργοί πελάτες'!AA46,0)</f>
        <v>523.41920886272874</v>
      </c>
      <c r="F44" s="184">
        <f>IFERROR(Επενδύσεις!G44/'Ενεργοί πελάτες'!AD46,0)</f>
        <v>1417.1958518811014</v>
      </c>
      <c r="G44" s="184">
        <f>IFERROR(Επενδύσεις!H44/'Ενεργοί πελάτες'!AG46,0)</f>
        <v>3391.8904447112377</v>
      </c>
      <c r="H44" s="192">
        <f t="shared" si="0"/>
        <v>0.43041737061202157</v>
      </c>
    </row>
    <row r="45" spans="1:8" outlineLevel="1" x14ac:dyDescent="0.35">
      <c r="A45" s="48" t="s">
        <v>107</v>
      </c>
      <c r="B45" s="62" t="s">
        <v>262</v>
      </c>
      <c r="C45" s="184">
        <f>IFERROR(Επενδύσεις!D45/'Ενεργοί πελάτες'!U47,0)</f>
        <v>859.11123253979554</v>
      </c>
      <c r="D45" s="184">
        <f>IFERROR(Επενδύσεις!E45/'Ενεργοί πελάτες'!X47,0)</f>
        <v>1473.6786901534945</v>
      </c>
      <c r="E45" s="184">
        <f>IFERROR(Επενδύσεις!F45/'Ενεργοί πελάτες'!AA47,0)</f>
        <v>628.35314536255521</v>
      </c>
      <c r="F45" s="184">
        <f>IFERROR(Επενδύσεις!G45/'Ενεργοί πελάτες'!AD47,0)</f>
        <v>519.14685976545798</v>
      </c>
      <c r="G45" s="184">
        <f>IFERROR(Επενδύσεις!H45/'Ενεργοί πελάτες'!AG47,0)</f>
        <v>816.92316074165217</v>
      </c>
      <c r="H45" s="192">
        <f t="shared" si="0"/>
        <v>-1.2509439361135688E-2</v>
      </c>
    </row>
    <row r="46" spans="1:8" outlineLevel="1" x14ac:dyDescent="0.35">
      <c r="A46" s="48" t="s">
        <v>108</v>
      </c>
      <c r="B46" s="62" t="s">
        <v>262</v>
      </c>
      <c r="C46" s="184">
        <f>IFERROR(Επενδύσεις!D46/'Ενεργοί πελάτες'!U48,0)</f>
        <v>1325.4629952767734</v>
      </c>
      <c r="D46" s="184">
        <f>IFERROR(Επενδύσεις!E46/'Ενεργοί πελάτες'!X48,0)</f>
        <v>562.56790462122171</v>
      </c>
      <c r="E46" s="184">
        <f>IFERROR(Επενδύσεις!F46/'Ενεργοί πελάτες'!AA48,0)</f>
        <v>2304.2784188626406</v>
      </c>
      <c r="F46" s="184">
        <f>IFERROR(Επενδύσεις!G46/'Ενεργοί πελάτες'!AD48,0)</f>
        <v>1687.7743545708481</v>
      </c>
      <c r="G46" s="184">
        <f>IFERROR(Επενδύσεις!H46/'Ενεργοί πελάτες'!AG48,0)</f>
        <v>878.93625116108535</v>
      </c>
      <c r="H46" s="192">
        <f t="shared" si="0"/>
        <v>-9.7603416491014672E-2</v>
      </c>
    </row>
    <row r="47" spans="1:8" outlineLevel="1" x14ac:dyDescent="0.35">
      <c r="A47" s="48" t="s">
        <v>109</v>
      </c>
      <c r="B47" s="62" t="s">
        <v>262</v>
      </c>
      <c r="C47" s="184">
        <f>IFERROR(Επενδύσεις!D47/'Ενεργοί πελάτες'!U49,0)</f>
        <v>645.34190022287737</v>
      </c>
      <c r="D47" s="184">
        <f>IFERROR(Επενδύσεις!E47/'Ενεργοί πελάτες'!X49,0)</f>
        <v>548.77630124964298</v>
      </c>
      <c r="E47" s="184">
        <f>IFERROR(Επενδύσεις!F47/'Ενεργοί πελάτες'!AA49,0)</f>
        <v>600.62267359311147</v>
      </c>
      <c r="F47" s="184">
        <f>IFERROR(Επενδύσεις!G47/'Ενεργοί πελάτες'!AD49,0)</f>
        <v>486.53070246668585</v>
      </c>
      <c r="G47" s="184">
        <f>IFERROR(Επενδύσεις!H47/'Ενεργοί πελάτες'!AG49,0)</f>
        <v>490.93600133947717</v>
      </c>
      <c r="H47" s="192">
        <f t="shared" si="0"/>
        <v>-6.6081981850262927E-2</v>
      </c>
    </row>
    <row r="48" spans="1:8" outlineLevel="1" x14ac:dyDescent="0.35">
      <c r="A48" s="48" t="s">
        <v>110</v>
      </c>
      <c r="B48" s="62" t="s">
        <v>262</v>
      </c>
      <c r="C48" s="184">
        <f>IFERROR(Επενδύσεις!D48/'Ενεργοί πελάτες'!U50,0)</f>
        <v>2421.4103480664062</v>
      </c>
      <c r="D48" s="184">
        <f>IFERROR(Επενδύσεις!E48/'Ενεργοί πελάτες'!X50,0)</f>
        <v>592.99057214020854</v>
      </c>
      <c r="E48" s="184">
        <f>IFERROR(Επενδύσεις!F48/'Ενεργοί πελάτες'!AA50,0)</f>
        <v>1175.1980495599985</v>
      </c>
      <c r="F48" s="184">
        <f>IFERROR(Επενδύσεις!G48/'Ενεργοί πελάτες'!AD50,0)</f>
        <v>553.17970653942666</v>
      </c>
      <c r="G48" s="184">
        <f>IFERROR(Επενδύσεις!H48/'Ενεργοί πελάτες'!AG50,0)</f>
        <v>1971.8714457611766</v>
      </c>
      <c r="H48" s="192">
        <f t="shared" si="0"/>
        <v>-5.0046054180921895E-2</v>
      </c>
    </row>
    <row r="49" spans="1:8" outlineLevel="1" x14ac:dyDescent="0.35">
      <c r="A49" s="48" t="s">
        <v>111</v>
      </c>
      <c r="B49" s="62" t="s">
        <v>262</v>
      </c>
      <c r="C49" s="184">
        <f>IFERROR(Επενδύσεις!D49/'Ενεργοί πελάτες'!U51,0)</f>
        <v>780.45619764783055</v>
      </c>
      <c r="D49" s="184">
        <f>IFERROR(Επενδύσεις!E49/'Ενεργοί πελάτες'!X51,0)</f>
        <v>2048.1899464783141</v>
      </c>
      <c r="E49" s="184">
        <f>IFERROR(Επενδύσεις!F49/'Ενεργοί πελάτες'!AA51,0)</f>
        <v>2249.0471556860693</v>
      </c>
      <c r="F49" s="184">
        <f>IFERROR(Επενδύσεις!G49/'Ενεργοί πελάτες'!AD51,0)</f>
        <v>555.03795874495165</v>
      </c>
      <c r="G49" s="184">
        <f>IFERROR(Επενδύσεις!H49/'Ενεργοί πελάτες'!AG51,0)</f>
        <v>1206.592952054375</v>
      </c>
      <c r="H49" s="192">
        <f t="shared" si="0"/>
        <v>0.11507239029225502</v>
      </c>
    </row>
    <row r="50" spans="1:8" outlineLevel="1" x14ac:dyDescent="0.35">
      <c r="A50" s="48" t="s">
        <v>112</v>
      </c>
      <c r="B50" s="62" t="s">
        <v>262</v>
      </c>
      <c r="C50" s="184">
        <f>IFERROR(Επενδύσεις!D50/'Ενεργοί πελάτες'!U52,0)</f>
        <v>1019.6840155013039</v>
      </c>
      <c r="D50" s="184">
        <f>IFERROR(Επενδύσεις!E50/'Ενεργοί πελάτες'!X52,0)</f>
        <v>1631.2811695487576</v>
      </c>
      <c r="E50" s="184">
        <f>IFERROR(Επενδύσεις!F50/'Ενεργοί πελάτες'!AA52,0)</f>
        <v>1296.6646972177748</v>
      </c>
      <c r="F50" s="184">
        <f>IFERROR(Επενδύσεις!G50/'Ενεργοί πελάτες'!AD52,0)</f>
        <v>1370.1491432351756</v>
      </c>
      <c r="G50" s="184">
        <f>IFERROR(Επενδύσεις!H50/'Ενεργοί πελάτες'!AG52,0)</f>
        <v>2263.1492764503714</v>
      </c>
      <c r="H50" s="192">
        <f t="shared" si="0"/>
        <v>0.22056776845308734</v>
      </c>
    </row>
    <row r="51" spans="1:8" outlineLevel="1" x14ac:dyDescent="0.35">
      <c r="A51" s="48" t="s">
        <v>113</v>
      </c>
      <c r="B51" s="62" t="s">
        <v>262</v>
      </c>
      <c r="C51" s="184">
        <f>IFERROR(Επενδύσεις!D51/'Ενεργοί πελάτες'!U53,0)</f>
        <v>0</v>
      </c>
      <c r="D51" s="184">
        <f>IFERROR(Επενδύσεις!E51/'Ενεργοί πελάτες'!X53,0)</f>
        <v>0</v>
      </c>
      <c r="E51" s="184">
        <f>IFERROR(Επενδύσεις!F51/'Ενεργοί πελάτες'!AA53,0)</f>
        <v>1554.3253551146006</v>
      </c>
      <c r="F51" s="184">
        <f>IFERROR(Επενδύσεις!G51/'Ενεργοί πελάτες'!AD53,0)</f>
        <v>0</v>
      </c>
      <c r="G51" s="184">
        <f>IFERROR(Επενδύσεις!H51/'Ενεργοί πελάτες'!AG53,0)</f>
        <v>0</v>
      </c>
      <c r="H51" s="192">
        <f t="shared" si="0"/>
        <v>0</v>
      </c>
    </row>
    <row r="52" spans="1:8" outlineLevel="1" x14ac:dyDescent="0.35">
      <c r="A52" s="48" t="s">
        <v>114</v>
      </c>
      <c r="B52" s="62" t="s">
        <v>262</v>
      </c>
      <c r="C52" s="184">
        <f>IFERROR(Επενδύσεις!D52/'Ενεργοί πελάτες'!U54,0)</f>
        <v>651.93750646188175</v>
      </c>
      <c r="D52" s="184">
        <f>IFERROR(Επενδύσεις!E52/'Ενεργοί πελάτες'!X54,0)</f>
        <v>536.41654891620567</v>
      </c>
      <c r="E52" s="184">
        <f>IFERROR(Επενδύσεις!F52/'Ενεργοί πελάτες'!AA54,0)</f>
        <v>505.88457818092365</v>
      </c>
      <c r="F52" s="184">
        <f>IFERROR(Επενδύσεις!G52/'Ενεργοί πελάτες'!AD54,0)</f>
        <v>481.99143422508172</v>
      </c>
      <c r="G52" s="184">
        <f>IFERROR(Επενδύσεις!H52/'Ενεργοί πελάτες'!AG54,0)</f>
        <v>486.12479385649766</v>
      </c>
      <c r="H52" s="192">
        <f t="shared" si="0"/>
        <v>-7.0743834570180075E-2</v>
      </c>
    </row>
    <row r="53" spans="1:8" outlineLevel="1" x14ac:dyDescent="0.35">
      <c r="A53" s="48" t="s">
        <v>115</v>
      </c>
      <c r="B53" s="62" t="s">
        <v>262</v>
      </c>
      <c r="C53" s="184">
        <f>IFERROR(Επενδύσεις!D53/'Ενεργοί πελάτες'!U55,0)</f>
        <v>1342.0227756691854</v>
      </c>
      <c r="D53" s="184">
        <f>IFERROR(Επενδύσεις!E53/'Ενεργοί πελάτες'!X55,0)</f>
        <v>1719.08846110442</v>
      </c>
      <c r="E53" s="184">
        <f>IFERROR(Επενδύσεις!F53/'Ενεργοί πελάτες'!AA55,0)</f>
        <v>1012.4023918858571</v>
      </c>
      <c r="F53" s="184">
        <f>IFERROR(Επενδύσεις!G53/'Ενεργοί πελάτες'!AD55,0)</f>
        <v>1859.3602964904292</v>
      </c>
      <c r="G53" s="184">
        <f>IFERROR(Επενδύσεις!H53/'Ενεργοί πελάτες'!AG55,0)</f>
        <v>1541.2276885379938</v>
      </c>
      <c r="H53" s="192">
        <f t="shared" si="0"/>
        <v>3.5205877436747191E-2</v>
      </c>
    </row>
    <row r="54" spans="1:8" outlineLevel="1" x14ac:dyDescent="0.35">
      <c r="A54" s="48" t="s">
        <v>116</v>
      </c>
      <c r="B54" s="62" t="s">
        <v>262</v>
      </c>
      <c r="C54" s="184">
        <f>IFERROR(Επενδύσεις!D54/'Ενεργοί πελάτες'!U56,0)</f>
        <v>655.04813789944262</v>
      </c>
      <c r="D54" s="184">
        <f>IFERROR(Επενδύσεις!E54/'Ενεργοί πελάτες'!X56,0)</f>
        <v>536.59814668351669</v>
      </c>
      <c r="E54" s="184">
        <f>IFERROR(Επενδύσεις!F54/'Ενεργοί πελάτες'!AA56,0)</f>
        <v>506.72986716815632</v>
      </c>
      <c r="F54" s="184">
        <f>IFERROR(Επενδύσεις!G54/'Ενεργοί πελάτες'!AD56,0)</f>
        <v>484.12789364143543</v>
      </c>
      <c r="G54" s="184">
        <f>IFERROR(Επενδύσεις!H54/'Ενεργοί πελάτες'!AG56,0)</f>
        <v>489.90802727625567</v>
      </c>
      <c r="H54" s="192">
        <f t="shared" si="0"/>
        <v>-7.0048423960392792E-2</v>
      </c>
    </row>
    <row r="55" spans="1:8" outlineLevel="1" x14ac:dyDescent="0.35">
      <c r="A55" s="48" t="s">
        <v>117</v>
      </c>
      <c r="B55" s="62" t="s">
        <v>262</v>
      </c>
      <c r="C55" s="184">
        <f>IFERROR(Επενδύσεις!D55/'Ενεργοί πελάτες'!U57,0)</f>
        <v>1090.4068741390654</v>
      </c>
      <c r="D55" s="184">
        <f>IFERROR(Επενδύσεις!E55/'Ενεργοί πελάτες'!X57,0)</f>
        <v>1464.5043265514757</v>
      </c>
      <c r="E55" s="184">
        <f>IFERROR(Επενδύσεις!F55/'Ενεργοί πελάτες'!AA57,0)</f>
        <v>1039.1509697082045</v>
      </c>
      <c r="F55" s="184">
        <f>IFERROR(Επενδύσεις!G55/'Ενεργοί πελάτες'!AD57,0)</f>
        <v>1742.3465389586208</v>
      </c>
      <c r="G55" s="184">
        <f>IFERROR(Επενδύσεις!H55/'Ενεργοί πελάτες'!AG57,0)</f>
        <v>945.28489534648099</v>
      </c>
      <c r="H55" s="192">
        <f t="shared" si="0"/>
        <v>-3.5075053673836898E-2</v>
      </c>
    </row>
    <row r="56" spans="1:8" outlineLevel="1" x14ac:dyDescent="0.35">
      <c r="A56" s="48" t="s">
        <v>118</v>
      </c>
      <c r="B56" s="62" t="s">
        <v>262</v>
      </c>
      <c r="C56" s="184">
        <f>IFERROR(Επενδύσεις!D56/'Ενεργοί πελάτες'!U58,0)</f>
        <v>643.97278353018055</v>
      </c>
      <c r="D56" s="184">
        <f>IFERROR(Επενδύσεις!E56/'Ενεργοί πελάτες'!X58,0)</f>
        <v>529.03471256547505</v>
      </c>
      <c r="E56" s="184">
        <f>IFERROR(Επενδύσεις!F56/'Ενεργοί πελάτες'!AA58,0)</f>
        <v>842.95886198036601</v>
      </c>
      <c r="F56" s="184">
        <f>IFERROR(Επενδύσεις!G56/'Ενεργοί πελάτες'!AD58,0)</f>
        <v>1848.3864804154146</v>
      </c>
      <c r="G56" s="184">
        <f>IFERROR(Επενδύσεις!H56/'Ενεργοί πελάτες'!AG58,0)</f>
        <v>1166.4935057952098</v>
      </c>
      <c r="H56" s="192">
        <f t="shared" si="0"/>
        <v>0.16012210805662908</v>
      </c>
    </row>
    <row r="57" spans="1:8" outlineLevel="1" x14ac:dyDescent="0.35">
      <c r="A57" s="48" t="s">
        <v>119</v>
      </c>
      <c r="B57" s="62" t="s">
        <v>262</v>
      </c>
      <c r="C57" s="184">
        <f>IFERROR(Επενδύσεις!D57/'Ενεργοί πελάτες'!U59,0)</f>
        <v>0</v>
      </c>
      <c r="D57" s="184">
        <f>IFERROR(Επενδύσεις!E57/'Ενεργοί πελάτες'!X59,0)</f>
        <v>0</v>
      </c>
      <c r="E57" s="184">
        <f>IFERROR(Επενδύσεις!F57/'Ενεργοί πελάτες'!AA59,0)</f>
        <v>0</v>
      </c>
      <c r="F57" s="184">
        <f>IFERROR(Επενδύσεις!G57/'Ενεργοί πελάτες'!AD59,0)</f>
        <v>0</v>
      </c>
      <c r="G57" s="184">
        <f>IFERROR(Επενδύσεις!H57/'Ενεργοί πελάτες'!AG59,0)</f>
        <v>0</v>
      </c>
      <c r="H57" s="192">
        <f t="shared" si="0"/>
        <v>0</v>
      </c>
    </row>
    <row r="58" spans="1:8" outlineLevel="1" x14ac:dyDescent="0.35">
      <c r="A58" s="48" t="s">
        <v>120</v>
      </c>
      <c r="B58" s="62" t="s">
        <v>262</v>
      </c>
      <c r="C58" s="184">
        <f>IFERROR(Επενδύσεις!D58/'Ενεργοί πελάτες'!U60,0)</f>
        <v>916.97744286373666</v>
      </c>
      <c r="D58" s="184">
        <f>IFERROR(Επενδύσεις!E58/'Ενεργοί πελάτες'!X60,0)</f>
        <v>1262.4531900835032</v>
      </c>
      <c r="E58" s="184">
        <f>IFERROR(Επενδύσεις!F58/'Ενεργοί πελάτες'!AA60,0)</f>
        <v>1010.2701200572499</v>
      </c>
      <c r="F58" s="184">
        <f>IFERROR(Επενδύσεις!G58/'Ενεργοί πελάτες'!AD60,0)</f>
        <v>843.45333561866823</v>
      </c>
      <c r="G58" s="184">
        <f>IFERROR(Επενδύσεις!H58/'Ενεργοί πελάτες'!AG60,0)</f>
        <v>1311.47260716342</v>
      </c>
      <c r="H58" s="192">
        <f t="shared" si="0"/>
        <v>9.3578952125764836E-2</v>
      </c>
    </row>
    <row r="59" spans="1:8" outlineLevel="1" x14ac:dyDescent="0.35">
      <c r="A59" s="48" t="s">
        <v>121</v>
      </c>
      <c r="B59" s="62" t="s">
        <v>262</v>
      </c>
      <c r="C59" s="184">
        <f>IFERROR(Επενδύσεις!D59/'Ενεργοί πελάτες'!U61,0)</f>
        <v>833.50694141827762</v>
      </c>
      <c r="D59" s="184">
        <f>IFERROR(Επενδύσεις!E59/'Ενεργοί πελάτες'!X61,0)</f>
        <v>1238.2764712718792</v>
      </c>
      <c r="E59" s="184">
        <f>IFERROR(Επενδύσεις!F59/'Ενεργοί πελάτες'!AA61,0)</f>
        <v>1275.3497659572058</v>
      </c>
      <c r="F59" s="184">
        <f>IFERROR(Επενδύσεις!G59/'Ενεργοί πελάτες'!AD61,0)</f>
        <v>1163.316748518761</v>
      </c>
      <c r="G59" s="184">
        <f>IFERROR(Επενδύσεις!H59/'Ενεργοί πελάτες'!AG61,0)</f>
        <v>1867.3869647228198</v>
      </c>
      <c r="H59" s="192">
        <f t="shared" si="0"/>
        <v>0.22343605599064209</v>
      </c>
    </row>
    <row r="60" spans="1:8" outlineLevel="1" x14ac:dyDescent="0.35">
      <c r="A60" s="48" t="s">
        <v>137</v>
      </c>
      <c r="B60" s="62" t="s">
        <v>262</v>
      </c>
      <c r="C60" s="184">
        <f>IFERROR(Επενδύσεις!D60/'Ενεργοί πελάτες'!U62,0)</f>
        <v>0</v>
      </c>
      <c r="D60" s="184">
        <f>IFERROR(Επενδύσεις!E60/'Ενεργοί πελάτες'!X62,0)</f>
        <v>0</v>
      </c>
      <c r="E60" s="184">
        <f>IFERROR(Επενδύσεις!F60/'Ενεργοί πελάτες'!AA62,0)</f>
        <v>0</v>
      </c>
      <c r="F60" s="184">
        <f>IFERROR(Επενδύσεις!G60/'Ενεργοί πελάτες'!AD62,0)</f>
        <v>0</v>
      </c>
      <c r="G60" s="184">
        <f>IFERROR(Επενδύσεις!H60/'Ενεργοί πελάτες'!AG62,0)</f>
        <v>0</v>
      </c>
      <c r="H60" s="192">
        <f t="shared" si="0"/>
        <v>0</v>
      </c>
    </row>
    <row r="61" spans="1:8" outlineLevel="1" x14ac:dyDescent="0.35">
      <c r="A61" s="48" t="s">
        <v>123</v>
      </c>
      <c r="B61" s="62" t="s">
        <v>262</v>
      </c>
      <c r="C61" s="184">
        <f>IFERROR(Επενδύσεις!D61/'Ενεργοί πελάτες'!U63,0)</f>
        <v>912.40206410494977</v>
      </c>
      <c r="D61" s="184">
        <f>IFERROR(Επενδύσεις!E61/'Ενεργοί πελάτες'!X63,0)</f>
        <v>934.20534833031297</v>
      </c>
      <c r="E61" s="184">
        <f>IFERROR(Επενδύσεις!F61/'Ενεργοί πελάτες'!AA63,0)</f>
        <v>1379.9395837786749</v>
      </c>
      <c r="F61" s="184">
        <f>IFERROR(Επενδύσεις!G61/'Ενεργοί πελάτες'!AD63,0)</f>
        <v>510.15385242708766</v>
      </c>
      <c r="G61" s="184">
        <f>IFERROR(Επενδύσεις!H61/'Ενεργοί πελάτες'!AG63,0)</f>
        <v>1596.6145706276839</v>
      </c>
      <c r="H61" s="192">
        <f t="shared" si="0"/>
        <v>0.15014728159758017</v>
      </c>
    </row>
    <row r="62" spans="1:8" outlineLevel="1" x14ac:dyDescent="0.35">
      <c r="A62" s="48" t="s">
        <v>124</v>
      </c>
      <c r="B62" s="62" t="s">
        <v>262</v>
      </c>
      <c r="C62" s="184">
        <f>IFERROR(Επενδύσεις!D62/'Ενεργοί πελάτες'!U64,0)</f>
        <v>23771.376408376513</v>
      </c>
      <c r="D62" s="184">
        <f>IFERROR(Επενδύσεις!E62/'Ενεργοί πελάτες'!X64,0)</f>
        <v>69085.620743325955</v>
      </c>
      <c r="E62" s="184">
        <f>IFERROR(Επενδύσεις!F62/'Ενεργοί πελάτες'!AA64,0)</f>
        <v>43693.872607588157</v>
      </c>
      <c r="F62" s="184">
        <f>IFERROR(Επενδύσεις!G62/'Ενεργοί πελάτες'!AD64,0)</f>
        <v>56829.064017385092</v>
      </c>
      <c r="G62" s="184">
        <f>IFERROR(Επενδύσεις!H62/'Ενεργοί πελάτες'!AG64,0)</f>
        <v>92982.758719549238</v>
      </c>
      <c r="H62" s="192">
        <f t="shared" si="0"/>
        <v>0.40632929821278174</v>
      </c>
    </row>
    <row r="63" spans="1:8" outlineLevel="1" x14ac:dyDescent="0.35">
      <c r="A63" s="48" t="s">
        <v>125</v>
      </c>
      <c r="B63" s="62" t="s">
        <v>262</v>
      </c>
      <c r="C63" s="184">
        <f>IFERROR(Επενδύσεις!D63/'Ενεργοί πελάτες'!U65,0)</f>
        <v>682.90515198504772</v>
      </c>
      <c r="D63" s="184">
        <f>IFERROR(Επενδύσεις!E63/'Ενεργοί πελάτες'!X65,0)</f>
        <v>213.18759838742855</v>
      </c>
      <c r="E63" s="184">
        <f>IFERROR(Επενδύσεις!F63/'Ενεργοί πελάτες'!AA65,0)</f>
        <v>209.60311749367281</v>
      </c>
      <c r="F63" s="184">
        <f>IFERROR(Επενδύσεις!G63/'Ενεργοί πελάτες'!AD65,0)</f>
        <v>208.06284562010509</v>
      </c>
      <c r="G63" s="184">
        <f>IFERROR(Επενδύσεις!H63/'Ενεργοί πελάτες'!AG65,0)</f>
        <v>213.87728360597433</v>
      </c>
      <c r="H63" s="192">
        <f t="shared" si="0"/>
        <v>-0.25191479172645714</v>
      </c>
    </row>
    <row r="64" spans="1:8" outlineLevel="1" x14ac:dyDescent="0.35">
      <c r="A64" s="48" t="s">
        <v>126</v>
      </c>
      <c r="B64" s="62" t="s">
        <v>262</v>
      </c>
      <c r="C64" s="184">
        <f>IFERROR(Επενδύσεις!D64/'Ενεργοί πελάτες'!U66,0)</f>
        <v>490.27423684682481</v>
      </c>
      <c r="D64" s="184">
        <f>IFERROR(Επενδύσεις!E64/'Ενεργοί πελάτες'!X66,0)</f>
        <v>396.01039479560393</v>
      </c>
      <c r="E64" s="184">
        <f>IFERROR(Επενδύσεις!F64/'Ενεργοί πελάτες'!AA66,0)</f>
        <v>341.09951785302246</v>
      </c>
      <c r="F64" s="184">
        <f>IFERROR(Επενδύσεις!G64/'Ενεργοί πελάτες'!AD66,0)</f>
        <v>423.11919828252337</v>
      </c>
      <c r="G64" s="184">
        <f>IFERROR(Επενδύσεις!H64/'Ενεργοί πελάτες'!AG66,0)</f>
        <v>234.03543156989113</v>
      </c>
      <c r="H64" s="192">
        <f t="shared" si="0"/>
        <v>-0.16879023831630791</v>
      </c>
    </row>
    <row r="65" spans="1:32" outlineLevel="1" x14ac:dyDescent="0.35">
      <c r="A65" s="48" t="s">
        <v>127</v>
      </c>
      <c r="B65" s="62" t="s">
        <v>262</v>
      </c>
      <c r="C65" s="184">
        <f>IFERROR(Επενδύσεις!D65/'Ενεργοί πελάτες'!U67,0)</f>
        <v>392320.92057941295</v>
      </c>
      <c r="D65" s="184">
        <f>IFERROR(Επενδύσεις!E65/'Ενεργοί πελάτες'!X67,0)</f>
        <v>0</v>
      </c>
      <c r="E65" s="184">
        <f>IFERROR(Επενδύσεις!F65/'Ενεργοί πελάτες'!AA67,0)</f>
        <v>0</v>
      </c>
      <c r="F65" s="184">
        <f>IFERROR(Επενδύσεις!G65/'Ενεργοί πελάτες'!AD67,0)</f>
        <v>0</v>
      </c>
      <c r="G65" s="184">
        <f>IFERROR(Επενδύσεις!H65/'Ενεργοί πελάτες'!AG67,0)</f>
        <v>0</v>
      </c>
      <c r="H65" s="192">
        <f t="shared" si="0"/>
        <v>-1</v>
      </c>
    </row>
    <row r="66" spans="1:32" outlineLevel="1" x14ac:dyDescent="0.35">
      <c r="A66" s="477" t="s">
        <v>151</v>
      </c>
      <c r="B66" s="478"/>
      <c r="C66" s="478"/>
      <c r="D66" s="478"/>
      <c r="E66" s="478"/>
      <c r="F66" s="478"/>
      <c r="G66" s="478"/>
      <c r="H66" s="479"/>
    </row>
    <row r="67" spans="1:32" outlineLevel="1" x14ac:dyDescent="0.35">
      <c r="A67" s="48" t="s">
        <v>138</v>
      </c>
      <c r="B67" s="59" t="s">
        <v>262</v>
      </c>
      <c r="C67" s="184">
        <f>SUM(C12:C65)</f>
        <v>485781.66917488695</v>
      </c>
      <c r="D67" s="184">
        <f t="shared" ref="D67:G67" si="1">SUM(D12:D65)</f>
        <v>176045.95666804365</v>
      </c>
      <c r="E67" s="184">
        <f t="shared" si="1"/>
        <v>96376.091230993479</v>
      </c>
      <c r="F67" s="184">
        <f t="shared" si="1"/>
        <v>143469.58729918304</v>
      </c>
      <c r="G67" s="184">
        <f t="shared" si="1"/>
        <v>159620.27973644948</v>
      </c>
      <c r="H67" s="192">
        <f>IFERROR((G67/C67)^(1/4)-1,0)</f>
        <v>-0.24288519933166774</v>
      </c>
    </row>
    <row r="69" spans="1:32" ht="15.5" x14ac:dyDescent="0.35">
      <c r="A69" s="419" t="s">
        <v>263</v>
      </c>
      <c r="B69" s="419"/>
      <c r="C69" s="419"/>
      <c r="D69" s="419"/>
      <c r="E69" s="419"/>
      <c r="F69" s="419"/>
      <c r="G69" s="419"/>
      <c r="H69" s="419"/>
    </row>
    <row r="70" spans="1:32" ht="5.9" customHeight="1" outlineLevel="1" x14ac:dyDescent="0.35">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row>
    <row r="71" spans="1:32" ht="36.75" customHeight="1" outlineLevel="1" x14ac:dyDescent="0.35">
      <c r="A71" s="60"/>
      <c r="B71" s="61" t="s">
        <v>134</v>
      </c>
      <c r="C71" s="90">
        <f>$B$3</f>
        <v>2024</v>
      </c>
      <c r="D71" s="90">
        <f>$B$3+1</f>
        <v>2025</v>
      </c>
      <c r="E71" s="90">
        <f>$B$3+2</f>
        <v>2026</v>
      </c>
      <c r="F71" s="90">
        <f>$B$3+3</f>
        <v>2027</v>
      </c>
      <c r="G71" s="90">
        <f>$B$3+4</f>
        <v>2028</v>
      </c>
      <c r="H71" s="233" t="str">
        <f>"Ετήσιος ρυθμός ανάπτυξης (CAGR) "&amp;$B$3&amp;" - "&amp;$D$3</f>
        <v>Ετήσιος ρυθμός ανάπτυξης (CAGR) 2024 - 2028</v>
      </c>
    </row>
    <row r="72" spans="1:32" outlineLevel="1" x14ac:dyDescent="0.35">
      <c r="A72" s="48" t="s">
        <v>74</v>
      </c>
      <c r="B72" s="62" t="s">
        <v>264</v>
      </c>
      <c r="C72" s="184">
        <f>IFERROR(Επενδύσεις!D12/'Διανεμόμενες ποσότητες αερίου'!P15,0)</f>
        <v>183.51208670799193</v>
      </c>
      <c r="D72" s="184">
        <f>IFERROR(Επενδύσεις!E12/'Διανεμόμενες ποσότητες αερίου'!T15,0)</f>
        <v>844.45981476525958</v>
      </c>
      <c r="E72" s="184">
        <f>IFERROR(Επενδύσεις!F12/'Διανεμόμενες ποσότητες αερίου'!Z15,0)</f>
        <v>597.97176002802496</v>
      </c>
      <c r="F72" s="184">
        <f>IFERROR(Επενδύσεις!G12/'Διανεμόμενες ποσότητες αερίου'!AF15,0)</f>
        <v>148.27389156800777</v>
      </c>
      <c r="G72" s="184">
        <f>IFERROR(Επενδύσεις!H12/'Διανεμόμενες ποσότητες αερίου'!AL15,0)</f>
        <v>350.65038854050192</v>
      </c>
      <c r="H72" s="192">
        <f t="shared" ref="H72:H125" si="2">IFERROR((G72/C72)^(1/4)-1,0)</f>
        <v>0.17571595745233304</v>
      </c>
    </row>
    <row r="73" spans="1:32" outlineLevel="1" x14ac:dyDescent="0.35">
      <c r="A73" s="48" t="s">
        <v>75</v>
      </c>
      <c r="B73" s="62" t="s">
        <v>264</v>
      </c>
      <c r="C73" s="184">
        <f>IFERROR(Επενδύσεις!D13/'Διανεμόμενες ποσότητες αερίου'!P16,0)</f>
        <v>114.98357792770733</v>
      </c>
      <c r="D73" s="184">
        <f>IFERROR(Επενδύσεις!E13/'Διανεμόμενες ποσότητες αερίου'!T16,0)</f>
        <v>170.30689515684162</v>
      </c>
      <c r="E73" s="184">
        <f>IFERROR(Επενδύσεις!F13/'Διανεμόμενες ποσότητες αερίου'!Z16,0)</f>
        <v>118.65768502255678</v>
      </c>
      <c r="F73" s="184">
        <f>IFERROR(Επενδύσεις!G13/'Διανεμόμενες ποσότητες αερίου'!AF16,0)</f>
        <v>129.61947280200317</v>
      </c>
      <c r="G73" s="184">
        <f>IFERROR(Επενδύσεις!H13/'Διανεμόμενες ποσότητες αερίου'!AL16,0)</f>
        <v>104.50429304089938</v>
      </c>
      <c r="H73" s="192">
        <f t="shared" si="2"/>
        <v>-2.3607177341651409E-2</v>
      </c>
    </row>
    <row r="74" spans="1:32" outlineLevel="1" x14ac:dyDescent="0.35">
      <c r="A74" s="48" t="s">
        <v>76</v>
      </c>
      <c r="B74" s="62" t="s">
        <v>264</v>
      </c>
      <c r="C74" s="184">
        <f>IFERROR(Επενδύσεις!D14/'Διανεμόμενες ποσότητες αερίου'!P17,0)</f>
        <v>199.63044217329926</v>
      </c>
      <c r="D74" s="184">
        <f>IFERROR(Επενδύσεις!E14/'Διανεμόμενες ποσότητες αερίου'!T17,0)</f>
        <v>371.37697568394975</v>
      </c>
      <c r="E74" s="184">
        <f>IFERROR(Επενδύσεις!F14/'Διανεμόμενες ποσότητες αερίου'!Z17,0)</f>
        <v>464.13156821064109</v>
      </c>
      <c r="F74" s="184">
        <f>IFERROR(Επενδύσεις!G14/'Διανεμόμενες ποσότητες αερίου'!AF17,0)</f>
        <v>274.36032545915981</v>
      </c>
      <c r="G74" s="184">
        <f>IFERROR(Επενδύσεις!H14/'Διανεμόμενες ποσότητες αερίου'!AL17,0)</f>
        <v>356.02746348071145</v>
      </c>
      <c r="H74" s="192">
        <f t="shared" si="2"/>
        <v>0.15561769407574455</v>
      </c>
    </row>
    <row r="75" spans="1:32" outlineLevel="1" x14ac:dyDescent="0.35">
      <c r="A75" s="48" t="s">
        <v>77</v>
      </c>
      <c r="B75" s="62" t="s">
        <v>264</v>
      </c>
      <c r="C75" s="184">
        <f>IFERROR(Επενδύσεις!D15/'Διανεμόμενες ποσότητες αερίου'!P18,0)</f>
        <v>152.14689264516363</v>
      </c>
      <c r="D75" s="184">
        <f>IFERROR(Επενδύσεις!E15/'Διανεμόμενες ποσότητες αερίου'!T18,0)</f>
        <v>134.48254964972122</v>
      </c>
      <c r="E75" s="184">
        <f>IFERROR(Επενδύσεις!F15/'Διανεμόμενες ποσότητες αερίου'!Z18,0)</f>
        <v>605.34347331455444</v>
      </c>
      <c r="F75" s="184">
        <f>IFERROR(Επενδύσεις!G15/'Διανεμόμενες ποσότητες αερίου'!AF18,0)</f>
        <v>341.16364094154306</v>
      </c>
      <c r="G75" s="184">
        <f>IFERROR(Επενδύσεις!H15/'Διανεμόμενες ποσότητες αερίου'!AL18,0)</f>
        <v>135.4832550012483</v>
      </c>
      <c r="H75" s="192">
        <f t="shared" si="2"/>
        <v>-2.8583146920135416E-2</v>
      </c>
    </row>
    <row r="76" spans="1:32" outlineLevel="1" x14ac:dyDescent="0.35">
      <c r="A76" s="48" t="s">
        <v>78</v>
      </c>
      <c r="B76" s="62" t="s">
        <v>264</v>
      </c>
      <c r="C76" s="184">
        <f>IFERROR(Επενδύσεις!D16/'Διανεμόμενες ποσότητες αερίου'!P19,0)</f>
        <v>138.01751239428219</v>
      </c>
      <c r="D76" s="184">
        <f>IFERROR(Επενδύσεις!E16/'Διανεμόμενες ποσότητες αερίου'!T19,0)</f>
        <v>186.30300246819544</v>
      </c>
      <c r="E76" s="184">
        <f>IFERROR(Επενδύσεις!F16/'Διανεμόμενες ποσότητες αερίου'!Z19,0)</f>
        <v>160.66853135311396</v>
      </c>
      <c r="F76" s="184">
        <f>IFERROR(Επενδύσεις!G16/'Διανεμόμενες ποσότητες αερίου'!AF19,0)</f>
        <v>233.05742669286204</v>
      </c>
      <c r="G76" s="184">
        <f>IFERROR(Επενδύσεις!H16/'Διανεμόμενες ποσότητες αερίου'!AL19,0)</f>
        <v>188.81393916533858</v>
      </c>
      <c r="H76" s="192">
        <f t="shared" si="2"/>
        <v>8.1496116652298944E-2</v>
      </c>
    </row>
    <row r="77" spans="1:32" outlineLevel="1" x14ac:dyDescent="0.35">
      <c r="A77" s="48" t="s">
        <v>79</v>
      </c>
      <c r="B77" s="62" t="s">
        <v>264</v>
      </c>
      <c r="C77" s="184">
        <f>IFERROR(Επενδύσεις!D17/'Διανεμόμενες ποσότητες αερίου'!P20,0)</f>
        <v>195.34414984989118</v>
      </c>
      <c r="D77" s="184">
        <f>IFERROR(Επενδύσεις!E17/'Διανεμόμενες ποσότητες αερίου'!T20,0)</f>
        <v>154.99504887720241</v>
      </c>
      <c r="E77" s="184">
        <f>IFERROR(Επενδύσεις!F17/'Διανεμόμενες ποσότητες αερίου'!Z20,0)</f>
        <v>146.02508755865429</v>
      </c>
      <c r="F77" s="184">
        <f>IFERROR(Επενδύσεις!G17/'Διανεμόμενες ποσότητες αερίου'!AF20,0)</f>
        <v>298.89156683333766</v>
      </c>
      <c r="G77" s="184">
        <f>IFERROR(Επενδύσεις!H17/'Διανεμόμενες ποσότητες αερίου'!AL20,0)</f>
        <v>413.34972744094097</v>
      </c>
      <c r="H77" s="192">
        <f t="shared" si="2"/>
        <v>0.20608887493841621</v>
      </c>
    </row>
    <row r="78" spans="1:32" outlineLevel="1" x14ac:dyDescent="0.35">
      <c r="A78" s="48" t="s">
        <v>80</v>
      </c>
      <c r="B78" s="62" t="s">
        <v>264</v>
      </c>
      <c r="C78" s="184">
        <f>IFERROR(Επενδύσεις!D18/'Διανεμόμενες ποσότητες αερίου'!P21,0)</f>
        <v>205.04874726263256</v>
      </c>
      <c r="D78" s="184">
        <f>IFERROR(Επενδύσεις!E18/'Διανεμόμενες ποσότητες αερίου'!T21,0)</f>
        <v>215.81221187734243</v>
      </c>
      <c r="E78" s="184">
        <f>IFERROR(Επενδύσεις!F18/'Διανεμόμενες ποσότητες αερίου'!Z21,0)</f>
        <v>157.20261707986006</v>
      </c>
      <c r="F78" s="184">
        <f>IFERROR(Επενδύσεις!G18/'Διανεμόμενες ποσότητες αερίου'!AF21,0)</f>
        <v>130.69683773504218</v>
      </c>
      <c r="G78" s="184">
        <f>IFERROR(Επενδύσεις!H18/'Διανεμόμενες ποσότητες αερίου'!AL21,0)</f>
        <v>271.62453764413925</v>
      </c>
      <c r="H78" s="192">
        <f t="shared" si="2"/>
        <v>7.2822738787811536E-2</v>
      </c>
    </row>
    <row r="79" spans="1:32" outlineLevel="1" x14ac:dyDescent="0.35">
      <c r="A79" s="48" t="s">
        <v>81</v>
      </c>
      <c r="B79" s="62" t="s">
        <v>264</v>
      </c>
      <c r="C79" s="184">
        <f>IFERROR(Επενδύσεις!D19/'Διανεμόμενες ποσότητες αερίου'!P22,0)</f>
        <v>161.14923223789415</v>
      </c>
      <c r="D79" s="184">
        <f>IFERROR(Επενδύσεις!E19/'Διανεμόμενες ποσότητες αερίου'!T22,0)</f>
        <v>112.25377425407444</v>
      </c>
      <c r="E79" s="184">
        <f>IFERROR(Επενδύσεις!F19/'Διανεμόμενες ποσότητες αερίου'!Z22,0)</f>
        <v>98.950589786377847</v>
      </c>
      <c r="F79" s="184">
        <f>IFERROR(Επενδύσεις!G19/'Διανεμόμενες ποσότητες αερίου'!AF22,0)</f>
        <v>86.32627612485328</v>
      </c>
      <c r="G79" s="184">
        <f>IFERROR(Επενδύσεις!H19/'Διανεμόμενες ποσότητες αερίου'!AL22,0)</f>
        <v>106.18756334788517</v>
      </c>
      <c r="H79" s="192">
        <f t="shared" si="2"/>
        <v>-9.9027877068847858E-2</v>
      </c>
    </row>
    <row r="80" spans="1:32" outlineLevel="1" x14ac:dyDescent="0.35">
      <c r="A80" s="48" t="s">
        <v>82</v>
      </c>
      <c r="B80" s="62" t="s">
        <v>264</v>
      </c>
      <c r="C80" s="184">
        <f>IFERROR(Επενδύσεις!D20/'Διανεμόμενες ποσότητες αερίου'!P23,0)</f>
        <v>0</v>
      </c>
      <c r="D80" s="184">
        <f>IFERROR(Επενδύσεις!E20/'Διανεμόμενες ποσότητες αερίου'!T23,0)</f>
        <v>0</v>
      </c>
      <c r="E80" s="184">
        <f>IFERROR(Επενδύσεις!F20/'Διανεμόμενες ποσότητες αερίου'!Z23,0)</f>
        <v>0</v>
      </c>
      <c r="F80" s="184">
        <f>IFERROR(Επενδύσεις!G20/'Διανεμόμενες ποσότητες αερίου'!AF23,0)</f>
        <v>0</v>
      </c>
      <c r="G80" s="184">
        <f>IFERROR(Επενδύσεις!H20/'Διανεμόμενες ποσότητες αερίου'!AL23,0)</f>
        <v>0</v>
      </c>
      <c r="H80" s="192">
        <f t="shared" si="2"/>
        <v>0</v>
      </c>
    </row>
    <row r="81" spans="1:8" outlineLevel="1" x14ac:dyDescent="0.35">
      <c r="A81" s="48" t="s">
        <v>83</v>
      </c>
      <c r="B81" s="62" t="s">
        <v>264</v>
      </c>
      <c r="C81" s="184">
        <f>IFERROR(Επενδύσεις!D21/'Διανεμόμενες ποσότητες αερίου'!P24,0)</f>
        <v>25.143721230136503</v>
      </c>
      <c r="D81" s="184">
        <f>IFERROR(Επενδύσεις!E21/'Διανεμόμενες ποσότητες αερίου'!T24,0)</f>
        <v>1068.9846962279896</v>
      </c>
      <c r="E81" s="184">
        <f>IFERROR(Επενδύσεις!F21/'Διανεμόμενες ποσότητες αερίου'!Z24,0)</f>
        <v>309.89142085291633</v>
      </c>
      <c r="F81" s="184">
        <f>IFERROR(Επενδύσεις!G21/'Διανεμόμενες ποσότητες αερίου'!AF24,0)</f>
        <v>944.20712721069322</v>
      </c>
      <c r="G81" s="184">
        <f>IFERROR(Επενδύσεις!H21/'Διανεμόμενες ποσότητες αερίου'!AL24,0)</f>
        <v>457.00944196684566</v>
      </c>
      <c r="H81" s="192">
        <f t="shared" si="2"/>
        <v>1.064780570969003</v>
      </c>
    </row>
    <row r="82" spans="1:8" outlineLevel="1" x14ac:dyDescent="0.35">
      <c r="A82" s="48" t="s">
        <v>84</v>
      </c>
      <c r="B82" s="62" t="s">
        <v>264</v>
      </c>
      <c r="C82" s="184">
        <f>IFERROR(Επενδύσεις!D22/'Διανεμόμενες ποσότητες αερίου'!P25,0)</f>
        <v>162.43033784072873</v>
      </c>
      <c r="D82" s="184">
        <f>IFERROR(Επενδύσεις!E22/'Διανεμόμενες ποσότητες αερίου'!T25,0)</f>
        <v>466.83483665818784</v>
      </c>
      <c r="E82" s="184">
        <f>IFERROR(Επενδύσεις!F22/'Διανεμόμενες ποσότητες αερίου'!Z25,0)</f>
        <v>534.53874659760538</v>
      </c>
      <c r="F82" s="184">
        <f>IFERROR(Επενδύσεις!G22/'Διανεμόμενες ποσότητες αερίου'!AF25,0)</f>
        <v>472.92626794761577</v>
      </c>
      <c r="G82" s="184">
        <f>IFERROR(Επενδύσεις!H22/'Διανεμόμενες ποσότητες αερίου'!AL25,0)</f>
        <v>198.06220163316007</v>
      </c>
      <c r="H82" s="192">
        <f t="shared" si="2"/>
        <v>5.0832784436464884E-2</v>
      </c>
    </row>
    <row r="83" spans="1:8" outlineLevel="1" x14ac:dyDescent="0.35">
      <c r="A83" s="48" t="s">
        <v>85</v>
      </c>
      <c r="B83" s="62" t="s">
        <v>264</v>
      </c>
      <c r="C83" s="184">
        <f>IFERROR(Επενδύσεις!D23/'Διανεμόμενες ποσότητες αερίου'!P26,0)</f>
        <v>127.57679609577984</v>
      </c>
      <c r="D83" s="184">
        <f>IFERROR(Επενδύσεις!E23/'Διανεμόμενες ποσότητες αερίου'!T26,0)</f>
        <v>177.00770989211469</v>
      </c>
      <c r="E83" s="184">
        <f>IFERROR(Επενδύσεις!F23/'Διανεμόμενες ποσότητες αερίου'!Z26,0)</f>
        <v>92.944890506785427</v>
      </c>
      <c r="F83" s="184">
        <f>IFERROR(Επενδύσεις!G23/'Διανεμόμενες ποσότητες αερίου'!AF26,0)</f>
        <v>106.14089653852106</v>
      </c>
      <c r="G83" s="184">
        <f>IFERROR(Επενδύσεις!H23/'Διανεμόμενες ποσότητες αερίου'!AL26,0)</f>
        <v>124.53336024268445</v>
      </c>
      <c r="H83" s="192">
        <f t="shared" si="2"/>
        <v>-6.018036593749887E-3</v>
      </c>
    </row>
    <row r="84" spans="1:8" outlineLevel="1" x14ac:dyDescent="0.35">
      <c r="A84" s="48" t="s">
        <v>86</v>
      </c>
      <c r="B84" s="62" t="s">
        <v>264</v>
      </c>
      <c r="C84" s="184">
        <f>IFERROR(Επενδύσεις!D24/'Διανεμόμενες ποσότητες αερίου'!P27,0)</f>
        <v>381.12849426506875</v>
      </c>
      <c r="D84" s="184">
        <f>IFERROR(Επενδύσεις!E24/'Διανεμόμενες ποσότητες αερίου'!T27,0)</f>
        <v>355.31567343048312</v>
      </c>
      <c r="E84" s="184">
        <f>IFERROR(Επενδύσεις!F24/'Διανεμόμενες ποσότητες αερίου'!Z27,0)</f>
        <v>267.87367229982129</v>
      </c>
      <c r="F84" s="184">
        <f>IFERROR(Επενδύσεις!G24/'Διανεμόμενες ποσότητες αερίου'!AF27,0)</f>
        <v>219.69932252905687</v>
      </c>
      <c r="G84" s="184">
        <f>IFERROR(Επενδύσεις!H24/'Διανεμόμενες ποσότητες αερίου'!AL27,0)</f>
        <v>200.48650686902374</v>
      </c>
      <c r="H84" s="192">
        <f t="shared" si="2"/>
        <v>-0.14836513534351248</v>
      </c>
    </row>
    <row r="85" spans="1:8" outlineLevel="1" x14ac:dyDescent="0.35">
      <c r="A85" s="48" t="s">
        <v>87</v>
      </c>
      <c r="B85" s="62" t="s">
        <v>264</v>
      </c>
      <c r="C85" s="184">
        <f>IFERROR(Επενδύσεις!D25/'Διανεμόμενες ποσότητες αερίου'!P28,0)</f>
        <v>114.02182965233406</v>
      </c>
      <c r="D85" s="184">
        <f>IFERROR(Επενδύσεις!E25/'Διανεμόμενες ποσότητες αερίου'!T28,0)</f>
        <v>332.21184296427424</v>
      </c>
      <c r="E85" s="184">
        <f>IFERROR(Επενδύσεις!F25/'Διανεμόμενες ποσότητες αερίου'!Z28,0)</f>
        <v>146.48084305677421</v>
      </c>
      <c r="F85" s="184">
        <f>IFERROR(Επενδύσεις!G25/'Διανεμόμενες ποσότητες αερίου'!AF28,0)</f>
        <v>140.00591053747982</v>
      </c>
      <c r="G85" s="184">
        <f>IFERROR(Επενδύσεις!H25/'Διανεμόμενες ποσότητες αερίου'!AL28,0)</f>
        <v>344.36872495565802</v>
      </c>
      <c r="H85" s="192">
        <f t="shared" si="2"/>
        <v>0.31828382746778905</v>
      </c>
    </row>
    <row r="86" spans="1:8" outlineLevel="1" x14ac:dyDescent="0.35">
      <c r="A86" s="48" t="s">
        <v>88</v>
      </c>
      <c r="B86" s="62" t="s">
        <v>264</v>
      </c>
      <c r="C86" s="184">
        <f>IFERROR(Επενδύσεις!D26/'Διανεμόμενες ποσότητες αερίου'!P29,0)</f>
        <v>226.7173037242959</v>
      </c>
      <c r="D86" s="184">
        <f>IFERROR(Επενδύσεις!E26/'Διανεμόμενες ποσότητες αερίου'!T29,0)</f>
        <v>459.11707971261154</v>
      </c>
      <c r="E86" s="184">
        <f>IFERROR(Επενδύσεις!F26/'Διανεμόμενες ποσότητες αερίου'!Z29,0)</f>
        <v>371.73629952290088</v>
      </c>
      <c r="F86" s="184">
        <f>IFERROR(Επενδύσεις!G26/'Διανεμόμενες ποσότητες αερίου'!AF29,0)</f>
        <v>139.54210728209259</v>
      </c>
      <c r="G86" s="184">
        <f>IFERROR(Επενδύσεις!H26/'Διανεμόμενες ποσότητες αερίου'!AL29,0)</f>
        <v>500.43762132783786</v>
      </c>
      <c r="H86" s="192">
        <f t="shared" si="2"/>
        <v>0.21889507084596604</v>
      </c>
    </row>
    <row r="87" spans="1:8" outlineLevel="1" x14ac:dyDescent="0.35">
      <c r="A87" s="48" t="s">
        <v>89</v>
      </c>
      <c r="B87" s="62" t="s">
        <v>264</v>
      </c>
      <c r="C87" s="184">
        <f>IFERROR(Επενδύσεις!D27/'Διανεμόμενες ποσότητες αερίου'!P30,0)</f>
        <v>256.70329593733288</v>
      </c>
      <c r="D87" s="184">
        <f>IFERROR(Επενδύσεις!E27/'Διανεμόμενες ποσότητες αερίου'!T30,0)</f>
        <v>230.75696418078937</v>
      </c>
      <c r="E87" s="184">
        <f>IFERROR(Επενδύσεις!F27/'Διανεμόμενες ποσότητες αερίου'!Z30,0)</f>
        <v>301.28500320332245</v>
      </c>
      <c r="F87" s="184">
        <f>IFERROR(Επενδύσεις!G27/'Διανεμόμενες ποσότητες αερίου'!AF30,0)</f>
        <v>405.07466807364142</v>
      </c>
      <c r="G87" s="184">
        <f>IFERROR(Επενδύσεις!H27/'Διανεμόμενες ποσότητες αερίου'!AL30,0)</f>
        <v>229.65751242561939</v>
      </c>
      <c r="H87" s="192">
        <f t="shared" si="2"/>
        <v>-2.7449183297630131E-2</v>
      </c>
    </row>
    <row r="88" spans="1:8" outlineLevel="1" x14ac:dyDescent="0.35">
      <c r="A88" s="48" t="s">
        <v>90</v>
      </c>
      <c r="B88" s="62" t="s">
        <v>264</v>
      </c>
      <c r="C88" s="184">
        <f>IFERROR(Επενδύσεις!D28/'Διανεμόμενες ποσότητες αερίου'!P31,0)</f>
        <v>5.0138285798117863</v>
      </c>
      <c r="D88" s="184">
        <f>IFERROR(Επενδύσεις!E28/'Διανεμόμενες ποσότητες αερίου'!T31,0)</f>
        <v>9651.7974066005008</v>
      </c>
      <c r="E88" s="184">
        <f>IFERROR(Επενδύσεις!F28/'Διανεμόμενες ποσότητες αερίου'!Z31,0)</f>
        <v>121.99004761620216</v>
      </c>
      <c r="F88" s="184">
        <f>IFERROR(Επενδύσεις!G28/'Διανεμόμενες ποσότητες αερίου'!AF31,0)</f>
        <v>3998.2757224744055</v>
      </c>
      <c r="G88" s="184">
        <f>IFERROR(Επενδύσεις!H28/'Διανεμόμενες ποσότητες αερίου'!AL31,0)</f>
        <v>120.80912778114732</v>
      </c>
      <c r="H88" s="192">
        <f t="shared" si="2"/>
        <v>1.2155551590360321</v>
      </c>
    </row>
    <row r="89" spans="1:8" outlineLevel="1" x14ac:dyDescent="0.35">
      <c r="A89" s="48" t="s">
        <v>91</v>
      </c>
      <c r="B89" s="62" t="s">
        <v>264</v>
      </c>
      <c r="C89" s="184">
        <f>IFERROR(Επενδύσεις!D29/'Διανεμόμενες ποσότητες αερίου'!P32,0)</f>
        <v>54.817549020460788</v>
      </c>
      <c r="D89" s="184">
        <f>IFERROR(Επενδύσεις!E29/'Διανεμόμενες ποσότητες αερίου'!T32,0)</f>
        <v>1320.9101459291351</v>
      </c>
      <c r="E89" s="184">
        <f>IFERROR(Επενδύσεις!F29/'Διανεμόμενες ποσότητες αερίου'!Z32,0)</f>
        <v>923.1129440753067</v>
      </c>
      <c r="F89" s="184">
        <f>IFERROR(Επενδύσεις!G29/'Διανεμόμενες ποσότητες αερίου'!AF32,0)</f>
        <v>158.10865873423495</v>
      </c>
      <c r="G89" s="184">
        <f>IFERROR(Επενδύσεις!H29/'Διανεμόμενες ποσότητες αερίου'!AL32,0)</f>
        <v>1194.8958194239108</v>
      </c>
      <c r="H89" s="192">
        <f t="shared" si="2"/>
        <v>1.1607404739634375</v>
      </c>
    </row>
    <row r="90" spans="1:8" outlineLevel="1" x14ac:dyDescent="0.35">
      <c r="A90" s="48" t="s">
        <v>92</v>
      </c>
      <c r="B90" s="62" t="s">
        <v>264</v>
      </c>
      <c r="C90" s="184">
        <f>IFERROR(Επενδύσεις!D30/'Διανεμόμενες ποσότητες αερίου'!P33,0)</f>
        <v>179.30941448727555</v>
      </c>
      <c r="D90" s="184">
        <f>IFERROR(Επενδύσεις!E30/'Διανεμόμενες ποσότητες αερίου'!T33,0)</f>
        <v>282.55591167937888</v>
      </c>
      <c r="E90" s="184">
        <f>IFERROR(Επενδύσεις!F30/'Διανεμόμενες ποσότητες αερίου'!Z33,0)</f>
        <v>261.8205189483615</v>
      </c>
      <c r="F90" s="184">
        <f>IFERROR(Επενδύσεις!G30/'Διανεμόμενες ποσότητες αερίου'!AF33,0)</f>
        <v>136.78588931305808</v>
      </c>
      <c r="G90" s="184">
        <f>IFERROR(Επενδύσεις!H30/'Διανεμόμενες ποσότητες αερίου'!AL33,0)</f>
        <v>138.34346431925013</v>
      </c>
      <c r="H90" s="192">
        <f t="shared" si="2"/>
        <v>-6.2785738475867103E-2</v>
      </c>
    </row>
    <row r="91" spans="1:8" outlineLevel="1" x14ac:dyDescent="0.35">
      <c r="A91" s="48" t="s">
        <v>93</v>
      </c>
      <c r="B91" s="62" t="s">
        <v>264</v>
      </c>
      <c r="C91" s="184">
        <f>IFERROR(Επενδύσεις!D31/'Διανεμόμενες ποσότητες αερίου'!P34,0)</f>
        <v>213.54882410378485</v>
      </c>
      <c r="D91" s="184">
        <f>IFERROR(Επενδύσεις!E31/'Διανεμόμενες ποσότητες αερίου'!T34,0)</f>
        <v>225.37328993610475</v>
      </c>
      <c r="E91" s="184">
        <f>IFERROR(Επενδύσεις!F31/'Διανεμόμενες ποσότητες αερίου'!Z34,0)</f>
        <v>300.91627248985355</v>
      </c>
      <c r="F91" s="184">
        <f>IFERROR(Επενδύσεις!G31/'Διανεμόμενες ποσότητες αερίου'!AF34,0)</f>
        <v>194.67357634050043</v>
      </c>
      <c r="G91" s="184">
        <f>IFERROR(Επενδύσεις!H31/'Διανεμόμενες ποσότητες αερίου'!AL34,0)</f>
        <v>202.20690298763583</v>
      </c>
      <c r="H91" s="192">
        <f t="shared" si="2"/>
        <v>-1.3550860499261796E-2</v>
      </c>
    </row>
    <row r="92" spans="1:8" outlineLevel="1" x14ac:dyDescent="0.35">
      <c r="A92" s="48" t="s">
        <v>94</v>
      </c>
      <c r="B92" s="62" t="s">
        <v>264</v>
      </c>
      <c r="C92" s="184">
        <f>IFERROR(Επενδύσεις!D32/'Διανεμόμενες ποσότητες αερίου'!P35,0)</f>
        <v>181.09301954352421</v>
      </c>
      <c r="D92" s="184">
        <f>IFERROR(Επενδύσεις!E32/'Διανεμόμενες ποσότητες αερίου'!T35,0)</f>
        <v>358.92607018131594</v>
      </c>
      <c r="E92" s="184">
        <f>IFERROR(Επενδύσεις!F32/'Διανεμόμενες ποσότητες αερίου'!Z35,0)</f>
        <v>262.2243688689822</v>
      </c>
      <c r="F92" s="184">
        <f>IFERROR(Επενδύσεις!G32/'Διανεμόμενες ποσότητες αερίου'!AF35,0)</f>
        <v>333.21974836039044</v>
      </c>
      <c r="G92" s="184">
        <f>IFERROR(Επενδύσεις!H32/'Διανεμόμενες ποσότητες αερίου'!AL35,0)</f>
        <v>283.89725862117615</v>
      </c>
      <c r="H92" s="192">
        <f t="shared" si="2"/>
        <v>0.11896079948327465</v>
      </c>
    </row>
    <row r="93" spans="1:8" outlineLevel="1" x14ac:dyDescent="0.35">
      <c r="A93" s="48" t="s">
        <v>95</v>
      </c>
      <c r="B93" s="62" t="s">
        <v>264</v>
      </c>
      <c r="C93" s="184">
        <f>IFERROR(Επενδύσεις!D33/'Διανεμόμενες ποσότητες αερίου'!P36,0)</f>
        <v>61.296651015331747</v>
      </c>
      <c r="D93" s="184">
        <f>IFERROR(Επενδύσεις!E33/'Διανεμόμενες ποσότητες αερίου'!T36,0)</f>
        <v>199.02327412106149</v>
      </c>
      <c r="E93" s="184">
        <f>IFERROR(Επενδύσεις!F33/'Διανεμόμενες ποσότητες αερίου'!Z36,0)</f>
        <v>221.55496289570786</v>
      </c>
      <c r="F93" s="184">
        <f>IFERROR(Επενδύσεις!G33/'Διανεμόμενες ποσότητες αερίου'!AF36,0)</f>
        <v>227.06696242690461</v>
      </c>
      <c r="G93" s="184">
        <f>IFERROR(Επενδύσεις!H33/'Διανεμόμενες ποσότητες αερίου'!AL36,0)</f>
        <v>94.959132554998959</v>
      </c>
      <c r="H93" s="192">
        <f t="shared" si="2"/>
        <v>0.11564236559768326</v>
      </c>
    </row>
    <row r="94" spans="1:8" outlineLevel="1" x14ac:dyDescent="0.35">
      <c r="A94" s="48" t="s">
        <v>96</v>
      </c>
      <c r="B94" s="62" t="s">
        <v>264</v>
      </c>
      <c r="C94" s="184">
        <f>IFERROR(Επενδύσεις!D34/'Διανεμόμενες ποσότητες αερίου'!P37,0)</f>
        <v>173.97422481995855</v>
      </c>
      <c r="D94" s="184">
        <f>IFERROR(Επενδύσεις!E34/'Διανεμόμενες ποσότητες αερίου'!T37,0)</f>
        <v>243.51323452774221</v>
      </c>
      <c r="E94" s="184">
        <f>IFERROR(Επενδύσεις!F34/'Διανεμόμενες ποσότητες αερίου'!Z37,0)</f>
        <v>254.38978344990889</v>
      </c>
      <c r="F94" s="184">
        <f>IFERROR(Επενδύσεις!G34/'Διανεμόμενες ποσότητες αερίου'!AF37,0)</f>
        <v>142.30803554084341</v>
      </c>
      <c r="G94" s="184">
        <f>IFERROR(Επενδύσεις!H34/'Διανεμόμενες ποσότητες αερίου'!AL37,0)</f>
        <v>236.00468723323061</v>
      </c>
      <c r="H94" s="192">
        <f t="shared" si="2"/>
        <v>7.9217377234139352E-2</v>
      </c>
    </row>
    <row r="95" spans="1:8" outlineLevel="1" x14ac:dyDescent="0.35">
      <c r="A95" s="48" t="s">
        <v>97</v>
      </c>
      <c r="B95" s="62" t="s">
        <v>264</v>
      </c>
      <c r="C95" s="184">
        <f>IFERROR(Επενδύσεις!D35/'Διανεμόμενες ποσότητες αερίου'!P38,0)</f>
        <v>211.04882441006345</v>
      </c>
      <c r="D95" s="184">
        <f>IFERROR(Επενδύσεις!E35/'Διανεμόμενες ποσότητες αερίου'!T38,0)</f>
        <v>294.48230200408483</v>
      </c>
      <c r="E95" s="184">
        <f>IFERROR(Επενδύσεις!F35/'Διανεμόμενες ποσότητες αερίου'!Z38,0)</f>
        <v>158.56190529680606</v>
      </c>
      <c r="F95" s="184">
        <f>IFERROR(Επενδύσεις!G35/'Διανεμόμενες ποσότητες αερίου'!AF38,0)</f>
        <v>136.22225337475263</v>
      </c>
      <c r="G95" s="184">
        <f>IFERROR(Επενδύσεις!H35/'Διανεμόμενες ποσότητες αερίου'!AL38,0)</f>
        <v>308.56527969206741</v>
      </c>
      <c r="H95" s="192">
        <f t="shared" si="2"/>
        <v>9.9615947957530704E-2</v>
      </c>
    </row>
    <row r="96" spans="1:8" outlineLevel="1" x14ac:dyDescent="0.35">
      <c r="A96" s="48" t="s">
        <v>98</v>
      </c>
      <c r="B96" s="62" t="s">
        <v>264</v>
      </c>
      <c r="C96" s="184">
        <f>IFERROR(Επενδύσεις!D36/'Διανεμόμενες ποσότητες αερίου'!P39,0)</f>
        <v>264.09133696307663</v>
      </c>
      <c r="D96" s="184">
        <f>IFERROR(Επενδύσεις!E36/'Διανεμόμενες ποσότητες αερίου'!T39,0)</f>
        <v>660.46903356132304</v>
      </c>
      <c r="E96" s="184">
        <f>IFERROR(Επενδύσεις!F36/'Διανεμόμενες ποσότητες αερίου'!Z39,0)</f>
        <v>428.3551841742879</v>
      </c>
      <c r="F96" s="184">
        <f>IFERROR(Επενδύσεις!G36/'Διανεμόμενες ποσότητες αερίου'!AF39,0)</f>
        <v>408.40925995333419</v>
      </c>
      <c r="G96" s="184">
        <f>IFERROR(Επενδύσεις!H36/'Διανεμόμενες ποσότητες αερίου'!AL39,0)</f>
        <v>478.37176167253324</v>
      </c>
      <c r="H96" s="192">
        <f t="shared" si="2"/>
        <v>0.16011981596402891</v>
      </c>
    </row>
    <row r="97" spans="1:8" outlineLevel="1" x14ac:dyDescent="0.35">
      <c r="A97" s="48" t="s">
        <v>99</v>
      </c>
      <c r="B97" s="62" t="s">
        <v>264</v>
      </c>
      <c r="C97" s="184">
        <f>IFERROR(Επενδύσεις!D37/'Διανεμόμενες ποσότητες αερίου'!P40,0)</f>
        <v>228.52765000427212</v>
      </c>
      <c r="D97" s="184">
        <f>IFERROR(Επενδύσεις!E37/'Διανεμόμενες ποσότητες αερίου'!T40,0)</f>
        <v>399.04916959964385</v>
      </c>
      <c r="E97" s="184">
        <f>IFERROR(Επενδύσεις!F37/'Διανεμόμενες ποσότητες αερίου'!Z40,0)</f>
        <v>191.92926576945482</v>
      </c>
      <c r="F97" s="184">
        <f>IFERROR(Επενδύσεις!G37/'Διανεμόμενες ποσότητες αερίου'!AF40,0)</f>
        <v>144.13800500682541</v>
      </c>
      <c r="G97" s="184">
        <f>IFERROR(Επενδύσεις!H37/'Διανεμόμενες ποσότητες αερίου'!AL40,0)</f>
        <v>159.74467899562356</v>
      </c>
      <c r="H97" s="192">
        <f t="shared" si="2"/>
        <v>-8.563011965918732E-2</v>
      </c>
    </row>
    <row r="98" spans="1:8" outlineLevel="1" x14ac:dyDescent="0.35">
      <c r="A98" s="48" t="s">
        <v>100</v>
      </c>
      <c r="B98" s="62" t="s">
        <v>264</v>
      </c>
      <c r="C98" s="184">
        <f>IFERROR(Επενδύσεις!D38/'Διανεμόμενες ποσότητες αερίου'!P41,0)</f>
        <v>190.69929790971193</v>
      </c>
      <c r="D98" s="184">
        <f>IFERROR(Επενδύσεις!E38/'Διανεμόμενες ποσότητες αερίου'!T41,0)</f>
        <v>488.0972164694337</v>
      </c>
      <c r="E98" s="184">
        <f>IFERROR(Επενδύσεις!F38/'Διανεμόμενες ποσότητες αερίου'!Z41,0)</f>
        <v>437.44879992347171</v>
      </c>
      <c r="F98" s="184">
        <f>IFERROR(Επενδύσεις!G38/'Διανεμόμενες ποσότητες αερίου'!AF41,0)</f>
        <v>283.02172103149013</v>
      </c>
      <c r="G98" s="184">
        <f>IFERROR(Επενδύσεις!H38/'Διανεμόμενες ποσότητες αερίου'!AL41,0)</f>
        <v>540.06522844278402</v>
      </c>
      <c r="H98" s="192">
        <f t="shared" si="2"/>
        <v>0.29725179593411366</v>
      </c>
    </row>
    <row r="99" spans="1:8" outlineLevel="1" x14ac:dyDescent="0.35">
      <c r="A99" s="48" t="s">
        <v>101</v>
      </c>
      <c r="B99" s="62" t="s">
        <v>264</v>
      </c>
      <c r="C99" s="184">
        <f>IFERROR(Επενδύσεις!D39/'Διανεμόμενες ποσότητες αερίου'!P42,0)</f>
        <v>2.787817830719463</v>
      </c>
      <c r="D99" s="184">
        <f>IFERROR(Επενδύσεις!E39/'Διανεμόμενες ποσότητες αερίου'!T42,0)</f>
        <v>107.36069690037775</v>
      </c>
      <c r="E99" s="184">
        <f>IFERROR(Επενδύσεις!F39/'Διανεμόμενες ποσότητες αερίου'!Z42,0)</f>
        <v>106.79137496371659</v>
      </c>
      <c r="F99" s="184">
        <f>IFERROR(Επενδύσεις!G39/'Διανεμόμενες ποσότητες αερίου'!AF42,0)</f>
        <v>98.167554075735836</v>
      </c>
      <c r="G99" s="184">
        <f>IFERROR(Επενδύσεις!H39/'Διανεμόμενες ποσότητες αερίου'!AL42,0)</f>
        <v>95.260052339841849</v>
      </c>
      <c r="H99" s="192">
        <f t="shared" si="2"/>
        <v>1.4177511919989705</v>
      </c>
    </row>
    <row r="100" spans="1:8" outlineLevel="1" x14ac:dyDescent="0.35">
      <c r="A100" s="48" t="s">
        <v>102</v>
      </c>
      <c r="B100" s="62" t="s">
        <v>264</v>
      </c>
      <c r="C100" s="184">
        <f>IFERROR(Επενδύσεις!D40/'Διανεμόμενες ποσότητες αερίου'!P43,0)</f>
        <v>129.35905308809572</v>
      </c>
      <c r="D100" s="184">
        <f>IFERROR(Επενδύσεις!E40/'Διανεμόμενες ποσότητες αερίου'!T43,0)</f>
        <v>94.382584621776189</v>
      </c>
      <c r="E100" s="184">
        <f>IFERROR(Επενδύσεις!F40/'Διανεμόμενες ποσότητες αερίου'!Z43,0)</f>
        <v>139.0087958213455</v>
      </c>
      <c r="F100" s="184">
        <f>IFERROR(Επενδύσεις!G40/'Διανεμόμενες ποσότητες αερίου'!AF43,0)</f>
        <v>86.044007477487185</v>
      </c>
      <c r="G100" s="184">
        <f>IFERROR(Επενδύσεις!H40/'Διανεμόμενες ποσότητες αερίου'!AL43,0)</f>
        <v>86.391302971727285</v>
      </c>
      <c r="H100" s="192">
        <f t="shared" si="2"/>
        <v>-9.6000273508255018E-2</v>
      </c>
    </row>
    <row r="101" spans="1:8" outlineLevel="1" x14ac:dyDescent="0.35">
      <c r="A101" s="48" t="s">
        <v>103</v>
      </c>
      <c r="B101" s="62" t="s">
        <v>264</v>
      </c>
      <c r="C101" s="184">
        <f>IFERROR(Επενδύσεις!D41/'Διανεμόμενες ποσότητες αερίου'!P44,0)</f>
        <v>0</v>
      </c>
      <c r="D101" s="184">
        <f>IFERROR(Επενδύσεις!E41/'Διανεμόμενες ποσότητες αερίου'!T44,0)</f>
        <v>0</v>
      </c>
      <c r="E101" s="184">
        <f>IFERROR(Επενδύσεις!F41/'Διανεμόμενες ποσότητες αερίου'!Z44,0)</f>
        <v>0</v>
      </c>
      <c r="F101" s="184">
        <f>IFERROR(Επενδύσεις!G41/'Διανεμόμενες ποσότητες αερίου'!AF44,0)</f>
        <v>0</v>
      </c>
      <c r="G101" s="184">
        <f>IFERROR(Επενδύσεις!H41/'Διανεμόμενες ποσότητες αερίου'!AL44,0)</f>
        <v>0</v>
      </c>
      <c r="H101" s="192">
        <f t="shared" si="2"/>
        <v>0</v>
      </c>
    </row>
    <row r="102" spans="1:8" outlineLevel="1" x14ac:dyDescent="0.35">
      <c r="A102" s="48" t="s">
        <v>104</v>
      </c>
      <c r="B102" s="62" t="s">
        <v>264</v>
      </c>
      <c r="C102" s="184">
        <f>IFERROR(Επενδύσεις!D42/'Διανεμόμενες ποσότητες αερίου'!P45,0)</f>
        <v>0</v>
      </c>
      <c r="D102" s="184">
        <f>IFERROR(Επενδύσεις!E42/'Διανεμόμενες ποσότητες αερίου'!T45,0)</f>
        <v>0</v>
      </c>
      <c r="E102" s="184">
        <f>IFERROR(Επενδύσεις!F42/'Διανεμόμενες ποσότητες αερίου'!Z45,0)</f>
        <v>0</v>
      </c>
      <c r="F102" s="184">
        <f>IFERROR(Επενδύσεις!G42/'Διανεμόμενες ποσότητες αερίου'!AF45,0)</f>
        <v>2039.7153898619952</v>
      </c>
      <c r="G102" s="184">
        <f>IFERROR(Επενδύσεις!H42/'Διανεμόμενες ποσότητες αερίου'!AL45,0)</f>
        <v>1097.6822861607907</v>
      </c>
      <c r="H102" s="192">
        <f t="shared" si="2"/>
        <v>0</v>
      </c>
    </row>
    <row r="103" spans="1:8" outlineLevel="1" x14ac:dyDescent="0.35">
      <c r="A103" s="48" t="s">
        <v>136</v>
      </c>
      <c r="B103" s="62" t="s">
        <v>264</v>
      </c>
      <c r="C103" s="184">
        <f>IFERROR(Επενδύσεις!D43/'Διανεμόμενες ποσότητες αερίου'!P46,0)</f>
        <v>0</v>
      </c>
      <c r="D103" s="184">
        <f>IFERROR(Επενδύσεις!E43/'Διανεμόμενες ποσότητες αερίου'!T46,0)</f>
        <v>0</v>
      </c>
      <c r="E103" s="184">
        <f>IFERROR(Επενδύσεις!F43/'Διανεμόμενες ποσότητες αερίου'!Z46,0)</f>
        <v>0</v>
      </c>
      <c r="F103" s="184">
        <f>IFERROR(Επενδύσεις!G43/'Διανεμόμενες ποσότητες αερίου'!AF46,0)</f>
        <v>2422.6699227195509</v>
      </c>
      <c r="G103" s="184">
        <f>IFERROR(Επενδύσεις!H43/'Διανεμόμενες ποσότητες αερίου'!AL46,0)</f>
        <v>1508.0843003189702</v>
      </c>
      <c r="H103" s="192">
        <f t="shared" si="2"/>
        <v>0</v>
      </c>
    </row>
    <row r="104" spans="1:8" outlineLevel="1" x14ac:dyDescent="0.35">
      <c r="A104" s="48" t="s">
        <v>106</v>
      </c>
      <c r="B104" s="62" t="s">
        <v>264</v>
      </c>
      <c r="C104" s="184">
        <f>IFERROR(Επενδύσεις!D44/'Διανεμόμενες ποσότητες αερίου'!P47,0)</f>
        <v>40.705916071401667</v>
      </c>
      <c r="D104" s="184">
        <f>IFERROR(Επενδύσεις!E44/'Διανεμόμενες ποσότητες αερίου'!T47,0)</f>
        <v>36.305159817032255</v>
      </c>
      <c r="E104" s="184">
        <f>IFERROR(Επενδύσεις!F44/'Διανεμόμενες ποσότητες αερίου'!Z47,0)</f>
        <v>92.559394908017993</v>
      </c>
      <c r="F104" s="184">
        <f>IFERROR(Επενδύσεις!G44/'Διανεμόμενες ποσότητες αερίου'!AF47,0)</f>
        <v>235.02800892914777</v>
      </c>
      <c r="G104" s="184">
        <f>IFERROR(Επενδύσεις!H44/'Διανεμόμενες ποσότητες αερίου'!AL47,0)</f>
        <v>573.74364142229081</v>
      </c>
      <c r="H104" s="192">
        <f t="shared" si="2"/>
        <v>0.93760429355846675</v>
      </c>
    </row>
    <row r="105" spans="1:8" outlineLevel="1" x14ac:dyDescent="0.35">
      <c r="A105" s="48" t="s">
        <v>107</v>
      </c>
      <c r="B105" s="62" t="s">
        <v>264</v>
      </c>
      <c r="C105" s="184">
        <f>IFERROR(Επενδύσεις!D45/'Διανεμόμενες ποσότητες αερίου'!P48,0)</f>
        <v>205.33123787306158</v>
      </c>
      <c r="D105" s="184">
        <f>IFERROR(Επενδύσεις!E45/'Διανεμόμενες ποσότητες αερίου'!T48,0)</f>
        <v>374.95149806720337</v>
      </c>
      <c r="E105" s="184">
        <f>IFERROR(Επενδύσεις!F45/'Διανεμόμενες ποσότητες αερίου'!Z48,0)</f>
        <v>165.09649386461101</v>
      </c>
      <c r="F105" s="184">
        <f>IFERROR(Επενδύσεις!G45/'Διανεμόμενες ποσότητες αερίου'!AF48,0)</f>
        <v>133.35907105731224</v>
      </c>
      <c r="G105" s="184">
        <f>IFERROR(Επενδύσεις!H45/'Διανεμόμενες ποσότητες αερίου'!AL48,0)</f>
        <v>210.9593174604658</v>
      </c>
      <c r="H105" s="192">
        <f t="shared" si="2"/>
        <v>6.7831110404859007E-3</v>
      </c>
    </row>
    <row r="106" spans="1:8" outlineLevel="1" x14ac:dyDescent="0.35">
      <c r="A106" s="48" t="s">
        <v>108</v>
      </c>
      <c r="B106" s="62" t="s">
        <v>264</v>
      </c>
      <c r="C106" s="184">
        <f>IFERROR(Επενδύσεις!D46/'Διανεμόμενες ποσότητες αερίου'!P49,0)</f>
        <v>211.42914430051812</v>
      </c>
      <c r="D106" s="184">
        <f>IFERROR(Επενδύσεις!E46/'Διανεμόμενες ποσότητες αερίου'!T49,0)</f>
        <v>96.237459089262813</v>
      </c>
      <c r="E106" s="184">
        <f>IFERROR(Επενδύσεις!F46/'Διανεμόμενες ποσότητες αερίου'!Z49,0)</f>
        <v>395.17764081542356</v>
      </c>
      <c r="F106" s="184">
        <f>IFERROR(Επενδύσεις!G46/'Διανεμόμενες ποσότητες αερίου'!AF49,0)</f>
        <v>285.94765370405565</v>
      </c>
      <c r="G106" s="184">
        <f>IFERROR(Επενδύσεις!H46/'Διανεμόμενες ποσότητες αερίου'!AL49,0)</f>
        <v>147.53614240433754</v>
      </c>
      <c r="H106" s="192">
        <f t="shared" si="2"/>
        <v>-8.6026943889347951E-2</v>
      </c>
    </row>
    <row r="107" spans="1:8" outlineLevel="1" x14ac:dyDescent="0.35">
      <c r="A107" s="48" t="s">
        <v>109</v>
      </c>
      <c r="B107" s="62" t="s">
        <v>264</v>
      </c>
      <c r="C107" s="184">
        <f>IFERROR(Επενδύσεις!D47/'Διανεμόμενες ποσότητες αερίου'!P50,0)</f>
        <v>173.28453000202214</v>
      </c>
      <c r="D107" s="184">
        <f>IFERROR(Επενδύσεις!E47/'Διανεμόμενες ποσότητες αερίου'!T50,0)</f>
        <v>153.19466143237614</v>
      </c>
      <c r="E107" s="184">
        <f>IFERROR(Επενδύσεις!F47/'Διανεμόμενες ποσότητες αερίου'!Z50,0)</f>
        <v>167.22906911184774</v>
      </c>
      <c r="F107" s="184">
        <f>IFERROR(Επενδύσεις!G47/'Διανεμόμενες ποσότητες αερίου'!AF50,0)</f>
        <v>135.35160160556129</v>
      </c>
      <c r="G107" s="184">
        <f>IFERROR(Επενδύσεις!H47/'Διανεμόμενες ποσότητες αερίου'!AL50,0)</f>
        <v>133.48021036778243</v>
      </c>
      <c r="H107" s="192">
        <f t="shared" si="2"/>
        <v>-6.3162487172812143E-2</v>
      </c>
    </row>
    <row r="108" spans="1:8" outlineLevel="1" x14ac:dyDescent="0.35">
      <c r="A108" s="48" t="s">
        <v>110</v>
      </c>
      <c r="B108" s="62" t="s">
        <v>264</v>
      </c>
      <c r="C108" s="184">
        <f>IFERROR(Επενδύσεις!D48/'Διανεμόμενες ποσότητες αερίου'!P51,0)</f>
        <v>392.09806003588852</v>
      </c>
      <c r="D108" s="184">
        <f>IFERROR(Επενδύσεις!E48/'Διανεμόμενες ποσότητες αερίου'!T51,0)</f>
        <v>120.17665097873538</v>
      </c>
      <c r="E108" s="184">
        <f>IFERROR(Επενδύσεις!F48/'Διανεμόμενες ποσότητες αερίου'!Z51,0)</f>
        <v>266.25417206129839</v>
      </c>
      <c r="F108" s="184">
        <f>IFERROR(Επενδύσεις!G48/'Διανεμόμενες ποσότητες αερίου'!AF51,0)</f>
        <v>122.9189506673424</v>
      </c>
      <c r="G108" s="184">
        <f>IFERROR(Επενδύσεις!H48/'Διανεμόμενες ποσότητες αερίου'!AL51,0)</f>
        <v>451.51382435242715</v>
      </c>
      <c r="H108" s="192">
        <f t="shared" si="2"/>
        <v>3.5902997153406835E-2</v>
      </c>
    </row>
    <row r="109" spans="1:8" outlineLevel="1" x14ac:dyDescent="0.35">
      <c r="A109" s="48" t="s">
        <v>111</v>
      </c>
      <c r="B109" s="62" t="s">
        <v>264</v>
      </c>
      <c r="C109" s="184">
        <f>IFERROR(Επενδύσεις!D49/'Διανεμόμενες ποσότητες αερίου'!P52,0)</f>
        <v>186.15420316854241</v>
      </c>
      <c r="D109" s="184">
        <f>IFERROR(Επενδύσεις!E49/'Διανεμόμενες ποσότητες αερίου'!T52,0)</f>
        <v>540.4596803804227</v>
      </c>
      <c r="E109" s="184">
        <f>IFERROR(Επενδύσεις!F49/'Διανεμόμενες ποσότητες αερίου'!Z52,0)</f>
        <v>587.65380112141509</v>
      </c>
      <c r="F109" s="184">
        <f>IFERROR(Επενδύσεις!G49/'Διανεμόμενες ποσότητες αερίου'!AF52,0)</f>
        <v>142.85452950214793</v>
      </c>
      <c r="G109" s="184">
        <f>IFERROR(Επενδύσεις!H49/'Διανεμόμενες ποσότητες αερίου'!AL52,0)</f>
        <v>298.46720595017734</v>
      </c>
      <c r="H109" s="192">
        <f t="shared" si="2"/>
        <v>0.12526793428888849</v>
      </c>
    </row>
    <row r="110" spans="1:8" outlineLevel="1" x14ac:dyDescent="0.35">
      <c r="A110" s="48" t="s">
        <v>112</v>
      </c>
      <c r="B110" s="62" t="s">
        <v>264</v>
      </c>
      <c r="C110" s="184">
        <f>IFERROR(Επενδύσεις!D50/'Διανεμόμενες ποσότητες αερίου'!P53,0)</f>
        <v>236.99316777209566</v>
      </c>
      <c r="D110" s="184">
        <f>IFERROR(Επενδύσεις!E50/'Διανεμόμενες ποσότητες αερίου'!T53,0)</f>
        <v>415.77151335619618</v>
      </c>
      <c r="E110" s="184">
        <f>IFERROR(Επενδύσεις!F50/'Διανεμόμενες ποσότητες αερίου'!Z53,0)</f>
        <v>325.05561764846658</v>
      </c>
      <c r="F110" s="184">
        <f>IFERROR(Επενδύσεις!G50/'Διανεμόμενες ποσότητες αερίου'!AF53,0)</f>
        <v>348.84142466458451</v>
      </c>
      <c r="G110" s="184">
        <f>IFERROR(Επενδύσεις!H50/'Διανεμόμενες ποσότητες αερίου'!AL53,0)</f>
        <v>558.60287847676216</v>
      </c>
      <c r="H110" s="192">
        <f t="shared" si="2"/>
        <v>0.23905856989796814</v>
      </c>
    </row>
    <row r="111" spans="1:8" outlineLevel="1" x14ac:dyDescent="0.35">
      <c r="A111" s="48" t="s">
        <v>113</v>
      </c>
      <c r="B111" s="62" t="s">
        <v>264</v>
      </c>
      <c r="C111" s="184">
        <f>IFERROR(Επενδύσεις!D51/'Διανεμόμενες ποσότητες αερίου'!P54,0)</f>
        <v>0</v>
      </c>
      <c r="D111" s="184">
        <f>IFERROR(Επενδύσεις!E51/'Διανεμόμενες ποσότητες αερίου'!T54,0)</f>
        <v>0</v>
      </c>
      <c r="E111" s="184">
        <f>IFERROR(Επενδύσεις!F51/'Διανεμόμενες ποσότητες αερίου'!Z54,0)</f>
        <v>0.43499655912912566</v>
      </c>
      <c r="F111" s="184">
        <f>IFERROR(Επενδύσεις!G51/'Διανεμόμενες ποσότητες αερίου'!AF54,0)</f>
        <v>0</v>
      </c>
      <c r="G111" s="184">
        <f>IFERROR(Επενδύσεις!H51/'Διανεμόμενες ποσότητες αερίου'!AL54,0)</f>
        <v>0</v>
      </c>
      <c r="H111" s="192">
        <f t="shared" si="2"/>
        <v>0</v>
      </c>
    </row>
    <row r="112" spans="1:8" outlineLevel="1" x14ac:dyDescent="0.35">
      <c r="A112" s="48" t="s">
        <v>114</v>
      </c>
      <c r="B112" s="62" t="s">
        <v>264</v>
      </c>
      <c r="C112" s="184">
        <f>IFERROR(Επενδύσεις!D52/'Διανεμόμενες ποσότητες αερίου'!P55,0)</f>
        <v>73.156571599114045</v>
      </c>
      <c r="D112" s="184">
        <f>IFERROR(Επενδύσεις!E52/'Διανεμόμενες ποσότητες αερίου'!T55,0)</f>
        <v>148.86211786501872</v>
      </c>
      <c r="E112" s="184">
        <f>IFERROR(Επενδύσεις!F52/'Διανεμόμενες ποσότητες αερίου'!Z55,0)</f>
        <v>141.59797811058715</v>
      </c>
      <c r="F112" s="184">
        <f>IFERROR(Επενδύσεις!G52/'Διανεμόμενες ποσότητες αερίου'!AF55,0)</f>
        <v>135.01789909403257</v>
      </c>
      <c r="G112" s="184">
        <f>IFERROR(Επενδύσεις!H52/'Διανεμόμενες ποσότητες αερίου'!AL55,0)</f>
        <v>133.50966903418399</v>
      </c>
      <c r="H112" s="192">
        <f t="shared" si="2"/>
        <v>0.16229091637924342</v>
      </c>
    </row>
    <row r="113" spans="1:8" outlineLevel="1" x14ac:dyDescent="0.35">
      <c r="A113" s="48" t="s">
        <v>115</v>
      </c>
      <c r="B113" s="62" t="s">
        <v>264</v>
      </c>
      <c r="C113" s="184">
        <f>IFERROR(Επενδύσεις!D53/'Διανεμόμενες ποσότητες αερίου'!P56,0)</f>
        <v>69.150748861617473</v>
      </c>
      <c r="D113" s="184">
        <f>IFERROR(Επενδύσεις!E53/'Διανεμόμενες ποσότητες αερίου'!T56,0)</f>
        <v>329.47818056440099</v>
      </c>
      <c r="E113" s="184">
        <f>IFERROR(Επενδύσεις!F53/'Διανεμόμενες ποσότητες αερίου'!Z56,0)</f>
        <v>195.3217624218978</v>
      </c>
      <c r="F113" s="184">
        <f>IFERROR(Επενδύσεις!G53/'Διανεμόμενες ποσότητες αερίου'!AF56,0)</f>
        <v>356.61874915198626</v>
      </c>
      <c r="G113" s="184">
        <f>IFERROR(Επενδύσεις!H53/'Διανεμόμενες ποσότητες αερίου'!AL56,0)</f>
        <v>286.66003692699593</v>
      </c>
      <c r="H113" s="192">
        <f t="shared" si="2"/>
        <v>0.42689680728592205</v>
      </c>
    </row>
    <row r="114" spans="1:8" outlineLevel="1" x14ac:dyDescent="0.35">
      <c r="A114" s="48" t="s">
        <v>116</v>
      </c>
      <c r="B114" s="62" t="s">
        <v>264</v>
      </c>
      <c r="C114" s="184">
        <f>IFERROR(Επενδύσεις!D54/'Διανεμόμενες ποσότητες αερίου'!P57,0)</f>
        <v>109.55225662787799</v>
      </c>
      <c r="D114" s="184">
        <f>IFERROR(Επενδύσεις!E54/'Διανεμόμενες ποσότητες αερίου'!T57,0)</f>
        <v>94.60001497723357</v>
      </c>
      <c r="E114" s="184">
        <f>IFERROR(Επενδύσεις!F54/'Διανεμόμενες ποσότητες αερίου'!Z57,0)</f>
        <v>89.753490222949267</v>
      </c>
      <c r="F114" s="184">
        <f>IFERROR(Επενδύσεις!G54/'Διανεμόμενες ποσότητες αερίου'!AF57,0)</f>
        <v>85.418300598078901</v>
      </c>
      <c r="G114" s="184">
        <f>IFERROR(Επενδύσεις!H54/'Διανεμόμενες ποσότητες αερίου'!AL57,0)</f>
        <v>84.544365550055446</v>
      </c>
      <c r="H114" s="192">
        <f t="shared" si="2"/>
        <v>-6.2727585107070882E-2</v>
      </c>
    </row>
    <row r="115" spans="1:8" outlineLevel="1" x14ac:dyDescent="0.35">
      <c r="A115" s="48" t="s">
        <v>117</v>
      </c>
      <c r="B115" s="62" t="s">
        <v>264</v>
      </c>
      <c r="C115" s="184">
        <f>IFERROR(Επενδύσεις!D55/'Διανεμόμενες ποσότητες αερίου'!P58,0)</f>
        <v>247.06369737500009</v>
      </c>
      <c r="D115" s="184">
        <f>IFERROR(Επενδύσεις!E55/'Διανεμόμενες ποσότητες αερίου'!T58,0)</f>
        <v>307.85245690806096</v>
      </c>
      <c r="E115" s="184">
        <f>IFERROR(Επενδύσεις!F55/'Διανεμόμενες ποσότητες αερίου'!Z58,0)</f>
        <v>262.44025376935417</v>
      </c>
      <c r="F115" s="184">
        <f>IFERROR(Επενδύσεις!G55/'Διανεμόμενες ποσότητες αερίου'!AF58,0)</f>
        <v>438.6617895530166</v>
      </c>
      <c r="G115" s="184">
        <f>IFERROR(Επενδύσεις!H55/'Διανεμόμενες ποσότητες αερίου'!AL58,0)</f>
        <v>234.29223409907033</v>
      </c>
      <c r="H115" s="192">
        <f t="shared" si="2"/>
        <v>-1.3181598558269947E-2</v>
      </c>
    </row>
    <row r="116" spans="1:8" outlineLevel="1" x14ac:dyDescent="0.35">
      <c r="A116" s="48" t="s">
        <v>118</v>
      </c>
      <c r="B116" s="62" t="s">
        <v>264</v>
      </c>
      <c r="C116" s="184">
        <f>IFERROR(Επενδύσεις!D56/'Διανεμόμενες ποσότητες αερίου'!P59,0)</f>
        <v>108.12866529634377</v>
      </c>
      <c r="D116" s="184">
        <f>IFERROR(Επενδύσεις!E56/'Διανεμόμενες ποσότητες αερίου'!T59,0)</f>
        <v>92.818196184523273</v>
      </c>
      <c r="E116" s="184">
        <f>IFERROR(Επενδύσεις!F56/'Διανεμόμενες ποσότητες αερίου'!Z59,0)</f>
        <v>149.84213000761972</v>
      </c>
      <c r="F116" s="184">
        <f>IFERROR(Επενδύσεις!G56/'Διανεμόμενες ποσότητες αερίου'!AF59,0)</f>
        <v>325.33550863087135</v>
      </c>
      <c r="G116" s="184">
        <f>IFERROR(Επενδύσεις!H56/'Διανεμόμενες ποσότητες αερίου'!AL59,0)</f>
        <v>201.88933521323838</v>
      </c>
      <c r="H116" s="192">
        <f t="shared" si="2"/>
        <v>0.16894245986601519</v>
      </c>
    </row>
    <row r="117" spans="1:8" outlineLevel="1" x14ac:dyDescent="0.35">
      <c r="A117" s="48" t="s">
        <v>119</v>
      </c>
      <c r="B117" s="62" t="s">
        <v>264</v>
      </c>
      <c r="C117" s="184">
        <f>IFERROR(Επενδύσεις!D57/'Διανεμόμενες ποσότητες αερίου'!P60,0)</f>
        <v>0</v>
      </c>
      <c r="D117" s="184">
        <f>IFERROR(Επενδύσεις!E57/'Διανεμόμενες ποσότητες αερίου'!T60,0)</f>
        <v>0</v>
      </c>
      <c r="E117" s="184">
        <f>IFERROR(Επενδύσεις!F57/'Διανεμόμενες ποσότητες αερίου'!Z60,0)</f>
        <v>0</v>
      </c>
      <c r="F117" s="184">
        <f>IFERROR(Επενδύσεις!G57/'Διανεμόμενες ποσότητες αερίου'!AF60,0)</f>
        <v>0</v>
      </c>
      <c r="G117" s="184">
        <f>IFERROR(Επενδύσεις!H57/'Διανεμόμενες ποσότητες αερίου'!AL60,0)</f>
        <v>0</v>
      </c>
      <c r="H117" s="192">
        <f t="shared" si="2"/>
        <v>0</v>
      </c>
    </row>
    <row r="118" spans="1:8" outlineLevel="1" x14ac:dyDescent="0.35">
      <c r="A118" s="48" t="s">
        <v>120</v>
      </c>
      <c r="B118" s="62" t="s">
        <v>264</v>
      </c>
      <c r="C118" s="184">
        <f>IFERROR(Επενδύσεις!D58/'Διανεμόμενες ποσότητες αερίου'!P61,0)</f>
        <v>98.818748275226611</v>
      </c>
      <c r="D118" s="184">
        <f>IFERROR(Επενδύσεις!E58/'Διανεμόμενες ποσότητες αερίου'!T61,0)</f>
        <v>334.76955541401082</v>
      </c>
      <c r="E118" s="184">
        <f>IFERROR(Επενδύσεις!F58/'Διανεμόμενες ποσότητες αερίου'!Z61,0)</f>
        <v>267.7070585143743</v>
      </c>
      <c r="F118" s="184">
        <f>IFERROR(Επενδύσεις!G58/'Διανεμόμενες ποσότητες αερίου'!AF61,0)</f>
        <v>222.38165290306353</v>
      </c>
      <c r="G118" s="184">
        <f>IFERROR(Επενδύσεις!H58/'Διανεμόμενες ποσότητες αερίου'!AL61,0)</f>
        <v>100.66175025493393</v>
      </c>
      <c r="H118" s="192">
        <f t="shared" si="2"/>
        <v>4.6303225579320539E-3</v>
      </c>
    </row>
    <row r="119" spans="1:8" outlineLevel="1" x14ac:dyDescent="0.35">
      <c r="A119" s="48" t="s">
        <v>121</v>
      </c>
      <c r="B119" s="62" t="s">
        <v>264</v>
      </c>
      <c r="C119" s="184">
        <f>IFERROR(Επενδύσεις!D59/'Διανεμόμενες ποσότητες αερίου'!P62,0)</f>
        <v>239.31221707387519</v>
      </c>
      <c r="D119" s="184">
        <f>IFERROR(Επενδύσεις!E59/'Διανεμόμενες ποσότητες αερίου'!T62,0)</f>
        <v>352.054623772816</v>
      </c>
      <c r="E119" s="184">
        <f>IFERROR(Επενδύσεις!F59/'Διανεμόμενες ποσότητες αερίου'!Z62,0)</f>
        <v>345.40547926506292</v>
      </c>
      <c r="F119" s="184">
        <f>IFERROR(Επενδύσεις!G59/'Διανεμόμενες ποσότητες αερίου'!AF62,0)</f>
        <v>312.70204361819191</v>
      </c>
      <c r="G119" s="184">
        <f>IFERROR(Επενδύσεις!H59/'Διανεμόμενες ποσότητες αερίου'!AL62,0)</f>
        <v>476.82359148665176</v>
      </c>
      <c r="H119" s="192">
        <f t="shared" si="2"/>
        <v>0.18808692396112292</v>
      </c>
    </row>
    <row r="120" spans="1:8" outlineLevel="1" x14ac:dyDescent="0.35">
      <c r="A120" s="48" t="s">
        <v>137</v>
      </c>
      <c r="B120" s="62" t="s">
        <v>264</v>
      </c>
      <c r="C120" s="184">
        <f>IFERROR(Επενδύσεις!D60/'Διανεμόμενες ποσότητες αερίου'!P63,0)</f>
        <v>0</v>
      </c>
      <c r="D120" s="184">
        <f>IFERROR(Επενδύσεις!E60/'Διανεμόμενες ποσότητες αερίου'!T63,0)</f>
        <v>0</v>
      </c>
      <c r="E120" s="184">
        <f>IFERROR(Επενδύσεις!F60/'Διανεμόμενες ποσότητες αερίου'!Z63,0)</f>
        <v>0</v>
      </c>
      <c r="F120" s="184">
        <f>IFERROR(Επενδύσεις!G60/'Διανεμόμενες ποσότητες αερίου'!AF63,0)</f>
        <v>0</v>
      </c>
      <c r="G120" s="184">
        <f>IFERROR(Επενδύσεις!H60/'Διανεμόμενες ποσότητες αερίου'!AL63,0)</f>
        <v>0</v>
      </c>
      <c r="H120" s="192">
        <f t="shared" si="2"/>
        <v>0</v>
      </c>
    </row>
    <row r="121" spans="1:8" outlineLevel="1" x14ac:dyDescent="0.35">
      <c r="A121" s="48" t="s">
        <v>123</v>
      </c>
      <c r="B121" s="62" t="s">
        <v>264</v>
      </c>
      <c r="C121" s="184">
        <f>IFERROR(Επενδύσεις!D61/'Διανεμόμενες ποσότητες αερίου'!P64,0)</f>
        <v>159.33602224282322</v>
      </c>
      <c r="D121" s="184">
        <f>IFERROR(Επενδύσεις!E61/'Διανεμόμενες ποσότητες αερίου'!T64,0)</f>
        <v>169.41703961330617</v>
      </c>
      <c r="E121" s="184">
        <f>IFERROR(Επενδύσεις!F61/'Διανεμόμενες ποσότητες αερίου'!Z64,0)</f>
        <v>245.69308224022191</v>
      </c>
      <c r="F121" s="184">
        <f>IFERROR(Επενδύσεις!G61/'Διανεμόμενες ποσότητες αερίου'!AF64,0)</f>
        <v>89.845477587599362</v>
      </c>
      <c r="G121" s="184">
        <f>IFERROR(Επενδύσεις!H61/'Διανεμόμενες ποσότητες αερίου'!AL64,0)</f>
        <v>276.77504179189225</v>
      </c>
      <c r="H121" s="192">
        <f t="shared" si="2"/>
        <v>0.14803000379396747</v>
      </c>
    </row>
    <row r="122" spans="1:8" outlineLevel="1" x14ac:dyDescent="0.35">
      <c r="A122" s="48" t="s">
        <v>124</v>
      </c>
      <c r="B122" s="62" t="s">
        <v>264</v>
      </c>
      <c r="C122" s="184">
        <f>IFERROR(Επενδύσεις!D62/'Διανεμόμενες ποσότητες αερίου'!P65,0)</f>
        <v>2123.4976444207309</v>
      </c>
      <c r="D122" s="184">
        <f>IFERROR(Επενδύσεις!E62/'Διανεμόμενες ποσότητες αερίου'!T65,0)</f>
        <v>9853.5383481299268</v>
      </c>
      <c r="E122" s="184">
        <f>IFERROR(Επενδύσεις!F62/'Διανεμόμενες ποσότητες αερίου'!Z65,0)</f>
        <v>6827.1675949356486</v>
      </c>
      <c r="F122" s="184">
        <f>IFERROR(Επενδύσεις!G62/'Διανεμόμενες ποσότητες αερίου'!AF65,0)</f>
        <v>8325.0780468610283</v>
      </c>
      <c r="G122" s="184">
        <f>IFERROR(Επενδύσεις!H62/'Διανεμόμενες ποσότητες αερίου'!AL65,0)</f>
        <v>11164.629824240454</v>
      </c>
      <c r="H122" s="192">
        <f t="shared" si="2"/>
        <v>0.51425193094656696</v>
      </c>
    </row>
    <row r="123" spans="1:8" outlineLevel="1" x14ac:dyDescent="0.35">
      <c r="A123" s="48" t="s">
        <v>125</v>
      </c>
      <c r="B123" s="62" t="s">
        <v>264</v>
      </c>
      <c r="C123" s="184">
        <f>IFERROR(Επενδύσεις!D63/'Διανεμόμενες ποσότητες αερίου'!P66,0)</f>
        <v>150.33198554542972</v>
      </c>
      <c r="D123" s="184">
        <f>IFERROR(Επενδύσεις!E63/'Διανεμόμενες ποσότητες αερίου'!T66,0)</f>
        <v>51.879019611706681</v>
      </c>
      <c r="E123" s="184">
        <f>IFERROR(Επενδύσεις!F63/'Διανεμόμενες ποσότητες αερίου'!Z66,0)</f>
        <v>54.226624241222865</v>
      </c>
      <c r="F123" s="184">
        <f>IFERROR(Επενδύσεις!G63/'Διανεμόμενες ποσότητες αερίου'!AF66,0)</f>
        <v>52.864322904279184</v>
      </c>
      <c r="G123" s="184">
        <f>IFERROR(Επενδύσεις!H63/'Διανεμόμενες ποσότητες αερίου'!AL66,0)</f>
        <v>56.753119452008399</v>
      </c>
      <c r="H123" s="192">
        <f t="shared" si="2"/>
        <v>-0.21614707004672717</v>
      </c>
    </row>
    <row r="124" spans="1:8" outlineLevel="1" x14ac:dyDescent="0.35">
      <c r="A124" s="48" t="s">
        <v>126</v>
      </c>
      <c r="B124" s="62" t="s">
        <v>264</v>
      </c>
      <c r="C124" s="184">
        <f>IFERROR(Επενδύσεις!D64/'Διανεμόμενες ποσότητες αερίου'!P67,0)</f>
        <v>81.472152960708627</v>
      </c>
      <c r="D124" s="184">
        <f>IFERROR(Επενδύσεις!E64/'Διανεμόμενες ποσότητες αερίου'!T67,0)</f>
        <v>68.613357918260292</v>
      </c>
      <c r="E124" s="184">
        <f>IFERROR(Επενδύσεις!F64/'Διανεμόμενες ποσότητες αερίου'!Z67,0)</f>
        <v>59.014864209044191</v>
      </c>
      <c r="F124" s="184">
        <f>IFERROR(Επενδύσεις!G64/'Διανεμόμενες ποσότητες αερίου'!AF67,0)</f>
        <v>73.544454456206111</v>
      </c>
      <c r="G124" s="184">
        <f>IFERROR(Επενδύσεις!H64/'Διανεμόμενες ποσότητες αερίου'!AL67,0)</f>
        <v>39.698823596875002</v>
      </c>
      <c r="H124" s="192">
        <f t="shared" si="2"/>
        <v>-0.16450835530837615</v>
      </c>
    </row>
    <row r="125" spans="1:8" outlineLevel="1" x14ac:dyDescent="0.35">
      <c r="A125" s="48" t="s">
        <v>127</v>
      </c>
      <c r="B125" s="62" t="s">
        <v>264</v>
      </c>
      <c r="C125" s="184">
        <f>IFERROR(Επενδύσεις!D65/'Διανεμόμενες ποσότητες αερίου'!P68,0)</f>
        <v>76.98212425963608</v>
      </c>
      <c r="D125" s="184">
        <f>IFERROR(Επενδύσεις!E65/'Διανεμόμενες ποσότητες αερίου'!T68,0)</f>
        <v>0</v>
      </c>
      <c r="E125" s="184">
        <f>IFERROR(Επενδύσεις!F65/'Διανεμόμενες ποσότητες αερίου'!Z68,0)</f>
        <v>0</v>
      </c>
      <c r="F125" s="184">
        <f>IFERROR(Επενδύσεις!G65/'Διανεμόμενες ποσότητες αερίου'!AJ68,0)</f>
        <v>0</v>
      </c>
      <c r="G125" s="184">
        <f>IFERROR(Επενδύσεις!H65/'Διανεμόμενες ποσότητες αερίου'!AL68,0)</f>
        <v>0</v>
      </c>
      <c r="H125" s="192">
        <f t="shared" si="2"/>
        <v>-1</v>
      </c>
    </row>
    <row r="126" spans="1:8" outlineLevel="1" x14ac:dyDescent="0.35">
      <c r="A126" s="477" t="s">
        <v>151</v>
      </c>
      <c r="B126" s="478"/>
      <c r="C126" s="478"/>
      <c r="D126" s="478"/>
      <c r="E126" s="478"/>
      <c r="F126" s="478"/>
      <c r="G126" s="478"/>
      <c r="H126" s="479"/>
    </row>
    <row r="127" spans="1:8" outlineLevel="1" x14ac:dyDescent="0.35">
      <c r="A127" s="48" t="s">
        <v>138</v>
      </c>
      <c r="B127" s="59" t="s">
        <v>264</v>
      </c>
      <c r="C127" s="184">
        <f>IFERROR(Επενδύσεις!D68/'Διανεμόμενες ποσότητες αερίου'!P69,0)</f>
        <v>136.54184347760574</v>
      </c>
      <c r="D127" s="184">
        <f>IFERROR(Επενδύσεις!E68/'Διανεμόμενες ποσότητες αερίου'!T69,0)</f>
        <v>250.82216289274365</v>
      </c>
      <c r="E127" s="184">
        <f>IFERROR(Επενδύσεις!F68/'Διανεμόμενες ποσότητες αερίου'!Z69,0)</f>
        <v>219.08380251906638</v>
      </c>
      <c r="F127" s="184">
        <f>IFERROR(Επενδύσεις!G68/'Διανεμόμενες ποσότητες αερίου'!AF69,0)</f>
        <v>236.00365655577883</v>
      </c>
      <c r="G127" s="184">
        <f>IFERROR(Επενδύσεις!H68/'Διανεμόμενες ποσότητες αερίου'!AL69,0)</f>
        <v>237.93232820507245</v>
      </c>
      <c r="H127" s="192">
        <f>IFERROR((G127/C127)^(1/4)-1,0)</f>
        <v>0.14893887173192843</v>
      </c>
    </row>
    <row r="129" spans="1:32" ht="15.5" x14ac:dyDescent="0.35">
      <c r="A129" s="419" t="s">
        <v>265</v>
      </c>
      <c r="B129" s="419"/>
      <c r="C129" s="419"/>
      <c r="D129" s="419"/>
      <c r="E129" s="419"/>
      <c r="F129" s="419"/>
      <c r="G129" s="419"/>
      <c r="H129" s="419"/>
    </row>
    <row r="130" spans="1:32" ht="5.9" customHeight="1" outlineLevel="1" x14ac:dyDescent="0.3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row>
    <row r="131" spans="1:32" ht="35.25" customHeight="1" outlineLevel="1" x14ac:dyDescent="0.35">
      <c r="A131" s="60"/>
      <c r="B131" s="61" t="s">
        <v>134</v>
      </c>
      <c r="C131" s="90">
        <f>$B$3</f>
        <v>2024</v>
      </c>
      <c r="D131" s="90">
        <f>$B$3+1</f>
        <v>2025</v>
      </c>
      <c r="E131" s="90">
        <f>$B$3+2</f>
        <v>2026</v>
      </c>
      <c r="F131" s="90">
        <f>$B$3+3</f>
        <v>2027</v>
      </c>
      <c r="G131" s="90">
        <f>$B$3+4</f>
        <v>2028</v>
      </c>
      <c r="H131" s="233" t="str">
        <f>"Ετήσιος ρυθμός ανάπτυξης (CAGR) "&amp;$B$3&amp;" - "&amp;$D$3</f>
        <v>Ετήσιος ρυθμός ανάπτυξης (CAGR) 2024 - 2028</v>
      </c>
    </row>
    <row r="132" spans="1:32" outlineLevel="1" x14ac:dyDescent="0.35">
      <c r="A132" s="48" t="s">
        <v>74</v>
      </c>
      <c r="B132" s="62" t="s">
        <v>266</v>
      </c>
      <c r="C132" s="184">
        <f>IFERROR(Επενδύσεις!D12/'Ενεργές συνδέσεις'!U14,0)</f>
        <v>2836.1302124768054</v>
      </c>
      <c r="D132" s="184">
        <f>IFERROR(Επενδύσεις!E12/'Ενεργές συνδέσεις'!Z14,0)</f>
        <v>10586.691931202689</v>
      </c>
      <c r="E132" s="184">
        <f>IFERROR(Επενδύσεις!F12/'Ενεργές συνδέσεις'!AE14,0)</f>
        <v>7816.1266097580165</v>
      </c>
      <c r="F132" s="184">
        <f>IFERROR(Επενδύσεις!G12/'Ενεργές συνδέσεις'!AJ14,0)</f>
        <v>2044.007698283616</v>
      </c>
      <c r="G132" s="184">
        <f>IFERROR(Επενδύσεις!H12/'Ενεργές συνδέσεις'!AO14,0)</f>
        <v>5150.8581919148264</v>
      </c>
      <c r="H132" s="192">
        <f t="shared" ref="H132:H185" si="3">IFERROR((G132/C132)^(1/4)-1,0)</f>
        <v>0.16088274706601036</v>
      </c>
    </row>
    <row r="133" spans="1:32" outlineLevel="1" x14ac:dyDescent="0.35">
      <c r="A133" s="48" t="s">
        <v>75</v>
      </c>
      <c r="B133" s="62" t="s">
        <v>266</v>
      </c>
      <c r="C133" s="184">
        <f>IFERROR(Επενδύσεις!D13/'Ενεργές συνδέσεις'!U15,0)</f>
        <v>2870.0765702990825</v>
      </c>
      <c r="D133" s="184">
        <f>IFERROR(Επενδύσεις!E13/'Ενεργές συνδέσεις'!Z15,0)</f>
        <v>3536.8090507573106</v>
      </c>
      <c r="E133" s="184">
        <f>IFERROR(Επενδύσεις!F13/'Ενεργές συνδέσεις'!AE15,0)</f>
        <v>2651.3083793023538</v>
      </c>
      <c r="F133" s="184">
        <f>IFERROR(Επενδύσεις!G13/'Ενεργές συνδέσεις'!AJ15,0)</f>
        <v>3172.9682391979427</v>
      </c>
      <c r="G133" s="184">
        <f>IFERROR(Επενδύσεις!H13/'Ενεργές συνδέσεις'!AO15,0)</f>
        <v>2684.2701724645299</v>
      </c>
      <c r="H133" s="192">
        <f t="shared" si="3"/>
        <v>-1.6593248571948549E-2</v>
      </c>
    </row>
    <row r="134" spans="1:32" ht="14.15" customHeight="1" outlineLevel="1" x14ac:dyDescent="0.35">
      <c r="A134" s="48" t="s">
        <v>76</v>
      </c>
      <c r="B134" s="62" t="s">
        <v>266</v>
      </c>
      <c r="C134" s="184">
        <f>IFERROR(Επενδύσεις!D14/'Ενεργές συνδέσεις'!U16,0)</f>
        <v>3392.9636773086327</v>
      </c>
      <c r="D134" s="184">
        <f>IFERROR(Επενδύσεις!E14/'Ενεργές συνδέσεις'!Z16,0)</f>
        <v>5037.5587311779109</v>
      </c>
      <c r="E134" s="184">
        <f>IFERROR(Επενδύσεις!F14/'Ενεργές συνδέσεις'!AE16,0)</f>
        <v>6495.6878155061231</v>
      </c>
      <c r="F134" s="184">
        <f>IFERROR(Επενδύσεις!G14/'Ενεργές συνδέσεις'!AJ16,0)</f>
        <v>4023.2670945846726</v>
      </c>
      <c r="G134" s="184">
        <f>IFERROR(Επενδύσεις!H14/'Ενεργές συνδέσεις'!AO16,0)</f>
        <v>5425.6966590700158</v>
      </c>
      <c r="H134" s="192">
        <f t="shared" si="3"/>
        <v>0.12452489596655569</v>
      </c>
    </row>
    <row r="135" spans="1:32" ht="14.15" customHeight="1" outlineLevel="1" x14ac:dyDescent="0.35">
      <c r="A135" s="48" t="s">
        <v>77</v>
      </c>
      <c r="B135" s="62" t="s">
        <v>266</v>
      </c>
      <c r="C135" s="184">
        <f>IFERROR(Επενδύσεις!D15/'Ενεργές συνδέσεις'!U17,0)</f>
        <v>2754.2685801573139</v>
      </c>
      <c r="D135" s="184">
        <f>IFERROR(Επενδύσεις!E15/'Ενεργές συνδέσεις'!Z17,0)</f>
        <v>2015.8594079414809</v>
      </c>
      <c r="E135" s="184">
        <f>IFERROR(Επενδύσεις!F15/'Ενεργές συνδέσεις'!AE17,0)</f>
        <v>9017.5851195278829</v>
      </c>
      <c r="F135" s="184">
        <f>IFERROR(Επενδύσεις!G15/'Ενεργές συνδέσεις'!AJ17,0)</f>
        <v>5567.5583966666427</v>
      </c>
      <c r="G135" s="184">
        <f>IFERROR(Επενδύσεις!H15/'Ενεργές συνδέσεις'!AO17,0)</f>
        <v>2226.6418639351909</v>
      </c>
      <c r="H135" s="192">
        <f t="shared" si="3"/>
        <v>-5.1775831327241173E-2</v>
      </c>
    </row>
    <row r="136" spans="1:32" ht="14.15" customHeight="1" outlineLevel="1" x14ac:dyDescent="0.35">
      <c r="A136" s="48" t="s">
        <v>78</v>
      </c>
      <c r="B136" s="62" t="s">
        <v>266</v>
      </c>
      <c r="C136" s="184">
        <f>IFERROR(Επενδύσεις!D16/'Ενεργές συνδέσεις'!U18,0)</f>
        <v>3167.3013997455405</v>
      </c>
      <c r="D136" s="184">
        <f>IFERROR(Επενδύσεις!E16/'Ενεργές συνδέσεις'!Z18,0)</f>
        <v>2700.1190008131657</v>
      </c>
      <c r="E136" s="184">
        <f>IFERROR(Επενδύσεις!F16/'Ενεργές συνδέσεις'!AE18,0)</f>
        <v>2732.3744792379557</v>
      </c>
      <c r="F136" s="184">
        <f>IFERROR(Επενδύσεις!G16/'Ενεργές συνδέσεις'!AJ18,0)</f>
        <v>3744.9521680114249</v>
      </c>
      <c r="G136" s="184">
        <f>IFERROR(Επενδύσεις!H16/'Ενεργές συνδέσεις'!AO18,0)</f>
        <v>3095.2800870608248</v>
      </c>
      <c r="H136" s="192">
        <f t="shared" si="3"/>
        <v>-5.7338814937661908E-3</v>
      </c>
    </row>
    <row r="137" spans="1:32" ht="14.15" customHeight="1" outlineLevel="1" x14ac:dyDescent="0.35">
      <c r="A137" s="48" t="s">
        <v>79</v>
      </c>
      <c r="B137" s="62" t="s">
        <v>266</v>
      </c>
      <c r="C137" s="184">
        <f>IFERROR(Επενδύσεις!D17/'Ενεργές συνδέσεις'!U19,0)</f>
        <v>3023.2362669721988</v>
      </c>
      <c r="D137" s="184">
        <f>IFERROR(Επενδύσεις!E17/'Ενεργές συνδέσεις'!Z19,0)</f>
        <v>2046.2236284182836</v>
      </c>
      <c r="E137" s="184">
        <f>IFERROR(Επενδύσεις!F17/'Ενεργές συνδέσεις'!AE19,0)</f>
        <v>2123.7317809376318</v>
      </c>
      <c r="F137" s="184">
        <f>IFERROR(Επενδύσεις!G17/'Ενεργές συνδέσεις'!AJ19,0)</f>
        <v>4892.4131176433757</v>
      </c>
      <c r="G137" s="184">
        <f>IFERROR(Επενδύσεις!H17/'Ενεργές συνδέσεις'!AO19,0)</f>
        <v>6790.1311077300088</v>
      </c>
      <c r="H137" s="192">
        <f t="shared" si="3"/>
        <v>0.22419758324420425</v>
      </c>
    </row>
    <row r="138" spans="1:32" ht="14.15" customHeight="1" outlineLevel="1" x14ac:dyDescent="0.35">
      <c r="A138" s="48" t="s">
        <v>80</v>
      </c>
      <c r="B138" s="62" t="s">
        <v>266</v>
      </c>
      <c r="C138" s="184">
        <f>IFERROR(Επενδύσεις!D18/'Ενεργές συνδέσεις'!U20,0)</f>
        <v>3480.7611124978312</v>
      </c>
      <c r="D138" s="184">
        <f>IFERROR(Επενδύσεις!E18/'Ενεργές συνδέσεις'!Z20,0)</f>
        <v>3031.5227864946842</v>
      </c>
      <c r="E138" s="184">
        <f>IFERROR(Επενδύσεις!F18/'Ενεργές συνδέσεις'!AE20,0)</f>
        <v>2368.2076435782092</v>
      </c>
      <c r="F138" s="184">
        <f>IFERROR(Επενδύσεις!G18/'Ενεργές συνδέσεις'!AJ20,0)</f>
        <v>2208.8822798691672</v>
      </c>
      <c r="G138" s="184">
        <f>IFERROR(Επενδύσεις!H18/'Ενεργές συνδέσεις'!AO20,0)</f>
        <v>4693.0320733678536</v>
      </c>
      <c r="H138" s="192">
        <f t="shared" si="3"/>
        <v>7.7568347654496606E-2</v>
      </c>
    </row>
    <row r="139" spans="1:32" ht="14.15" customHeight="1" outlineLevel="1" x14ac:dyDescent="0.35">
      <c r="A139" s="48" t="s">
        <v>81</v>
      </c>
      <c r="B139" s="62" t="s">
        <v>266</v>
      </c>
      <c r="C139" s="184">
        <f>IFERROR(Επενδύσεις!D19/'Ενεργές συνδέσεις'!U21,0)</f>
        <v>4027.7491160727168</v>
      </c>
      <c r="D139" s="184">
        <f>IFERROR(Επενδύσεις!E19/'Ενεργές συνδέσεις'!Z21,0)</f>
        <v>2377.5773502430625</v>
      </c>
      <c r="E139" s="184">
        <f>IFERROR(Επενδύσεις!F19/'Ενεργές συνδέσεις'!AE21,0)</f>
        <v>2295.1895815727939</v>
      </c>
      <c r="F139" s="184">
        <f>IFERROR(Επενδύσεις!G19/'Ενεργές συνδέσεις'!AJ21,0)</f>
        <v>2240.7608820363462</v>
      </c>
      <c r="G139" s="184">
        <f>IFERROR(Επενδύσεις!H19/'Ενεργές συνδέσεις'!AO21,0)</f>
        <v>2895.3850581705065</v>
      </c>
      <c r="H139" s="192">
        <f t="shared" si="3"/>
        <v>-7.9209182965527591E-2</v>
      </c>
    </row>
    <row r="140" spans="1:32" ht="14.15" customHeight="1" outlineLevel="1" x14ac:dyDescent="0.35">
      <c r="A140" s="48" t="s">
        <v>82</v>
      </c>
      <c r="B140" s="62" t="s">
        <v>266</v>
      </c>
      <c r="C140" s="184">
        <f>IFERROR(Επενδύσεις!D20/'Ενεργές συνδέσεις'!U22,0)</f>
        <v>0</v>
      </c>
      <c r="D140" s="184">
        <f>IFERROR(Επενδύσεις!E20/'Ενεργές συνδέσεις'!Z22,0)</f>
        <v>0</v>
      </c>
      <c r="E140" s="184">
        <f>IFERROR(Επενδύσεις!F20/'Ενεργές συνδέσεις'!AE22,0)</f>
        <v>0</v>
      </c>
      <c r="F140" s="184">
        <f>IFERROR(Επενδύσεις!G20/'Ενεργές συνδέσεις'!AJ22,0)</f>
        <v>0</v>
      </c>
      <c r="G140" s="184">
        <f>IFERROR(Επενδύσεις!H20/'Ενεργές συνδέσεις'!AO22,0)</f>
        <v>0</v>
      </c>
      <c r="H140" s="192">
        <f t="shared" si="3"/>
        <v>0</v>
      </c>
    </row>
    <row r="141" spans="1:32" ht="14.15" customHeight="1" outlineLevel="1" x14ac:dyDescent="0.35">
      <c r="A141" s="48" t="s">
        <v>83</v>
      </c>
      <c r="B141" s="62" t="s">
        <v>266</v>
      </c>
      <c r="C141" s="184">
        <f>IFERROR(Επενδύσεις!D21/'Ενεργές συνδέσεις'!U23,0)</f>
        <v>2627.2959632192101</v>
      </c>
      <c r="D141" s="184">
        <f>IFERROR(Επενδύσεις!E21/'Ενεργές συνδέσεις'!Z23,0)</f>
        <v>20251.726568756087</v>
      </c>
      <c r="E141" s="184">
        <f>IFERROR(Επενδύσεις!F21/'Ενεργές συνδέσεις'!AE23,0)</f>
        <v>6003.6187401278867</v>
      </c>
      <c r="F141" s="184">
        <f>IFERROR(Επενδύσεις!G21/'Ενεργές συνδέσεις'!AJ23,0)</f>
        <v>18897.803985096183</v>
      </c>
      <c r="G141" s="184">
        <f>IFERROR(Επενδύσεις!H21/'Ενεργές συνδέσεις'!AO23,0)</f>
        <v>9233.6788290227596</v>
      </c>
      <c r="H141" s="192">
        <f t="shared" si="3"/>
        <v>0.3691985845979302</v>
      </c>
    </row>
    <row r="142" spans="1:32" ht="14.15" customHeight="1" outlineLevel="1" x14ac:dyDescent="0.35">
      <c r="A142" s="48" t="s">
        <v>84</v>
      </c>
      <c r="B142" s="62" t="s">
        <v>266</v>
      </c>
      <c r="C142" s="184">
        <f>IFERROR(Επενδύσεις!D22/'Ενεργές συνδέσεις'!U24,0)</f>
        <v>11818.668002117409</v>
      </c>
      <c r="D142" s="184">
        <f>IFERROR(Επενδύσεις!E22/'Ενεργές συνδέσεις'!Z24,0)</f>
        <v>8622.0498294095032</v>
      </c>
      <c r="E142" s="184">
        <f>IFERROR(Επενδύσεις!F22/'Ενεργές συνδέσεις'!AE24,0)</f>
        <v>9947.5405108692357</v>
      </c>
      <c r="F142" s="184">
        <f>IFERROR(Επενδύσεις!G22/'Ενεργές συνδέσεις'!AJ24,0)</f>
        <v>9131.2040795312096</v>
      </c>
      <c r="G142" s="184">
        <f>IFERROR(Επενδύσεις!H22/'Ενεργές συνδέσεις'!AO24,0)</f>
        <v>3970.6842587318256</v>
      </c>
      <c r="H142" s="192">
        <f t="shared" si="3"/>
        <v>-0.23866778787076448</v>
      </c>
    </row>
    <row r="143" spans="1:32" ht="14.15" customHeight="1" outlineLevel="1" x14ac:dyDescent="0.35">
      <c r="A143" s="48" t="s">
        <v>85</v>
      </c>
      <c r="B143" s="62" t="s">
        <v>266</v>
      </c>
      <c r="C143" s="184">
        <f>IFERROR(Επενδύσεις!D23/'Ενεργές συνδέσεις'!U25,0)</f>
        <v>3129.7148846194732</v>
      </c>
      <c r="D143" s="184">
        <f>IFERROR(Επενδύσεις!E23/'Ενεργές συνδέσεις'!Z25,0)</f>
        <v>3668.3367655899287</v>
      </c>
      <c r="E143" s="184">
        <f>IFERROR(Επενδύσεις!F23/'Ενεργές συνδέσεις'!AE25,0)</f>
        <v>2097.3118762407162</v>
      </c>
      <c r="F143" s="184">
        <f>IFERROR(Επενδύσεις!G23/'Ενεργές συνδέσεις'!AJ25,0)</f>
        <v>2679.3221196578907</v>
      </c>
      <c r="G143" s="184">
        <f>IFERROR(Επενδύσεις!H23/'Ενεργές συνδέσεις'!AO25,0)</f>
        <v>3289.5107798833264</v>
      </c>
      <c r="H143" s="192">
        <f t="shared" si="3"/>
        <v>1.2527050659521866E-2</v>
      </c>
    </row>
    <row r="144" spans="1:32" outlineLevel="1" x14ac:dyDescent="0.35">
      <c r="A144" s="48" t="s">
        <v>86</v>
      </c>
      <c r="B144" s="62" t="s">
        <v>266</v>
      </c>
      <c r="C144" s="184">
        <f>IFERROR(Επενδύσεις!D24/'Ενεργές συνδέσεις'!U26,0)</f>
        <v>6119.4831322493883</v>
      </c>
      <c r="D144" s="184">
        <f>IFERROR(Επενδύσεις!E24/'Ενεργές συνδέσεις'!Z26,0)</f>
        <v>4603.8221196024842</v>
      </c>
      <c r="E144" s="184">
        <f>IFERROR(Επενδύσεις!F24/'Ενεργές συνδέσεις'!AE26,0)</f>
        <v>3578.4990035326532</v>
      </c>
      <c r="F144" s="184">
        <f>IFERROR(Επενδύσεις!G24/'Ενεργές συνδέσεις'!AJ26,0)</f>
        <v>3075.705414231169</v>
      </c>
      <c r="G144" s="184">
        <f>IFERROR(Επενδύσεις!H24/'Ενεργές συνδέσεις'!AO26,0)</f>
        <v>2931.7025459854112</v>
      </c>
      <c r="H144" s="192">
        <f t="shared" si="3"/>
        <v>-0.16804221394613861</v>
      </c>
    </row>
    <row r="145" spans="1:8" outlineLevel="1" x14ac:dyDescent="0.35">
      <c r="A145" s="48" t="s">
        <v>87</v>
      </c>
      <c r="B145" s="62" t="s">
        <v>266</v>
      </c>
      <c r="C145" s="184">
        <f>IFERROR(Επενδύσεις!D25/'Ενεργές συνδέσεις'!U27,0)</f>
        <v>3036.797005144967</v>
      </c>
      <c r="D145" s="184">
        <f>IFERROR(Επενδύσεις!E25/'Ενεργές συνδέσεις'!Z27,0)</f>
        <v>4345.2560215562253</v>
      </c>
      <c r="E145" s="184">
        <f>IFERROR(Επενδύσεις!F25/'Ενεργές συνδέσεις'!AE27,0)</f>
        <v>2030.7356496524471</v>
      </c>
      <c r="F145" s="184">
        <f>IFERROR(Επενδύσεις!G25/'Ενεργές συνδέσεις'!AJ27,0)</f>
        <v>2144.9050595273802</v>
      </c>
      <c r="G145" s="184">
        <f>IFERROR(Επενδύσεις!H25/'Ενεργές συνδέσεις'!AO27,0)</f>
        <v>5226.3398313957969</v>
      </c>
      <c r="H145" s="192">
        <f t="shared" si="3"/>
        <v>0.14536912183097783</v>
      </c>
    </row>
    <row r="146" spans="1:8" outlineLevel="1" x14ac:dyDescent="0.35">
      <c r="A146" s="48" t="s">
        <v>88</v>
      </c>
      <c r="B146" s="62" t="s">
        <v>266</v>
      </c>
      <c r="C146" s="184">
        <f>IFERROR(Επενδύσεις!D26/'Ενεργές συνδέσεις'!U28,0)</f>
        <v>3784.3443629822336</v>
      </c>
      <c r="D146" s="184">
        <f>IFERROR(Επενδύσεις!E26/'Ενεργές συνδέσεις'!Z28,0)</f>
        <v>6235.191164611464</v>
      </c>
      <c r="E146" s="184">
        <f>IFERROR(Επενδύσεις!F26/'Ενεργές συνδέσεις'!AE28,0)</f>
        <v>5279.6717107346803</v>
      </c>
      <c r="F146" s="184">
        <f>IFERROR(Επενδύσεις!G26/'Ενεργές συνδέσεις'!AJ28,0)</f>
        <v>2127.8316506332339</v>
      </c>
      <c r="G146" s="184">
        <f>IFERROR(Επενδύσεις!H26/'Ενεργές συνδέσεις'!AO28,0)</f>
        <v>7773.4161729088573</v>
      </c>
      <c r="H146" s="192">
        <f t="shared" si="3"/>
        <v>0.19716860072863174</v>
      </c>
    </row>
    <row r="147" spans="1:8" outlineLevel="1" x14ac:dyDescent="0.35">
      <c r="A147" s="48" t="s">
        <v>89</v>
      </c>
      <c r="B147" s="62" t="s">
        <v>266</v>
      </c>
      <c r="C147" s="184">
        <f>IFERROR(Επενδύσεις!D27/'Ενεργές συνδέσεις'!U29,0)</f>
        <v>4208.1906352031292</v>
      </c>
      <c r="D147" s="184">
        <f>IFERROR(Επενδύσεις!E27/'Ενεργές συνδέσεις'!Z29,0)</f>
        <v>3146.31697052454</v>
      </c>
      <c r="E147" s="184">
        <f>IFERROR(Επενδύσεις!F27/'Ενεργές συνδέσεις'!AE29,0)</f>
        <v>4314.8647612611212</v>
      </c>
      <c r="F147" s="184">
        <f>IFERROR(Επενδύσεις!G27/'Ενεργές συνδέσεις'!AJ29,0)</f>
        <v>5923.9415205971382</v>
      </c>
      <c r="G147" s="184">
        <f>IFERROR(Επενδύσεις!H27/'Ενεργές συνδέσεις'!AO29,0)</f>
        <v>3450.6892945603463</v>
      </c>
      <c r="H147" s="192">
        <f t="shared" si="3"/>
        <v>-4.8403989247989387E-2</v>
      </c>
    </row>
    <row r="148" spans="1:8" outlineLevel="1" x14ac:dyDescent="0.35">
      <c r="A148" s="48" t="s">
        <v>90</v>
      </c>
      <c r="B148" s="62" t="s">
        <v>266</v>
      </c>
      <c r="C148" s="184">
        <f>IFERROR(Επενδύσεις!D28/'Ενεργές συνδέσεις'!U30,0)</f>
        <v>19657.390724047647</v>
      </c>
      <c r="D148" s="184">
        <f>IFERROR(Επενδύσεις!E28/'Ενεργές συνδέσεις'!Z30,0)</f>
        <v>150598.68016965545</v>
      </c>
      <c r="E148" s="184">
        <f>IFERROR(Επενδύσεις!F28/'Ενεργές συνδέσεις'!AE30,0)</f>
        <v>1976.7283635468209</v>
      </c>
      <c r="F148" s="184">
        <f>IFERROR(Επενδύσεις!G28/'Ενεργές συνδέσεις'!AJ30,0)</f>
        <v>66876.268744891247</v>
      </c>
      <c r="G148" s="184">
        <f>IFERROR(Επενδύσεις!H28/'Ενεργές συνδέσεις'!AO30,0)</f>
        <v>2100.3753922766814</v>
      </c>
      <c r="H148" s="192">
        <f t="shared" si="3"/>
        <v>-0.42826765459193938</v>
      </c>
    </row>
    <row r="149" spans="1:8" outlineLevel="1" x14ac:dyDescent="0.35">
      <c r="A149" s="48" t="s">
        <v>91</v>
      </c>
      <c r="B149" s="62" t="s">
        <v>266</v>
      </c>
      <c r="C149" s="184">
        <f>IFERROR(Επενδύσεις!D29/'Ενεργές συνδέσεις'!U31,0)</f>
        <v>58206.025947656912</v>
      </c>
      <c r="D149" s="184">
        <f>IFERROR(Επενδύσεις!E29/'Ενεργές συνδέσεις'!Z31,0)</f>
        <v>15886.783565066247</v>
      </c>
      <c r="E149" s="184">
        <f>IFERROR(Επενδύσεις!F29/'Ενεργές συνδέσεις'!AE31,0)</f>
        <v>11464.88859316171</v>
      </c>
      <c r="F149" s="184">
        <f>IFERROR(Επενδύσεις!G29/'Ενεργές συνδέσεις'!AJ31,0)</f>
        <v>2091.9441390381771</v>
      </c>
      <c r="G149" s="184">
        <f>IFERROR(Επενδύσεις!H29/'Ενεργές συνδέσεις'!AO31,0)</f>
        <v>16154.721445657735</v>
      </c>
      <c r="H149" s="192">
        <f t="shared" si="3"/>
        <v>-0.27417339797452545</v>
      </c>
    </row>
    <row r="150" spans="1:8" outlineLevel="1" x14ac:dyDescent="0.35">
      <c r="A150" s="48" t="s">
        <v>92</v>
      </c>
      <c r="B150" s="62" t="s">
        <v>266</v>
      </c>
      <c r="C150" s="184">
        <f>IFERROR(Επενδύσεις!D30/'Ενεργές συνδέσεις'!U32,0)</f>
        <v>3076.4812530998947</v>
      </c>
      <c r="D150" s="184">
        <f>IFERROR(Επενδύσεις!E30/'Ενεργές συνδέσεις'!Z32,0)</f>
        <v>3923.2828837308689</v>
      </c>
      <c r="E150" s="184">
        <f>IFERROR(Επενδύσεις!F30/'Ενεργές συνδέσεις'!AE32,0)</f>
        <v>3823.208677008191</v>
      </c>
      <c r="F150" s="184">
        <f>IFERROR(Επενδύσεις!G30/'Ενεργές συνδέσεις'!AJ32,0)</f>
        <v>2162.2268524583292</v>
      </c>
      <c r="G150" s="184">
        <f>IFERROR(Επενδύσεις!H30/'Ενεργές συνδέσεις'!AO32,0)</f>
        <v>3422.5774733648404</v>
      </c>
      <c r="H150" s="192">
        <f t="shared" si="3"/>
        <v>2.7010192261142763E-2</v>
      </c>
    </row>
    <row r="151" spans="1:8" outlineLevel="1" x14ac:dyDescent="0.35">
      <c r="A151" s="48" t="s">
        <v>93</v>
      </c>
      <c r="B151" s="62" t="s">
        <v>266</v>
      </c>
      <c r="C151" s="184">
        <f>IFERROR(Επενδύσεις!D31/'Ενεργές συνδέσεις'!U33,0)</f>
        <v>3423.2056876289448</v>
      </c>
      <c r="D151" s="184">
        <f>IFERROR(Επενδύσεις!E31/'Ενεργές συνδέσεις'!Z33,0)</f>
        <v>3014.6181231517289</v>
      </c>
      <c r="E151" s="184">
        <f>IFERROR(Επενδύσεις!F31/'Ενεργές συνδέσεις'!AE33,0)</f>
        <v>4037.3730524348803</v>
      </c>
      <c r="F151" s="184">
        <f>IFERROR(Επενδύσεις!G31/'Ενεργές συνδέσεις'!AJ33,0)</f>
        <v>2732.8404078045396</v>
      </c>
      <c r="G151" s="184">
        <f>IFERROR(Επενδύσεις!H31/'Ενεργές συνδέσεις'!AO33,0)</f>
        <v>2952.0017453551291</v>
      </c>
      <c r="H151" s="192">
        <f t="shared" si="3"/>
        <v>-3.6346498639434843E-2</v>
      </c>
    </row>
    <row r="152" spans="1:8" outlineLevel="1" x14ac:dyDescent="0.35">
      <c r="A152" s="48" t="s">
        <v>94</v>
      </c>
      <c r="B152" s="62" t="s">
        <v>266</v>
      </c>
      <c r="C152" s="184">
        <f>IFERROR(Επενδύσεις!D32/'Ενεργές συνδέσεις'!U34,0)</f>
        <v>2948.216251540905</v>
      </c>
      <c r="D152" s="184">
        <f>IFERROR(Επενδύσεις!E32/'Ενεργές συνδέσεις'!Z34,0)</f>
        <v>4780.3564992094443</v>
      </c>
      <c r="E152" s="184">
        <f>IFERROR(Επενδύσεις!F32/'Ενεργές συνδέσεις'!AE34,0)</f>
        <v>3721.3478399910045</v>
      </c>
      <c r="F152" s="184">
        <f>IFERROR(Επενδύσεις!G32/'Ενεργές συνδέσεις'!AJ34,0)</f>
        <v>4980.3840175888554</v>
      </c>
      <c r="G152" s="184">
        <f>IFERROR(Επενδύσεις!H32/'Ενεργές συνδέσεις'!AO34,0)</f>
        <v>4393.0076991616552</v>
      </c>
      <c r="H152" s="192">
        <f t="shared" si="3"/>
        <v>0.10484322563786908</v>
      </c>
    </row>
    <row r="153" spans="1:8" outlineLevel="1" x14ac:dyDescent="0.35">
      <c r="A153" s="48" t="s">
        <v>95</v>
      </c>
      <c r="B153" s="62" t="s">
        <v>266</v>
      </c>
      <c r="C153" s="184">
        <f>IFERROR(Επενδύσεις!D33/'Ενεργές συνδέσεις'!U35,0)</f>
        <v>3657.3179240017739</v>
      </c>
      <c r="D153" s="184">
        <f>IFERROR(Επενδύσεις!E33/'Ενεργές συνδέσεις'!Z35,0)</f>
        <v>4100.3675437808179</v>
      </c>
      <c r="E153" s="184">
        <f>IFERROR(Επενδύσεις!F33/'Ενεργές συνδέσεις'!AE35,0)</f>
        <v>4741.0707267336029</v>
      </c>
      <c r="F153" s="184">
        <f>IFERROR(Επενδύσεις!G33/'Ενεργές συνδέσεις'!AJ35,0)</f>
        <v>5082.964679701442</v>
      </c>
      <c r="G153" s="184">
        <f>IFERROR(Επενδύσεις!H33/'Ενεργές συνδέσεις'!AO35,0)</f>
        <v>2211.0229562415102</v>
      </c>
      <c r="H153" s="192">
        <f t="shared" si="3"/>
        <v>-0.11822529899329448</v>
      </c>
    </row>
    <row r="154" spans="1:8" outlineLevel="1" x14ac:dyDescent="0.35">
      <c r="A154" s="48" t="s">
        <v>96</v>
      </c>
      <c r="B154" s="62" t="s">
        <v>266</v>
      </c>
      <c r="C154" s="184">
        <f>IFERROR(Επενδύσεις!D34/'Ενεργές συνδέσεις'!U36,0)</f>
        <v>2814.8247572685368</v>
      </c>
      <c r="D154" s="184">
        <f>IFERROR(Επενδύσεις!E34/'Ενεργές συνδέσεις'!Z36,0)</f>
        <v>3273.0689786299845</v>
      </c>
      <c r="E154" s="184">
        <f>IFERROR(Επενδύσεις!F34/'Ενεργές συνδέσεις'!AE36,0)</f>
        <v>3537.4134018471796</v>
      </c>
      <c r="F154" s="184">
        <f>IFERROR(Επενδύσεις!G34/'Ενεργές συνδέσεις'!AJ36,0)</f>
        <v>2131.1164466616319</v>
      </c>
      <c r="G154" s="184">
        <f>IFERROR(Επενδύσεις!H34/'Ενεργές συνδέσεις'!AO36,0)</f>
        <v>3658.8332394579897</v>
      </c>
      <c r="H154" s="192">
        <f t="shared" si="3"/>
        <v>6.7757949464518852E-2</v>
      </c>
    </row>
    <row r="155" spans="1:8" outlineLevel="1" x14ac:dyDescent="0.35">
      <c r="A155" s="48" t="s">
        <v>97</v>
      </c>
      <c r="B155" s="62" t="s">
        <v>266</v>
      </c>
      <c r="C155" s="184">
        <f>IFERROR(Επενδύσεις!D35/'Ενεργές συνδέσεις'!U37,0)</f>
        <v>3769.4546749073133</v>
      </c>
      <c r="D155" s="184">
        <f>IFERROR(Επενδύσεις!E35/'Ενεργές συνδέσεις'!Z37,0)</f>
        <v>4042.5737023245802</v>
      </c>
      <c r="E155" s="184">
        <f>IFERROR(Επενδύσεις!F35/'Ενεργές συνδέσεις'!AE37,0)</f>
        <v>2270.6103432488189</v>
      </c>
      <c r="F155" s="184">
        <f>IFERROR(Επενδύσεις!G35/'Ενεργές συνδέσεις'!AJ37,0)</f>
        <v>2125.2615224249316</v>
      </c>
      <c r="G155" s="184">
        <f>IFERROR(Επενδύσεις!H35/'Ενεργές συνδέσεις'!AO37,0)</f>
        <v>4790.3175411278771</v>
      </c>
      <c r="H155" s="192">
        <f t="shared" si="3"/>
        <v>6.174798226815148E-2</v>
      </c>
    </row>
    <row r="156" spans="1:8" outlineLevel="1" x14ac:dyDescent="0.35">
      <c r="A156" s="48" t="s">
        <v>98</v>
      </c>
      <c r="B156" s="62" t="s">
        <v>266</v>
      </c>
      <c r="C156" s="184">
        <f>IFERROR(Επενδύσεις!D36/'Ενεργές συνδέσεις'!U38,0)</f>
        <v>4196.8535786540006</v>
      </c>
      <c r="D156" s="184">
        <f>IFERROR(Επενδύσεις!E36/'Ενεργές συνδέσεις'!Z38,0)</f>
        <v>8620.2848565641198</v>
      </c>
      <c r="E156" s="184">
        <f>IFERROR(Επενδύσεις!F36/'Ενεργές συνδέσεις'!AE38,0)</f>
        <v>5814.4217764715531</v>
      </c>
      <c r="F156" s="184">
        <f>IFERROR(Επενδύσεις!G36/'Ενεργές συνδέσεις'!AJ38,0)</f>
        <v>5783.021151315661</v>
      </c>
      <c r="G156" s="184">
        <f>IFERROR(Επενδύσεις!H36/'Ενεργές συνδέσεις'!AO38,0)</f>
        <v>7004.0947448459383</v>
      </c>
      <c r="H156" s="192">
        <f t="shared" si="3"/>
        <v>0.13659842167811598</v>
      </c>
    </row>
    <row r="157" spans="1:8" outlineLevel="1" x14ac:dyDescent="0.35">
      <c r="A157" s="48" t="s">
        <v>99</v>
      </c>
      <c r="B157" s="62" t="s">
        <v>266</v>
      </c>
      <c r="C157" s="184">
        <f>IFERROR(Επενδύσεις!D37/'Ενεργές συνδέσεις'!U39,0)</f>
        <v>5959.243882908203</v>
      </c>
      <c r="D157" s="184">
        <f>IFERROR(Επενδύσεις!E37/'Ενεργές συνδέσεις'!Z39,0)</f>
        <v>8495.3483919923001</v>
      </c>
      <c r="E157" s="184">
        <f>IFERROR(Επενδύσεις!F37/'Ενεργές συνδέσεις'!AE39,0)</f>
        <v>4343.0885227269073</v>
      </c>
      <c r="F157" s="184">
        <f>IFERROR(Επενδύσεις!G37/'Ενεργές συνδέσεις'!AJ39,0)</f>
        <v>8234.7699742553013</v>
      </c>
      <c r="G157" s="184">
        <f>IFERROR(Επενδύσεις!H37/'Ενεργές συνδέσεις'!AO39,0)</f>
        <v>3933.4510060836119</v>
      </c>
      <c r="H157" s="192">
        <f t="shared" si="3"/>
        <v>-9.8645468553343219E-2</v>
      </c>
    </row>
    <row r="158" spans="1:8" outlineLevel="1" x14ac:dyDescent="0.35">
      <c r="A158" s="48" t="s">
        <v>100</v>
      </c>
      <c r="B158" s="62" t="s">
        <v>266</v>
      </c>
      <c r="C158" s="184">
        <f>IFERROR(Επενδύσεις!D38/'Ενεργές συνδέσεις'!U40,0)</f>
        <v>3681.7461489002003</v>
      </c>
      <c r="D158" s="184">
        <f>IFERROR(Επενδύσεις!E38/'Ενεργές συνδέσεις'!Z40,0)</f>
        <v>6684.1394546269221</v>
      </c>
      <c r="E158" s="184">
        <f>IFERROR(Επενδύσεις!F38/'Ενεργές συνδέσεις'!AE40,0)</f>
        <v>6115.9869116490818</v>
      </c>
      <c r="F158" s="184">
        <f>IFERROR(Επενδύσεις!G38/'Ενεργές συνδέσεις'!AJ40,0)</f>
        <v>4098.5551477662821</v>
      </c>
      <c r="G158" s="184">
        <f>IFERROR(Επενδύσεις!H38/'Ενεργές συνδέσεις'!AO40,0)</f>
        <v>7770.9983032403088</v>
      </c>
      <c r="H158" s="192">
        <f t="shared" si="3"/>
        <v>0.20532938159668723</v>
      </c>
    </row>
    <row r="159" spans="1:8" outlineLevel="1" x14ac:dyDescent="0.35">
      <c r="A159" s="48" t="s">
        <v>101</v>
      </c>
      <c r="B159" s="62" t="s">
        <v>266</v>
      </c>
      <c r="C159" s="184">
        <f>IFERROR(Επενδύσεις!D39/'Ενεργές συνδέσεις'!U41,0)</f>
        <v>2177.0174821518312</v>
      </c>
      <c r="D159" s="184">
        <f>IFERROR(Επενδύσεις!E39/'Ενεργές συνδέσεις'!Z41,0)</f>
        <v>1989.4403921278695</v>
      </c>
      <c r="E159" s="184">
        <f>IFERROR(Επενδύσεις!F39/'Ενεργές συνδέσεις'!AE41,0)</f>
        <v>2193.1065094821433</v>
      </c>
      <c r="F159" s="184">
        <f>IFERROR(Επενδύσεις!G39/'Ενεργές συνδέσεις'!AJ41,0)</f>
        <v>2253.3402929798217</v>
      </c>
      <c r="G159" s="184">
        <f>IFERROR(Επενδύσεις!H39/'Ενεργές συνδέσεις'!AO41,0)</f>
        <v>2334.6040519595085</v>
      </c>
      <c r="H159" s="192">
        <f t="shared" si="3"/>
        <v>1.7625144907756241E-2</v>
      </c>
    </row>
    <row r="160" spans="1:8" outlineLevel="1" x14ac:dyDescent="0.35">
      <c r="A160" s="48" t="s">
        <v>102</v>
      </c>
      <c r="B160" s="62" t="s">
        <v>266</v>
      </c>
      <c r="C160" s="184">
        <f>IFERROR(Επενδύσεις!D40/'Ενεργές συνδέσεις'!U42,0)</f>
        <v>3258.3611737507686</v>
      </c>
      <c r="D160" s="184">
        <f>IFERROR(Επενδύσεις!E40/'Ενεργές συνδέσεις'!Z42,0)</f>
        <v>2028.6647220911486</v>
      </c>
      <c r="E160" s="184">
        <f>IFERROR(Επενδύσεις!F40/'Ενεργές συνδέσεις'!AE42,0)</f>
        <v>3225.9508007011746</v>
      </c>
      <c r="F160" s="184">
        <f>IFERROR(Επενδύσεις!G40/'Ενεργές συνδέσεις'!AJ42,0)</f>
        <v>2206.006119737056</v>
      </c>
      <c r="G160" s="184">
        <f>IFERROR(Επενδύσεις!H40/'Ενεργές συνδέσεις'!AO42,0)</f>
        <v>2341.0230700380648</v>
      </c>
      <c r="H160" s="192">
        <f t="shared" si="3"/>
        <v>-7.9335032785075477E-2</v>
      </c>
    </row>
    <row r="161" spans="1:8" outlineLevel="1" x14ac:dyDescent="0.35">
      <c r="A161" s="48" t="s">
        <v>103</v>
      </c>
      <c r="B161" s="62" t="s">
        <v>266</v>
      </c>
      <c r="C161" s="184">
        <f>IFERROR(Επενδύσεις!D41/'Ενεργές συνδέσεις'!U43,0)</f>
        <v>0</v>
      </c>
      <c r="D161" s="184">
        <f>IFERROR(Επενδύσεις!E41/'Ενεργές συνδέσεις'!Z43,0)</f>
        <v>0</v>
      </c>
      <c r="E161" s="184">
        <f>IFERROR(Επενδύσεις!F41/'Ενεργές συνδέσεις'!AE43,0)</f>
        <v>0</v>
      </c>
      <c r="F161" s="184">
        <f>IFERROR(Επενδύσεις!G41/'Ενεργές συνδέσεις'!AJ43,0)</f>
        <v>0</v>
      </c>
      <c r="G161" s="184">
        <f>IFERROR(Επενδύσεις!H41/'Ενεργές συνδέσεις'!AO43,0)</f>
        <v>0</v>
      </c>
      <c r="H161" s="192">
        <f t="shared" si="3"/>
        <v>0</v>
      </c>
    </row>
    <row r="162" spans="1:8" outlineLevel="1" x14ac:dyDescent="0.35">
      <c r="A162" s="48" t="s">
        <v>104</v>
      </c>
      <c r="B162" s="62" t="s">
        <v>266</v>
      </c>
      <c r="C162" s="184">
        <f>IFERROR(Επενδύσεις!D42/'Ενεργές συνδέσεις'!U44,0)</f>
        <v>0</v>
      </c>
      <c r="D162" s="184">
        <f>IFERROR(Επενδύσεις!E42/'Ενεργές συνδέσεις'!Z44,0)</f>
        <v>0</v>
      </c>
      <c r="E162" s="184">
        <f>IFERROR(Επενδύσεις!F42/'Ενεργές συνδέσεις'!AE44,0)</f>
        <v>0</v>
      </c>
      <c r="F162" s="184">
        <f>IFERROR(Επενδύσεις!G42/'Ενεργές συνδέσεις'!AJ44,0)</f>
        <v>32004.744768558281</v>
      </c>
      <c r="G162" s="184">
        <f>IFERROR(Επενδύσεις!H42/'Ενεργές συνδέσεις'!AO44,0)</f>
        <v>18747.390545672381</v>
      </c>
      <c r="H162" s="192">
        <f t="shared" si="3"/>
        <v>0</v>
      </c>
    </row>
    <row r="163" spans="1:8" outlineLevel="1" x14ac:dyDescent="0.35">
      <c r="A163" s="48" t="s">
        <v>136</v>
      </c>
      <c r="B163" s="62" t="s">
        <v>266</v>
      </c>
      <c r="C163" s="184">
        <f>IFERROR(Επενδύσεις!D43/'Ενεργές συνδέσεις'!U45,0)</f>
        <v>0</v>
      </c>
      <c r="D163" s="184">
        <f>IFERROR(Επενδύσεις!E43/'Ενεργές συνδέσεις'!Z45,0)</f>
        <v>0</v>
      </c>
      <c r="E163" s="184">
        <f>IFERROR(Επενδύσεις!F43/'Ενεργές συνδέσεις'!AE45,0)</f>
        <v>0</v>
      </c>
      <c r="F163" s="184">
        <f>IFERROR(Επενδύσεις!G43/'Ενεργές συνδέσεις'!AJ45,0)</f>
        <v>32004.744768558281</v>
      </c>
      <c r="G163" s="184">
        <f>IFERROR(Επενδύσεις!H43/'Ενεργές συνδέσεις'!AO45,0)</f>
        <v>21282.379906452588</v>
      </c>
      <c r="H163" s="192">
        <f t="shared" si="3"/>
        <v>0</v>
      </c>
    </row>
    <row r="164" spans="1:8" outlineLevel="1" x14ac:dyDescent="0.35">
      <c r="A164" s="48" t="s">
        <v>106</v>
      </c>
      <c r="B164" s="62" t="s">
        <v>266</v>
      </c>
      <c r="C164" s="184">
        <f>IFERROR(Επενδύσεις!D44/'Ενεργές συνδέσεις'!U46,0)</f>
        <v>3471.0181871752311</v>
      </c>
      <c r="D164" s="184">
        <f>IFERROR(Επενδύσεις!E44/'Ενεργές συνδέσεις'!Z46,0)</f>
        <v>5382.3451214225579</v>
      </c>
      <c r="E164" s="184">
        <f>IFERROR(Επενδύσεις!F44/'Ενεργές συνδέσεις'!AE46,0)</f>
        <v>2066.1284560370868</v>
      </c>
      <c r="F164" s="184">
        <f>IFERROR(Επενδύσεις!G44/'Ενεργές συνδέσεις'!AJ46,0)</f>
        <v>5791.4253562448848</v>
      </c>
      <c r="G164" s="184">
        <f>IFERROR(Επενδύσεις!H44/'Ενεργές συνδέσεις'!AO46,0)</f>
        <v>13099.714820953746</v>
      </c>
      <c r="H164" s="192">
        <f t="shared" si="3"/>
        <v>0.39380249625322428</v>
      </c>
    </row>
    <row r="165" spans="1:8" outlineLevel="1" x14ac:dyDescent="0.35">
      <c r="A165" s="48" t="s">
        <v>107</v>
      </c>
      <c r="B165" s="62" t="s">
        <v>266</v>
      </c>
      <c r="C165" s="184">
        <f>IFERROR(Επενδύσεις!D45/'Ενεργές συνδέσεις'!U47,0)</f>
        <v>3569.9711228043311</v>
      </c>
      <c r="D165" s="184">
        <f>IFERROR(Επενδύσεις!E45/'Ενεργές συνδέσεις'!Z47,0)</f>
        <v>5212.3683574560901</v>
      </c>
      <c r="E165" s="184">
        <f>IFERROR(Επενδύσεις!F45/'Ενεργές συνδέσεις'!AE47,0)</f>
        <v>2391.1749255072764</v>
      </c>
      <c r="F165" s="184">
        <f>IFERROR(Επενδύσεις!G45/'Ενεργές συνδέσεις'!AJ47,0)</f>
        <v>2154.583356569653</v>
      </c>
      <c r="G165" s="184">
        <f>IFERROR(Επενδύσεις!H45/'Ενεργές συνδέσεις'!AO47,0)</f>
        <v>3538.1223789362589</v>
      </c>
      <c r="H165" s="192">
        <f t="shared" si="3"/>
        <v>-2.2378228091591845E-3</v>
      </c>
    </row>
    <row r="166" spans="1:8" outlineLevel="1" x14ac:dyDescent="0.35">
      <c r="A166" s="48" t="s">
        <v>108</v>
      </c>
      <c r="B166" s="62" t="s">
        <v>266</v>
      </c>
      <c r="C166" s="184">
        <f>IFERROR(Επενδύσεις!D46/'Ενεργές συνδέσεις'!U48,0)</f>
        <v>5026.9947160565216</v>
      </c>
      <c r="D166" s="184">
        <f>IFERROR(Επενδύσεις!E46/'Ενεργές συνδέσεις'!Z48,0)</f>
        <v>1989.8717837771771</v>
      </c>
      <c r="E166" s="184">
        <f>IFERROR(Επενδύσεις!F46/'Ενεργές συνδέσεις'!AE48,0)</f>
        <v>8242.7025141436789</v>
      </c>
      <c r="F166" s="184">
        <f>IFERROR(Επενδύσεις!G46/'Ενεργές συνδέσεις'!AJ48,0)</f>
        <v>6087.9709610682949</v>
      </c>
      <c r="G166" s="184">
        <f>IFERROR(Επενδύσεις!H46/'Ενεργές συνδέσεις'!AO48,0)</f>
        <v>3232.7130636840329</v>
      </c>
      <c r="H166" s="192">
        <f t="shared" si="3"/>
        <v>-0.10450187186334436</v>
      </c>
    </row>
    <row r="167" spans="1:8" outlineLevel="1" x14ac:dyDescent="0.35">
      <c r="A167" s="48" t="s">
        <v>109</v>
      </c>
      <c r="B167" s="62" t="s">
        <v>266</v>
      </c>
      <c r="C167" s="184">
        <f>IFERROR(Επενδύσεις!D47/'Ενεργές συνδέσεις'!U49,0)</f>
        <v>2814.1123374473891</v>
      </c>
      <c r="D167" s="184">
        <f>IFERROR(Επενδύσεις!E47/'Ενεργές συνδέσεις'!Z49,0)</f>
        <v>2107.5231070182908</v>
      </c>
      <c r="E167" s="184">
        <f>IFERROR(Επενδύσεις!F47/'Ενεργές συνδέσεις'!AE49,0)</f>
        <v>2501.594977594405</v>
      </c>
      <c r="F167" s="184">
        <f>IFERROR(Επενδύσεις!G47/'Ενεργές συνδέσεις'!AJ49,0)</f>
        <v>2240.8060412622817</v>
      </c>
      <c r="G167" s="184">
        <f>IFERROR(Επενδύσεις!H47/'Ενεργές συνδέσεις'!AO49,0)</f>
        <v>2353.4848021852772</v>
      </c>
      <c r="H167" s="192">
        <f t="shared" si="3"/>
        <v>-4.3703663578417151E-2</v>
      </c>
    </row>
    <row r="168" spans="1:8" outlineLevel="1" x14ac:dyDescent="0.35">
      <c r="A168" s="48" t="s">
        <v>110</v>
      </c>
      <c r="B168" s="62" t="s">
        <v>266</v>
      </c>
      <c r="C168" s="184">
        <f>IFERROR(Επενδύσεις!D48/'Ενεργές συνδέσεις'!U50,0)</f>
        <v>8193.6612788105667</v>
      </c>
      <c r="D168" s="184">
        <f>IFERROR(Επενδύσεις!E48/'Ενεργές συνδέσεις'!Z50,0)</f>
        <v>1945.0931887577765</v>
      </c>
      <c r="E168" s="184">
        <f>IFERROR(Επενδύσεις!F48/'Ενεργές συνδέσεις'!AE50,0)</f>
        <v>4208.9588092893309</v>
      </c>
      <c r="F168" s="184">
        <f>IFERROR(Επενδύσεις!G48/'Ενεργές συνδέσεις'!AJ50,0)</f>
        <v>2102.2855147789564</v>
      </c>
      <c r="G168" s="184">
        <f>IFERROR(Επενδύσεις!H48/'Ενεργές συνδέσεις'!AO50,0)</f>
        <v>7370.0763418991346</v>
      </c>
      <c r="H168" s="192">
        <f t="shared" si="3"/>
        <v>-2.6135589523756053E-2</v>
      </c>
    </row>
    <row r="169" spans="1:8" outlineLevel="1" x14ac:dyDescent="0.35">
      <c r="A169" s="48" t="s">
        <v>111</v>
      </c>
      <c r="B169" s="62" t="s">
        <v>266</v>
      </c>
      <c r="C169" s="184">
        <f>IFERROR(Επενδύσεις!D49/'Ενεργές συνδέσεις'!U51,0)</f>
        <v>3226.1028629284015</v>
      </c>
      <c r="D169" s="184">
        <f>IFERROR(Επενδύσεις!E49/'Ενεργές συνδέσεις'!Z51,0)</f>
        <v>7287.4711200180573</v>
      </c>
      <c r="E169" s="184">
        <f>IFERROR(Επενδύσεις!F49/'Ενεργές συνδέσεις'!AE51,0)</f>
        <v>8082.27035906535</v>
      </c>
      <c r="F169" s="184">
        <f>IFERROR(Επενδύσεις!G49/'Ενεργές συνδέσεις'!AJ51,0)</f>
        <v>2095.5071603633737</v>
      </c>
      <c r="G169" s="184">
        <f>IFERROR(Επενδύσεις!H49/'Ενεργές συνδέσεις'!AO51,0)</f>
        <v>4653.6952223360813</v>
      </c>
      <c r="H169" s="192">
        <f t="shared" si="3"/>
        <v>9.5922722830830365E-2</v>
      </c>
    </row>
    <row r="170" spans="1:8" outlineLevel="1" x14ac:dyDescent="0.35">
      <c r="A170" s="48" t="s">
        <v>112</v>
      </c>
      <c r="B170" s="62" t="s">
        <v>266</v>
      </c>
      <c r="C170" s="184">
        <f>IFERROR(Επενδύσεις!D50/'Ενεργές συνδέσεις'!U52,0)</f>
        <v>3995.9954503278395</v>
      </c>
      <c r="D170" s="184">
        <f>IFERROR(Επενδύσεις!E50/'Ενεργές συνδέσεις'!Z52,0)</f>
        <v>5595.481661922815</v>
      </c>
      <c r="E170" s="184">
        <f>IFERROR(Επενδύσεις!F50/'Ενεργές συνδέσεις'!AE52,0)</f>
        <v>4597.4059094955164</v>
      </c>
      <c r="F170" s="184">
        <f>IFERROR(Επενδύσεις!G50/'Ενεργές συνδέσεις'!AJ52,0)</f>
        <v>5115.0571247568587</v>
      </c>
      <c r="G170" s="184">
        <f>IFERROR(Επενδύσεις!H50/'Ενεργές συνδέσεις'!AO52,0)</f>
        <v>8383.9049294970246</v>
      </c>
      <c r="H170" s="192">
        <f t="shared" si="3"/>
        <v>0.20352562062299429</v>
      </c>
    </row>
    <row r="171" spans="1:8" outlineLevel="1" x14ac:dyDescent="0.35">
      <c r="A171" s="48" t="s">
        <v>113</v>
      </c>
      <c r="B171" s="62" t="s">
        <v>266</v>
      </c>
      <c r="C171" s="184">
        <f>IFERROR(Επενδύσεις!D51/'Ενεργές συνδέσεις'!U53,0)</f>
        <v>0</v>
      </c>
      <c r="D171" s="184">
        <f>IFERROR(Επενδύσεις!E51/'Ενεργές συνδέσεις'!Z53,0)</f>
        <v>0</v>
      </c>
      <c r="E171" s="184">
        <f>IFERROR(Επενδύσεις!F51/'Ενεργές συνδέσεις'!AE53,0)</f>
        <v>1554.3253551146006</v>
      </c>
      <c r="F171" s="184">
        <f>IFERROR(Επενδύσεις!G51/'Ενεργές συνδέσεις'!AJ53,0)</f>
        <v>0</v>
      </c>
      <c r="G171" s="184">
        <f>IFERROR(Επενδύσεις!H51/'Ενεργές συνδέσεις'!AO53,0)</f>
        <v>0</v>
      </c>
      <c r="H171" s="192">
        <f t="shared" si="3"/>
        <v>0</v>
      </c>
    </row>
    <row r="172" spans="1:8" outlineLevel="1" x14ac:dyDescent="0.35">
      <c r="A172" s="48" t="s">
        <v>114</v>
      </c>
      <c r="B172" s="62" t="s">
        <v>266</v>
      </c>
      <c r="C172" s="184">
        <f>IFERROR(Επενδύσεις!D52/'Ενεργές συνδέσεις'!U54,0)</f>
        <v>2816.9257997623095</v>
      </c>
      <c r="D172" s="184">
        <f>IFERROR(Επενδύσεις!E52/'Ενεργές συνδέσεις'!Z54,0)</f>
        <v>2042.0917999316871</v>
      </c>
      <c r="E172" s="184">
        <f>IFERROR(Επενδύσεις!F52/'Ενεργές συνδέσεις'!AE54,0)</f>
        <v>2122.289754354902</v>
      </c>
      <c r="F172" s="184">
        <f>IFERROR(Επενδύσεις!G52/'Ενεργές συνδέσεις'!AJ54,0)</f>
        <v>2262.0400747249269</v>
      </c>
      <c r="G172" s="184">
        <f>IFERROR(Επενδύσεις!H52/'Ενεργές συνδέσεις'!AO54,0)</f>
        <v>2377.5930875206636</v>
      </c>
      <c r="H172" s="192">
        <f t="shared" si="3"/>
        <v>-4.1503501920528652E-2</v>
      </c>
    </row>
    <row r="173" spans="1:8" outlineLevel="1" x14ac:dyDescent="0.35">
      <c r="A173" s="48" t="s">
        <v>115</v>
      </c>
      <c r="B173" s="62" t="s">
        <v>266</v>
      </c>
      <c r="C173" s="184">
        <f>IFERROR(Επενδύσεις!D53/'Ενεργές συνδέσεις'!U55,0)</f>
        <v>5771.3279930186563</v>
      </c>
      <c r="D173" s="184">
        <f>IFERROR(Επενδύσεις!E53/'Ενεργές συνδέσεις'!Z55,0)</f>
        <v>6337.7516502980725</v>
      </c>
      <c r="E173" s="184">
        <f>IFERROR(Επενδύσεις!F53/'Ενεργές συνδέσεις'!AE55,0)</f>
        <v>3946.8513086207581</v>
      </c>
      <c r="F173" s="184">
        <f>IFERROR(Επενδύσεις!G53/'Ενεργές συνδέσεις'!AJ55,0)</f>
        <v>7625.6486854319519</v>
      </c>
      <c r="G173" s="184">
        <f>IFERROR(Επενδύσεις!H53/'Ενεργές συνδέσεις'!AO55,0)</f>
        <v>6238.9462496477954</v>
      </c>
      <c r="H173" s="192">
        <f t="shared" si="3"/>
        <v>1.9668191850040539E-2</v>
      </c>
    </row>
    <row r="174" spans="1:8" outlineLevel="1" x14ac:dyDescent="0.35">
      <c r="A174" s="48" t="s">
        <v>116</v>
      </c>
      <c r="B174" s="62" t="s">
        <v>266</v>
      </c>
      <c r="C174" s="184">
        <f>IFERROR(Επενδύσεις!D54/'Ενεργές συνδέσεις'!U56,0)</f>
        <v>2785.0257498225633</v>
      </c>
      <c r="D174" s="184">
        <f>IFERROR(Επενδύσεις!E54/'Ενεργές συνδέσεις'!Z56,0)</f>
        <v>2033.5831198392787</v>
      </c>
      <c r="E174" s="184">
        <f>IFERROR(Επενδύσεις!F54/'Ενεργές συνδέσεις'!AE56,0)</f>
        <v>2113.9701859568195</v>
      </c>
      <c r="F174" s="184">
        <f>IFERROR(Επενδύσεις!G54/'Ενεργές συνδέσεις'!AJ56,0)</f>
        <v>2251.6399735622776</v>
      </c>
      <c r="G174" s="184">
        <f>IFERROR(Επενδύσεις!H54/'Ενεργές συνδέσεις'!AO56,0)</f>
        <v>2362.4663756777277</v>
      </c>
      <c r="H174" s="192">
        <f t="shared" si="3"/>
        <v>-4.0303070562906274E-2</v>
      </c>
    </row>
    <row r="175" spans="1:8" outlineLevel="1" x14ac:dyDescent="0.35">
      <c r="A175" s="48" t="s">
        <v>117</v>
      </c>
      <c r="B175" s="62" t="s">
        <v>266</v>
      </c>
      <c r="C175" s="184">
        <f>IFERROR(Επενδύσεις!D55/'Ενεργές συνδέσεις'!U57,0)</f>
        <v>4187.215149010849</v>
      </c>
      <c r="D175" s="184">
        <f>IFERROR(Επενδύσεις!E55/'Ενεργές συνδέσεις'!Z57,0)</f>
        <v>4974.7040089983848</v>
      </c>
      <c r="E175" s="184">
        <f>IFERROR(Επενδύσεις!F55/'Ενεργές συνδέσεις'!AE57,0)</f>
        <v>3691.6900958153969</v>
      </c>
      <c r="F175" s="184">
        <f>IFERROR(Επενδύσεις!G55/'Ενεργές συνδέσεις'!AJ57,0)</f>
        <v>6379.1776998553632</v>
      </c>
      <c r="G175" s="184">
        <f>IFERROR(Επενδύσεις!H55/'Ενεργές συνδέσεις'!AO57,0)</f>
        <v>3499.2168612195806</v>
      </c>
      <c r="H175" s="192">
        <f t="shared" si="3"/>
        <v>-4.3882217721835981E-2</v>
      </c>
    </row>
    <row r="176" spans="1:8" outlineLevel="1" x14ac:dyDescent="0.35">
      <c r="A176" s="48" t="s">
        <v>118</v>
      </c>
      <c r="B176" s="62" t="s">
        <v>266</v>
      </c>
      <c r="C176" s="184">
        <f>IFERROR(Επενδύσεις!D56/'Ενεργές συνδέσεις'!U58,0)</f>
        <v>2800.4814707932019</v>
      </c>
      <c r="D176" s="184">
        <f>IFERROR(Επενδύσεις!E56/'Ενεργές συνδέσεις'!Z58,0)</f>
        <v>2034.7488944825961</v>
      </c>
      <c r="E176" s="184">
        <f>IFERROR(Επενδύσεις!F56/'Ενεργές συνδέσεις'!AE58,0)</f>
        <v>3575.9088677901796</v>
      </c>
      <c r="F176" s="184">
        <f>IFERROR(Επενδύσεις!G56/'Ενεργές συνδέσεις'!AJ58,0)</f>
        <v>8742.3684884512841</v>
      </c>
      <c r="G176" s="184">
        <f>IFERROR(Επενδύσεις!H56/'Ενεργές συνδέσεις'!AO58,0)</f>
        <v>5509.7534011919497</v>
      </c>
      <c r="H176" s="192">
        <f t="shared" si="3"/>
        <v>0.18433581974076119</v>
      </c>
    </row>
    <row r="177" spans="1:32" outlineLevel="1" x14ac:dyDescent="0.35">
      <c r="A177" s="48" t="s">
        <v>119</v>
      </c>
      <c r="B177" s="62" t="s">
        <v>266</v>
      </c>
      <c r="C177" s="184">
        <f>IFERROR(Επενδύσεις!D57/'Ενεργές συνδέσεις'!U59,0)</f>
        <v>0</v>
      </c>
      <c r="D177" s="184">
        <f>IFERROR(Επενδύσεις!E57/'Ενεργές συνδέσεις'!Z59,0)</f>
        <v>0</v>
      </c>
      <c r="E177" s="184">
        <f>IFERROR(Επενδύσεις!F57/'Ενεργές συνδέσεις'!AE59,0)</f>
        <v>0</v>
      </c>
      <c r="F177" s="184">
        <f>IFERROR(Επενδύσεις!G57/'Ενεργές συνδέσεις'!AJ59,0)</f>
        <v>0</v>
      </c>
      <c r="G177" s="184">
        <f>IFERROR(Επενδύσεις!H57/'Ενεργές συνδέσεις'!AO59,0)</f>
        <v>0</v>
      </c>
      <c r="H177" s="192">
        <f t="shared" si="3"/>
        <v>0</v>
      </c>
    </row>
    <row r="178" spans="1:32" outlineLevel="1" x14ac:dyDescent="0.35">
      <c r="A178" s="48" t="s">
        <v>120</v>
      </c>
      <c r="B178" s="62" t="s">
        <v>266</v>
      </c>
      <c r="C178" s="184">
        <f>IFERROR(Επενδύσεις!D58/'Ενεργές συνδέσεις'!U60,0)</f>
        <v>3766.1573546189184</v>
      </c>
      <c r="D178" s="184">
        <f>IFERROR(Επενδύσεις!E58/'Ενεργές συνδέσεις'!Z60,0)</f>
        <v>4617.6105399754479</v>
      </c>
      <c r="E178" s="184">
        <f>IFERROR(Επενδύσεις!F58/'Ενεργές συνδέσεις'!AE60,0)</f>
        <v>3931.6293574818114</v>
      </c>
      <c r="F178" s="184">
        <f>IFERROR(Επενδύσεις!G58/'Ενεργές συνδέσεις'!AJ60,0)</f>
        <v>3546.5029010584976</v>
      </c>
      <c r="G178" s="184">
        <f>IFERROR(Επενδύσεις!H58/'Ενεργές συνδέσεις'!AO60,0)</f>
        <v>5509.8072272592008</v>
      </c>
      <c r="H178" s="192">
        <f t="shared" si="3"/>
        <v>9.9789289069242004E-2</v>
      </c>
    </row>
    <row r="179" spans="1:32" outlineLevel="1" x14ac:dyDescent="0.35">
      <c r="A179" s="48" t="s">
        <v>121</v>
      </c>
      <c r="B179" s="62" t="s">
        <v>266</v>
      </c>
      <c r="C179" s="184">
        <f>IFERROR(Επενδύσεις!D59/'Ενεργές συνδέσεις'!U61,0)</f>
        <v>3650.0704510706955</v>
      </c>
      <c r="D179" s="184">
        <f>IFERROR(Επενδύσεις!E59/'Ενεργές συνδέσεις'!Z61,0)</f>
        <v>4580.8352887694227</v>
      </c>
      <c r="E179" s="184">
        <f>IFERROR(Επενδύσεις!F59/'Ενεργές συνδέσεις'!AE61,0)</f>
        <v>4784.4305405194118</v>
      </c>
      <c r="F179" s="184">
        <f>IFERROR(Επενδύσεις!G59/'Ενεργές συνδέσεις'!AJ61,0)</f>
        <v>4558.9226231242765</v>
      </c>
      <c r="G179" s="184">
        <f>IFERROR(Επενδύσεις!H59/'Ενεργές συνδέσεις'!AO61,0)</f>
        <v>7086.7718989964396</v>
      </c>
      <c r="H179" s="192">
        <f t="shared" si="3"/>
        <v>0.18042065955885689</v>
      </c>
    </row>
    <row r="180" spans="1:32" outlineLevel="1" x14ac:dyDescent="0.35">
      <c r="A180" s="48" t="s">
        <v>137</v>
      </c>
      <c r="B180" s="62" t="s">
        <v>266</v>
      </c>
      <c r="C180" s="184">
        <f>IFERROR(Επενδύσεις!D60/'Ενεργές συνδέσεις'!U62,0)</f>
        <v>0</v>
      </c>
      <c r="D180" s="184">
        <f>IFERROR(Επενδύσεις!E60/'Ενεργές συνδέσεις'!Z62,0)</f>
        <v>0</v>
      </c>
      <c r="E180" s="184">
        <f>IFERROR(Επενδύσεις!F60/'Ενεργές συνδέσεις'!AE62,0)</f>
        <v>0</v>
      </c>
      <c r="F180" s="184">
        <f>IFERROR(Επενδύσεις!G60/'Ενεργές συνδέσεις'!AJ62,0)</f>
        <v>0</v>
      </c>
      <c r="G180" s="184">
        <f>IFERROR(Επενδύσεις!H60/'Ενεργές συνδέσεις'!AO62,0)</f>
        <v>0</v>
      </c>
      <c r="H180" s="192">
        <f t="shared" si="3"/>
        <v>0</v>
      </c>
    </row>
    <row r="181" spans="1:32" outlineLevel="1" x14ac:dyDescent="0.35">
      <c r="A181" s="48" t="s">
        <v>123</v>
      </c>
      <c r="B181" s="62" t="s">
        <v>266</v>
      </c>
      <c r="C181" s="184">
        <f>IFERROR(Επενδύσεις!D61/'Ενεργές συνδέσεις'!U63,0)</f>
        <v>3939.7306833077323</v>
      </c>
      <c r="D181" s="184">
        <f>IFERROR(Επενδύσεις!E61/'Ενεργές συνδέσεις'!Z63,0)</f>
        <v>3532.181147481404</v>
      </c>
      <c r="E181" s="184">
        <f>IFERROR(Επενδύσεις!F61/'Ενεργές συνδέσεις'!AE63,0)</f>
        <v>5471.5565276095676</v>
      </c>
      <c r="F181" s="184">
        <f>IFERROR(Επενδύσεις!G61/'Ενεργές συνδέσεις'!AJ63,0)</f>
        <v>2191.7293829541354</v>
      </c>
      <c r="G181" s="184">
        <f>IFERROR(Επενδύσεις!H61/'Ενεργές συνδέσεις'!AO63,0)</f>
        <v>6917.8770169983363</v>
      </c>
      <c r="H181" s="192">
        <f t="shared" si="3"/>
        <v>0.15113583973132716</v>
      </c>
    </row>
    <row r="182" spans="1:32" outlineLevel="1" x14ac:dyDescent="0.35">
      <c r="A182" s="48" t="s">
        <v>124</v>
      </c>
      <c r="B182" s="62" t="s">
        <v>266</v>
      </c>
      <c r="C182" s="184">
        <f>IFERROR(Επενδύσεις!D62/'Ενεργές συνδέσεις'!U65,0)</f>
        <v>8337.5833076924646</v>
      </c>
      <c r="D182" s="184">
        <f>IFERROR(Επενδύσεις!E62/'Ενεργές συνδέσεις'!Z65,0)</f>
        <v>16742.955648185627</v>
      </c>
      <c r="E182" s="184">
        <f>IFERROR(Επενδύσεις!F62/'Ενεργές συνδέσεις'!AE65,0)</f>
        <v>12300.433327128352</v>
      </c>
      <c r="F182" s="184">
        <f>IFERROR(Επενδύσεις!G62/'Ενεργές συνδέσεις'!AJ65,0)</f>
        <v>17014.689825564401</v>
      </c>
      <c r="G182" s="184">
        <f>IFERROR(Επενδύσεις!H62/'Ενεργές συνδέσεις'!AO65,0)</f>
        <v>28319.621945040381</v>
      </c>
      <c r="H182" s="192">
        <f t="shared" si="3"/>
        <v>0.35756869969394978</v>
      </c>
    </row>
    <row r="183" spans="1:32" outlineLevel="1" x14ac:dyDescent="0.35">
      <c r="A183" s="48" t="s">
        <v>125</v>
      </c>
      <c r="B183" s="62" t="s">
        <v>266</v>
      </c>
      <c r="C183" s="184">
        <f>IFERROR(Επενδύσεις!D63/'Ενεργές συνδέσεις'!U66,0)</f>
        <v>519.31950721296403</v>
      </c>
      <c r="D183" s="184">
        <f>IFERROR(Επενδύσεις!E63/'Ενεργές συνδέσεις'!Z66,0)</f>
        <v>136.16312102688266</v>
      </c>
      <c r="E183" s="184">
        <f>IFERROR(Επενδύσεις!F63/'Ενεργές συνδέσεις'!AE66,0)</f>
        <v>141.20725447362867</v>
      </c>
      <c r="F183" s="184">
        <f>IFERROR(Επενδύσεις!G63/'Ενεργές συνδέσεις'!AJ66,0)</f>
        <v>163.76114609701727</v>
      </c>
      <c r="G183" s="184">
        <f>IFERROR(Επενδύσεις!H63/'Ενεργές συνδέσεις'!AO66,0)</f>
        <v>154.13961822980215</v>
      </c>
      <c r="H183" s="192">
        <f t="shared" si="3"/>
        <v>-0.261892003046862</v>
      </c>
    </row>
    <row r="184" spans="1:32" outlineLevel="1" x14ac:dyDescent="0.35">
      <c r="A184" s="48" t="s">
        <v>126</v>
      </c>
      <c r="B184" s="62" t="s">
        <v>266</v>
      </c>
      <c r="C184" s="184">
        <f>IFERROR(Επενδύσεις!D64/'Ενεργές συνδέσεις'!U64,0)</f>
        <v>78639.428873151672</v>
      </c>
      <c r="D184" s="184">
        <f>IFERROR(Επενδύσεις!E64/'Ενεργές συνδέσεις'!Z64,0)</f>
        <v>268495.04767141945</v>
      </c>
      <c r="E184" s="184">
        <f>IFERROR(Επενδύσεις!F64/'Ενεργές συνδέσεις'!AE64,0)</f>
        <v>88951.040344710447</v>
      </c>
      <c r="F184" s="184">
        <f>IFERROR(Επενδύσεις!G64/'Ενεργές συνδέσεις'!AJ64,0)</f>
        <v>110568.18555942483</v>
      </c>
      <c r="G184" s="184">
        <f>IFERROR(Επενδύσεις!H64/'Ενεργές συνδέσεις'!AO64,0)</f>
        <v>61659.334855913621</v>
      </c>
      <c r="H184" s="192">
        <f t="shared" si="3"/>
        <v>-5.9000004837508002E-2</v>
      </c>
    </row>
    <row r="185" spans="1:32" outlineLevel="1" x14ac:dyDescent="0.35">
      <c r="A185" s="48" t="s">
        <v>127</v>
      </c>
      <c r="B185" s="62" t="s">
        <v>266</v>
      </c>
      <c r="C185" s="184">
        <f>IFERROR(Επενδύσεις!D65/'Ενεργές συνδέσεις'!U67,0)</f>
        <v>392320.92057941295</v>
      </c>
      <c r="D185" s="184">
        <f>IFERROR(Επενδύσεις!E65/'Ενεργές συνδέσεις'!Z67,0)</f>
        <v>0</v>
      </c>
      <c r="E185" s="184">
        <f>IFERROR(Επενδύσεις!F65/'Ενεργές συνδέσεις'!AE67,0)</f>
        <v>0</v>
      </c>
      <c r="F185" s="184">
        <f>IFERROR(Επενδύσεις!G65/'Ενεργές συνδέσεις'!AJ67,0)</f>
        <v>0</v>
      </c>
      <c r="G185" s="184">
        <f>IFERROR(Επενδύσεις!H65/'Ενεργές συνδέσεις'!AO67,0)</f>
        <v>0</v>
      </c>
      <c r="H185" s="192">
        <f t="shared" si="3"/>
        <v>-1</v>
      </c>
    </row>
    <row r="186" spans="1:32" outlineLevel="1" x14ac:dyDescent="0.35">
      <c r="A186" s="477" t="s">
        <v>151</v>
      </c>
      <c r="B186" s="478"/>
      <c r="C186" s="478"/>
      <c r="D186" s="478"/>
      <c r="E186" s="478"/>
      <c r="F186" s="478"/>
      <c r="G186" s="478"/>
      <c r="H186" s="479"/>
    </row>
    <row r="187" spans="1:32" outlineLevel="1" x14ac:dyDescent="0.35">
      <c r="A187" s="48" t="s">
        <v>138</v>
      </c>
      <c r="B187" s="59" t="s">
        <v>266</v>
      </c>
      <c r="C187" s="184">
        <f>IFERROR(Επενδύσεις!D68/'Ενεργές συνδέσεις'!U68,0)</f>
        <v>4033.0355679438717</v>
      </c>
      <c r="D187" s="184">
        <f>IFERROR(Επενδύσεις!E68/'Ενεργές συνδέσεις'!Z68,0)</f>
        <v>4161.8541076678093</v>
      </c>
      <c r="E187" s="184">
        <f>IFERROR(Επενδύσεις!F68/'Ενεργές συνδέσεις'!AE68,0)</f>
        <v>3811.4273729326032</v>
      </c>
      <c r="F187" s="184">
        <f>IFERROR(Επενδύσεις!G68/'Ενεργές συνδέσεις'!AJ68,0)</f>
        <v>4337.4483157011055</v>
      </c>
      <c r="G187" s="184">
        <f>IFERROR(Επενδύσεις!H68/'Ενεργές συνδέσεις'!AO68,0)</f>
        <v>4542.5060901315246</v>
      </c>
      <c r="H187" s="192">
        <f>IFERROR((G187/C187)^(1/4)-1,0)</f>
        <v>3.01865287577745E-2</v>
      </c>
    </row>
    <row r="189" spans="1:32" ht="15.5" x14ac:dyDescent="0.35">
      <c r="A189" s="419" t="s">
        <v>267</v>
      </c>
      <c r="B189" s="419"/>
      <c r="C189" s="419"/>
      <c r="D189" s="419"/>
      <c r="E189" s="419"/>
      <c r="F189" s="419"/>
      <c r="G189" s="419"/>
      <c r="H189" s="419"/>
    </row>
    <row r="190" spans="1:32" ht="5.9" customHeight="1" outlineLevel="1" x14ac:dyDescent="0.35">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103"/>
      <c r="AF190" s="103"/>
    </row>
    <row r="191" spans="1:32" ht="33.75" customHeight="1" outlineLevel="1" x14ac:dyDescent="0.35">
      <c r="A191" s="60"/>
      <c r="B191" s="61" t="s">
        <v>134</v>
      </c>
      <c r="C191" s="90">
        <f>$B$3</f>
        <v>2024</v>
      </c>
      <c r="D191" s="90">
        <f>$B$3+1</f>
        <v>2025</v>
      </c>
      <c r="E191" s="90">
        <f>$B$3+2</f>
        <v>2026</v>
      </c>
      <c r="F191" s="90">
        <f>$B$3+3</f>
        <v>2027</v>
      </c>
      <c r="G191" s="90">
        <f>$B$3+4</f>
        <v>2028</v>
      </c>
      <c r="H191" s="233" t="str">
        <f>"Ετήσιος ρυθμός ανάπτυξης (CAGR) "&amp;$B$3&amp;" - "&amp;$D$3</f>
        <v>Ετήσιος ρυθμός ανάπτυξης (CAGR) 2024 - 2028</v>
      </c>
    </row>
    <row r="192" spans="1:32" outlineLevel="1" x14ac:dyDescent="0.35">
      <c r="A192" s="48" t="s">
        <v>74</v>
      </c>
      <c r="B192" s="62" t="s">
        <v>268</v>
      </c>
      <c r="C192" s="184">
        <f>IFERROR('Ενεργοί πελάτες'!U14/'Ανάπτυξη δικτύου'!U77,0)</f>
        <v>0</v>
      </c>
      <c r="D192" s="184">
        <f>IFERROR('Ενεργοί πελάτες'!X14/'Ανάπτυξη δικτύου'!X77,0)</f>
        <v>3.3355795148247977E-2</v>
      </c>
      <c r="E192" s="184">
        <f>IFERROR('Ενεργοί πελάτες'!AA14/'Ανάπτυξη δικτύου'!AA77,0)</f>
        <v>4.9621530698065602E-2</v>
      </c>
      <c r="F192" s="184">
        <f>IFERROR('Ενεργοί πελάτες'!AD14/'Ανάπτυξη δικτύου'!AD77,0)</f>
        <v>0</v>
      </c>
      <c r="G192" s="184">
        <f>IFERROR('Ενεργοί πελάτες'!AG14/'Ανάπτυξη δικτύου'!AG77,0)</f>
        <v>0.11045531197301856</v>
      </c>
      <c r="H192" s="192">
        <f t="shared" ref="H192:H245" si="4">IFERROR((G192/C192)^(1/4)-1,0)</f>
        <v>0</v>
      </c>
    </row>
    <row r="193" spans="1:8" outlineLevel="1" x14ac:dyDescent="0.35">
      <c r="A193" s="48" t="s">
        <v>75</v>
      </c>
      <c r="B193" s="62" t="s">
        <v>268</v>
      </c>
      <c r="C193" s="184">
        <f>IFERROR('Ενεργοί πελάτες'!U15/'Ανάπτυξη δικτύου'!U78,0)</f>
        <v>8.292307692307693</v>
      </c>
      <c r="D193" s="184">
        <f>IFERROR('Ενεργοί πελάτες'!X15/'Ανάπτυξη δικτύου'!X78,0)</f>
        <v>0.21214953271028036</v>
      </c>
      <c r="E193" s="184">
        <f>IFERROR('Ενεργοί πελάτες'!AA15/'Ανάπτυξη δικτύου'!AA78,0)</f>
        <v>0.86620530565167242</v>
      </c>
      <c r="F193" s="184">
        <f>IFERROR('Ενεργοί πελάτες'!AD15/'Ανάπτυξη δικτύου'!AD78,0)</f>
        <v>0.41033434650455924</v>
      </c>
      <c r="G193" s="184">
        <f>IFERROR('Ενεργοί πελάτες'!AG15/'Ανάπτυξη δικτύου'!AG78,0)</f>
        <v>1.1090534979423867</v>
      </c>
      <c r="H193" s="192">
        <f t="shared" si="4"/>
        <v>-0.3952591975783788</v>
      </c>
    </row>
    <row r="194" spans="1:8" outlineLevel="1" x14ac:dyDescent="0.35">
      <c r="A194" s="48" t="s">
        <v>76</v>
      </c>
      <c r="B194" s="62" t="s">
        <v>268</v>
      </c>
      <c r="C194" s="184">
        <f>IFERROR('Ενεργοί πελάτες'!U16/'Ανάπτυξη δικτύου'!U79,0)</f>
        <v>0.55069124423963134</v>
      </c>
      <c r="D194" s="184">
        <f>IFERROR('Ενεργοί πελάτες'!X16/'Ανάπτυξη δικτύου'!X79,0)</f>
        <v>9.9606418407508321E-2</v>
      </c>
      <c r="E194" s="184">
        <f>IFERROR('Ενεργοί πελάτες'!AA16/'Ανάπτυξη δικτύου'!AA79,0)</f>
        <v>6.937731020756327E-2</v>
      </c>
      <c r="F194" s="184">
        <f>IFERROR('Ενεργοί πελάτες'!AD16/'Ανάπτυξη δικτύου'!AD79,0)</f>
        <v>0.17707961442342021</v>
      </c>
      <c r="G194" s="184">
        <f>IFERROR('Ενεργοί πελάτες'!AG16/'Ανάπτυξη δικτύου'!AG79,0)</f>
        <v>0.10889423076923077</v>
      </c>
      <c r="H194" s="192">
        <f t="shared" si="4"/>
        <v>-0.33315611197707073</v>
      </c>
    </row>
    <row r="195" spans="1:8" outlineLevel="1" x14ac:dyDescent="0.35">
      <c r="A195" s="48" t="s">
        <v>77</v>
      </c>
      <c r="B195" s="62" t="s">
        <v>268</v>
      </c>
      <c r="C195" s="184">
        <f>IFERROR('Ενεργοί πελάτες'!U17/'Ανάπτυξη δικτύου'!U80,0)</f>
        <v>0</v>
      </c>
      <c r="D195" s="184">
        <f>IFERROR('Ενεργοί πελάτες'!X17/'Ανάπτυξη δικτύου'!X80,0)</f>
        <v>0</v>
      </c>
      <c r="E195" s="184">
        <f>IFERROR('Ενεργοί πελάτες'!AA17/'Ανάπτυξη δικτύου'!AA80,0)</f>
        <v>4.7588005215123859E-2</v>
      </c>
      <c r="F195" s="184">
        <f>IFERROR('Ενεργοί πελάτες'!AD17/'Ανάπτυξη δικτύου'!AD80,0)</f>
        <v>0.10171730515191546</v>
      </c>
      <c r="G195" s="184">
        <f>IFERROR('Ενεργοί πελάτες'!AG17/'Ανάπτυξη δικτύου'!AG80,0)</f>
        <v>0</v>
      </c>
      <c r="H195" s="192">
        <f t="shared" si="4"/>
        <v>0</v>
      </c>
    </row>
    <row r="196" spans="1:8" outlineLevel="1" x14ac:dyDescent="0.35">
      <c r="A196" s="48" t="s">
        <v>78</v>
      </c>
      <c r="B196" s="62" t="s">
        <v>268</v>
      </c>
      <c r="C196" s="184">
        <f>IFERROR('Ενεργοί πελάτες'!U18/'Ανάπτυξη δικτύου'!U81,0)</f>
        <v>0.72710664535282032</v>
      </c>
      <c r="D196" s="184">
        <f>IFERROR('Ενεργοί πελάτες'!X18/'Ανάπτυξη δικτύου'!X81,0)</f>
        <v>0.43219293325855301</v>
      </c>
      <c r="E196" s="184">
        <f>IFERROR('Ενεργοί πελάτες'!AA18/'Ανάπτυξη δικτύου'!AA81,0)</f>
        <v>0.49026845637583893</v>
      </c>
      <c r="F196" s="184">
        <f>IFERROR('Ενεργοί πελάτες'!AD18/'Ανάπτυξη δικτύου'!AD81,0)</f>
        <v>0.27800506526397817</v>
      </c>
      <c r="G196" s="184">
        <f>IFERROR('Ενεργοί πελάτες'!AG18/'Ανάπτυξη δικτύου'!AG81,0)</f>
        <v>0.45156643860280876</v>
      </c>
      <c r="H196" s="192">
        <f t="shared" si="4"/>
        <v>-0.11227002245191231</v>
      </c>
    </row>
    <row r="197" spans="1:8" outlineLevel="1" x14ac:dyDescent="0.35">
      <c r="A197" s="48" t="s">
        <v>79</v>
      </c>
      <c r="B197" s="62" t="s">
        <v>268</v>
      </c>
      <c r="C197" s="184">
        <f>IFERROR('Ενεργοί πελάτες'!U19/'Ανάπτυξη δικτύου'!U82,0)</f>
        <v>1.8461538461538463</v>
      </c>
      <c r="D197" s="184">
        <f>IFERROR('Ενεργοί πελάτες'!X19/'Ανάπτυξη δικτύου'!X82,0)</f>
        <v>0</v>
      </c>
      <c r="E197" s="184">
        <f>IFERROR('Ενεργοί πελάτες'!AA19/'Ανάπτυξη δικτύου'!AA82,0)</f>
        <v>0</v>
      </c>
      <c r="F197" s="184">
        <f>IFERROR('Ενεργοί πελάτες'!AD19/'Ανάπτυξη δικτύου'!AD82,0)</f>
        <v>0</v>
      </c>
      <c r="G197" s="184">
        <f>IFERROR('Ενεργοί πελάτες'!AG19/'Ανάπτυξη δικτύου'!AG82,0)</f>
        <v>9.4339622641509441E-2</v>
      </c>
      <c r="H197" s="192">
        <f t="shared" si="4"/>
        <v>-0.52454812838949449</v>
      </c>
    </row>
    <row r="198" spans="1:8" outlineLevel="1" x14ac:dyDescent="0.35">
      <c r="A198" s="48" t="s">
        <v>80</v>
      </c>
      <c r="B198" s="62" t="s">
        <v>268</v>
      </c>
      <c r="C198" s="184">
        <f>IFERROR('Ενεργοί πελάτες'!U20/'Ανάπτυξη δικτύου'!U83,0)</f>
        <v>0.49921507064364207</v>
      </c>
      <c r="D198" s="184">
        <f>IFERROR('Ενεργοί πελάτες'!X20/'Ανάπτυξη δικτύου'!X83,0)</f>
        <v>0.3087136929460581</v>
      </c>
      <c r="E198" s="184">
        <f>IFERROR('Ενεργοί πελάτες'!AA20/'Ανάπτυξη δικτύου'!AA83,0)</f>
        <v>1.2380952380952381</v>
      </c>
      <c r="F198" s="184">
        <f>IFERROR('Ενεργοί πελάτες'!AD20/'Ανάπτυξη δικτύου'!AD83,0)</f>
        <v>0</v>
      </c>
      <c r="G198" s="184">
        <f>IFERROR('Ενεργοί πελάτες'!AG20/'Ανάπτυξη δικτύου'!AG83,0)</f>
        <v>0.1794546607482562</v>
      </c>
      <c r="H198" s="192">
        <f t="shared" si="4"/>
        <v>-0.22568662040045762</v>
      </c>
    </row>
    <row r="199" spans="1:8" outlineLevel="1" x14ac:dyDescent="0.35">
      <c r="A199" s="48" t="s">
        <v>81</v>
      </c>
      <c r="B199" s="62" t="s">
        <v>268</v>
      </c>
      <c r="C199" s="184">
        <f>IFERROR('Ενεργοί πελάτες'!U21/'Ανάπτυξη δικτύου'!U84,0)</f>
        <v>0.29618593563766388</v>
      </c>
      <c r="D199" s="184">
        <f>IFERROR('Ενεργοί πελάτες'!X21/'Ανάπτυξη δικτύου'!X84,0)</f>
        <v>0.93023255813953487</v>
      </c>
      <c r="E199" s="184">
        <f>IFERROR('Ενεργοί πελάτες'!AA21/'Ανάπτυξη δικτύου'!AA84,0)</f>
        <v>1.873015873015873</v>
      </c>
      <c r="F199" s="184">
        <f>IFERROR('Ενεργοί πελάτες'!AD21/'Ανάπτυξη δικτύου'!AD84,0)</f>
        <v>0</v>
      </c>
      <c r="G199" s="184">
        <f>IFERROR('Ενεργοί πελάτες'!AG21/'Ανάπτυξη δικτύου'!AG84,0)</f>
        <v>0.83744855967078191</v>
      </c>
      <c r="H199" s="192">
        <f t="shared" si="4"/>
        <v>0.29672662158321117</v>
      </c>
    </row>
    <row r="200" spans="1:8" outlineLevel="1" x14ac:dyDescent="0.35">
      <c r="A200" s="48" t="s">
        <v>82</v>
      </c>
      <c r="B200" s="62" t="s">
        <v>268</v>
      </c>
      <c r="C200" s="184">
        <f>IFERROR('Ενεργοί πελάτες'!U22/'Ανάπτυξη δικτύου'!U85,0)</f>
        <v>0</v>
      </c>
      <c r="D200" s="184">
        <f>IFERROR('Ενεργοί πελάτες'!X22/'Ανάπτυξη δικτύου'!X85,0)</f>
        <v>0</v>
      </c>
      <c r="E200" s="184">
        <f>IFERROR('Ενεργοί πελάτες'!AA22/'Ανάπτυξη δικτύου'!AA85,0)</f>
        <v>0</v>
      </c>
      <c r="F200" s="184">
        <f>IFERROR('Ενεργοί πελάτες'!AD22/'Ανάπτυξη δικτύου'!AD85,0)</f>
        <v>0</v>
      </c>
      <c r="G200" s="184">
        <f>IFERROR('Ενεργοί πελάτες'!AG22/'Ανάπτυξη δικτύου'!AG85,0)</f>
        <v>0</v>
      </c>
      <c r="H200" s="192">
        <f t="shared" si="4"/>
        <v>0</v>
      </c>
    </row>
    <row r="201" spans="1:8" outlineLevel="1" x14ac:dyDescent="0.35">
      <c r="A201" s="48" t="s">
        <v>83</v>
      </c>
      <c r="B201" s="62" t="s">
        <v>268</v>
      </c>
      <c r="C201" s="184">
        <f>IFERROR('Ενεργοί πελάτες'!U23/'Ανάπτυξη δικτύου'!U86,0)</f>
        <v>0</v>
      </c>
      <c r="D201" s="184">
        <f>IFERROR('Ενεργοί πελάτες'!X23/'Ανάπτυξη δικτύου'!X86,0)</f>
        <v>1.5011851461680274E-2</v>
      </c>
      <c r="E201" s="184">
        <f>IFERROR('Ενεργοί πελάτες'!AA23/'Ανάπτυξη δικτύου'!AA86,0)</f>
        <v>7.3183481442760059E-2</v>
      </c>
      <c r="F201" s="184">
        <f>IFERROR('Ενεργοί πελάτες'!AD23/'Ανάπτυξη δικτύου'!AD86,0)</f>
        <v>1.9141829393627956E-2</v>
      </c>
      <c r="G201" s="184">
        <f>IFERROR('Ενεργοί πελάτες'!AG23/'Ανάπτυξη δικτύου'!AG86,0)</f>
        <v>4.8063623789764871E-2</v>
      </c>
      <c r="H201" s="192">
        <f t="shared" si="4"/>
        <v>0</v>
      </c>
    </row>
    <row r="202" spans="1:8" outlineLevel="1" x14ac:dyDescent="0.35">
      <c r="A202" s="48" t="s">
        <v>84</v>
      </c>
      <c r="B202" s="62" t="s">
        <v>268</v>
      </c>
      <c r="C202" s="184">
        <f>IFERROR('Ενεργοί πελάτες'!U24/'Ανάπτυξη δικτύου'!U87,0)</f>
        <v>3.717472118959108E-2</v>
      </c>
      <c r="D202" s="184">
        <f>IFERROR('Ενεργοί πελάτες'!X24/'Ανάπτυξη δικτύου'!X87,0)</f>
        <v>4.5057796650153338E-2</v>
      </c>
      <c r="E202" s="184">
        <f>IFERROR('Ενεργοί πελάτες'!AA24/'Ανάπτυξη δικτύου'!AA87,0)</f>
        <v>4.4736842105263158E-2</v>
      </c>
      <c r="F202" s="184">
        <f>IFERROR('Ενεργοί πελάτες'!AD24/'Ανάπτυξη δικτύου'!AD87,0)</f>
        <v>4.7097796341639062E-2</v>
      </c>
      <c r="G202" s="184">
        <f>IFERROR('Ενεργοί πελάτες'!AG24/'Ανάπτυξη δικτύου'!AG87,0)</f>
        <v>0.19233401779603013</v>
      </c>
      <c r="H202" s="192">
        <f t="shared" si="4"/>
        <v>0.50817624492297364</v>
      </c>
    </row>
    <row r="203" spans="1:8" outlineLevel="1" x14ac:dyDescent="0.35">
      <c r="A203" s="48" t="s">
        <v>85</v>
      </c>
      <c r="B203" s="62" t="s">
        <v>268</v>
      </c>
      <c r="C203" s="184">
        <f>IFERROR('Ενεργοί πελάτες'!U25/'Ανάπτυξη δικτύου'!U88,0)</f>
        <v>1.2760416666666667</v>
      </c>
      <c r="D203" s="184">
        <f>IFERROR('Ενεργοί πελάτες'!X25/'Ανάπτυξη δικτύου'!X88,0)</f>
        <v>0.195357833655706</v>
      </c>
      <c r="E203" s="184">
        <f>IFERROR('Ενεργοί πελάτες'!AA25/'Ανάπτυξη δικτύου'!AA88,0)</f>
        <v>0</v>
      </c>
      <c r="F203" s="184">
        <f>IFERROR('Ενεργοί πελάτες'!AD25/'Ανάπτυξη δικτύου'!AD88,0)</f>
        <v>0.91089108910891092</v>
      </c>
      <c r="G203" s="184">
        <f>IFERROR('Ενεργοί πελάτες'!AG25/'Ανάπτυξη δικτύου'!AG88,0)</f>
        <v>0.4567901234567901</v>
      </c>
      <c r="H203" s="192">
        <f t="shared" si="4"/>
        <v>-0.22649529027354787</v>
      </c>
    </row>
    <row r="204" spans="1:8" outlineLevel="1" x14ac:dyDescent="0.35">
      <c r="A204" s="48" t="s">
        <v>86</v>
      </c>
      <c r="B204" s="62" t="s">
        <v>268</v>
      </c>
      <c r="C204" s="184">
        <f>IFERROR('Ενεργοί πελάτες'!U26/'Ανάπτυξη δικτύου'!U89,0)</f>
        <v>0.72751322751322756</v>
      </c>
      <c r="D204" s="184">
        <f>IFERROR('Ενεργοί πελάτες'!X26/'Ανάπτυξη δικτύου'!X89,0)</f>
        <v>0.11246006389776358</v>
      </c>
      <c r="E204" s="184">
        <f>IFERROR('Ενεργοί πελάτες'!AA26/'Ανάπτυξη δικτύου'!AA89,0)</f>
        <v>0.19254658385093168</v>
      </c>
      <c r="F204" s="184">
        <f>IFERROR('Ενεργοί πελάτες'!AD26/'Ανάπτυξη δικτύου'!AD89,0)</f>
        <v>0.33245958934032327</v>
      </c>
      <c r="G204" s="184">
        <f>IFERROR('Ενεργοί πελάτες'!AG26/'Ανάπτυξη δικτύου'!AG89,0)</f>
        <v>0.45687134502923976</v>
      </c>
      <c r="H204" s="192">
        <f t="shared" si="4"/>
        <v>-0.10979863374036503</v>
      </c>
    </row>
    <row r="205" spans="1:8" outlineLevel="1" x14ac:dyDescent="0.35">
      <c r="A205" s="48" t="s">
        <v>87</v>
      </c>
      <c r="B205" s="62" t="s">
        <v>268</v>
      </c>
      <c r="C205" s="184">
        <f>IFERROR('Ενεργοί πελάτες'!U27/'Ανάπτυξη δικτύου'!U90,0)</f>
        <v>1.2645502645502646</v>
      </c>
      <c r="D205" s="184">
        <f>IFERROR('Ενεργοί πελάτες'!X27/'Ανάπτυξη δικτύου'!X90,0)</f>
        <v>0.1259469696969697</v>
      </c>
      <c r="E205" s="184">
        <f>IFERROR('Ενεργοί πελάτες'!AA27/'Ανάπτυξη δικτύου'!AA90,0)</f>
        <v>0</v>
      </c>
      <c r="F205" s="184">
        <f>IFERROR('Ενεργοί πελάτες'!AD27/'Ανάπτυξη δικτύου'!AD90,0)</f>
        <v>0</v>
      </c>
      <c r="G205" s="184">
        <f>IFERROR('Ενεργοί πελάτες'!AG27/'Ανάπτυξη δικτύου'!AG90,0)</f>
        <v>0.12594893029675638</v>
      </c>
      <c r="H205" s="192">
        <f t="shared" si="4"/>
        <v>-0.43822216944366832</v>
      </c>
    </row>
    <row r="206" spans="1:8" outlineLevel="1" x14ac:dyDescent="0.35">
      <c r="A206" s="48" t="s">
        <v>88</v>
      </c>
      <c r="B206" s="62" t="s">
        <v>268</v>
      </c>
      <c r="C206" s="184">
        <f>IFERROR('Ενεργοί πελάτες'!U28/'Ανάπτυξη δικτύου'!U91,0)</f>
        <v>0.34829721362229105</v>
      </c>
      <c r="D206" s="184">
        <f>IFERROR('Ενεργοί πελάτες'!X28/'Ανάπτυξη δικτύου'!X91,0)</f>
        <v>7.9159728448827973E-2</v>
      </c>
      <c r="E206" s="184">
        <f>IFERROR('Ενεργοί πελάτες'!AA28/'Ανάπτυξη δικτύου'!AA91,0)</f>
        <v>9.8749681041081908E-2</v>
      </c>
      <c r="F206" s="184">
        <f>IFERROR('Ενεργοί πελάτες'!AD28/'Ανάπτυξη δικτύου'!AD91,0)</f>
        <v>0</v>
      </c>
      <c r="G206" s="184">
        <f>IFERROR('Ενεργοί πελάτες'!AG28/'Ανάπτυξη δικτύου'!AG91,0)</f>
        <v>6.7511447130231078E-2</v>
      </c>
      <c r="H206" s="192">
        <f t="shared" si="4"/>
        <v>-0.33647566667821616</v>
      </c>
    </row>
    <row r="207" spans="1:8" outlineLevel="1" x14ac:dyDescent="0.35">
      <c r="A207" s="48" t="s">
        <v>89</v>
      </c>
      <c r="B207" s="62" t="s">
        <v>268</v>
      </c>
      <c r="C207" s="184">
        <f>IFERROR('Ενεργοί πελάτες'!U29/'Ανάπτυξη δικτύου'!U92,0)</f>
        <v>0.22580645161290322</v>
      </c>
      <c r="D207" s="184">
        <f>IFERROR('Ενεργοί πελάτες'!X29/'Ανάπτυξη δικτύου'!X92,0)</f>
        <v>0.25995024875621892</v>
      </c>
      <c r="E207" s="184">
        <f>IFERROR('Ενεργοί πελάτες'!AA29/'Ανάπτυξη δικτύου'!AA92,0)</f>
        <v>0.13907985193019567</v>
      </c>
      <c r="F207" s="184">
        <f>IFERROR('Ενεργοί πελάτες'!AD29/'Ανάπτυξη δικτύου'!AD92,0)</f>
        <v>9.0168878166465627E-2</v>
      </c>
      <c r="G207" s="184">
        <f>IFERROR('Ενεργοί πελάτες'!AG29/'Ανάπτυξη δικτύου'!AG92,0)</f>
        <v>0.28263103802672146</v>
      </c>
      <c r="H207" s="192">
        <f t="shared" si="4"/>
        <v>5.7720390934560717E-2</v>
      </c>
    </row>
    <row r="208" spans="1:8" outlineLevel="1" x14ac:dyDescent="0.35">
      <c r="A208" s="48" t="s">
        <v>90</v>
      </c>
      <c r="B208" s="62" t="s">
        <v>268</v>
      </c>
      <c r="C208" s="184">
        <f>IFERROR('Ενεργοί πελάτες'!U30/'Ανάπτυξη δικτύου'!U93,0)</f>
        <v>8.5106382978723406E-3</v>
      </c>
      <c r="D208" s="184">
        <f>IFERROR('Ενεργοί πελάτες'!X30/'Ανάπτυξη δικτύου'!X93,0)</f>
        <v>4.7337278106508876E-3</v>
      </c>
      <c r="E208" s="184">
        <f>IFERROR('Ενεργοί πελάτες'!AA30/'Ανάπτυξη δικτύου'!AA93,0)</f>
        <v>0</v>
      </c>
      <c r="F208" s="184">
        <f>IFERROR('Ενεργοί πελάτες'!AD30/'Ανάπτυξη δικτύου'!AD93,0)</f>
        <v>4.6224961479198771E-3</v>
      </c>
      <c r="G208" s="184">
        <f>IFERROR('Ενεργοί πελάτες'!AG30/'Ανάπτυξη δικτύου'!AG93,0)</f>
        <v>0</v>
      </c>
      <c r="H208" s="192">
        <f t="shared" si="4"/>
        <v>-1</v>
      </c>
    </row>
    <row r="209" spans="1:8" outlineLevel="1" x14ac:dyDescent="0.35">
      <c r="A209" s="48" t="s">
        <v>91</v>
      </c>
      <c r="B209" s="62" t="s">
        <v>268</v>
      </c>
      <c r="C209" s="184">
        <f>IFERROR('Ενεργοί πελάτες'!U31/'Ανάπτυξη δικτύου'!U94,0)</f>
        <v>5.0479555779909136E-3</v>
      </c>
      <c r="D209" s="184">
        <f>IFERROR('Ενεργοί πελάτες'!X31/'Ανάπτυξη δικτύου'!X94,0)</f>
        <v>2.2130013831258646E-2</v>
      </c>
      <c r="E209" s="184">
        <f>IFERROR('Ενεργοί πελάτες'!AA31/'Ανάπτυξη δικτύου'!AA94,0)</f>
        <v>3.3045977011494254E-2</v>
      </c>
      <c r="F209" s="184">
        <f>IFERROR('Ενεργοί πελάτες'!AD31/'Ανάπτυξη δικτύου'!AD94,0)</f>
        <v>0</v>
      </c>
      <c r="G209" s="184">
        <f>IFERROR('Ενεργοί πελάτες'!AG31/'Ανάπτυξη δικτύου'!AG94,0)</f>
        <v>2.5445292620865138E-2</v>
      </c>
      <c r="H209" s="192">
        <f t="shared" si="4"/>
        <v>0.49838349755175027</v>
      </c>
    </row>
    <row r="210" spans="1:8" outlineLevel="1" x14ac:dyDescent="0.35">
      <c r="A210" s="48" t="s">
        <v>92</v>
      </c>
      <c r="B210" s="62" t="s">
        <v>268</v>
      </c>
      <c r="C210" s="184">
        <f>IFERROR('Ενεργοί πελάτες'!U32/'Ανάπτυξη δικτύου'!U95,0)</f>
        <v>1.2301587301587302</v>
      </c>
      <c r="D210" s="184">
        <f>IFERROR('Ενεργοί πελάτες'!X32/'Ανάπτυξη δικτύου'!X95,0)</f>
        <v>0.16390041493775934</v>
      </c>
      <c r="E210" s="184">
        <f>IFERROR('Ενεργοί πελάτες'!AA32/'Ανάπτυξη δικτύου'!AA95,0)</f>
        <v>0.18841729472431576</v>
      </c>
      <c r="F210" s="184">
        <f>IFERROR('Ενεργοί πελάτες'!AD32/'Ανάπτυξη δικτύου'!AD95,0)</f>
        <v>0</v>
      </c>
      <c r="G210" s="184">
        <f>IFERROR('Ενεργοί πελάτες'!AG32/'Ανάπτυξη δικτύου'!AG95,0)</f>
        <v>0.3432682425488181</v>
      </c>
      <c r="H210" s="192">
        <f t="shared" si="4"/>
        <v>-0.273194645160732</v>
      </c>
    </row>
    <row r="211" spans="1:8" outlineLevel="1" x14ac:dyDescent="0.35">
      <c r="A211" s="48" t="s">
        <v>93</v>
      </c>
      <c r="B211" s="62" t="s">
        <v>268</v>
      </c>
      <c r="C211" s="184">
        <f>IFERROR('Ενεργοί πελάτες'!U33/'Ανάπτυξη δικτύου'!U96,0)</f>
        <v>0.54789719626168221</v>
      </c>
      <c r="D211" s="184">
        <f>IFERROR('Ενεργοί πελάτες'!X33/'Ανάπτυξη δικτύου'!X96,0)</f>
        <v>0.3146067415730337</v>
      </c>
      <c r="E211" s="184">
        <f>IFERROR('Ενεργοί πελάτες'!AA33/'Ανάπτυξη δικτύου'!AA96,0)</f>
        <v>0.16101318323211375</v>
      </c>
      <c r="F211" s="184">
        <f>IFERROR('Ενεργοί πελάτες'!AD33/'Ανάπτυξη δικτύου'!AD96,0)</f>
        <v>0.53609687936655803</v>
      </c>
      <c r="G211" s="184">
        <f>IFERROR('Ενεργοί πελάτες'!AG33/'Ανάπτυξη δικτύου'!AG96,0)</f>
        <v>0.47180722891566262</v>
      </c>
      <c r="H211" s="192">
        <f t="shared" si="4"/>
        <v>-3.6689313467316187E-2</v>
      </c>
    </row>
    <row r="212" spans="1:8" outlineLevel="1" x14ac:dyDescent="0.35">
      <c r="A212" s="48" t="s">
        <v>94</v>
      </c>
      <c r="B212" s="62" t="s">
        <v>268</v>
      </c>
      <c r="C212" s="184">
        <f>IFERROR('Ενεργοί πελάτες'!U34/'Ανάπτυξη δικτύου'!U97,0)</f>
        <v>2.700854700854701</v>
      </c>
      <c r="D212" s="184">
        <f>IFERROR('Ενεργοί πελάτες'!X34/'Ανάπτυξη δικτύου'!X97,0)</f>
        <v>0.11232733906697941</v>
      </c>
      <c r="E212" s="184">
        <f>IFERROR('Ενεργοί πελάτες'!AA34/'Ανάπτυξη δικτύου'!AA97,0)</f>
        <v>0.19683853970643583</v>
      </c>
      <c r="F212" s="184">
        <f>IFERROR('Ενεργοί πελάτες'!AD34/'Ανάπτυξη δικτύου'!AD97,0)</f>
        <v>0.13747645951035781</v>
      </c>
      <c r="G212" s="184">
        <f>IFERROR('Ενεργοί πελάτες'!AG34/'Ανάπτυξη δικτύου'!AG97,0)</f>
        <v>0.17521040550879877</v>
      </c>
      <c r="H212" s="192">
        <f t="shared" si="4"/>
        <v>-0.49532165700918129</v>
      </c>
    </row>
    <row r="213" spans="1:8" outlineLevel="1" x14ac:dyDescent="0.35">
      <c r="A213" s="48" t="s">
        <v>95</v>
      </c>
      <c r="B213" s="62" t="s">
        <v>268</v>
      </c>
      <c r="C213" s="184">
        <f>IFERROR('Ενεργοί πελάτες'!U35/'Ανάπτυξη δικτύου'!U98,0)</f>
        <v>0.80904522613065322</v>
      </c>
      <c r="D213" s="184">
        <f>IFERROR('Ενεργοί πελάτες'!X35/'Ανάπτυξη δικτύου'!X98,0)</f>
        <v>0.15234657039711191</v>
      </c>
      <c r="E213" s="184">
        <f>IFERROR('Ενεργοί πελάτες'!AA35/'Ανάπτυξη δικτύου'!AA98,0)</f>
        <v>0.12243113248797552</v>
      </c>
      <c r="F213" s="184">
        <f>IFERROR('Ενεργοί πελάτες'!AD35/'Ανάπτυξη δικτύου'!AD98,0)</f>
        <v>0.11996779388083736</v>
      </c>
      <c r="G213" s="184">
        <f>IFERROR('Ενεργοί πελάτες'!AG35/'Ανάπτυξη δικτύου'!AG98,0)</f>
        <v>0</v>
      </c>
      <c r="H213" s="192">
        <f t="shared" si="4"/>
        <v>-1</v>
      </c>
    </row>
    <row r="214" spans="1:8" outlineLevel="1" x14ac:dyDescent="0.35">
      <c r="A214" s="48" t="s">
        <v>96</v>
      </c>
      <c r="B214" s="62" t="s">
        <v>268</v>
      </c>
      <c r="C214" s="184">
        <f>IFERROR('Ενεργοί πελάτες'!U36/'Ανάπτυξη δικτύου'!U99,0)</f>
        <v>0</v>
      </c>
      <c r="D214" s="184">
        <f>IFERROR('Ενεργοί πελάτες'!X36/'Ανάπτυξη δικτύου'!X99,0)</f>
        <v>0.25</v>
      </c>
      <c r="E214" s="184">
        <f>IFERROR('Ενεργοί πελάτες'!AA36/'Ανάπτυξη δικτύου'!AA99,0)</f>
        <v>0.21991978609625668</v>
      </c>
      <c r="F214" s="184">
        <f>IFERROR('Ενεργοί πελάτες'!AD36/'Ανάπτυξη δικτύου'!AD99,0)</f>
        <v>0</v>
      </c>
      <c r="G214" s="184">
        <f>IFERROR('Ενεργοί πελάτες'!AG36/'Ανάπτυξη δικτύου'!AG99,0)</f>
        <v>0.2682425488180884</v>
      </c>
      <c r="H214" s="192">
        <f t="shared" si="4"/>
        <v>0</v>
      </c>
    </row>
    <row r="215" spans="1:8" outlineLevel="1" x14ac:dyDescent="0.35">
      <c r="A215" s="48" t="s">
        <v>97</v>
      </c>
      <c r="B215" s="62" t="s">
        <v>268</v>
      </c>
      <c r="C215" s="184">
        <f>IFERROR('Ενεργοί πελάτες'!U37/'Ανάπτυξη δικτύου'!U100,0)</f>
        <v>0.34599504541701076</v>
      </c>
      <c r="D215" s="184">
        <f>IFERROR('Ενεργοί πελάτες'!X37/'Ανάπτυξη δικτύου'!X100,0)</f>
        <v>0.14523512276321265</v>
      </c>
      <c r="E215" s="184">
        <f>IFERROR('Ενεργοί πελάτες'!AA37/'Ανάπτυξη δικτύου'!AA100,0)</f>
        <v>1.2678288431061806</v>
      </c>
      <c r="F215" s="184">
        <f>IFERROR('Ενεργοί πελάτες'!AD37/'Ανάπτυξη δικτύου'!AD100,0)</f>
        <v>0</v>
      </c>
      <c r="G215" s="184">
        <f>IFERROR('Ενεργοί πελάτες'!AG37/'Ανάπτυξη δικτύου'!AG100,0)</f>
        <v>0.1449459631277813</v>
      </c>
      <c r="H215" s="192">
        <f t="shared" si="4"/>
        <v>-0.19548515689319879</v>
      </c>
    </row>
    <row r="216" spans="1:8" outlineLevel="1" x14ac:dyDescent="0.35">
      <c r="A216" s="48" t="s">
        <v>98</v>
      </c>
      <c r="B216" s="62" t="s">
        <v>268</v>
      </c>
      <c r="C216" s="184">
        <f>IFERROR('Ενεργοί πελάτες'!U38/'Ανάπτυξη δικτύου'!U101,0)</f>
        <v>0.24157303370786518</v>
      </c>
      <c r="D216" s="184">
        <f>IFERROR('Ενεργοί πελάτες'!X38/'Ανάπτυξη δικτύου'!X101,0)</f>
        <v>4.2809536016406052E-2</v>
      </c>
      <c r="E216" s="184">
        <f>IFERROR('Ενεργοί πελάτες'!AA38/'Ανάπτυξη δικτύου'!AA101,0)</f>
        <v>7.6923076923076927E-2</v>
      </c>
      <c r="F216" s="184">
        <f>IFERROR('Ενεργοί πελάτες'!AD38/'Ανάπτυξη δικτύου'!AD101,0)</f>
        <v>8.6406743940990516E-2</v>
      </c>
      <c r="G216" s="184">
        <f>IFERROR('Ενεργοί πελάτες'!AG38/'Ανάπτυξη δικτύου'!AG101,0)</f>
        <v>6.8378378378378374E-2</v>
      </c>
      <c r="H216" s="192">
        <f t="shared" si="4"/>
        <v>-0.27059693156749254</v>
      </c>
    </row>
    <row r="217" spans="1:8" outlineLevel="1" x14ac:dyDescent="0.35">
      <c r="A217" s="48" t="s">
        <v>99</v>
      </c>
      <c r="B217" s="62" t="s">
        <v>268</v>
      </c>
      <c r="C217" s="184">
        <f>IFERROR('Ενεργοί πελάτες'!U39/'Ανάπτυξη δικτύου'!U102,0)</f>
        <v>0.10795299262093468</v>
      </c>
      <c r="D217" s="184">
        <f>IFERROR('Ενεργοί πελάτες'!X39/'Ανάπτυξη δικτύου'!X102,0)</f>
        <v>9.875281128603558E-2</v>
      </c>
      <c r="E217" s="184">
        <f>IFERROR('Ενεργοί πελάτες'!AA39/'Ανάπτυξη δικτύου'!AA102,0)</f>
        <v>0.14442988204456095</v>
      </c>
      <c r="F217" s="184">
        <f>IFERROR('Ενεργοί πελάτες'!AD39/'Ανάπτυξη δικτύου'!AD102,0)</f>
        <v>6.0137269855104043E-2</v>
      </c>
      <c r="G217" s="184">
        <f>IFERROR('Ενεργοί πελάτες'!AG39/'Ανάπτυξη δικτύου'!AG102,0)</f>
        <v>0.32607167955024596</v>
      </c>
      <c r="H217" s="192">
        <f t="shared" si="4"/>
        <v>0.31831622940359083</v>
      </c>
    </row>
    <row r="218" spans="1:8" outlineLevel="1" x14ac:dyDescent="0.35">
      <c r="A218" s="48" t="s">
        <v>100</v>
      </c>
      <c r="B218" s="62" t="s">
        <v>268</v>
      </c>
      <c r="C218" s="184">
        <f>IFERROR('Ενεργοί πελάτες'!U40/'Ανάπτυξη δικτύου'!U103,0)</f>
        <v>0.29187817258883247</v>
      </c>
      <c r="D218" s="184">
        <f>IFERROR('Ενεργοί πελάτες'!X40/'Ανάπτυξη δικτύου'!X103,0)</f>
        <v>5.7892132607619988E-2</v>
      </c>
      <c r="E218" s="184">
        <f>IFERROR('Ενεργοί πελάτες'!AA40/'Ανάπτυξη δικτύου'!AA103,0)</f>
        <v>0.13305954825462013</v>
      </c>
      <c r="F218" s="184">
        <f>IFERROR('Ενεργοί πελάτες'!AD40/'Ανάπτυξη δικτύου'!AD103,0)</f>
        <v>0.15498519249753209</v>
      </c>
      <c r="G218" s="184">
        <f>IFERROR('Ενεργοί πελάτες'!AG40/'Ανάπτυξη δικτύου'!AG103,0)</f>
        <v>5.8131487889273359E-2</v>
      </c>
      <c r="H218" s="192">
        <f t="shared" si="4"/>
        <v>-0.33196001883432769</v>
      </c>
    </row>
    <row r="219" spans="1:8" outlineLevel="1" x14ac:dyDescent="0.35">
      <c r="A219" s="48" t="s">
        <v>101</v>
      </c>
      <c r="B219" s="62" t="s">
        <v>268</v>
      </c>
      <c r="C219" s="184">
        <f>IFERROR('Ενεργοί πελάτες'!U41/'Ανάπτυξη δικτύου'!U104,0)</f>
        <v>0</v>
      </c>
      <c r="D219" s="184">
        <f>IFERROR('Ενεργοί πελάτες'!X41/'Ανάπτυξη δικτύου'!X104,0)</f>
        <v>0</v>
      </c>
      <c r="E219" s="184">
        <f>IFERROR('Ενεργοί πελάτες'!AA41/'Ανάπτυξη δικτύου'!AA104,0)</f>
        <v>0</v>
      </c>
      <c r="F219" s="184">
        <f>IFERROR('Ενεργοί πελάτες'!AD41/'Ανάπτυξη δικτύου'!AD104,0)</f>
        <v>0</v>
      </c>
      <c r="G219" s="184">
        <f>IFERROR('Ενεργοί πελάτες'!AG41/'Ανάπτυξη δικτύου'!AG104,0)</f>
        <v>0</v>
      </c>
      <c r="H219" s="192">
        <f t="shared" si="4"/>
        <v>0</v>
      </c>
    </row>
    <row r="220" spans="1:8" outlineLevel="1" x14ac:dyDescent="0.35">
      <c r="A220" s="48" t="s">
        <v>102</v>
      </c>
      <c r="B220" s="62" t="s">
        <v>268</v>
      </c>
      <c r="C220" s="184">
        <f>IFERROR('Ενεργοί πελάτες'!U42/'Ανάπτυξη δικτύου'!U105,0)</f>
        <v>0.75117370892018775</v>
      </c>
      <c r="D220" s="184">
        <f>IFERROR('Ενεργοί πελάτες'!X42/'Ανάπτυξη δικτύου'!X105,0)</f>
        <v>0</v>
      </c>
      <c r="E220" s="184">
        <f>IFERROR('Ενεργοί πελάτες'!AA42/'Ανάπτυξη δικτύου'!AA105,0)</f>
        <v>0.30903328050713152</v>
      </c>
      <c r="F220" s="184">
        <f>IFERROR('Ενεργοί πελάτες'!AD42/'Ανάπτυξη δικτύου'!AD105,0)</f>
        <v>0</v>
      </c>
      <c r="G220" s="184">
        <f>IFERROR('Ενεργοί πελάτες'!AG42/'Ανάπτυξη δικτύου'!AG105,0)</f>
        <v>0</v>
      </c>
      <c r="H220" s="192">
        <f t="shared" si="4"/>
        <v>-1</v>
      </c>
    </row>
    <row r="221" spans="1:8" outlineLevel="1" x14ac:dyDescent="0.35">
      <c r="A221" s="48" t="s">
        <v>103</v>
      </c>
      <c r="B221" s="62" t="s">
        <v>268</v>
      </c>
      <c r="C221" s="184">
        <f>IFERROR('Ενεργοί πελάτες'!U43/'Ανάπτυξη δικτύου'!U106,0)</f>
        <v>0</v>
      </c>
      <c r="D221" s="184">
        <f>IFERROR('Ενεργοί πελάτες'!X43/'Ανάπτυξη δικτύου'!X106,0)</f>
        <v>0</v>
      </c>
      <c r="E221" s="184">
        <f>IFERROR('Ενεργοί πελάτες'!AA43/'Ανάπτυξη δικτύου'!AA106,0)</f>
        <v>0</v>
      </c>
      <c r="F221" s="184">
        <f>IFERROR('Ενεργοί πελάτες'!AD43/'Ανάπτυξη δικτύου'!AD106,0)</f>
        <v>0</v>
      </c>
      <c r="G221" s="184">
        <f>IFERROR('Ενεργοί πελάτες'!AG43/'Ανάπτυξη δικτύου'!AG106,0)</f>
        <v>0</v>
      </c>
      <c r="H221" s="192">
        <f t="shared" si="4"/>
        <v>0</v>
      </c>
    </row>
    <row r="222" spans="1:8" outlineLevel="1" x14ac:dyDescent="0.35">
      <c r="A222" s="48" t="s">
        <v>104</v>
      </c>
      <c r="B222" s="62" t="s">
        <v>268</v>
      </c>
      <c r="C222" s="184">
        <f>IFERROR('Ενεργοί πελάτες'!U44/'Ανάπτυξη δικτύου'!U107,0)</f>
        <v>0</v>
      </c>
      <c r="D222" s="184">
        <f>IFERROR('Ενεργοί πελάτες'!X44/'Ανάπτυξη δικτύου'!X107,0)</f>
        <v>0</v>
      </c>
      <c r="E222" s="184">
        <f>IFERROR('Ενεργοί πελάτες'!AA44/'Ανάπτυξη δικτύου'!AA107,0)</f>
        <v>0</v>
      </c>
      <c r="F222" s="184">
        <f>IFERROR('Ενεργοί πελάτες'!AD44/'Ανάπτυξη δικτύου'!AD107,0)</f>
        <v>9.5999999999999992E-3</v>
      </c>
      <c r="G222" s="184">
        <f>IFERROR('Ενεργοί πελάτες'!AG44/'Ανάπτυξη δικτύου'!AG107,0)</f>
        <v>1.84E-2</v>
      </c>
      <c r="H222" s="192">
        <f t="shared" si="4"/>
        <v>0</v>
      </c>
    </row>
    <row r="223" spans="1:8" outlineLevel="1" x14ac:dyDescent="0.35">
      <c r="A223" s="48" t="s">
        <v>136</v>
      </c>
      <c r="B223" s="62" t="s">
        <v>268</v>
      </c>
      <c r="C223" s="184">
        <f>IFERROR('Ενεργοί πελάτες'!U45/'Ανάπτυξη δικτύου'!U108,0)</f>
        <v>0</v>
      </c>
      <c r="D223" s="184">
        <f>IFERROR('Ενεργοί πελάτες'!X45/'Ανάπτυξη δικτύου'!X108,0)</f>
        <v>0</v>
      </c>
      <c r="E223" s="184">
        <f>IFERROR('Ενεργοί πελάτες'!AA45/'Ανάπτυξη δικτύου'!AA108,0)</f>
        <v>0</v>
      </c>
      <c r="F223" s="184">
        <f>IFERROR('Ενεργοί πελάτες'!AD45/'Ανάπτυξη δικτύου'!AD108,0)</f>
        <v>9.5999999999999992E-3</v>
      </c>
      <c r="G223" s="184">
        <f>IFERROR('Ενεργοί πελάτες'!AG45/'Ανάπτυξη δικτύου'!AG108,0)</f>
        <v>1.6199999999999999E-2</v>
      </c>
      <c r="H223" s="192">
        <f t="shared" si="4"/>
        <v>0</v>
      </c>
    </row>
    <row r="224" spans="1:8" outlineLevel="1" x14ac:dyDescent="0.35">
      <c r="A224" s="48" t="s">
        <v>106</v>
      </c>
      <c r="B224" s="62" t="s">
        <v>268</v>
      </c>
      <c r="C224" s="184">
        <f>IFERROR('Ενεργοί πελάτες'!U46/'Ανάπτυξη δικτύου'!U109,0)</f>
        <v>0.51973684210526316</v>
      </c>
      <c r="D224" s="184">
        <f>IFERROR('Ενεργοί πελάτες'!X46/'Ανάπτυξη δικτύου'!X109,0)</f>
        <v>8.9437819420783646E-2</v>
      </c>
      <c r="E224" s="184">
        <f>IFERROR('Ενεργοί πελάτες'!AA46/'Ανάπτυξη δικτύου'!AA109,0)</f>
        <v>0</v>
      </c>
      <c r="F224" s="184">
        <f>IFERROR('Ενεργοί πελάτες'!AD46/'Ανάπτυξη δικτύου'!AD109,0)</f>
        <v>0.10230692076228685</v>
      </c>
      <c r="G224" s="184">
        <f>IFERROR('Ενεργοί πελάτες'!AG46/'Ανάπτυξη δικτύου'!AG109,0)</f>
        <v>3.3396946564885496E-2</v>
      </c>
      <c r="H224" s="192">
        <f t="shared" si="4"/>
        <v>-0.49652163338426991</v>
      </c>
    </row>
    <row r="225" spans="1:8" outlineLevel="1" x14ac:dyDescent="0.35">
      <c r="A225" s="48" t="s">
        <v>107</v>
      </c>
      <c r="B225" s="62" t="s">
        <v>268</v>
      </c>
      <c r="C225" s="184">
        <f>IFERROR('Ενεργοί πελάτες'!U47/'Ανάπτυξη δικτύου'!U110,0)</f>
        <v>0.43502824858757061</v>
      </c>
      <c r="D225" s="184">
        <f>IFERROR('Ενεργοί πελάτες'!X47/'Ανάπτυξη δικτύου'!X110,0)</f>
        <v>9.2866188265090757E-2</v>
      </c>
      <c r="E225" s="184">
        <f>IFERROR('Ενεργοί πελάτες'!AA47/'Ανάπτυξη δικτύου'!AA110,0)</f>
        <v>0.95256916996047436</v>
      </c>
      <c r="F225" s="184">
        <f>IFERROR('Ενεργοί πελάτες'!AD47/'Ανάπτυξη δικτύου'!AD110,0)</f>
        <v>0</v>
      </c>
      <c r="G225" s="184">
        <f>IFERROR('Ενεργοί πελάτες'!AG47/'Ανάπτυξη δικτύου'!AG110,0)</f>
        <v>0.32304526748971191</v>
      </c>
      <c r="H225" s="192">
        <f t="shared" si="4"/>
        <v>-7.1703995748988114E-2</v>
      </c>
    </row>
    <row r="226" spans="1:8" outlineLevel="1" x14ac:dyDescent="0.35">
      <c r="A226" s="48" t="s">
        <v>108</v>
      </c>
      <c r="B226" s="62" t="s">
        <v>268</v>
      </c>
      <c r="C226" s="184">
        <f>IFERROR('Ενεργοί πελάτες'!U48/'Ανάπτυξη δικτύου'!U111,0)</f>
        <v>0.13769192669638436</v>
      </c>
      <c r="D226" s="184">
        <f>IFERROR('Ενεργοί πελάτες'!X48/'Ανάπτυξη δικτύου'!X111,0)</f>
        <v>0</v>
      </c>
      <c r="E226" s="184">
        <f>IFERROR('Ενεργοί πελάτες'!AA48/'Ανάπτυξη δικτύου'!AA111,0)</f>
        <v>6.5506245017273451E-2</v>
      </c>
      <c r="F226" s="184">
        <f>IFERROR('Ενεργοί πελάτες'!AD48/'Ανάπτυξη δικτύου'!AD111,0)</f>
        <v>8.1727660675029096E-2</v>
      </c>
      <c r="G226" s="184">
        <f>IFERROR('Ενεργοί πελάτες'!AG48/'Ανάπτυξη δικτύου'!AG111,0)</f>
        <v>0.31955307262569832</v>
      </c>
      <c r="H226" s="192">
        <f t="shared" si="4"/>
        <v>0.23426561476210161</v>
      </c>
    </row>
    <row r="227" spans="1:8" outlineLevel="1" x14ac:dyDescent="0.35">
      <c r="A227" s="48" t="s">
        <v>109</v>
      </c>
      <c r="B227" s="62" t="s">
        <v>268</v>
      </c>
      <c r="C227" s="184">
        <f>IFERROR('Ενεργοί πελάτες'!U49/'Ανάπτυξη δικτύου'!U112,0)</f>
        <v>0</v>
      </c>
      <c r="D227" s="184">
        <f>IFERROR('Ενεργοί πελάτες'!X49/'Ανάπτυξη δικτύου'!X112,0)</f>
        <v>0</v>
      </c>
      <c r="E227" s="184">
        <f>IFERROR('Ενεργοί πελάτες'!AA49/'Ανάπτυξη δικτύου'!AA112,0)</f>
        <v>0.92055485498108447</v>
      </c>
      <c r="F227" s="184">
        <f>IFERROR('Ενεργοί πελάτες'!AD49/'Ανάπτυξη δικτύου'!AD112,0)</f>
        <v>0</v>
      </c>
      <c r="G227" s="184">
        <f>IFERROR('Ενεργοί πελάτες'!AG49/'Ανάπτυξη δικτύου'!AG112,0)</f>
        <v>0</v>
      </c>
      <c r="H227" s="192">
        <f t="shared" si="4"/>
        <v>0</v>
      </c>
    </row>
    <row r="228" spans="1:8" outlineLevel="1" x14ac:dyDescent="0.35">
      <c r="A228" s="48" t="s">
        <v>110</v>
      </c>
      <c r="B228" s="62" t="s">
        <v>268</v>
      </c>
      <c r="C228" s="184">
        <f>IFERROR('Ενεργοί πελάτες'!U50/'Ανάπτυξη δικτύου'!U113,0)</f>
        <v>0.36021505376344087</v>
      </c>
      <c r="D228" s="184">
        <f>IFERROR('Ενεργοί πελάτες'!X50/'Ανάπτυξη δικτύου'!X113,0)</f>
        <v>0</v>
      </c>
      <c r="E228" s="184">
        <f>IFERROR('Ενεργοί πελάτες'!AA50/'Ανάπτυξη δικτύου'!AA113,0)</f>
        <v>0.14104595879556259</v>
      </c>
      <c r="F228" s="184">
        <f>IFERROR('Ενεργοί πελάτες'!AD50/'Ανάπτυξη δικτύου'!AD113,0)</f>
        <v>0</v>
      </c>
      <c r="G228" s="184">
        <f>IFERROR('Ενεργοί πελάτες'!AG50/'Ανάπτυξη δικτύου'!AG113,0)</f>
        <v>6.7726330338631652E-2</v>
      </c>
      <c r="H228" s="192">
        <f t="shared" si="4"/>
        <v>-0.34151039803516059</v>
      </c>
    </row>
    <row r="229" spans="1:8" outlineLevel="1" x14ac:dyDescent="0.35">
      <c r="A229" s="48" t="s">
        <v>111</v>
      </c>
      <c r="B229" s="62" t="s">
        <v>268</v>
      </c>
      <c r="C229" s="184">
        <f>IFERROR('Ενεργοί πελάτες'!U51/'Ανάπτυξη δικτύου'!U114,0)</f>
        <v>0.73880597014925375</v>
      </c>
      <c r="D229" s="184">
        <f>IFERROR('Ενεργοί πελάτες'!X51/'Ανάπτυξη δικτύου'!X114,0)</f>
        <v>5.695948656237465E-2</v>
      </c>
      <c r="E229" s="184">
        <f>IFERROR('Ενεργοί πελάτες'!AA51/'Ανάπτυξη δικτύου'!AA114,0)</f>
        <v>5.1218911598128539E-2</v>
      </c>
      <c r="F229" s="184">
        <f>IFERROR('Ενεργοί πελάτες'!AD51/'Ανάπτυξη δικτύου'!AD114,0)</f>
        <v>0</v>
      </c>
      <c r="G229" s="184">
        <f>IFERROR('Ενεργοί πελάτες'!AG51/'Ανάπτυξη δικτύου'!AG114,0)</f>
        <v>0.14757281553398058</v>
      </c>
      <c r="H229" s="192">
        <f t="shared" si="4"/>
        <v>-0.33147293870607386</v>
      </c>
    </row>
    <row r="230" spans="1:8" outlineLevel="1" x14ac:dyDescent="0.35">
      <c r="A230" s="48" t="s">
        <v>112</v>
      </c>
      <c r="B230" s="62" t="s">
        <v>268</v>
      </c>
      <c r="C230" s="184">
        <f>IFERROR('Ενεργοί πελάτες'!U52/'Ανάπτυξη δικτύου'!U115,0)</f>
        <v>0.26113671274961597</v>
      </c>
      <c r="D230" s="184">
        <f>IFERROR('Ενεργοί πελάτες'!X52/'Ανάπτυξη δικτύου'!X115,0)</f>
        <v>8.0303509326588682E-2</v>
      </c>
      <c r="E230" s="184">
        <f>IFERROR('Ενεργοί πελάτες'!AA52/'Ανάπτυξη δικτύου'!AA115,0)</f>
        <v>0.11824080749819754</v>
      </c>
      <c r="F230" s="184">
        <f>IFERROR('Ενεργοί πελάτες'!AD52/'Ανάπτυξη δικτύου'!AD115,0)</f>
        <v>0.11244429208090503</v>
      </c>
      <c r="G230" s="184">
        <f>IFERROR('Ενεργοί πελάτες'!AG52/'Ανάπτυξη δικτύου'!AG115,0)</f>
        <v>8.5677419354838705E-2</v>
      </c>
      <c r="H230" s="192">
        <f t="shared" si="4"/>
        <v>-0.24316778285569385</v>
      </c>
    </row>
    <row r="231" spans="1:8" outlineLevel="1" x14ac:dyDescent="0.35">
      <c r="A231" s="48" t="s">
        <v>113</v>
      </c>
      <c r="B231" s="62" t="s">
        <v>268</v>
      </c>
      <c r="C231" s="184">
        <f>IFERROR('Ενεργοί πελάτες'!U53/'Ανάπτυξη δικτύου'!U116,0)</f>
        <v>0</v>
      </c>
      <c r="D231" s="184">
        <f>IFERROR('Ενεργοί πελάτες'!X53/'Ανάπτυξη δικτύου'!X116,0)</f>
        <v>0</v>
      </c>
      <c r="E231" s="184">
        <f>IFERROR('Ενεργοί πελάτες'!AA53/'Ανάπτυξη δικτύου'!AA116,0)</f>
        <v>0</v>
      </c>
      <c r="F231" s="184">
        <f>IFERROR('Ενεργοί πελάτες'!AD53/'Ανάπτυξη δικτύου'!AD116,0)</f>
        <v>0</v>
      </c>
      <c r="G231" s="184">
        <f>IFERROR('Ενεργοί πελάτες'!AG53/'Ανάπτυξη δικτύου'!AG116,0)</f>
        <v>0</v>
      </c>
      <c r="H231" s="192">
        <f t="shared" si="4"/>
        <v>0</v>
      </c>
    </row>
    <row r="232" spans="1:8" outlineLevel="1" x14ac:dyDescent="0.35">
      <c r="A232" s="48" t="s">
        <v>114</v>
      </c>
      <c r="B232" s="62" t="s">
        <v>268</v>
      </c>
      <c r="C232" s="184">
        <f>IFERROR('Ενεργοί πελάτες'!U54/'Ανάπτυξη δικτύου'!U117,0)</f>
        <v>0</v>
      </c>
      <c r="D232" s="184">
        <f>IFERROR('Ενεργοί πελάτες'!X54/'Ανάπτυξη δικτύου'!X117,0)</f>
        <v>0</v>
      </c>
      <c r="E232" s="184">
        <f>IFERROR('Ενεργοί πελάτες'!AA54/'Ανάπτυξη δικτύου'!AA117,0)</f>
        <v>0</v>
      </c>
      <c r="F232" s="184">
        <f>IFERROR('Ενεργοί πελάτες'!AD54/'Ανάπτυξη δικτύου'!AD117,0)</f>
        <v>0</v>
      </c>
      <c r="G232" s="184">
        <f>IFERROR('Ενεργοί πελάτες'!AG54/'Ανάπτυξη δικτύου'!AG117,0)</f>
        <v>0</v>
      </c>
      <c r="H232" s="192">
        <f t="shared" si="4"/>
        <v>0</v>
      </c>
    </row>
    <row r="233" spans="1:8" outlineLevel="1" x14ac:dyDescent="0.35">
      <c r="A233" s="48" t="s">
        <v>115</v>
      </c>
      <c r="B233" s="62" t="s">
        <v>268</v>
      </c>
      <c r="C233" s="184">
        <f>IFERROR('Ενεργοί πελάτες'!U55/'Ανάπτυξη δικτύου'!U118,0)</f>
        <v>0.12345013477088949</v>
      </c>
      <c r="D233" s="184">
        <f>IFERROR('Ενεργοί πελάτες'!X55/'Ανάπτυξη δικτύου'!X118,0)</f>
        <v>7.2192513368983954E-2</v>
      </c>
      <c r="E233" s="184">
        <f>IFERROR('Ενεργοί πελάτες'!AA55/'Ανάπτυξη δικτύου'!AA118,0)</f>
        <v>0.1787414066631412</v>
      </c>
      <c r="F233" s="184">
        <f>IFERROR('Ενεργοί πελάτες'!AD55/'Ανάπτυξη δικτύου'!AD118,0)</f>
        <v>6.8313953488372089E-2</v>
      </c>
      <c r="G233" s="184">
        <f>IFERROR('Ενεργοί πελάτες'!AG55/'Ανάπτυξη δικτύου'!AG118,0)</f>
        <v>9.4996833438885375E-2</v>
      </c>
      <c r="H233" s="192">
        <f t="shared" si="4"/>
        <v>-6.339948949228813E-2</v>
      </c>
    </row>
    <row r="234" spans="1:8" outlineLevel="1" x14ac:dyDescent="0.35">
      <c r="A234" s="48" t="s">
        <v>116</v>
      </c>
      <c r="B234" s="62" t="s">
        <v>268</v>
      </c>
      <c r="C234" s="184">
        <f>IFERROR('Ενεργοί πελάτες'!U56/'Ανάπτυξη δικτύου'!U119,0)</f>
        <v>0</v>
      </c>
      <c r="D234" s="184">
        <f>IFERROR('Ενεργοί πελάτες'!X56/'Ανάπτυξη δικτύου'!X119,0)</f>
        <v>0</v>
      </c>
      <c r="E234" s="184">
        <f>IFERROR('Ενεργοί πελάτες'!AA56/'Ανάπτυξη δικτύου'!AA119,0)</f>
        <v>0</v>
      </c>
      <c r="F234" s="184">
        <f>IFERROR('Ενεργοί πελάτες'!AD56/'Ανάπτυξη δικτύου'!AD119,0)</f>
        <v>0</v>
      </c>
      <c r="G234" s="184">
        <f>IFERROR('Ενεργοί πελάτες'!AG56/'Ανάπτυξη δικτύου'!AG119,0)</f>
        <v>0</v>
      </c>
      <c r="H234" s="192">
        <f t="shared" si="4"/>
        <v>0</v>
      </c>
    </row>
    <row r="235" spans="1:8" outlineLevel="1" x14ac:dyDescent="0.35">
      <c r="A235" s="48" t="s">
        <v>117</v>
      </c>
      <c r="B235" s="62" t="s">
        <v>268</v>
      </c>
      <c r="C235" s="184">
        <f>IFERROR('Ενεργοί πελάτες'!U57/'Ανάπτυξη δικτύου'!U120,0)</f>
        <v>0.21821305841924399</v>
      </c>
      <c r="D235" s="184">
        <f>IFERROR('Ενεργοί πελάτες'!X57/'Ανάπτυξη δικτύου'!X120,0)</f>
        <v>9.5582822085889571E-2</v>
      </c>
      <c r="E235" s="184">
        <f>IFERROR('Ενεργοί πελάτες'!AA57/'Ανάπτυξη δικτύου'!AA120,0)</f>
        <v>0.18162839248434237</v>
      </c>
      <c r="F235" s="184">
        <f>IFERROR('Ενεργοί πελάτες'!AD57/'Ανάπτυξη δικτύου'!AD120,0)</f>
        <v>7.7492918875735353E-2</v>
      </c>
      <c r="G235" s="184">
        <f>IFERROR('Ενεργοί πελάτες'!AG57/'Ανάπτυξη δικτύου'!AG120,0)</f>
        <v>0.25885129819040126</v>
      </c>
      <c r="H235" s="192">
        <f t="shared" si="4"/>
        <v>4.3620022630455058E-2</v>
      </c>
    </row>
    <row r="236" spans="1:8" outlineLevel="1" x14ac:dyDescent="0.35">
      <c r="A236" s="48" t="s">
        <v>118</v>
      </c>
      <c r="B236" s="62" t="s">
        <v>268</v>
      </c>
      <c r="C236" s="184">
        <f>IFERROR('Ενεργοί πελάτες'!U58/'Ανάπτυξη δικτύου'!U121,0)</f>
        <v>0</v>
      </c>
      <c r="D236" s="184">
        <f>IFERROR('Ενεργοί πελάτες'!X58/'Ανάπτυξη δικτύου'!X121,0)</f>
        <v>0</v>
      </c>
      <c r="E236" s="184">
        <f>IFERROR('Ενεργοί πελάτες'!AA58/'Ανάπτυξη δικτύου'!AA121,0)</f>
        <v>0</v>
      </c>
      <c r="F236" s="184">
        <f>IFERROR('Ενεργοί πελάτες'!AD58/'Ανάπτυξη δικτύου'!AD121,0)</f>
        <v>0</v>
      </c>
      <c r="G236" s="184">
        <f>IFERROR('Ενεργοί πελάτες'!AG58/'Ανάπτυξη δικτύου'!AG121,0)</f>
        <v>0.14067524115755628</v>
      </c>
      <c r="H236" s="192">
        <f t="shared" si="4"/>
        <v>0</v>
      </c>
    </row>
    <row r="237" spans="1:8" outlineLevel="1" x14ac:dyDescent="0.35">
      <c r="A237" s="48" t="s">
        <v>119</v>
      </c>
      <c r="B237" s="62" t="s">
        <v>268</v>
      </c>
      <c r="C237" s="184">
        <f>IFERROR('Ενεργοί πελάτες'!U59/'Ανάπτυξη δικτύου'!U122,0)</f>
        <v>0</v>
      </c>
      <c r="D237" s="184">
        <f>IFERROR('Ενεργοί πελάτες'!X59/'Ανάπτυξη δικτύου'!X122,0)</f>
        <v>0</v>
      </c>
      <c r="E237" s="184">
        <f>IFERROR('Ενεργοί πελάτες'!AA59/'Ανάπτυξη δικτύου'!AA122,0)</f>
        <v>0</v>
      </c>
      <c r="F237" s="184">
        <f>IFERROR('Ενεργοί πελάτες'!AD59/'Ανάπτυξη δικτύου'!AD122,0)</f>
        <v>0</v>
      </c>
      <c r="G237" s="184">
        <f>IFERROR('Ενεργοί πελάτες'!AG59/'Ανάπτυξη δικτύου'!AG122,0)</f>
        <v>0</v>
      </c>
      <c r="H237" s="192">
        <f t="shared" si="4"/>
        <v>0</v>
      </c>
    </row>
    <row r="238" spans="1:8" outlineLevel="1" x14ac:dyDescent="0.35">
      <c r="A238" s="48" t="s">
        <v>120</v>
      </c>
      <c r="B238" s="62" t="s">
        <v>268</v>
      </c>
      <c r="C238" s="184">
        <f>IFERROR('Ενεργοί πελάτες'!U60/'Ανάπτυξη δικτύου'!U123,0)</f>
        <v>0.35090152565880722</v>
      </c>
      <c r="D238" s="184">
        <f>IFERROR('Ενεργοί πελάτες'!X60/'Ανάπτυξη δικτύου'!X123,0)</f>
        <v>0.17719659124302087</v>
      </c>
      <c r="E238" s="184">
        <f>IFERROR('Ενεργοί πελάτες'!AA60/'Ανάπτυξη δικτύου'!AA123,0)</f>
        <v>0.18068211403280396</v>
      </c>
      <c r="F238" s="184">
        <f>IFERROR('Ενεργοί πελάτες'!AD60/'Ανάπτυξη δικτύου'!AD123,0)</f>
        <v>0.27961250550418321</v>
      </c>
      <c r="G238" s="184">
        <f>IFERROR('Ενεργοί πελάτες'!AG60/'Ανάπτυξη δικτύου'!AG123,0)</f>
        <v>0.12169543369019008</v>
      </c>
      <c r="H238" s="192">
        <f t="shared" si="4"/>
        <v>-0.23259918415586611</v>
      </c>
    </row>
    <row r="239" spans="1:8" outlineLevel="1" x14ac:dyDescent="0.35">
      <c r="A239" s="48" t="s">
        <v>121</v>
      </c>
      <c r="B239" s="62" t="s">
        <v>268</v>
      </c>
      <c r="C239" s="184">
        <f>IFERROR('Ενεργοί πελάτες'!U61/'Ανάπτυξη δικτύου'!U124,0)</f>
        <v>0.45054945054945056</v>
      </c>
      <c r="D239" s="184">
        <f>IFERROR('Ενεργοί πελάτες'!X61/'Ανάπτυξη δικτύου'!X124,0)</f>
        <v>0.12209944751381216</v>
      </c>
      <c r="E239" s="184">
        <f>IFERROR('Ενεργοί πελάτες'!AA61/'Ανάπτυξη δικτύου'!AA124,0)</f>
        <v>0.11798443260958623</v>
      </c>
      <c r="F239" s="184">
        <f>IFERROR('Ενεργοί πελάτες'!AD61/'Ανάπτυξη δικτύου'!AD124,0)</f>
        <v>0.1462671406805485</v>
      </c>
      <c r="G239" s="184">
        <f>IFERROR('Ενεργοί πελάτες'!AG61/'Ανάπτυξη δικτύου'!AG124,0)</f>
        <v>7.2853828306264495E-2</v>
      </c>
      <c r="H239" s="192">
        <f t="shared" si="4"/>
        <v>-0.36587119920123534</v>
      </c>
    </row>
    <row r="240" spans="1:8" outlineLevel="1" x14ac:dyDescent="0.35">
      <c r="A240" s="48" t="s">
        <v>137</v>
      </c>
      <c r="B240" s="62" t="s">
        <v>268</v>
      </c>
      <c r="C240" s="184">
        <f>IFERROR('Ενεργοί πελάτες'!U62/'Ανάπτυξη δικτύου'!U125,0)</f>
        <v>0</v>
      </c>
      <c r="D240" s="184">
        <f>IFERROR('Ενεργοί πελάτες'!X62/'Ανάπτυξη δικτύου'!X125,0)</f>
        <v>0</v>
      </c>
      <c r="E240" s="184">
        <f>IFERROR('Ενεργοί πελάτες'!AA62/'Ανάπτυξη δικτύου'!AA125,0)</f>
        <v>0</v>
      </c>
      <c r="F240" s="184">
        <f>IFERROR('Ενεργοί πελάτες'!AD62/'Ανάπτυξη δικτύου'!AD125,0)</f>
        <v>0</v>
      </c>
      <c r="G240" s="184">
        <f>IFERROR('Ενεργοί πελάτες'!AG62/'Ανάπτυξη δικτύου'!AG125,0)</f>
        <v>0</v>
      </c>
      <c r="H240" s="192">
        <f t="shared" si="4"/>
        <v>0</v>
      </c>
    </row>
    <row r="241" spans="1:32" outlineLevel="1" x14ac:dyDescent="0.35">
      <c r="A241" s="48" t="s">
        <v>123</v>
      </c>
      <c r="B241" s="62" t="s">
        <v>268</v>
      </c>
      <c r="C241" s="184">
        <f>IFERROR('Ενεργοί πελάτες'!U63/'Ανάπτυξη δικτύου'!U126,0)</f>
        <v>0.33148404993065189</v>
      </c>
      <c r="D241" s="184">
        <f>IFERROR('Ενεργοί πελάτες'!X63/'Ανάπτυξη δικτύου'!X126,0)</f>
        <v>0.21450381679389313</v>
      </c>
      <c r="E241" s="184">
        <f>IFERROR('Ενεργοί πελάτες'!AA63/'Ανάπτυξη δικτύου'!AA126,0)</f>
        <v>0.10114388922335943</v>
      </c>
      <c r="F241" s="184">
        <f>IFERROR('Ενεργοί πελάτες'!AD63/'Ανάπτυξη δικτύου'!AD126,0)</f>
        <v>0</v>
      </c>
      <c r="G241" s="184">
        <f>IFERROR('Ενεργοί πελάτες'!AG63/'Ανάπτυξη δικτύου'!AG126,0)</f>
        <v>8.8088088088088087E-2</v>
      </c>
      <c r="H241" s="192">
        <f t="shared" si="4"/>
        <v>-0.28201786704277609</v>
      </c>
    </row>
    <row r="242" spans="1:32" outlineLevel="1" x14ac:dyDescent="0.35">
      <c r="A242" s="48" t="s">
        <v>124</v>
      </c>
      <c r="B242" s="62" t="s">
        <v>268</v>
      </c>
      <c r="C242" s="184">
        <f>IFERROR('Ενεργοί πελάτες'!U64/'Ανάπτυξη δικτύου'!U128,0)</f>
        <v>2.2332506203473945E-2</v>
      </c>
      <c r="D242" s="184">
        <f>IFERROR('Ενεργοί πελάτες'!X64/'Ανάπτυξη δικτύου'!X128,0)</f>
        <v>0</v>
      </c>
      <c r="E242" s="184">
        <f>IFERROR('Ενεργοί πελάτες'!AA64/'Ανάπτυξη δικτύου'!AA128,0)</f>
        <v>0</v>
      </c>
      <c r="F242" s="184">
        <f>IFERROR('Ενεργοί πελάτες'!AD64/'Ανάπτυξη δικτύου'!AD128,0)</f>
        <v>0</v>
      </c>
      <c r="G242" s="184">
        <f>IFERROR('Ενεργοί πελάτες'!AG64/'Ανάπτυξη δικτύου'!AG128,0)</f>
        <v>0</v>
      </c>
      <c r="H242" s="192">
        <f t="shared" si="4"/>
        <v>-1</v>
      </c>
    </row>
    <row r="243" spans="1:32" outlineLevel="1" x14ac:dyDescent="0.35">
      <c r="A243" s="48" t="s">
        <v>125</v>
      </c>
      <c r="B243" s="62" t="s">
        <v>268</v>
      </c>
      <c r="C243" s="184">
        <f>IFERROR('Ενεργοί πελάτες'!U65/'Ανάπτυξη δικτύου'!U129,0)</f>
        <v>0.11630558722919042</v>
      </c>
      <c r="D243" s="184">
        <f>IFERROR('Ενεργοί πελάτες'!X65/'Ανάπτυξη δικτύου'!X129,0)</f>
        <v>9.7925311203319501E-2</v>
      </c>
      <c r="E243" s="184">
        <f>IFERROR('Ενεργοί πελάτες'!AA65/'Ανάπτυξη δικτύου'!AA129,0)</f>
        <v>0.14157303370786517</v>
      </c>
      <c r="F243" s="184">
        <f>IFERROR('Ενεργοί πελάτες'!AD65/'Ανάπτυξη δικτύου'!AD129,0)</f>
        <v>8.7759815242494224E-2</v>
      </c>
      <c r="G243" s="184">
        <f>IFERROR('Ενεργοί πελάτες'!AG65/'Ανάπτυξη δικτύου'!AG129,0)</f>
        <v>0</v>
      </c>
      <c r="H243" s="192">
        <f t="shared" si="4"/>
        <v>-1</v>
      </c>
    </row>
    <row r="244" spans="1:32" outlineLevel="1" x14ac:dyDescent="0.35">
      <c r="A244" s="48" t="s">
        <v>126</v>
      </c>
      <c r="B244" s="62" t="s">
        <v>268</v>
      </c>
      <c r="C244" s="184">
        <f>IFERROR('Ενεργοί πελάτες'!U66/'Ανάπτυξη δικτύου'!U127,0)</f>
        <v>0</v>
      </c>
      <c r="D244" s="184">
        <f>IFERROR('Ενεργοί πελάτες'!X66/'Ανάπτυξη δικτύου'!X127,0)</f>
        <v>0.19087837837837837</v>
      </c>
      <c r="E244" s="184">
        <f>IFERROR('Ενεργοί πελάτες'!AA66/'Ανάπτυξη δικτύου'!AA127,0)</f>
        <v>0.47429305912596403</v>
      </c>
      <c r="F244" s="184">
        <f>IFERROR('Ενεργοί πελάτες'!AD66/'Ανάπτυξη δικτύου'!AD127,0)</f>
        <v>0.23535952557449963</v>
      </c>
      <c r="G244" s="184">
        <f>IFERROR('Ενεργοί πελάτες'!AG66/'Ανάπτυξη δικτύου'!AG127,0)</f>
        <v>0.13944020356234096</v>
      </c>
      <c r="H244" s="192">
        <f t="shared" si="4"/>
        <v>0</v>
      </c>
    </row>
    <row r="245" spans="1:32" outlineLevel="1" x14ac:dyDescent="0.35">
      <c r="A245" s="48" t="s">
        <v>127</v>
      </c>
      <c r="B245" s="62" t="s">
        <v>268</v>
      </c>
      <c r="C245" s="184">
        <f>IFERROR('Ενεργοί πελάτες'!U67/'Ανάπτυξη δικτύου'!U130,0)</f>
        <v>2.2026431718061675E-4</v>
      </c>
      <c r="D245" s="184">
        <f>IFERROR('Ενεργοί πελάτες'!X67/'Ανάπτυξη δικτύου'!X130,0)</f>
        <v>0</v>
      </c>
      <c r="E245" s="184">
        <f>IFERROR('Ενεργοί πελάτες'!AA67/'Ανάπτυξη δικτύου'!AA130,0)</f>
        <v>0</v>
      </c>
      <c r="F245" s="184">
        <f>IFERROR('Ενεργοί πελάτες'!AD67/'Ανάπτυξη δικτύου'!AD130,0)</f>
        <v>0</v>
      </c>
      <c r="G245" s="184">
        <f>IFERROR('Ενεργοί πελάτες'!AG67/'Ανάπτυξη δικτύου'!AG130,0)</f>
        <v>0</v>
      </c>
      <c r="H245" s="192">
        <f t="shared" si="4"/>
        <v>-1</v>
      </c>
    </row>
    <row r="246" spans="1:32" outlineLevel="1" x14ac:dyDescent="0.35">
      <c r="A246" s="477" t="s">
        <v>151</v>
      </c>
      <c r="B246" s="478"/>
      <c r="C246" s="478"/>
      <c r="D246" s="478"/>
      <c r="E246" s="478"/>
      <c r="F246" s="478"/>
      <c r="G246" s="478"/>
      <c r="H246" s="479"/>
    </row>
    <row r="247" spans="1:32" outlineLevel="1" x14ac:dyDescent="0.35">
      <c r="A247" s="48" t="s">
        <v>138</v>
      </c>
      <c r="B247" s="59" t="s">
        <v>268</v>
      </c>
      <c r="C247" s="184">
        <f>IFERROR('Ενεργοί πελάτες'!U68/'Ανάπτυξη δικτύου'!U132,0)</f>
        <v>0.36704138988247315</v>
      </c>
      <c r="D247" s="184">
        <f>IFERROR('Ενεργοί πελάτες'!X68/'Ανάπτυξη δικτύου'!V132,0)</f>
        <v>4.8527128579625139E-3</v>
      </c>
      <c r="E247" s="184">
        <f>IFERROR('Ενεργοί πελάτες'!AA68/'Ανάπτυξη δικτύου'!AA132,0)</f>
        <v>0.20696261682242992</v>
      </c>
      <c r="F247" s="184">
        <f>IFERROR('Ενεργοί πελάτες'!AD68/'Ανάπτυξη δικτύου'!AD132,0)</f>
        <v>0.18312068965517242</v>
      </c>
      <c r="G247" s="184">
        <f>IFERROR('Ενεργοί πελάτες'!AG68/'Ανάπτυξη δικτύου'!AG132,0)</f>
        <v>0.17198181818181818</v>
      </c>
      <c r="H247" s="192">
        <f>IFERROR((G247/C247)^(1/4)-1,0)</f>
        <v>-0.17264504198870834</v>
      </c>
    </row>
    <row r="249" spans="1:32" ht="15.5" x14ac:dyDescent="0.35">
      <c r="A249" s="419" t="s">
        <v>269</v>
      </c>
      <c r="B249" s="419"/>
      <c r="C249" s="419"/>
      <c r="D249" s="419"/>
      <c r="E249" s="419"/>
      <c r="F249" s="419"/>
      <c r="G249" s="419"/>
      <c r="H249" s="419"/>
    </row>
    <row r="250" spans="1:32" ht="5.9" customHeight="1" outlineLevel="1" x14ac:dyDescent="0.35">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103"/>
      <c r="AD250" s="103"/>
      <c r="AE250" s="103"/>
      <c r="AF250" s="103"/>
    </row>
    <row r="251" spans="1:32" ht="33" customHeight="1" outlineLevel="1" x14ac:dyDescent="0.35">
      <c r="A251" s="60"/>
      <c r="B251" s="61" t="s">
        <v>134</v>
      </c>
      <c r="C251" s="90">
        <f>$B$3</f>
        <v>2024</v>
      </c>
      <c r="D251" s="90">
        <f>$B$3+1</f>
        <v>2025</v>
      </c>
      <c r="E251" s="90">
        <f>$B$3+2</f>
        <v>2026</v>
      </c>
      <c r="F251" s="90">
        <f>$B$3+3</f>
        <v>2027</v>
      </c>
      <c r="G251" s="90">
        <f>$B$3+4</f>
        <v>2028</v>
      </c>
      <c r="H251" s="233" t="str">
        <f>"Ετήσιος ρυθμός ανάπτυξης (CAGR) "&amp;$B$3&amp;" - "&amp;$D$3</f>
        <v>Ετήσιος ρυθμός ανάπτυξης (CAGR) 2024 - 2028</v>
      </c>
    </row>
    <row r="252" spans="1:32" outlineLevel="1" x14ac:dyDescent="0.35">
      <c r="A252" s="48" t="s">
        <v>74</v>
      </c>
      <c r="B252" s="62" t="s">
        <v>259</v>
      </c>
      <c r="C252" s="184">
        <f>IFERROR('Ενεργές συνδέσεις'!U14/'Ανάπτυξη δικτύου'!U77,0)</f>
        <v>0</v>
      </c>
      <c r="D252" s="184">
        <f>IFERROR('Ενεργές συνδέσεις'!Z14/'Ανάπτυξη δικτύου'!X77,0)</f>
        <v>9.838274932614556E-3</v>
      </c>
      <c r="E252" s="184">
        <f>IFERROR('Ενεργές συνδέσεις'!AE14/'Ανάπτυξη δικτύου'!AA77,0)</f>
        <v>1.4793944491169048E-2</v>
      </c>
      <c r="F252" s="184">
        <f>IFERROR('Ενεργές συνδέσεις'!AJ14/'Ανάπτυξη δικτύου'!AD77,0)</f>
        <v>0</v>
      </c>
      <c r="G252" s="184">
        <f>IFERROR('Ενεργές συνδέσεις'!AO14/'Ανάπτυξη δικτύου'!AG77,0)</f>
        <v>3.1222596964586846E-2</v>
      </c>
      <c r="H252" s="192">
        <f t="shared" ref="H252:H305" si="5">IFERROR((G252/C252)^(1/4)-1,0)</f>
        <v>0</v>
      </c>
    </row>
    <row r="253" spans="1:32" outlineLevel="1" x14ac:dyDescent="0.35">
      <c r="A253" s="48" t="s">
        <v>75</v>
      </c>
      <c r="B253" s="62" t="s">
        <v>259</v>
      </c>
      <c r="C253" s="184">
        <f>IFERROR('Ενεργές συνδέσεις'!U15/'Ανάπτυξη δικτύου'!U78,0)</f>
        <v>1.8658461538461539</v>
      </c>
      <c r="D253" s="184">
        <f>IFERROR('Ενεργές συνδέσεις'!Z15/'Ανάπτυξη δικτύου'!X78,0)</f>
        <v>5.6059190031152652E-2</v>
      </c>
      <c r="E253" s="184">
        <f>IFERROR('Ενεργές συνδέσεις'!AE15/'Ανάπτυξη δικτύου'!AA78,0)</f>
        <v>0.21414071510957325</v>
      </c>
      <c r="F253" s="184">
        <f>IFERROR('Ενεργές συνδέσεις'!AJ15/'Ανάπτυξη δικτύου'!AD78,0)</f>
        <v>9.3373860182370816E-2</v>
      </c>
      <c r="G253" s="184">
        <f>IFERROR('Ενεργές συνδέσεις'!AO15/'Ανάπτυξη δικτύου'!AG78,0)</f>
        <v>0.24487654320987656</v>
      </c>
      <c r="H253" s="192">
        <f t="shared" si="5"/>
        <v>-0.39810901503884633</v>
      </c>
    </row>
    <row r="254" spans="1:32" outlineLevel="1" x14ac:dyDescent="0.35">
      <c r="A254" s="48" t="s">
        <v>76</v>
      </c>
      <c r="B254" s="62" t="s">
        <v>259</v>
      </c>
      <c r="C254" s="184">
        <f>IFERROR('Ενεργές συνδέσεις'!U16/'Ανάπτυξη δικτύου'!U79,0)</f>
        <v>0.13423963133640554</v>
      </c>
      <c r="D254" s="184">
        <f>IFERROR('Ενεργές συνδέσεις'!Z16/'Ανάπτυξη δικτύου'!X79,0)</f>
        <v>2.7886769603390857E-2</v>
      </c>
      <c r="E254" s="184">
        <f>IFERROR('Ενεργές συνδέσεις'!AE16/'Ανάπτυξη δικτύου'!AA79,0)</f>
        <v>1.92976969007677E-2</v>
      </c>
      <c r="F254" s="184">
        <f>IFERROR('Ενεργές συνδέσεις'!AJ16/'Ανάπτυξη δικτύου'!AD79,0)</f>
        <v>4.7233131024634063E-2</v>
      </c>
      <c r="G254" s="184">
        <f>IFERROR('Ενεργές συνδέσεις'!AO16/'Ανάπτυξη δικτύου'!AG79,0)</f>
        <v>2.8971153846153844E-2</v>
      </c>
      <c r="H254" s="192">
        <f t="shared" si="5"/>
        <v>-0.31841305976641987</v>
      </c>
    </row>
    <row r="255" spans="1:32" outlineLevel="1" x14ac:dyDescent="0.35">
      <c r="A255" s="48" t="s">
        <v>77</v>
      </c>
      <c r="B255" s="62" t="s">
        <v>259</v>
      </c>
      <c r="C255" s="184">
        <f>IFERROR('Ενεργές συνδέσεις'!U17/'Ανάπτυξη δικτύου'!U80,0)</f>
        <v>0</v>
      </c>
      <c r="D255" s="184">
        <f>IFERROR('Ενεργές συνδέσεις'!Z17/'Ανάπτυξη δικτύου'!X80,0)</f>
        <v>0</v>
      </c>
      <c r="E255" s="184">
        <f>IFERROR('Ενεργές συνδέσεις'!AE17/'Ανάπτυξη δικτύου'!AA80,0)</f>
        <v>1.242503259452412E-2</v>
      </c>
      <c r="F255" s="184">
        <f>IFERROR('Ενεργές συνδέσεις'!AJ17/'Ανάπτυξη δικτύου'!AD80,0)</f>
        <v>2.6393659180977542E-2</v>
      </c>
      <c r="G255" s="184">
        <f>IFERROR('Ενεργές συνδέσεις'!AO17/'Ανάπτυξη δικτύου'!AG80,0)</f>
        <v>0</v>
      </c>
      <c r="H255" s="192">
        <f t="shared" si="5"/>
        <v>0</v>
      </c>
    </row>
    <row r="256" spans="1:32" outlineLevel="1" x14ac:dyDescent="0.35">
      <c r="A256" s="48" t="s">
        <v>78</v>
      </c>
      <c r="B256" s="62" t="s">
        <v>259</v>
      </c>
      <c r="C256" s="184">
        <f>IFERROR('Ενεργές συνδέσεις'!U18/'Ανάπτυξη δικτύου'!U81,0)</f>
        <v>0.1810824389129938</v>
      </c>
      <c r="D256" s="184">
        <f>IFERROR('Ενεργές συνδέσεις'!Z18/'Ανάπτυξη δικτύου'!X81,0)</f>
        <v>0.11920134604598989</v>
      </c>
      <c r="E256" s="184">
        <f>IFERROR('Ενεργές συνδέσεις'!AE18/'Ανάπτυξη δικτύου'!AA81,0)</f>
        <v>0.12622818791946308</v>
      </c>
      <c r="F256" s="184">
        <f>IFERROR('Ενεργές συνδέσεις'!AJ18/'Ανάπτυξη δικτύου'!AD81,0)</f>
        <v>6.7369309695434768E-2</v>
      </c>
      <c r="G256" s="184">
        <f>IFERROR('Ενεργές συνδέσεις'!AO18/'Ανάπτυξη δικτύου'!AG81,0)</f>
        <v>0.10794982595126636</v>
      </c>
      <c r="H256" s="192">
        <f t="shared" si="5"/>
        <v>-0.12130854544981129</v>
      </c>
    </row>
    <row r="257" spans="1:8" outlineLevel="1" x14ac:dyDescent="0.35">
      <c r="A257" s="48" t="s">
        <v>79</v>
      </c>
      <c r="B257" s="62" t="s">
        <v>259</v>
      </c>
      <c r="C257" s="184">
        <f>IFERROR('Ενεργές συνδέσεις'!U19/'Ανάπτυξη δικτύου'!U82,0)</f>
        <v>0.4275641025641026</v>
      </c>
      <c r="D257" s="184">
        <f>IFERROR('Ενεργές συνδέσεις'!Z19/'Ανάπτυξη δικτύου'!X82,0)</f>
        <v>0</v>
      </c>
      <c r="E257" s="184">
        <f>IFERROR('Ενεργές συνδέσεις'!AE19/'Ανάπτυξη δικτύου'!AA82,0)</f>
        <v>0</v>
      </c>
      <c r="F257" s="184">
        <f>IFERROR('Ενεργές συνδέσεις'!AJ19/'Ανάπτυξη δικτύου'!AD82,0)</f>
        <v>0</v>
      </c>
      <c r="G257" s="184">
        <f>IFERROR('Ενεργές συνδέσεις'!AO19/'Ανάπτυξη δικτύου'!AG82,0)</f>
        <v>2.1047843665768194E-2</v>
      </c>
      <c r="H257" s="192">
        <f t="shared" si="5"/>
        <v>-0.52896671897581615</v>
      </c>
    </row>
    <row r="258" spans="1:8" outlineLevel="1" x14ac:dyDescent="0.35">
      <c r="A258" s="48" t="s">
        <v>80</v>
      </c>
      <c r="B258" s="62" t="s">
        <v>259</v>
      </c>
      <c r="C258" s="184">
        <f>IFERROR('Ενεργές συνδέσεις'!U20/'Ανάπτυξη δικτύου'!U83,0)</f>
        <v>0.11941915227629513</v>
      </c>
      <c r="D258" s="184">
        <f>IFERROR('Ενεργές συνδέσεις'!Z20/'Ανάπτυξη δικτύου'!X83,0)</f>
        <v>8.3269709543568465E-2</v>
      </c>
      <c r="E258" s="184">
        <f>IFERROR('Ενεργές συνδέσεις'!AE20/'Ανάπτυξη δικτύου'!AA83,0)</f>
        <v>0.30625396825396822</v>
      </c>
      <c r="F258" s="184">
        <f>IFERROR('Ενεργές συνδέσεις'!AJ20/'Ανάπτυξη δικτύου'!AD83,0)</f>
        <v>0</v>
      </c>
      <c r="G258" s="184">
        <f>IFERROR('Ενεργές συνδέσεις'!AO20/'Ανάπτυξη δικτύου'!AG83,0)</f>
        <v>3.9511731135066584E-2</v>
      </c>
      <c r="H258" s="192">
        <f t="shared" si="5"/>
        <v>-0.24157433942016782</v>
      </c>
    </row>
    <row r="259" spans="1:8" outlineLevel="1" x14ac:dyDescent="0.35">
      <c r="A259" s="48" t="s">
        <v>81</v>
      </c>
      <c r="B259" s="62" t="s">
        <v>259</v>
      </c>
      <c r="C259" s="184">
        <f>IFERROR('Ενεργές συνδέσεις'!U21/'Ανάπτυξη δικτύου'!U84,0)</f>
        <v>6.9457687723480335E-2</v>
      </c>
      <c r="D259" s="184">
        <f>IFERROR('Ενεργές συνδέσεις'!Z21/'Ανάπτυξη δικτύου'!X84,0)</f>
        <v>0.24533222591362125</v>
      </c>
      <c r="E259" s="184">
        <f>IFERROR('Ενεργές συνδέσεις'!AE21/'Ανάπτυξη δικτύου'!AA84,0)</f>
        <v>0.45349206349206356</v>
      </c>
      <c r="F259" s="184">
        <f>IFERROR('Ενεργές συνδέσεις'!AJ21/'Ανάπτυξη δικτύου'!AD84,0)</f>
        <v>0</v>
      </c>
      <c r="G259" s="184">
        <f>IFERROR('Ενεργές συνδέσεις'!AO21/'Ανάπτυξη δικτύου'!AG84,0)</f>
        <v>0.17489711934156379</v>
      </c>
      <c r="H259" s="192">
        <f t="shared" si="5"/>
        <v>0.25969551693430892</v>
      </c>
    </row>
    <row r="260" spans="1:8" outlineLevel="1" x14ac:dyDescent="0.35">
      <c r="A260" s="48" t="s">
        <v>82</v>
      </c>
      <c r="B260" s="62" t="s">
        <v>259</v>
      </c>
      <c r="C260" s="184">
        <f>IFERROR('Ενεργές συνδέσεις'!U22/'Ανάπτυξη δικτύου'!U85,0)</f>
        <v>0</v>
      </c>
      <c r="D260" s="184">
        <f>IFERROR('Ενεργές συνδέσεις'!Z22/'Ανάπτυξη δικτύου'!X85,0)</f>
        <v>0</v>
      </c>
      <c r="E260" s="184">
        <f>IFERROR('Ενεργές συνδέσεις'!AE22/'Ανάπτυξη δικτύου'!AA85,0)</f>
        <v>0</v>
      </c>
      <c r="F260" s="184">
        <f>IFERROR('Ενεργές συνδέσεις'!AJ22/'Ανάπτυξη δικτύου'!AD85,0)</f>
        <v>0</v>
      </c>
      <c r="G260" s="184">
        <f>IFERROR('Ενεργές συνδέσεις'!AO22/'Ανάπτυξη δικτύου'!AG85,0)</f>
        <v>0</v>
      </c>
      <c r="H260" s="192">
        <f t="shared" si="5"/>
        <v>0</v>
      </c>
    </row>
    <row r="261" spans="1:8" outlineLevel="1" x14ac:dyDescent="0.35">
      <c r="A261" s="48" t="s">
        <v>83</v>
      </c>
      <c r="B261" s="62" t="s">
        <v>259</v>
      </c>
      <c r="C261" s="184">
        <f>IFERROR('Ενεργές συνδέσεις'!U23/'Ανάπτυξη δικτύου'!U86,0)</f>
        <v>0</v>
      </c>
      <c r="D261" s="184">
        <f>IFERROR('Ενεργές συνδέσεις'!Z23/'Ανάπτυξη δικτύου'!X86,0)</f>
        <v>4.6299710297603366E-3</v>
      </c>
      <c r="E261" s="184">
        <f>IFERROR('Ενεργές συνδέσεις'!AE23/'Ανάπτυξη δικτύου'!AA86,0)</f>
        <v>2.1495033978044958E-2</v>
      </c>
      <c r="F261" s="184">
        <f>IFERROR('Ενεργές συνδέσεις'!AJ23/'Ανάπτυξη δικτύου'!AD86,0)</f>
        <v>5.4162384378211711E-3</v>
      </c>
      <c r="G261" s="184">
        <f>IFERROR('Ενεργές συνδέσεις'!AO23/'Ανάπτυξη δικτύου'!AG86,0)</f>
        <v>1.3319502074688796E-2</v>
      </c>
      <c r="H261" s="192">
        <f t="shared" si="5"/>
        <v>0</v>
      </c>
    </row>
    <row r="262" spans="1:8" outlineLevel="1" x14ac:dyDescent="0.35">
      <c r="A262" s="48" t="s">
        <v>84</v>
      </c>
      <c r="B262" s="62" t="s">
        <v>259</v>
      </c>
      <c r="C262" s="184">
        <f>IFERROR('Ενεργές συνδέσεις'!U24/'Ανάπτυξη δικτύου'!U87,0)</f>
        <v>9.4223620245925087E-3</v>
      </c>
      <c r="D262" s="184">
        <f>IFERROR('Ενεργές συνδέσεις'!Z24/'Ανάπτυξη δικτύου'!X87,0)</f>
        <v>1.2776598254305261E-2</v>
      </c>
      <c r="E262" s="184">
        <f>IFERROR('Ενεργές συνδέσεις'!AE24/'Ανάπτυξη δικτύου'!AA87,0)</f>
        <v>1.2509287925696595E-2</v>
      </c>
      <c r="F262" s="184">
        <f>IFERROR('Ενεργές συνδέσεις'!AJ24/'Ανάπτυξη δικτύου'!AD87,0)</f>
        <v>1.2920927552931009E-2</v>
      </c>
      <c r="G262" s="184">
        <f>IFERROR('Ενεργές συνδέσεις'!AO24/'Ανάπτυξη δικτύου'!AG87,0)</f>
        <v>5.1984941820670774E-2</v>
      </c>
      <c r="H262" s="192">
        <f t="shared" si="5"/>
        <v>0.53260219743934578</v>
      </c>
    </row>
    <row r="263" spans="1:8" outlineLevel="1" x14ac:dyDescent="0.35">
      <c r="A263" s="48" t="s">
        <v>85</v>
      </c>
      <c r="B263" s="62" t="s">
        <v>259</v>
      </c>
      <c r="C263" s="184">
        <f>IFERROR('Ενεργές συνδέσεις'!U25/'Ανάπτυξη δικτύου'!U88,0)</f>
        <v>0.28802083333333334</v>
      </c>
      <c r="D263" s="184">
        <f>IFERROR('Ενεργές συνδέσεις'!Z25/'Ανάπτυξη δικτύου'!X88,0)</f>
        <v>5.1656995486782722E-2</v>
      </c>
      <c r="E263" s="184">
        <f>IFERROR('Ενεργές συνδέσεις'!AE25/'Ανάπτυξη δικτύου'!AA88,0)</f>
        <v>0</v>
      </c>
      <c r="F263" s="184">
        <f>IFERROR('Ενεργές συνδέσεις'!AJ25/'Ανάπτυξη δικτύου'!AD88,0)</f>
        <v>0.20122112211221121</v>
      </c>
      <c r="G263" s="184">
        <f>IFERROR('Ενεργές συνδέσεις'!AO25/'Ανάπτυξη δικτύου'!AG88,0)</f>
        <v>9.8292181069958851E-2</v>
      </c>
      <c r="H263" s="192">
        <f t="shared" si="5"/>
        <v>-0.2356825634556553</v>
      </c>
    </row>
    <row r="264" spans="1:8" outlineLevel="1" x14ac:dyDescent="0.35">
      <c r="A264" s="48" t="s">
        <v>86</v>
      </c>
      <c r="B264" s="62" t="s">
        <v>259</v>
      </c>
      <c r="C264" s="184">
        <f>IFERROR('Ενεργές συνδέσεις'!U26/'Ανάπτυξη δικτύου'!U89,0)</f>
        <v>0.16798941798941799</v>
      </c>
      <c r="D264" s="184">
        <f>IFERROR('Ενεργές συνδέσεις'!Z26/'Ανάπτυξη δικτύου'!X89,0)</f>
        <v>3.2140575079872204E-2</v>
      </c>
      <c r="E264" s="184">
        <f>IFERROR('Ενεργές συνδέσεις'!AE26/'Ανάπτυξη δικτύου'!AA89,0)</f>
        <v>5.437515527950311E-2</v>
      </c>
      <c r="F264" s="184">
        <f>IFERROR('Ενεργές συνδέσεις'!AJ26/'Ανάπτυξη δικτύου'!AD89,0)</f>
        <v>9.0227173438182609E-2</v>
      </c>
      <c r="G264" s="184">
        <f>IFERROR('Ενεργές συνδέσεις'!AO26/'Ανάπτυξη δικτύου'!AG89,0)</f>
        <v>0.12120614035087719</v>
      </c>
      <c r="H264" s="192">
        <f t="shared" si="5"/>
        <v>-7.8361360599964347E-2</v>
      </c>
    </row>
    <row r="265" spans="1:8" outlineLevel="1" x14ac:dyDescent="0.35">
      <c r="A265" s="48" t="s">
        <v>87</v>
      </c>
      <c r="B265" s="62" t="s">
        <v>259</v>
      </c>
      <c r="C265" s="184">
        <f>IFERROR('Ενεργές συνδέσεις'!U27/'Ανάπτυξη δικτύου'!U90,0)</f>
        <v>0.30920634920634921</v>
      </c>
      <c r="D265" s="184">
        <f>IFERROR('Ενεργές συνδέσεις'!Z27/'Ανάπτυξη δικτύου'!X90,0)</f>
        <v>3.5849116161616158E-2</v>
      </c>
      <c r="E265" s="184">
        <f>IFERROR('Ενεργές συνδέσεις'!AE27/'Ανάπτυξη δικτύου'!AA90,0)</f>
        <v>0</v>
      </c>
      <c r="F265" s="184">
        <f>IFERROR('Ενεργές συνδέσεις'!AJ27/'Ανάπτυξη δικτύου'!AD90,0)</f>
        <v>0</v>
      </c>
      <c r="G265" s="184">
        <f>IFERROR('Ενεργές συνδέσεις'!AO27/'Ανάπτυξη δικτύου'!AG90,0)</f>
        <v>3.1266390614216703E-2</v>
      </c>
      <c r="H265" s="192">
        <f t="shared" si="5"/>
        <v>-0.43609319365681398</v>
      </c>
    </row>
    <row r="266" spans="1:8" outlineLevel="1" x14ac:dyDescent="0.35">
      <c r="A266" s="48" t="s">
        <v>88</v>
      </c>
      <c r="B266" s="62" t="s">
        <v>259</v>
      </c>
      <c r="C266" s="184">
        <f>IFERROR('Ενεργές συνδέσεις'!U28/'Ανάπτυξη δικτύου'!U91,0)</f>
        <v>8.3405572755417962E-2</v>
      </c>
      <c r="D266" s="184">
        <f>IFERROR('Ενεργές συνδέσεις'!Z28/'Ανάπτυξη δικτύου'!X91,0)</f>
        <v>2.209043166389138E-2</v>
      </c>
      <c r="E266" s="184">
        <f>IFERROR('Ενεργές συνδέσεις'!AE28/'Ανάπτυξη δικτύου'!AA91,0)</f>
        <v>2.6601173768818577E-2</v>
      </c>
      <c r="F266" s="184">
        <f>IFERROR('Ενεργές συνδέσεις'!AJ28/'Ανάπτυξη δικτύου'!AD91,0)</f>
        <v>0</v>
      </c>
      <c r="G266" s="184">
        <f>IFERROR('Ενεργές συνδέσεις'!AO28/'Ανάπτυξη δικτύου'!AG91,0)</f>
        <v>1.6948141837929934E-2</v>
      </c>
      <c r="H266" s="192">
        <f t="shared" si="5"/>
        <v>-0.32859935331738654</v>
      </c>
    </row>
    <row r="267" spans="1:8" outlineLevel="1" x14ac:dyDescent="0.35">
      <c r="A267" s="48" t="s">
        <v>89</v>
      </c>
      <c r="B267" s="62" t="s">
        <v>259</v>
      </c>
      <c r="C267" s="184">
        <f>IFERROR('Ενεργές συνδέσεις'!U29/'Ανάπτυξη δικτύου'!U92,0)</f>
        <v>5.7392473118279573E-2</v>
      </c>
      <c r="D267" s="184">
        <f>IFERROR('Ενεργές συνδέσεις'!Z29/'Ανάπτυξη δικτύου'!X92,0)</f>
        <v>7.3557213930348253E-2</v>
      </c>
      <c r="E267" s="184">
        <f>IFERROR('Ενεργές συνδέσεις'!AE29/'Ανάπτυξη δικτύου'!AA92,0)</f>
        <v>3.7810682178741409E-2</v>
      </c>
      <c r="F267" s="184">
        <f>IFERROR('Ενεργές συνδέσεις'!AJ29/'Ανάπτυξη δικτύου'!AD92,0)</f>
        <v>2.3832931242460796E-2</v>
      </c>
      <c r="G267" s="184">
        <f>IFERROR('Ενεργές συνδέσεις'!AO29/'Ανάπτυξη δικτύου'!AG92,0)</f>
        <v>7.4131551901336065E-2</v>
      </c>
      <c r="H267" s="192">
        <f t="shared" si="5"/>
        <v>6.607323030681389E-2</v>
      </c>
    </row>
    <row r="268" spans="1:8" outlineLevel="1" x14ac:dyDescent="0.35">
      <c r="A268" s="48" t="s">
        <v>90</v>
      </c>
      <c r="B268" s="62" t="s">
        <v>259</v>
      </c>
      <c r="C268" s="184">
        <f>IFERROR('Ενεργές συνδέσεις'!U30/'Ανάπτυξη δικτύου'!U93,0)</f>
        <v>4.8936170212765953E-3</v>
      </c>
      <c r="D268" s="184">
        <f>IFERROR('Ενεργές συνδέσεις'!Z30/'Ανάπτυξη δικτύου'!X93,0)</f>
        <v>1.4911242603550296E-3</v>
      </c>
      <c r="E268" s="184">
        <f>IFERROR('Ενεργές συνδέσεις'!AE30/'Ανάπτυξη δικτύου'!AA93,0)</f>
        <v>0</v>
      </c>
      <c r="F268" s="184">
        <f>IFERROR('Ενεργές συνδέσεις'!AJ30/'Ανάπτυξη δικτύου'!AD93,0)</f>
        <v>1.4072932717000513E-3</v>
      </c>
      <c r="G268" s="184">
        <f>IFERROR('Ενεργές συνδέσεις'!AO30/'Ανάπτυξη δικτύου'!AG93,0)</f>
        <v>0</v>
      </c>
      <c r="H268" s="192">
        <f t="shared" si="5"/>
        <v>-1</v>
      </c>
    </row>
    <row r="269" spans="1:8" outlineLevel="1" x14ac:dyDescent="0.35">
      <c r="A269" s="48" t="s">
        <v>91</v>
      </c>
      <c r="B269" s="62" t="s">
        <v>259</v>
      </c>
      <c r="C269" s="184">
        <f>IFERROR('Ενεργές συνδέσεις'!U31/'Ανάπτυξη δικτύου'!U94,0)</f>
        <v>1.5446744068652197E-3</v>
      </c>
      <c r="D269" s="184">
        <f>IFERROR('Ενεργές συνδέσεις'!Z31/'Ανάπτυξη δικτύου'!X94,0)</f>
        <v>6.1134163208852003E-3</v>
      </c>
      <c r="E269" s="184">
        <f>IFERROR('Ενεργές συνδέσεις'!AE31/'Ανάπτυξη δικτύου'!AA94,0)</f>
        <v>9.1379310344827588E-3</v>
      </c>
      <c r="F269" s="184">
        <f>IFERROR('Ενεργές συνδέσεις'!AJ31/'Ανάπτυξη δικτύου'!AD94,0)</f>
        <v>0</v>
      </c>
      <c r="G269" s="184">
        <f>IFERROR('Ενεργές συνδέσεις'!AO31/'Ανάπτυξη δικτύου'!AG94,0)</f>
        <v>6.7557251908396945E-3</v>
      </c>
      <c r="H269" s="192">
        <f t="shared" si="5"/>
        <v>0.44613472959471623</v>
      </c>
    </row>
    <row r="270" spans="1:8" outlineLevel="1" x14ac:dyDescent="0.35">
      <c r="A270" s="48" t="s">
        <v>92</v>
      </c>
      <c r="B270" s="62" t="s">
        <v>259</v>
      </c>
      <c r="C270" s="184">
        <f>IFERROR('Ενεργές συνδέσεις'!U32/'Ανάπτυξη δικτύου'!U95,0)</f>
        <v>0.28869047619047616</v>
      </c>
      <c r="D270" s="184">
        <f>IFERROR('Ενεργές συνδέσεις'!Z32/'Ανάπτυξη δικτύου'!X95,0)</f>
        <v>4.4336099585062246E-2</v>
      </c>
      <c r="E270" s="184">
        <f>IFERROR('Ενεργές συνδέσεις'!AE32/'Ανάπτυξη δικτύου'!AA95,0)</f>
        <v>4.8865529551765173E-2</v>
      </c>
      <c r="F270" s="184">
        <f>IFERROR('Ενεργές συνδέσεις'!AJ32/'Ανάπτυξη δικτύου'!AD95,0)</f>
        <v>0</v>
      </c>
      <c r="G270" s="184">
        <f>IFERROR('Ενεργές συνδέσεις'!AO32/'Ανάπτυξη δικτύου'!AG95,0)</f>
        <v>8.0668036998972251E-2</v>
      </c>
      <c r="H270" s="192">
        <f t="shared" si="5"/>
        <v>-0.27294501251020953</v>
      </c>
    </row>
    <row r="271" spans="1:8" outlineLevel="1" x14ac:dyDescent="0.35">
      <c r="A271" s="48" t="s">
        <v>93</v>
      </c>
      <c r="B271" s="62" t="s">
        <v>259</v>
      </c>
      <c r="C271" s="184">
        <f>IFERROR('Ενεργές συνδέσεις'!U33/'Ανάπτυξη δικτύου'!U96,0)</f>
        <v>0.12309579439252337</v>
      </c>
      <c r="D271" s="184">
        <f>IFERROR('Ενεργές συνδέσεις'!Z33/'Ανάπτυξη δικτύου'!X96,0)</f>
        <v>8.2452369320957494E-2</v>
      </c>
      <c r="E271" s="184">
        <f>IFERROR('Ενεργές συνδέσεις'!AE33/'Ανάπτυξη δικτύου'!AA96,0)</f>
        <v>4.2395200711005776E-2</v>
      </c>
      <c r="F271" s="184">
        <f>IFERROR('Ενεργές συνδέσεις'!AJ33/'Ανάπτυξη δικτύου'!AD96,0)</f>
        <v>0.13704238472286911</v>
      </c>
      <c r="G271" s="184">
        <f>IFERROR('Ενεργές συνδέσεις'!AO33/'Ανάπτυξη δικτύου'!AG96,0)</f>
        <v>0.11834216867469879</v>
      </c>
      <c r="H271" s="192">
        <f t="shared" si="5"/>
        <v>-9.7973664001606009E-3</v>
      </c>
    </row>
    <row r="272" spans="1:8" outlineLevel="1" x14ac:dyDescent="0.35">
      <c r="A272" s="48" t="s">
        <v>94</v>
      </c>
      <c r="B272" s="62" t="s">
        <v>259</v>
      </c>
      <c r="C272" s="184">
        <f>IFERROR('Ενεργές συνδέσεις'!U34/'Ανάπτυξη δικτύου'!U97,0)</f>
        <v>0.62213675213675224</v>
      </c>
      <c r="D272" s="184">
        <f>IFERROR('Ενεργές συνδέσεις'!Z34/'Ανάπτυξη δικτύου'!X97,0)</f>
        <v>3.0628094865780556E-2</v>
      </c>
      <c r="E272" s="184">
        <f>IFERROR('Ενεργές συνδέσεις'!AE34/'Ανάπτυξη δικτύου'!AA97,0)</f>
        <v>5.1678584870154309E-2</v>
      </c>
      <c r="F272" s="184">
        <f>IFERROR('Ενεργές συνδέσεις'!AJ34/'Ανάπτυξη δικτύου'!AD97,0)</f>
        <v>3.403282216841539E-2</v>
      </c>
      <c r="G272" s="184">
        <f>IFERROR('Ενεργές συνδέσεις'!AO34/'Ανάπτυξη δικτύου'!AG97,0)</f>
        <v>4.337031369548585E-2</v>
      </c>
      <c r="H272" s="192">
        <f t="shared" si="5"/>
        <v>-0.48616145832166846</v>
      </c>
    </row>
    <row r="273" spans="1:8" outlineLevel="1" x14ac:dyDescent="0.35">
      <c r="A273" s="48" t="s">
        <v>95</v>
      </c>
      <c r="B273" s="62" t="s">
        <v>259</v>
      </c>
      <c r="C273" s="184">
        <f>IFERROR('Ενεργές συνδέσεις'!U35/'Ανάπτυξη δικτύου'!U98,0)</f>
        <v>0.18889447236180903</v>
      </c>
      <c r="D273" s="184">
        <f>IFERROR('Ενεργές συνδέσεις'!Z35/'Ανάπτυξη δικτύου'!X98,0)</f>
        <v>4.0628158844765339E-2</v>
      </c>
      <c r="E273" s="184">
        <f>IFERROR('Ενεργές συνδέσεις'!AE35/'Ανάπτυξη δικτύου'!AA98,0)</f>
        <v>3.2059466550065585E-2</v>
      </c>
      <c r="F273" s="184">
        <f>IFERROR('Ενεργές συνδέσεις'!AJ35/'Ανάπτυξη δικτύου'!AD98,0)</f>
        <v>3.0696457326892111E-2</v>
      </c>
      <c r="G273" s="184">
        <f>IFERROR('Ενεργές συνδέσεις'!AO35/'Ανάπτυξη δικτύου'!AG98,0)</f>
        <v>0</v>
      </c>
      <c r="H273" s="192">
        <f t="shared" si="5"/>
        <v>-1</v>
      </c>
    </row>
    <row r="274" spans="1:8" outlineLevel="1" x14ac:dyDescent="0.35">
      <c r="A274" s="48" t="s">
        <v>96</v>
      </c>
      <c r="B274" s="62" t="s">
        <v>259</v>
      </c>
      <c r="C274" s="184">
        <f>IFERROR('Ενεργές συνδέσεις'!U36/'Ανάπτυξη δικτύου'!U99,0)</f>
        <v>0</v>
      </c>
      <c r="D274" s="184">
        <f>IFERROR('Ενεργές συνδέσεις'!Z36/'Ανάπτυξη δικτύου'!X99,0)</f>
        <v>6.7199170124481331E-2</v>
      </c>
      <c r="E274" s="184">
        <f>IFERROR('Ενεργές συνδέσεις'!AE36/'Ανάπτυξη δικτύου'!AA99,0)</f>
        <v>5.7640374331550802E-2</v>
      </c>
      <c r="F274" s="184">
        <f>IFERROR('Ενεργές συνδέσεις'!AJ36/'Ανάπτυξη δικτύου'!AD99,0)</f>
        <v>0</v>
      </c>
      <c r="G274" s="184">
        <f>IFERROR('Ενεργές συνδέσεις'!AO36/'Ανάπτυξη δικτύου'!AG99,0)</f>
        <v>6.5375128468653648E-2</v>
      </c>
      <c r="H274" s="192">
        <f t="shared" si="5"/>
        <v>0</v>
      </c>
    </row>
    <row r="275" spans="1:8" outlineLevel="1" x14ac:dyDescent="0.35">
      <c r="A275" s="48" t="s">
        <v>97</v>
      </c>
      <c r="B275" s="62" t="s">
        <v>259</v>
      </c>
      <c r="C275" s="184">
        <f>IFERROR('Ενεργές συνδέσεις'!U37/'Ανάπτυξη δικτύου'!U100,0)</f>
        <v>8.2683732452518574E-2</v>
      </c>
      <c r="D275" s="184">
        <f>IFERROR('Ενεργές συνδέσεις'!Z37/'Ανάπτυξη δικτύου'!X100,0)</f>
        <v>4.0900957136912192E-2</v>
      </c>
      <c r="E275" s="184">
        <f>IFERROR('Ενεργές συνδέσεις'!AE37/'Ανάπτυξη δικτύου'!AA100,0)</f>
        <v>0.33857369255150555</v>
      </c>
      <c r="F275" s="184">
        <f>IFERROR('Ενεργές συνδέσεις'!AJ37/'Ανάπτυξη δικτύου'!AD100,0)</f>
        <v>0</v>
      </c>
      <c r="G275" s="184">
        <f>IFERROR('Ενεργές συνδέσεις'!AO37/'Ανάπτυξη δικτύου'!AG100,0)</f>
        <v>3.6217418944691673E-2</v>
      </c>
      <c r="H275" s="192">
        <f t="shared" si="5"/>
        <v>-0.18646853289424326</v>
      </c>
    </row>
    <row r="276" spans="1:8" outlineLevel="1" x14ac:dyDescent="0.35">
      <c r="A276" s="48" t="s">
        <v>98</v>
      </c>
      <c r="B276" s="62" t="s">
        <v>259</v>
      </c>
      <c r="C276" s="184">
        <f>IFERROR('Ενεργές συνδέσεις'!U38/'Ανάπτυξη δικτύου'!U101,0)</f>
        <v>5.9382022471910115E-2</v>
      </c>
      <c r="D276" s="184">
        <f>IFERROR('Ενεργές συνδέσεις'!Z38/'Ανάπτυξη δικτύου'!X101,0)</f>
        <v>1.2727505767751859E-2</v>
      </c>
      <c r="E276" s="184">
        <f>IFERROR('Ενεργές συνδέσεις'!AE38/'Ανάπτυξη δικτύου'!AA101,0)</f>
        <v>2.2566230450047877E-2</v>
      </c>
      <c r="F276" s="184">
        <f>IFERROR('Ενεργές συνδέσεις'!AJ38/'Ανάπτυξη δικτύου'!AD101,0)</f>
        <v>2.4453811029153498E-2</v>
      </c>
      <c r="G276" s="184">
        <f>IFERROR('Ενεργές συνδέσεις'!AO38/'Ανάπτυξη δικτύου'!AG101,0)</f>
        <v>1.9354054054054055E-2</v>
      </c>
      <c r="H276" s="192">
        <f t="shared" si="5"/>
        <v>-0.2444221096251914</v>
      </c>
    </row>
    <row r="277" spans="1:8" outlineLevel="1" x14ac:dyDescent="0.35">
      <c r="A277" s="48" t="s">
        <v>99</v>
      </c>
      <c r="B277" s="62" t="s">
        <v>259</v>
      </c>
      <c r="C277" s="184">
        <f>IFERROR('Ενεργές συνδέσεις'!U39/'Ανάπτυξη δικτύου'!U102,0)</f>
        <v>2.6657556709483467E-2</v>
      </c>
      <c r="D277" s="184">
        <f>IFERROR('Ενεργές συνδέσεις'!Z39/'Ανάπτυξη δικτύου'!X102,0)</f>
        <v>2.7487221427111019E-2</v>
      </c>
      <c r="E277" s="184">
        <f>IFERROR('Ενεργές συνδέσεις'!AE39/'Ανάπτυξη δικτύου'!AA102,0)</f>
        <v>3.7792922673656623E-2</v>
      </c>
      <c r="F277" s="184">
        <f>IFERROR('Ενεργές συνδέσεις'!AJ39/'Ανάπτυξη δικτύου'!AD102,0)</f>
        <v>1.4968950866107417E-2</v>
      </c>
      <c r="G277" s="184">
        <f>IFERROR('Ενεργές συνδέσεις'!AO39/'Ανάπτυξη δικτύου'!AG102,0)</f>
        <v>7.9353478566408994E-2</v>
      </c>
      <c r="H277" s="192">
        <f t="shared" si="5"/>
        <v>0.31351914422433036</v>
      </c>
    </row>
    <row r="278" spans="1:8" outlineLevel="1" x14ac:dyDescent="0.35">
      <c r="A278" s="48" t="s">
        <v>100</v>
      </c>
      <c r="B278" s="62" t="s">
        <v>259</v>
      </c>
      <c r="C278" s="184">
        <f>IFERROR('Ενεργές συνδέσεις'!U40/'Ανάπτυξη δικτύου'!U103,0)</f>
        <v>8.0558375634517773E-2</v>
      </c>
      <c r="D278" s="184">
        <f>IFERROR('Ενεργές συνδέσεις'!Z40/'Ανάπτυξη δικτύου'!X103,0)</f>
        <v>1.7859970311726866E-2</v>
      </c>
      <c r="E278" s="184">
        <f>IFERROR('Ενεργές συνδέσεις'!AE40/'Ανάπτυξη δικτύου'!AA103,0)</f>
        <v>3.9843942505133477E-2</v>
      </c>
      <c r="F278" s="184">
        <f>IFERROR('Ενεργές συνδέσεις'!AJ40/'Ανάπτυξη δικτύου'!AD103,0)</f>
        <v>4.4353405725567618E-2</v>
      </c>
      <c r="G278" s="184">
        <f>IFERROR('Ενεργές συνδέσεις'!AO40/'Ανάπτυξη δικτύου'!AG103,0)</f>
        <v>1.6683737024221452E-2</v>
      </c>
      <c r="H278" s="192">
        <f t="shared" si="5"/>
        <v>-0.32540105327032398</v>
      </c>
    </row>
    <row r="279" spans="1:8" outlineLevel="1" x14ac:dyDescent="0.35">
      <c r="A279" s="48" t="s">
        <v>101</v>
      </c>
      <c r="B279" s="62" t="s">
        <v>259</v>
      </c>
      <c r="C279" s="184">
        <f>IFERROR('Ενεργές συνδέσεις'!U41/'Ανάπτυξη δικτύου'!U104,0)</f>
        <v>0</v>
      </c>
      <c r="D279" s="184">
        <f>IFERROR('Ενεργές συνδέσεις'!Z41/'Ανάπτυξη δικτύου'!X104,0)</f>
        <v>0</v>
      </c>
      <c r="E279" s="184">
        <f>IFERROR('Ενεργές συνδέσεις'!AE41/'Ανάπτυξη δικτύου'!AA104,0)</f>
        <v>0</v>
      </c>
      <c r="F279" s="184">
        <f>IFERROR('Ενεργές συνδέσεις'!AJ41/'Ανάπτυξη δικτύου'!AD104,0)</f>
        <v>0</v>
      </c>
      <c r="G279" s="184">
        <f>IFERROR('Ενεργές συνδέσεις'!AO41/'Ανάπτυξη δικτύου'!AG104,0)</f>
        <v>0</v>
      </c>
      <c r="H279" s="192">
        <f t="shared" si="5"/>
        <v>0</v>
      </c>
    </row>
    <row r="280" spans="1:8" outlineLevel="1" x14ac:dyDescent="0.35">
      <c r="A280" s="48" t="s">
        <v>102</v>
      </c>
      <c r="B280" s="62" t="s">
        <v>259</v>
      </c>
      <c r="C280" s="184">
        <f>IFERROR('Ενεργές συνδέσεις'!U42/'Ανάπτυξη δικτύου'!U105,0)</f>
        <v>0.17807511737089202</v>
      </c>
      <c r="D280" s="184">
        <f>IFERROR('Ενεργές συνδέσεις'!Z42/'Ανάπτυξη δικτύου'!X105,0)</f>
        <v>0</v>
      </c>
      <c r="E280" s="184">
        <f>IFERROR('Ενεργές συνδέσεις'!AE42/'Ανάπτυξη δικτύου'!AA105,0)</f>
        <v>7.6323296354992076E-2</v>
      </c>
      <c r="F280" s="184">
        <f>IFERROR('Ενεργές συνδέσεις'!AJ42/'Ανάπτυξη δικτύου'!AD105,0)</f>
        <v>0</v>
      </c>
      <c r="G280" s="184">
        <f>IFERROR('Ενεργές συνδέσεις'!AO42/'Ανάπτυξη δικτύου'!AG105,0)</f>
        <v>0</v>
      </c>
      <c r="H280" s="192">
        <f t="shared" si="5"/>
        <v>-1</v>
      </c>
    </row>
    <row r="281" spans="1:8" outlineLevel="1" x14ac:dyDescent="0.35">
      <c r="A281" s="48" t="s">
        <v>103</v>
      </c>
      <c r="B281" s="62" t="s">
        <v>259</v>
      </c>
      <c r="C281" s="184">
        <f>IFERROR('Ενεργές συνδέσεις'!U43/'Ανάπτυξη δικτύου'!U106,0)</f>
        <v>0</v>
      </c>
      <c r="D281" s="184">
        <f>IFERROR('Ενεργές συνδέσεις'!Z43/'Ανάπτυξη δικτύου'!X106,0)</f>
        <v>0</v>
      </c>
      <c r="E281" s="184">
        <f>IFERROR('Ενεργές συνδέσεις'!AE43/'Ανάπτυξη δικτύου'!AA106,0)</f>
        <v>0</v>
      </c>
      <c r="F281" s="184">
        <f>IFERROR('Ενεργές συνδέσεις'!AJ43/'Ανάπτυξη δικτύου'!AD106,0)</f>
        <v>0</v>
      </c>
      <c r="G281" s="184">
        <f>IFERROR('Ενεργές συνδέσεις'!AO43/'Ανάπτυξη δικτύου'!AG106,0)</f>
        <v>0</v>
      </c>
      <c r="H281" s="192">
        <f t="shared" si="5"/>
        <v>0</v>
      </c>
    </row>
    <row r="282" spans="1:8" outlineLevel="1" x14ac:dyDescent="0.35">
      <c r="A282" s="48" t="s">
        <v>104</v>
      </c>
      <c r="B282" s="62" t="s">
        <v>259</v>
      </c>
      <c r="C282" s="184">
        <f>IFERROR('Ενεργές συνδέσεις'!U44/'Ανάπτυξη δικτύου'!U107,0)</f>
        <v>0</v>
      </c>
      <c r="D282" s="184">
        <f>IFERROR('Ενεργές συνδέσεις'!Z44/'Ανάπτυξη δικτύου'!X107,0)</f>
        <v>0</v>
      </c>
      <c r="E282" s="184">
        <f>IFERROR('Ενεργές συνδέσεις'!AE44/'Ανάπτυξη δικτύου'!AA107,0)</f>
        <v>0</v>
      </c>
      <c r="F282" s="184">
        <f>IFERROR('Ενεργές συνδέσεις'!AJ44/'Ανάπτυξη δικτύου'!AD107,0)</f>
        <v>3.0399999999999997E-3</v>
      </c>
      <c r="G282" s="184">
        <f>IFERROR('Ενεργές συνδέσεις'!AO44/'Ανάπτυξη δικτύου'!AG107,0)</f>
        <v>5.666E-3</v>
      </c>
      <c r="H282" s="192">
        <f t="shared" si="5"/>
        <v>0</v>
      </c>
    </row>
    <row r="283" spans="1:8" outlineLevel="1" x14ac:dyDescent="0.35">
      <c r="A283" s="48" t="s">
        <v>136</v>
      </c>
      <c r="B283" s="62" t="s">
        <v>259</v>
      </c>
      <c r="C283" s="184">
        <f>IFERROR('Ενεργές συνδέσεις'!U45/'Ανάπτυξη δικτύου'!U108,0)</f>
        <v>0</v>
      </c>
      <c r="D283" s="184">
        <f>IFERROR('Ενεργές συνδέσεις'!Z45/'Ανάπτυξη δικτύου'!X108,0)</f>
        <v>0</v>
      </c>
      <c r="E283" s="184">
        <f>IFERROR('Ενεργές συνδέσεις'!AE45/'Ανάπτυξη δικτύου'!AA108,0)</f>
        <v>0</v>
      </c>
      <c r="F283" s="184">
        <f>IFERROR('Ενεργές συνδέσεις'!AJ45/'Ανάπτυξη δικτύου'!AD108,0)</f>
        <v>3.0399999999999997E-3</v>
      </c>
      <c r="G283" s="184">
        <f>IFERROR('Ενεργές συνδέσεις'!AO45/'Ανάπτυξη δικτύου'!AG108,0)</f>
        <v>4.9199999999999999E-3</v>
      </c>
      <c r="H283" s="192">
        <f t="shared" si="5"/>
        <v>0</v>
      </c>
    </row>
    <row r="284" spans="1:8" outlineLevel="1" x14ac:dyDescent="0.35">
      <c r="A284" s="48" t="s">
        <v>106</v>
      </c>
      <c r="B284" s="62" t="s">
        <v>259</v>
      </c>
      <c r="C284" s="184">
        <f>IFERROR('Ενεργές συνδέσεις'!U46/'Ανάπτυξη δικτύου'!U109,0)</f>
        <v>0.12131578947368422</v>
      </c>
      <c r="D284" s="184">
        <f>IFERROR('Ενεργές συνδέσεις'!Z46/'Ανάπτυξη δικτύου'!X109,0)</f>
        <v>2.4991482112436115E-2</v>
      </c>
      <c r="E284" s="184">
        <f>IFERROR('Ενεργές συνδέσεις'!AE46/'Ανάπτυξη δικτύου'!AA109,0)</f>
        <v>0</v>
      </c>
      <c r="F284" s="184">
        <f>IFERROR('Ενεργές συνδέσεις'!AJ46/'Ανάπτυξη δικτύου'!AD109,0)</f>
        <v>2.5035105315947843E-2</v>
      </c>
      <c r="G284" s="184">
        <f>IFERROR('Ενεργές συνδέσεις'!AO46/'Ανάπτυξη δικτύου'!AG109,0)</f>
        <v>8.6474236641221371E-3</v>
      </c>
      <c r="H284" s="192">
        <f t="shared" si="5"/>
        <v>-0.4832953712807343</v>
      </c>
    </row>
    <row r="285" spans="1:8" outlineLevel="1" x14ac:dyDescent="0.35">
      <c r="A285" s="48" t="s">
        <v>107</v>
      </c>
      <c r="B285" s="62" t="s">
        <v>259</v>
      </c>
      <c r="C285" s="184">
        <f>IFERROR('Ενεργές συνδέσεις'!U47/'Ανάπτυξη δικτύου'!U110,0)</f>
        <v>0.10468926553672317</v>
      </c>
      <c r="D285" s="184">
        <f>IFERROR('Ενεργές συνδέσεις'!Z47/'Ανάπτυξη δικτύου'!X110,0)</f>
        <v>2.6255804136766571E-2</v>
      </c>
      <c r="E285" s="184">
        <f>IFERROR('Ενεργές συνδέσεις'!AE47/'Ανάπτυξη δικτύου'!AA110,0)</f>
        <v>0.25031620553359685</v>
      </c>
      <c r="F285" s="184">
        <f>IFERROR('Ενεργές συνδέσεις'!AJ47/'Ανάπτυξη δικτύου'!AD110,0)</f>
        <v>0</v>
      </c>
      <c r="G285" s="184">
        <f>IFERROR('Ενεργές συνδέσεις'!AO47/'Ανάπτυξη δικτύου'!AG110,0)</f>
        <v>7.4588477366255138E-2</v>
      </c>
      <c r="H285" s="192">
        <f t="shared" si="5"/>
        <v>-8.1260482074461127E-2</v>
      </c>
    </row>
    <row r="286" spans="1:8" outlineLevel="1" x14ac:dyDescent="0.35">
      <c r="A286" s="48" t="s">
        <v>108</v>
      </c>
      <c r="B286" s="62" t="s">
        <v>259</v>
      </c>
      <c r="C286" s="184">
        <f>IFERROR('Ενεργές συνδέσεις'!U48/'Ανάπτυξη δικτύου'!U111,0)</f>
        <v>3.6305101535413567E-2</v>
      </c>
      <c r="D286" s="184">
        <f>IFERROR('Ενεργές συνδέσεις'!Z48/'Ανάπτυξη δικτύου'!X111,0)</f>
        <v>0</v>
      </c>
      <c r="E286" s="184">
        <f>IFERROR('Ενεργές συνδέσεις'!AE48/'Ανάπτυξη δικτύου'!AA111,0)</f>
        <v>1.8312516609088492E-2</v>
      </c>
      <c r="F286" s="184">
        <f>IFERROR('Ενεργές συνδέσεις'!AJ48/'Ανάπτυξη δικτύου'!AD111,0)</f>
        <v>2.2657442131126342E-2</v>
      </c>
      <c r="G286" s="184">
        <f>IFERROR('Ενεργές συνδέσεις'!AO48/'Ανάπτυξη δικτύου'!AG111,0)</f>
        <v>8.688268156424582E-2</v>
      </c>
      <c r="H286" s="192">
        <f t="shared" si="5"/>
        <v>0.24377375999826678</v>
      </c>
    </row>
    <row r="287" spans="1:8" outlineLevel="1" x14ac:dyDescent="0.35">
      <c r="A287" s="48" t="s">
        <v>109</v>
      </c>
      <c r="B287" s="62" t="s">
        <v>259</v>
      </c>
      <c r="C287" s="184">
        <f>IFERROR('Ενεργές συνδέσεις'!U49/'Ανάπτυξη δικτύου'!U112,0)</f>
        <v>0</v>
      </c>
      <c r="D287" s="184">
        <f>IFERROR('Ενεργές συνδέσεις'!Z49/'Ανάπτυξη δικτύου'!X112,0)</f>
        <v>0</v>
      </c>
      <c r="E287" s="184">
        <f>IFERROR('Ενεργές συνδέσεις'!AE49/'Ανάπτυξη δικτύου'!AA112,0)</f>
        <v>0.22102143757881465</v>
      </c>
      <c r="F287" s="184">
        <f>IFERROR('Ενεργές συνδέσεις'!AJ49/'Ανάπτυξη δικτύου'!AD112,0)</f>
        <v>0</v>
      </c>
      <c r="G287" s="184">
        <f>IFERROR('Ενεργές συνδέσεις'!AO49/'Ανάπτυξη δικτύου'!AG112,0)</f>
        <v>0</v>
      </c>
      <c r="H287" s="192">
        <f t="shared" si="5"/>
        <v>0</v>
      </c>
    </row>
    <row r="288" spans="1:8" outlineLevel="1" x14ac:dyDescent="0.35">
      <c r="A288" s="48" t="s">
        <v>110</v>
      </c>
      <c r="B288" s="62" t="s">
        <v>259</v>
      </c>
      <c r="C288" s="184">
        <f>IFERROR('Ενεργές συνδέσεις'!U50/'Ανάπτυξη δικτύου'!U113,0)</f>
        <v>0.10645161290322581</v>
      </c>
      <c r="D288" s="184">
        <f>IFERROR('Ενεργές συνδέσεις'!Z50/'Ανάπτυξη δικτύου'!X113,0)</f>
        <v>0</v>
      </c>
      <c r="E288" s="184">
        <f>IFERROR('Ενεργές συνδέσεις'!AE50/'Ανάπτυξη δικτύου'!AA113,0)</f>
        <v>3.9381933438985731E-2</v>
      </c>
      <c r="F288" s="184">
        <f>IFERROR('Ενεργές συνδέσεις'!AJ50/'Ανάπτυξη δικτύου'!AD113,0)</f>
        <v>0</v>
      </c>
      <c r="G288" s="184">
        <f>IFERROR('Ενεργές συνδέσεις'!AO50/'Ανάπτυξη δικτύου'!AG113,0)</f>
        <v>1.8120248790601243E-2</v>
      </c>
      <c r="H288" s="192">
        <f t="shared" si="5"/>
        <v>-0.35767773322630081</v>
      </c>
    </row>
    <row r="289" spans="1:8" outlineLevel="1" x14ac:dyDescent="0.35">
      <c r="A289" s="48" t="s">
        <v>111</v>
      </c>
      <c r="B289" s="62" t="s">
        <v>259</v>
      </c>
      <c r="C289" s="184">
        <f>IFERROR('Ενεργές συνδέσεις'!U51/'Ανάπτυξη δικτύου'!U114,0)</f>
        <v>0.17873134328358212</v>
      </c>
      <c r="D289" s="184">
        <f>IFERROR('Ενεργές συνδέσεις'!Z51/'Ανάπτυξη δικτύου'!X114,0)</f>
        <v>1.6008824709185718E-2</v>
      </c>
      <c r="E289" s="184">
        <f>IFERROR('Ενεργές συνδέσεις'!AE51/'Ανάπτυξη δικτύου'!AA114,0)</f>
        <v>1.425264713124846E-2</v>
      </c>
      <c r="F289" s="184">
        <f>IFERROR('Ενεργές συνδέσεις'!AJ51/'Ανάπτυξη δικτύου'!AD114,0)</f>
        <v>0</v>
      </c>
      <c r="G289" s="184">
        <f>IFERROR('Ενεργές συνδέσεις'!AO51/'Ανάπτυξη δικτύου'!AG114,0)</f>
        <v>3.8262135922330104E-2</v>
      </c>
      <c r="H289" s="192">
        <f t="shared" si="5"/>
        <v>-0.31979139342368967</v>
      </c>
    </row>
    <row r="290" spans="1:8" outlineLevel="1" x14ac:dyDescent="0.35">
      <c r="A290" s="48" t="s">
        <v>112</v>
      </c>
      <c r="B290" s="62" t="s">
        <v>259</v>
      </c>
      <c r="C290" s="184">
        <f>IFERROR('Ενεργές συνδέσεις'!U52/'Ανάπτυξη δικτύου'!U115,0)</f>
        <v>6.6635944700460817E-2</v>
      </c>
      <c r="D290" s="184">
        <f>IFERROR('Ενεργές συνδέσεις'!Z52/'Ανάπτυξη δικτύου'!X115,0)</f>
        <v>2.3411318368637368E-2</v>
      </c>
      <c r="E290" s="184">
        <f>IFERROR('Ενεργές συνδέσεις'!AE52/'Ανάπτυξη δικτύου'!AA115,0)</f>
        <v>3.3348954578226384E-2</v>
      </c>
      <c r="F290" s="184">
        <f>IFERROR('Ενεργές συνδέσεις'!AJ52/'Ανάπτυξη δικτύου'!AD115,0)</f>
        <v>3.0119986287281453E-2</v>
      </c>
      <c r="G290" s="184">
        <f>IFERROR('Ενεργές συνδέσεις'!AO52/'Ανάπτυξη δικτύου'!AG115,0)</f>
        <v>2.3127741935483871E-2</v>
      </c>
      <c r="H290" s="192">
        <f t="shared" si="5"/>
        <v>-0.23245089714413414</v>
      </c>
    </row>
    <row r="291" spans="1:8" outlineLevel="1" x14ac:dyDescent="0.35">
      <c r="A291" s="48" t="s">
        <v>113</v>
      </c>
      <c r="B291" s="62" t="s">
        <v>259</v>
      </c>
      <c r="C291" s="184">
        <f>IFERROR('Ενεργές συνδέσεις'!U53/'Ανάπτυξη δικτύου'!U116,0)</f>
        <v>0</v>
      </c>
      <c r="D291" s="184">
        <f>IFERROR('Ενεργές συνδέσεις'!Z53/'Ανάπτυξη δικτύου'!X116,0)</f>
        <v>0</v>
      </c>
      <c r="E291" s="184">
        <f>IFERROR('Ενεργές συνδέσεις'!AE53/'Ανάπτυξη δικτύου'!AA116,0)</f>
        <v>0</v>
      </c>
      <c r="F291" s="184">
        <f>IFERROR('Ενεργές συνδέσεις'!AJ53/'Ανάπτυξη δικτύου'!AD116,0)</f>
        <v>0</v>
      </c>
      <c r="G291" s="184">
        <f>IFERROR('Ενεργές συνδέσεις'!AO53/'Ανάπτυξη δικτύου'!AG116,0)</f>
        <v>0</v>
      </c>
      <c r="H291" s="192">
        <f t="shared" si="5"/>
        <v>0</v>
      </c>
    </row>
    <row r="292" spans="1:8" outlineLevel="1" x14ac:dyDescent="0.35">
      <c r="A292" s="48" t="s">
        <v>114</v>
      </c>
      <c r="B292" s="62" t="s">
        <v>259</v>
      </c>
      <c r="C292" s="184">
        <f>IFERROR('Ενεργές συνδέσεις'!U54/'Ανάπτυξη δικτύου'!U117,0)</f>
        <v>0</v>
      </c>
      <c r="D292" s="184">
        <f>IFERROR('Ενεργές συνδέσεις'!Z54/'Ανάπτυξη δικτύου'!X117,0)</f>
        <v>0</v>
      </c>
      <c r="E292" s="184">
        <f>IFERROR('Ενεργές συνδέσεις'!AE54/'Ανάπτυξη δικτύου'!AA117,0)</f>
        <v>0</v>
      </c>
      <c r="F292" s="184">
        <f>IFERROR('Ενεργές συνδέσεις'!AJ54/'Ανάπτυξη δικτύου'!AD117,0)</f>
        <v>0</v>
      </c>
      <c r="G292" s="184">
        <f>IFERROR('Ενεργές συνδέσεις'!AO54/'Ανάπτυξη δικτύου'!AG117,0)</f>
        <v>0</v>
      </c>
      <c r="H292" s="192">
        <f t="shared" si="5"/>
        <v>0</v>
      </c>
    </row>
    <row r="293" spans="1:8" outlineLevel="1" x14ac:dyDescent="0.35">
      <c r="A293" s="48" t="s">
        <v>115</v>
      </c>
      <c r="B293" s="62" t="s">
        <v>259</v>
      </c>
      <c r="C293" s="184">
        <f>IFERROR('Ενεργές συνδέσεις'!U55/'Ανάπτυξη δικτύου'!U118,0)</f>
        <v>2.8706199460916442E-2</v>
      </c>
      <c r="D293" s="184">
        <f>IFERROR('Ενεργές συνδέσεις'!Z55/'Ανάπτυξη δικτύου'!X118,0)</f>
        <v>1.9581915410792416E-2</v>
      </c>
      <c r="E293" s="184">
        <f>IFERROR('Ενεργές συνδέσεις'!AE55/'Ανάπτυξη δικτύου'!AA118,0)</f>
        <v>4.5848757271285026E-2</v>
      </c>
      <c r="F293" s="184">
        <f>IFERROR('Ενεργές συνδέσεις'!AJ55/'Ανάπτυξη δικτύου'!AD118,0)</f>
        <v>1.6656976744186047E-2</v>
      </c>
      <c r="G293" s="184">
        <f>IFERROR('Ενεργές συνδέσεις'!AO55/'Ανάπτυξη δικτύου'!AG118,0)</f>
        <v>2.3467384420519315E-2</v>
      </c>
      <c r="H293" s="192">
        <f t="shared" si="5"/>
        <v>-4.912758774137238E-2</v>
      </c>
    </row>
    <row r="294" spans="1:8" outlineLevel="1" x14ac:dyDescent="0.35">
      <c r="A294" s="48" t="s">
        <v>116</v>
      </c>
      <c r="B294" s="62" t="s">
        <v>259</v>
      </c>
      <c r="C294" s="184">
        <f>IFERROR('Ενεργές συνδέσεις'!U56/'Ανάπτυξη δικτύου'!U119,0)</f>
        <v>0</v>
      </c>
      <c r="D294" s="184">
        <f>IFERROR('Ενεργές συνδέσεις'!Z56/'Ανάπτυξη δικτύου'!X119,0)</f>
        <v>0</v>
      </c>
      <c r="E294" s="184">
        <f>IFERROR('Ενεργές συνδέσεις'!AE56/'Ανάπτυξη δικτύου'!AA119,0)</f>
        <v>0</v>
      </c>
      <c r="F294" s="184">
        <f>IFERROR('Ενεργές συνδέσεις'!AJ56/'Ανάπτυξη δικτύου'!AD119,0)</f>
        <v>0</v>
      </c>
      <c r="G294" s="184">
        <f>IFERROR('Ενεργές συνδέσεις'!AO56/'Ανάπτυξη δικτύου'!AG119,0)</f>
        <v>0</v>
      </c>
      <c r="H294" s="192">
        <f t="shared" si="5"/>
        <v>0</v>
      </c>
    </row>
    <row r="295" spans="1:8" outlineLevel="1" x14ac:dyDescent="0.35">
      <c r="A295" s="48" t="s">
        <v>117</v>
      </c>
      <c r="B295" s="62" t="s">
        <v>259</v>
      </c>
      <c r="C295" s="184">
        <f>IFERROR('Ενεργές συνδέσεις'!U57/'Ανάπτυξη δικτύου'!U120,0)</f>
        <v>5.6825601374570441E-2</v>
      </c>
      <c r="D295" s="184">
        <f>IFERROR('Ενεργές συνδέσεις'!Z57/'Ανάπτυξη δικτύου'!X120,0)</f>
        <v>2.8138650306748465E-2</v>
      </c>
      <c r="E295" s="184">
        <f>IFERROR('Ενεργές συνδέσεις'!AE57/'Ανάπτυξη δικτύου'!AA120,0)</f>
        <v>5.1125450749667865E-2</v>
      </c>
      <c r="F295" s="184">
        <f>IFERROR('Ενεργές συνδέσεις'!AJ57/'Ανάπτυξη δικτύου'!AD120,0)</f>
        <v>2.1165661994335103E-2</v>
      </c>
      <c r="G295" s="184">
        <f>IFERROR('Ενεργές συνδέσεις'!AO57/'Ανάπτυξη δικτύου'!AG120,0)</f>
        <v>6.9926567007605564E-2</v>
      </c>
      <c r="H295" s="192">
        <f t="shared" si="5"/>
        <v>5.3233203049694477E-2</v>
      </c>
    </row>
    <row r="296" spans="1:8" outlineLevel="1" x14ac:dyDescent="0.35">
      <c r="A296" s="48" t="s">
        <v>118</v>
      </c>
      <c r="B296" s="62" t="s">
        <v>259</v>
      </c>
      <c r="C296" s="184">
        <f>IFERROR('Ενεργές συνδέσεις'!U58/'Ανάπτυξη δικτύου'!U121,0)</f>
        <v>0</v>
      </c>
      <c r="D296" s="184">
        <f>IFERROR('Ενεργές συνδέσεις'!Z58/'Ανάπτυξη δικτύου'!X121,0)</f>
        <v>0</v>
      </c>
      <c r="E296" s="184">
        <f>IFERROR('Ενεργές συνδέσεις'!AE58/'Ανάπτυξη δικτύου'!AA121,0)</f>
        <v>0</v>
      </c>
      <c r="F296" s="184">
        <f>IFERROR('Ενεργές συνδέσεις'!AJ58/'Ανάπτυξη δικτύου'!AD121,0)</f>
        <v>0</v>
      </c>
      <c r="G296" s="184">
        <f>IFERROR('Ενεργές συνδέσεις'!AO58/'Ανάπτυξη δικτύου'!AG121,0)</f>
        <v>2.9782958199356911E-2</v>
      </c>
      <c r="H296" s="192">
        <f t="shared" si="5"/>
        <v>0</v>
      </c>
    </row>
    <row r="297" spans="1:8" outlineLevel="1" x14ac:dyDescent="0.35">
      <c r="A297" s="48" t="s">
        <v>119</v>
      </c>
      <c r="B297" s="62" t="s">
        <v>259</v>
      </c>
      <c r="C297" s="184">
        <f>IFERROR('Ενεργές συνδέσεις'!U59/'Ανάπτυξη δικτύου'!U122,0)</f>
        <v>0</v>
      </c>
      <c r="D297" s="184">
        <f>IFERROR('Ενεργές συνδέσεις'!Z59/'Ανάπτυξη δικτύου'!X122,0)</f>
        <v>0</v>
      </c>
      <c r="E297" s="184">
        <f>IFERROR('Ενεργές συνδέσεις'!AE59/'Ανάπτυξη δικτύου'!AA122,0)</f>
        <v>0</v>
      </c>
      <c r="F297" s="184">
        <f>IFERROR('Ενεργές συνδέσεις'!AJ59/'Ανάπτυξη δικτύου'!AD122,0)</f>
        <v>0</v>
      </c>
      <c r="G297" s="184">
        <f>IFERROR('Ενεργές συνδέσεις'!AO59/'Ανάπτυξη δικτύου'!AG122,0)</f>
        <v>0</v>
      </c>
      <c r="H297" s="192">
        <f t="shared" si="5"/>
        <v>0</v>
      </c>
    </row>
    <row r="298" spans="1:8" outlineLevel="1" x14ac:dyDescent="0.35">
      <c r="A298" s="48" t="s">
        <v>120</v>
      </c>
      <c r="B298" s="62" t="s">
        <v>259</v>
      </c>
      <c r="C298" s="184">
        <f>IFERROR('Ενεργές συνδέσεις'!U60/'Ανάπτυξη δικτύου'!U123,0)</f>
        <v>8.5436893203883493E-2</v>
      </c>
      <c r="D298" s="184">
        <f>IFERROR('Ενεργές συνδέσεις'!Z60/'Ανάπτυξη δικτύου'!X123,0)</f>
        <v>4.8445489274169855E-2</v>
      </c>
      <c r="E298" s="184">
        <f>IFERROR('Ενεργές συνδέσεις'!AE60/'Ανάπτυξη δικτύου'!AA123,0)</f>
        <v>4.6428013538141105E-2</v>
      </c>
      <c r="F298" s="184">
        <f>IFERROR('Ενεργές συνδέσεις'!AJ60/'Ανάπτυξη δικτύου'!AD123,0)</f>
        <v>6.6499339498018492E-2</v>
      </c>
      <c r="G298" s="184">
        <f>IFERROR('Ενεργές συνδέσεις'!AO60/'Ανάπτυξη δικτύου'!AG123,0)</f>
        <v>2.8966571990386721E-2</v>
      </c>
      <c r="H298" s="192">
        <f t="shared" si="5"/>
        <v>-0.23693257572865056</v>
      </c>
    </row>
    <row r="299" spans="1:8" outlineLevel="1" x14ac:dyDescent="0.35">
      <c r="A299" s="48" t="s">
        <v>121</v>
      </c>
      <c r="B299" s="62" t="s">
        <v>259</v>
      </c>
      <c r="C299" s="184">
        <f>IFERROR('Ενεργές συνδέσεις'!U61/'Ανάπτυξη δικτύου'!U124,0)</f>
        <v>0.10288461538461537</v>
      </c>
      <c r="D299" s="184">
        <f>IFERROR('Ενεργές συνδέσεις'!Z61/'Ανάπτυξη δικτύου'!X124,0)</f>
        <v>3.3005524861878452E-2</v>
      </c>
      <c r="E299" s="184">
        <f>IFERROR('Ενεργές συνδέσεις'!AE61/'Ανάπτυξη δικτύου'!AA124,0)</f>
        <v>3.1450225317492836E-2</v>
      </c>
      <c r="F299" s="184">
        <f>IFERROR('Ενεργές συνδέσεις'!AJ61/'Ανάπτυξη δικτύου'!AD124,0)</f>
        <v>3.7323514474352469E-2</v>
      </c>
      <c r="G299" s="184">
        <f>IFERROR('Ενεργές συνδέσεις'!AO61/'Ανάπτυξη δικτύου'!AG124,0)</f>
        <v>1.9197215777262178E-2</v>
      </c>
      <c r="H299" s="192">
        <f t="shared" si="5"/>
        <v>-0.34276307962175812</v>
      </c>
    </row>
    <row r="300" spans="1:8" outlineLevel="1" x14ac:dyDescent="0.35">
      <c r="A300" s="48" t="s">
        <v>137</v>
      </c>
      <c r="B300" s="62" t="s">
        <v>259</v>
      </c>
      <c r="C300" s="184">
        <f>IFERROR('Ενεργές συνδέσεις'!U62/'Ανάπτυξη δικτύου'!U125,0)</f>
        <v>0</v>
      </c>
      <c r="D300" s="184">
        <f>IFERROR('Ενεργές συνδέσεις'!Z62/'Ανάπτυξη δικτύου'!X125,0)</f>
        <v>0</v>
      </c>
      <c r="E300" s="184">
        <f>IFERROR('Ενεργές συνδέσεις'!AE62/'Ανάπτυξη δικτύου'!AA125,0)</f>
        <v>0</v>
      </c>
      <c r="F300" s="184">
        <f>IFERROR('Ενεργές συνδέσεις'!AJ62/'Ανάπτυξη δικτύου'!AD125,0)</f>
        <v>0</v>
      </c>
      <c r="G300" s="184">
        <f>IFERROR('Ενεργές συνδέσεις'!AO62/'Ανάπτυξη δικτύου'!AG125,0)</f>
        <v>0</v>
      </c>
      <c r="H300" s="192">
        <f t="shared" si="5"/>
        <v>0</v>
      </c>
    </row>
    <row r="301" spans="1:8" outlineLevel="1" x14ac:dyDescent="0.35">
      <c r="A301" s="48" t="s">
        <v>123</v>
      </c>
      <c r="B301" s="62" t="s">
        <v>259</v>
      </c>
      <c r="C301" s="184">
        <f>IFERROR('Ενεργές συνδέσεις'!U63/'Ανάπτυξη δικτύου'!U126,0)</f>
        <v>7.6768377253814149E-2</v>
      </c>
      <c r="D301" s="184">
        <f>IFERROR('Ενεργές συνδέσεις'!Z63/'Ανάπτυξη δικτύου'!X126,0)</f>
        <v>5.6732824427480913E-2</v>
      </c>
      <c r="E301" s="184">
        <f>IFERROR('Ενεργές συνδέσεις'!AE63/'Ανάπτυξη δικτύου'!AA126,0)</f>
        <v>2.5508729680915113E-2</v>
      </c>
      <c r="F301" s="184">
        <f>IFERROR('Ενεργές συνδέσεις'!AJ63/'Ανάπτυξη δικτύου'!AD126,0)</f>
        <v>0</v>
      </c>
      <c r="G301" s="184">
        <f>IFERROR('Ενεργές συνδέσεις'!AO63/'Ανάπτυξη δικτύου'!AG126,0)</f>
        <v>2.0330330330330326E-2</v>
      </c>
      <c r="H301" s="192">
        <f t="shared" si="5"/>
        <v>-0.28263444681809224</v>
      </c>
    </row>
    <row r="302" spans="1:8" outlineLevel="1" x14ac:dyDescent="0.35">
      <c r="A302" s="48" t="s">
        <v>124</v>
      </c>
      <c r="B302" s="62" t="s">
        <v>259</v>
      </c>
      <c r="C302" s="184">
        <f>IFERROR('Ενεργές συνδέσεις'!U65/'Ανάπτυξη δικτύου'!U128,0)</f>
        <v>6.3672456575682379E-2</v>
      </c>
      <c r="D302" s="184">
        <f>IFERROR('Ενεργές συνδέσεις'!Z65/'Ανάπτυξη δικτύου'!X128,0)</f>
        <v>0</v>
      </c>
      <c r="E302" s="184">
        <f>IFERROR('Ενεργές συνδέσεις'!AE65/'Ανάπτυξη δικτύου'!AA128,0)</f>
        <v>0</v>
      </c>
      <c r="F302" s="184">
        <f>IFERROR('Ενεργές συνδέσεις'!AJ65/'Ανάπτυξη δικτύου'!AD128,0)</f>
        <v>0</v>
      </c>
      <c r="G302" s="184">
        <f>IFERROR('Ενεργές συνδέσεις'!AO65/'Ανάπτυξη δικτύου'!AG128,0)</f>
        <v>0</v>
      </c>
      <c r="H302" s="192">
        <f t="shared" si="5"/>
        <v>-1</v>
      </c>
    </row>
    <row r="303" spans="1:8" outlineLevel="1" x14ac:dyDescent="0.35">
      <c r="A303" s="48" t="s">
        <v>125</v>
      </c>
      <c r="B303" s="62" t="s">
        <v>259</v>
      </c>
      <c r="C303" s="184">
        <f>IFERROR('Ενεργές συνδέσεις'!U66/'Ανάπτυξη δικτύου'!U129,0)</f>
        <v>0.1529418472063854</v>
      </c>
      <c r="D303" s="184">
        <f>IFERROR('Ενεργές συνδέσεις'!Z66/'Ανάπτυξη δικτύου'!X129,0)</f>
        <v>0.15331950207468881</v>
      </c>
      <c r="E303" s="184">
        <f>IFERROR('Ενεργές συνδέσεις'!AE66/'Ανάπτυξη δικτύου'!AA129,0)</f>
        <v>0.21014606741573036</v>
      </c>
      <c r="F303" s="184">
        <f>IFERROR('Ενεργές συνδέσεις'!AJ66/'Ανάπτυξη δικτύου'!AD129,0)</f>
        <v>0.11150115473441109</v>
      </c>
      <c r="G303" s="184">
        <f>IFERROR('Ενεργές συνδέσεις'!AO66/'Ανάπτυξη δικτύου'!AG129,0)</f>
        <v>0</v>
      </c>
      <c r="H303" s="192">
        <f t="shared" si="5"/>
        <v>-1</v>
      </c>
    </row>
    <row r="304" spans="1:8" outlineLevel="1" x14ac:dyDescent="0.35">
      <c r="A304" s="48" t="s">
        <v>126</v>
      </c>
      <c r="B304" s="62" t="s">
        <v>259</v>
      </c>
      <c r="C304" s="184">
        <f>IFERROR('Ενεργές συνδέσεις'!U64/'Ανάπτυξη δικτύου'!U127,0)</f>
        <v>0</v>
      </c>
      <c r="D304" s="184">
        <f>IFERROR('Ενεργές συνδέσεις'!Z64/'Ανάπτυξη δικτύου'!X127,0)</f>
        <v>2.8153153153153153E-4</v>
      </c>
      <c r="E304" s="184">
        <f>IFERROR('Ενεργές συνδέσεις'!AE64/'Ανάπτυξη δικτύου'!AA127,0)</f>
        <v>1.8187660668380463E-3</v>
      </c>
      <c r="F304" s="184">
        <f>IFERROR('Ενεργές συνδέσεις'!AJ64/'Ανάπτυξη δικτύου'!AD127,0)</f>
        <v>9.0066716085989611E-4</v>
      </c>
      <c r="G304" s="184">
        <f>IFERROR('Ενεργές συνδέσεις'!AO64/'Ανάπτυξη δικτύου'!AG127,0)</f>
        <v>5.2926208651399493E-4</v>
      </c>
      <c r="H304" s="192">
        <f t="shared" si="5"/>
        <v>0</v>
      </c>
    </row>
    <row r="305" spans="1:32" outlineLevel="1" x14ac:dyDescent="0.35">
      <c r="A305" s="48" t="s">
        <v>127</v>
      </c>
      <c r="B305" s="62" t="s">
        <v>259</v>
      </c>
      <c r="C305" s="184">
        <f>IFERROR('Ενεργές συνδέσεις'!U67/'Ανάπτυξη δικτύου'!U130,0)</f>
        <v>2.2026431718061675E-4</v>
      </c>
      <c r="D305" s="184">
        <f>IFERROR('Ενεργές συνδέσεις'!Z67/'Ανάπτυξη δικτύου'!X130,0)</f>
        <v>0</v>
      </c>
      <c r="E305" s="184">
        <f>IFERROR('Ενεργές συνδέσεις'!AE67/'Ανάπτυξη δικτύου'!AA130,0)</f>
        <v>0</v>
      </c>
      <c r="F305" s="184">
        <f>IFERROR('Ενεργές συνδέσεις'!AJ67/'Ανάπτυξη δικτύου'!AD130,0)</f>
        <v>0</v>
      </c>
      <c r="G305" s="184">
        <f>IFERROR('Ενεργές συνδέσεις'!AO67/'Ανάπτυξη δικτύου'!AG130,0)</f>
        <v>0</v>
      </c>
      <c r="H305" s="192">
        <f t="shared" si="5"/>
        <v>-1</v>
      </c>
    </row>
    <row r="306" spans="1:32" outlineLevel="1" x14ac:dyDescent="0.35">
      <c r="A306" s="477" t="s">
        <v>151</v>
      </c>
      <c r="B306" s="478"/>
      <c r="C306" s="478"/>
      <c r="D306" s="478"/>
      <c r="E306" s="478"/>
      <c r="F306" s="478"/>
      <c r="G306" s="478"/>
      <c r="H306" s="479"/>
    </row>
    <row r="307" spans="1:32" outlineLevel="1" x14ac:dyDescent="0.35">
      <c r="A307" s="48" t="s">
        <v>138</v>
      </c>
      <c r="B307" s="59" t="s">
        <v>259</v>
      </c>
      <c r="C307" s="184">
        <f>IFERROR('Ενεργές συνδέσεις'!U68/'Ανάπτυξη δικτύου'!U132,0)</f>
        <v>8.8502043944813494E-2</v>
      </c>
      <c r="D307" s="184">
        <f>IFERROR('Ενεργές συνδέσεις'!Z68/'Ανάπτυξη δικτύου'!X132,0)</f>
        <v>4.4722643171806173E-2</v>
      </c>
      <c r="E307" s="184">
        <f>IFERROR('Ενεργές συνδέσεις'!AE68/'Ανάπτυξη δικτύου'!AA132,0)</f>
        <v>5.4083925233644865E-2</v>
      </c>
      <c r="F307" s="184">
        <f>IFERROR('Ενεργές συνδέσεις'!AJ68/'Ανάπτυξη δικτύου'!AD132,0)</f>
        <v>4.5181206896551744E-2</v>
      </c>
      <c r="G307" s="184">
        <f>IFERROR('Ενεργές συνδέσεις'!AO68/'Ανάπτυξη δικτύου'!AG132,0)</f>
        <v>4.2163909090909085E-2</v>
      </c>
      <c r="H307" s="192">
        <f>IFERROR((G307/C307)^(1/4)-1,0)</f>
        <v>-0.16919922713561264</v>
      </c>
    </row>
    <row r="309" spans="1:32" ht="15.5" x14ac:dyDescent="0.35">
      <c r="A309" s="419" t="s">
        <v>270</v>
      </c>
      <c r="B309" s="419"/>
      <c r="C309" s="419"/>
      <c r="D309" s="419"/>
      <c r="E309" s="419"/>
      <c r="F309" s="419"/>
      <c r="G309" s="419"/>
      <c r="H309" s="419"/>
    </row>
    <row r="310" spans="1:32" ht="5.9" customHeight="1" outlineLevel="1" x14ac:dyDescent="0.35">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c r="AA310" s="103"/>
      <c r="AB310" s="103"/>
      <c r="AC310" s="103"/>
      <c r="AD310" s="103"/>
      <c r="AE310" s="103"/>
      <c r="AF310" s="103"/>
    </row>
    <row r="311" spans="1:32" ht="29" outlineLevel="1" x14ac:dyDescent="0.35">
      <c r="A311" s="60"/>
      <c r="B311" s="61" t="s">
        <v>134</v>
      </c>
      <c r="C311" s="90">
        <f>$B$3</f>
        <v>2024</v>
      </c>
      <c r="D311" s="90">
        <f>$B$3+1</f>
        <v>2025</v>
      </c>
      <c r="E311" s="90">
        <f>$B$3+2</f>
        <v>2026</v>
      </c>
      <c r="F311" s="90">
        <f>$B$3+3</f>
        <v>2027</v>
      </c>
      <c r="G311" s="90">
        <f>$B$3+4</f>
        <v>2028</v>
      </c>
      <c r="H311" s="233" t="str">
        <f>"Ετήσιος ρυθμός ανάπτυξης (CAGR) "&amp;$B$3&amp;" - "&amp;$D$3</f>
        <v>Ετήσιος ρυθμός ανάπτυξης (CAGR) 2024 - 2028</v>
      </c>
    </row>
    <row r="312" spans="1:32" outlineLevel="1" x14ac:dyDescent="0.35">
      <c r="A312" s="48" t="s">
        <v>74</v>
      </c>
      <c r="B312" s="62" t="s">
        <v>257</v>
      </c>
      <c r="C312" s="184">
        <f>IFERROR('Διανεμόμενες ποσότητες αερίου'!R15/'Ανάπτυξη δικτύου'!U77,0)</f>
        <v>0</v>
      </c>
      <c r="D312" s="184">
        <f>IFERROR('Διανεμόμενες ποσότητες αερίου'!X15/'Ανάπτυξη δικτύου'!X77,0)</f>
        <v>5.4094912398921835</v>
      </c>
      <c r="E312" s="184">
        <f>IFERROR('Διανεμόμενες ποσότητες αερίου'!AD15/'Ανάπτυξη δικτύου'!AA77,0)</f>
        <v>4.8241743762265212</v>
      </c>
      <c r="F312" s="184">
        <f>IFERROR('Διανεμόμενες ποσότητες αερίου'!AJ15/'Ανάπτυξη δικτύου'!AD77,0)</f>
        <v>0</v>
      </c>
      <c r="G312" s="184">
        <f>IFERROR('Διανεμόμενες ποσότητες αερίου'!AN15/'Ανάπτυξη δικτύου'!AG77,0)</f>
        <v>3.9752698145025294</v>
      </c>
      <c r="H312" s="192">
        <f t="shared" ref="H312:H366" si="6">IFERROR((G312/C312)^(1/4)-1,0)</f>
        <v>0</v>
      </c>
    </row>
    <row r="313" spans="1:32" outlineLevel="1" x14ac:dyDescent="0.35">
      <c r="A313" s="48" t="s">
        <v>75</v>
      </c>
      <c r="B313" s="62" t="s">
        <v>257</v>
      </c>
      <c r="C313" s="184">
        <f>IFERROR('Διανεμόμενες ποσότητες αερίου'!R16/'Ανάπτυξη δικτύου'!U78,0)</f>
        <v>2757.3984615384616</v>
      </c>
      <c r="D313" s="184">
        <f>IFERROR('Διανεμόμενες ποσότητες αερίου'!X16/'Ανάπτυξη δικτύου'!X78,0)</f>
        <v>58.133127725856703</v>
      </c>
      <c r="E313" s="184">
        <f>IFERROR('Διανεμόμενες ποσότητες αερίου'!AD16/'Ανάπτυξη δικτύου'!AA78,0)</f>
        <v>225.48069204152253</v>
      </c>
      <c r="F313" s="184">
        <f>IFERROR('Διανεμόμενες ποσότητες αερίου'!AJ16/'Ανάπτυξη δικτύου'!AD78,0)</f>
        <v>124.2917568389058</v>
      </c>
      <c r="G313" s="184">
        <f>IFERROR('Διανεμόμενες ποσότητες αερίου'!AN16/'Ανάπτυξη δικτύου'!AG78,0)</f>
        <v>74.017983539094644</v>
      </c>
      <c r="H313" s="192">
        <f t="shared" si="6"/>
        <v>-0.59522896233147216</v>
      </c>
    </row>
    <row r="314" spans="1:32" outlineLevel="1" x14ac:dyDescent="0.35">
      <c r="A314" s="48" t="s">
        <v>76</v>
      </c>
      <c r="B314" s="62" t="s">
        <v>257</v>
      </c>
      <c r="C314" s="184">
        <f>IFERROR('Διανεμόμενες ποσότητες αερίου'!R17/'Ανάπτυξη δικτύου'!U79,0)</f>
        <v>90.248870967741937</v>
      </c>
      <c r="D314" s="184">
        <f>IFERROR('Διανεμόμενες ποσότητες αερίου'!X17/'Ανάπτυξη δικτύου'!X79,0)</f>
        <v>12.580666061156522</v>
      </c>
      <c r="E314" s="184">
        <f>IFERROR('Διανεμόμενες ποσότητες αερίου'!AD17/'Ανάπτυξη δικτύου'!AA79,0)</f>
        <v>6.4021154392948532</v>
      </c>
      <c r="F314" s="184">
        <f>IFERROR('Διανεμόμενες ποσότητες αερίου'!AJ17/'Ανάπτυξη δικτύου'!AD79,0)</f>
        <v>17.618986076401285</v>
      </c>
      <c r="G314" s="184">
        <f>IFERROR('Διανεμόμενες ποσότητες αερίου'!AN17/'Ανάπτυξη δικτύου'!AG79,0)</f>
        <v>3.7043413461538459</v>
      </c>
      <c r="H314" s="192">
        <f t="shared" si="6"/>
        <v>-0.54989140567728434</v>
      </c>
    </row>
    <row r="315" spans="1:32" outlineLevel="1" x14ac:dyDescent="0.35">
      <c r="A315" s="48" t="s">
        <v>77</v>
      </c>
      <c r="B315" s="62" t="s">
        <v>257</v>
      </c>
      <c r="C315" s="184">
        <f>IFERROR('Διανεμόμενες ποσότητες αερίου'!R18/'Ανάπτυξη δικτύου'!U80,0)</f>
        <v>0</v>
      </c>
      <c r="D315" s="184">
        <f>IFERROR('Διανεμόμενες ποσότητες αερίου'!X18/'Ανάπτυξη δικτύου'!X80,0)</f>
        <v>0</v>
      </c>
      <c r="E315" s="184">
        <f>IFERROR('Διανεμόμενες ποσότητες αερίου'!AD18/'Ανάπτυξη δικτύου'!AA80,0)</f>
        <v>6.3755541069100392</v>
      </c>
      <c r="F315" s="184">
        <f>IFERROR('Διανεμόμενες ποσότητες αερίου'!AJ18/'Ανάπτυξη δικτύου'!AD80,0)</f>
        <v>13.819550858652576</v>
      </c>
      <c r="G315" s="184">
        <f>IFERROR('Διανεμόμενες ποσότητες αερίου'!AN18/'Ανάπτυξη δικτύου'!AG80,0)</f>
        <v>0</v>
      </c>
      <c r="H315" s="192">
        <f t="shared" si="6"/>
        <v>0</v>
      </c>
    </row>
    <row r="316" spans="1:32" outlineLevel="1" x14ac:dyDescent="0.35">
      <c r="A316" s="48" t="s">
        <v>78</v>
      </c>
      <c r="B316" s="62" t="s">
        <v>257</v>
      </c>
      <c r="C316" s="184">
        <f>IFERROR('Διανεμόμενες ποσότητες αερίου'!R19/'Ανάπτυξη δικτύου'!U81,0)</f>
        <v>235.85894724823024</v>
      </c>
      <c r="D316" s="184">
        <f>IFERROR('Διανεμόμενες ποσότητες αερίου'!X19/'Ανάπτυξη δικτύου'!X81,0)</f>
        <v>120.36008300616939</v>
      </c>
      <c r="E316" s="184">
        <f>IFERROR('Διανεμόμενες ποσότητες αερίου'!AD19/'Ανάπτυξη δικτύου'!AA81,0)</f>
        <v>124.34112527964207</v>
      </c>
      <c r="F316" s="184">
        <f>IFERROR('Διανεμόμενες ποσότητες αερίου'!AJ19/'Ανάπτυξη δικτύου'!AD81,0)</f>
        <v>74.884837976491994</v>
      </c>
      <c r="G316" s="184">
        <f>IFERROR('Διανεμόμενες ποσότητες αερίου'!AN19/'Ανάπτυξη δικτύου'!AG81,0)</f>
        <v>21.012297443284123</v>
      </c>
      <c r="H316" s="192">
        <f t="shared" si="6"/>
        <v>-0.45366968934272967</v>
      </c>
    </row>
    <row r="317" spans="1:32" outlineLevel="1" x14ac:dyDescent="0.35">
      <c r="A317" s="48" t="s">
        <v>79</v>
      </c>
      <c r="B317" s="62" t="s">
        <v>257</v>
      </c>
      <c r="C317" s="184">
        <f>IFERROR('Διανεμόμενες ποσότητες αερίου'!R20/'Ανάπτυξη δικτύου'!U82,0)</f>
        <v>1570.4766025641027</v>
      </c>
      <c r="D317" s="184">
        <f>IFERROR('Διανεμόμενες ποσότητες αερίου'!X20/'Ανάπτυξη δικτύου'!X82,0)</f>
        <v>0</v>
      </c>
      <c r="E317" s="184">
        <f>IFERROR('Διανεμόμενες ποσότητες αερίου'!AD20/'Ανάπτυξη δικτύου'!AA82,0)</f>
        <v>0</v>
      </c>
      <c r="F317" s="184">
        <f>IFERROR('Διανεμόμενες ποσότητες αερίου'!AJ20/'Ανάπτυξη δικτύου'!AD82,0)</f>
        <v>0</v>
      </c>
      <c r="G317" s="184">
        <f>IFERROR('Διανεμόμενες ποσότητες αερίου'!AN20/'Ανάπτυξη δικτύου'!AG82,0)</f>
        <v>3.6096597035040436</v>
      </c>
      <c r="H317" s="192">
        <f t="shared" si="6"/>
        <v>-0.78104306874908658</v>
      </c>
    </row>
    <row r="318" spans="1:32" outlineLevel="1" x14ac:dyDescent="0.35">
      <c r="A318" s="48" t="s">
        <v>80</v>
      </c>
      <c r="B318" s="62" t="s">
        <v>257</v>
      </c>
      <c r="C318" s="184">
        <f>IFERROR('Διανεμόμενες ποσότητες αερίου'!R21/'Ανάπτυξη δικτύου'!U83,0)</f>
        <v>71.771648351648352</v>
      </c>
      <c r="D318" s="184">
        <f>IFERROR('Διανεμόμενες ποσότητες αερίου'!X21/'Ανάπτυξη δικτύου'!X83,0)</f>
        <v>40.345502074688795</v>
      </c>
      <c r="E318" s="184">
        <f>IFERROR('Διανεμόμενες ποσότητες αερίου'!AD21/'Ανάπτυξη δικτύου'!AA83,0)</f>
        <v>164.60120634920636</v>
      </c>
      <c r="F318" s="184">
        <f>IFERROR('Διανεμόμενες ποσότητες αερίου'!AJ21/'Ανάπτυξη δικτύου'!AD83,0)</f>
        <v>0</v>
      </c>
      <c r="G318" s="184">
        <f>IFERROR('Διανεμόμενες ποσότητες αερίου'!AN21/'Ανάπτυξη δικτύου'!AG83,0)</f>
        <v>8.3520164870006344</v>
      </c>
      <c r="H318" s="192">
        <f t="shared" si="6"/>
        <v>-0.41593712004280003</v>
      </c>
    </row>
    <row r="319" spans="1:32" outlineLevel="1" x14ac:dyDescent="0.35">
      <c r="A319" s="48" t="s">
        <v>81</v>
      </c>
      <c r="B319" s="62" t="s">
        <v>257</v>
      </c>
      <c r="C319" s="184">
        <f>IFERROR('Διανεμόμενες ποσότητες αερίου'!R22/'Ανάπτυξη δικτύου'!U84,0)</f>
        <v>146.24185339690106</v>
      </c>
      <c r="D319" s="184">
        <f>IFERROR('Διανεμόμενες ποσότητες αερίου'!X22/'Ανάπτυξη δικτύου'!X84,0)</f>
        <v>418.5536046511628</v>
      </c>
      <c r="E319" s="184">
        <f>IFERROR('Διανεμόμενες ποσότητες αερίου'!AD22/'Ανάπτυξη δικτύου'!AA84,0)</f>
        <v>823.00282539682541</v>
      </c>
      <c r="F319" s="184">
        <f>IFERROR('Διανεμόμενες ποσότητες αερίου'!AJ22/'Ανάπτυξη δικτύου'!AD84,0)</f>
        <v>0</v>
      </c>
      <c r="G319" s="184">
        <f>IFERROR('Διανεμόμενες ποσότητες αερίου'!AN22/'Ανάπτυξη δικτύου'!AG84,0)</f>
        <v>61.135781893004108</v>
      </c>
      <c r="H319" s="192">
        <f t="shared" si="6"/>
        <v>-0.19590761890220965</v>
      </c>
    </row>
    <row r="320" spans="1:32" outlineLevel="1" x14ac:dyDescent="0.35">
      <c r="A320" s="48" t="s">
        <v>82</v>
      </c>
      <c r="B320" s="62" t="s">
        <v>257</v>
      </c>
      <c r="C320" s="184">
        <f>IFERROR('Διανεμόμενες ποσότητες αερίου'!R23/'Ανάπτυξη δικτύου'!U85,0)</f>
        <v>0</v>
      </c>
      <c r="D320" s="184">
        <f>IFERROR('Διανεμόμενες ποσότητες αερίου'!X23/'Ανάπτυξη δικτύου'!X85,0)</f>
        <v>0</v>
      </c>
      <c r="E320" s="184">
        <f>IFERROR('Διανεμόμενες ποσότητες αερίου'!AD23/'Ανάπτυξη δικτύου'!AA85,0)</f>
        <v>0</v>
      </c>
      <c r="F320" s="184">
        <f>IFERROR('Διανεμόμενες ποσότητες αερίου'!AJ23/'Ανάπτυξη δικτύου'!AD85,0)</f>
        <v>0</v>
      </c>
      <c r="G320" s="184">
        <f>IFERROR('Διανεμόμενες ποσότητες αερίου'!AN23/'Ανάπτυξη δικτύου'!AG85,0)</f>
        <v>0</v>
      </c>
      <c r="H320" s="192">
        <f t="shared" si="6"/>
        <v>0</v>
      </c>
    </row>
    <row r="321" spans="1:8" outlineLevel="1" x14ac:dyDescent="0.35">
      <c r="A321" s="48" t="s">
        <v>83</v>
      </c>
      <c r="B321" s="62" t="s">
        <v>257</v>
      </c>
      <c r="C321" s="184">
        <f>IFERROR('Διανεμόμενες ποσότητες αερίου'!R24/'Ανάπτυξη δικτύου'!U86,0)</f>
        <v>0</v>
      </c>
      <c r="D321" s="184">
        <f>IFERROR('Διανεμόμενες ποσότητες αερίου'!X24/'Ανάπτυξη δικτύου'!X86,0)</f>
        <v>9.7793942586252331</v>
      </c>
      <c r="E321" s="184">
        <f>IFERROR('Διανεμόμενες ποσότητες αερίου'!AD24/'Ανάπτυξη δικτύου'!AA86,0)</f>
        <v>39.676006272869841</v>
      </c>
      <c r="F321" s="184">
        <f>IFERROR('Διανεμόμενες ποσότητες αερίου'!AJ24/'Ανάπτυξη δικτύου'!AD86,0)</f>
        <v>9.9871621274409055</v>
      </c>
      <c r="G321" s="184">
        <f>IFERROR('Διανεμόμενες ποσότητες αερίου'!AN24/'Ανάπτυξη δικτύου'!AG86,0)</f>
        <v>3.1761168741355461</v>
      </c>
      <c r="H321" s="192">
        <f t="shared" si="6"/>
        <v>0</v>
      </c>
    </row>
    <row r="322" spans="1:8" outlineLevel="1" x14ac:dyDescent="0.35">
      <c r="A322" s="48" t="s">
        <v>84</v>
      </c>
      <c r="B322" s="62" t="s">
        <v>257</v>
      </c>
      <c r="C322" s="184">
        <f>IFERROR('Διανεμόμενες ποσότητες αερίου'!R25/'Ανάπτυξη δικτύου'!U87,0)</f>
        <v>10.830174435230198</v>
      </c>
      <c r="D322" s="184">
        <f>IFERROR('Διανεμόμενες ποσότητες αερίου'!X25/'Ανάπτυξη δικτύου'!X87,0)</f>
        <v>10.31409058740269</v>
      </c>
      <c r="E322" s="184">
        <f>IFERROR('Διανεμόμενες ποσότητες αερίου'!AD25/'Ανάπτυξη δικτύου'!AA87,0)</f>
        <v>7.1964628482972124</v>
      </c>
      <c r="F322" s="184">
        <f>IFERROR('Διανεμόμενες ποσότητες αερίου'!AJ25/'Ανάπτυξη δικτύου'!AD87,0)</f>
        <v>7.2166815497623507</v>
      </c>
      <c r="G322" s="184">
        <f>IFERROR('Διανεμόμενες ποσότητες αερίου'!AN25/'Ανάπτυξη δικτύου'!AG87,0)</f>
        <v>12.523134839151266</v>
      </c>
      <c r="H322" s="192">
        <f t="shared" si="6"/>
        <v>3.6977662301870273E-2</v>
      </c>
    </row>
    <row r="323" spans="1:8" outlineLevel="1" x14ac:dyDescent="0.35">
      <c r="A323" s="48" t="s">
        <v>85</v>
      </c>
      <c r="B323" s="62" t="s">
        <v>257</v>
      </c>
      <c r="C323" s="184">
        <f>IFERROR('Διανεμόμενες ποσότητες αερίου'!R26/'Ανάπτυξη δικτύου'!U88,0)</f>
        <v>402.47682291666661</v>
      </c>
      <c r="D323" s="184">
        <f>IFERROR('Διανεμόμενες ποσότητες αερίου'!X26/'Ανάπτυξη δικτύου'!X88,0)</f>
        <v>51.954532559638942</v>
      </c>
      <c r="E323" s="184">
        <f>IFERROR('Διανεμόμενες ποσότητες αερίου'!AD26/'Ανάπτυξη δικτύου'!AA88,0)</f>
        <v>0</v>
      </c>
      <c r="F323" s="184">
        <f>IFERROR('Διανεμόμενες ποσότητες αερίου'!AJ26/'Ανάπτυξη δικτύου'!AD88,0)</f>
        <v>291.15422442244221</v>
      </c>
      <c r="G323" s="184">
        <f>IFERROR('Διανεμόμενες ποσότητες αερίου'!AN26/'Ανάπτυξη δικτύου'!AG88,0)</f>
        <v>31.831419753086422</v>
      </c>
      <c r="H323" s="192">
        <f t="shared" si="6"/>
        <v>-0.46969126170896569</v>
      </c>
    </row>
    <row r="324" spans="1:8" outlineLevel="1" x14ac:dyDescent="0.35">
      <c r="A324" s="48" t="s">
        <v>86</v>
      </c>
      <c r="B324" s="62" t="s">
        <v>257</v>
      </c>
      <c r="C324" s="184">
        <f>IFERROR('Διανεμόμενες ποσότητες αερίου'!R27/'Ανάπτυξη δικτύου'!U89,0)</f>
        <v>101.35238095238097</v>
      </c>
      <c r="D324" s="184">
        <f>IFERROR('Διανεμόμενες ποσότητες αερίου'!X27/'Ανάπτυξη δικτύου'!X89,0)</f>
        <v>8.8340276890308846</v>
      </c>
      <c r="E324" s="184">
        <f>IFERROR('Διανεμόμενες ποσότητες αερίου'!AD27/'Ανάπτυξη δικτύου'!AA89,0)</f>
        <v>11.644563975155281</v>
      </c>
      <c r="F324" s="184">
        <f>IFERROR('Διανεμόμενες ποσότητες αερίου'!AJ27/'Ανάπτυξη δικτύου'!AD89,0)</f>
        <v>23.338060288335519</v>
      </c>
      <c r="G324" s="184">
        <f>IFERROR('Διανεμόμενες ποσότητες αερίου'!AN27/'Ανάπτυξη δικτύου'!AG89,0)</f>
        <v>16.177719298245613</v>
      </c>
      <c r="H324" s="192">
        <f t="shared" si="6"/>
        <v>-0.36792176652121555</v>
      </c>
    </row>
    <row r="325" spans="1:8" outlineLevel="1" x14ac:dyDescent="0.35">
      <c r="A325" s="48" t="s">
        <v>87</v>
      </c>
      <c r="B325" s="62" t="s">
        <v>257</v>
      </c>
      <c r="C325" s="184">
        <f>IFERROR('Διανεμόμενες ποσότητες αερίου'!R28/'Ανάπτυξη δικτύου'!U90,0)</f>
        <v>342.87439153439152</v>
      </c>
      <c r="D325" s="184">
        <f>IFERROR('Διανεμόμενες ποσότητες αερίου'!X28/'Ανάπτυξη δικτύου'!X90,0)</f>
        <v>21.796029040404036</v>
      </c>
      <c r="E325" s="184">
        <f>IFERROR('Διανεμόμενες ποσότητες αερίου'!AD28/'Ανάπτυξη δικτύου'!AA90,0)</f>
        <v>0</v>
      </c>
      <c r="F325" s="184">
        <f>IFERROR('Διανεμόμενες ποσότητες αερίου'!AJ28/'Ανάπτυξη δικτύου'!AD90,0)</f>
        <v>0</v>
      </c>
      <c r="G325" s="184">
        <f>IFERROR('Διανεμόμενες ποσότητες αερίου'!AN28/'Ανάπτυξη δικτύου'!AG90,0)</f>
        <v>5.3979399585921319</v>
      </c>
      <c r="H325" s="192">
        <f t="shared" si="6"/>
        <v>-0.64577986036711543</v>
      </c>
    </row>
    <row r="326" spans="1:8" outlineLevel="1" x14ac:dyDescent="0.35">
      <c r="A326" s="48" t="s">
        <v>88</v>
      </c>
      <c r="B326" s="62" t="s">
        <v>257</v>
      </c>
      <c r="C326" s="184">
        <f>IFERROR('Διανεμόμενες ποσότητες αερίου'!R29/'Ανάπτυξη δικτύου'!U91,0)</f>
        <v>56.203103715170279</v>
      </c>
      <c r="D326" s="184">
        <f>IFERROR('Διανεμόμενες ποσότητες αερίου'!X29/'Ανάπτυξη δικτύου'!X91,0)</f>
        <v>9.8667196106058661</v>
      </c>
      <c r="E326" s="184">
        <f>IFERROR('Διανεμόμενες ποσότητες αερίου'!AD29/'Ανάπτυξη δικτύου'!AA91,0)</f>
        <v>10.582573360551162</v>
      </c>
      <c r="F326" s="184">
        <f>IFERROR('Διανεμόμενες ποσότητες αερίου'!AJ29/'Ανάπτυξη δικτύου'!AD91,0)</f>
        <v>0</v>
      </c>
      <c r="G326" s="184">
        <f>IFERROR('Διανεμόμενες ποσότητες αερίου'!AN29/'Ανάπτυξη δικτύου'!AG91,0)</f>
        <v>2.5713342562027472</v>
      </c>
      <c r="H326" s="192">
        <f t="shared" si="6"/>
        <v>-0.537512968720532</v>
      </c>
    </row>
    <row r="327" spans="1:8" outlineLevel="1" x14ac:dyDescent="0.35">
      <c r="A327" s="48" t="s">
        <v>89</v>
      </c>
      <c r="B327" s="62" t="s">
        <v>257</v>
      </c>
      <c r="C327" s="184">
        <f>IFERROR('Διανεμόμενες ποσότητες αερίου'!R30/'Ανάπτυξη δικτύου'!U92,0)</f>
        <v>58.250470430107534</v>
      </c>
      <c r="D327" s="184">
        <f>IFERROR('Διανεμόμενες ποσότητες αερίου'!X30/'Ανάπτυξη δικτύου'!X92,0)</f>
        <v>55.901828358208967</v>
      </c>
      <c r="E327" s="184">
        <f>IFERROR('Διανεμόμενες ποσότητες αερίου'!AD30/'Ανάπτυξη δικτύου'!AA92,0)</f>
        <v>24.848022210470656</v>
      </c>
      <c r="F327" s="184">
        <f>IFERROR('Διανεμόμενες ποσότητες αερίου'!AJ30/'Ανάπτυξη δικτύου'!AD92,0)</f>
        <v>14.905078407720147</v>
      </c>
      <c r="G327" s="184">
        <f>IFERROR('Διανεμόμενες ποσότητες αερίου'!AN30/'Ανάπτυξη δικτύου'!AG92,0)</f>
        <v>9.5589105858170598</v>
      </c>
      <c r="H327" s="192">
        <f t="shared" si="6"/>
        <v>-0.36353102216112332</v>
      </c>
    </row>
    <row r="328" spans="1:8" outlineLevel="1" x14ac:dyDescent="0.35">
      <c r="A328" s="48" t="s">
        <v>90</v>
      </c>
      <c r="B328" s="62" t="s">
        <v>257</v>
      </c>
      <c r="C328" s="184">
        <f>IFERROR('Διανεμόμενες ποσότητες αερίου'!R31/'Ανάπτυξη δικτύου'!U93,0)</f>
        <v>551.78506382978719</v>
      </c>
      <c r="D328" s="184">
        <f>IFERROR('Διανεμόμενες ποσότητες αερίου'!X31/'Ανάπτυξη δικτύου'!X93,0)</f>
        <v>78.847798816568044</v>
      </c>
      <c r="E328" s="184">
        <f>IFERROR('Διανεμόμενες ποσότητες αερίου'!AD31/'Ανάπτυξη δικτύου'!AA93,0)</f>
        <v>0</v>
      </c>
      <c r="F328" s="184">
        <f>IFERROR('Διανεμόμενες ποσότητες αερίου'!AJ31/'Ανάπτυξη δικτύου'!AD93,0)</f>
        <v>34.284437596302006</v>
      </c>
      <c r="G328" s="184">
        <f>IFERROR('Διανεμόμενες ποσότητες αερίου'!AN31/'Ανάπτυξη δικτύου'!AG93,0)</f>
        <v>0</v>
      </c>
      <c r="H328" s="192">
        <f t="shared" si="6"/>
        <v>-1</v>
      </c>
    </row>
    <row r="329" spans="1:8" outlineLevel="1" x14ac:dyDescent="0.35">
      <c r="A329" s="48" t="s">
        <v>91</v>
      </c>
      <c r="B329" s="62" t="s">
        <v>257</v>
      </c>
      <c r="C329" s="184">
        <f>IFERROR('Διανεμόμενες ποσότητες αερίου'!R32/'Ανάπτυξη δικτύου'!U94,0)</f>
        <v>3.2539374053508325</v>
      </c>
      <c r="D329" s="184">
        <f>IFERROR('Διανεμόμενες ποσότητες αερίου'!X32/'Ανάπτυξη δικτύου'!X94,0)</f>
        <v>12.538284923928078</v>
      </c>
      <c r="E329" s="184">
        <f>IFERROR('Διανεμόμενες ποσότητες αερίου'!AD32/'Ανάπτυξη δικτύου'!AA94,0)</f>
        <v>13.23507183908046</v>
      </c>
      <c r="F329" s="184">
        <f>IFERROR('Διανεμόμενες ποσότητες αερίου'!AJ32/'Ανάπτυξη δικτύου'!AD94,0)</f>
        <v>0</v>
      </c>
      <c r="G329" s="184">
        <f>IFERROR('Διανεμόμενες ποσότητες αερίου'!AN32/'Ανάπτυξη δικτύου'!AG94,0)</f>
        <v>8.0738422391857512</v>
      </c>
      <c r="H329" s="192">
        <f t="shared" si="6"/>
        <v>0.25506947249395107</v>
      </c>
    </row>
    <row r="330" spans="1:8" outlineLevel="1" x14ac:dyDescent="0.35">
      <c r="A330" s="48" t="s">
        <v>92</v>
      </c>
      <c r="B330" s="62" t="s">
        <v>257</v>
      </c>
      <c r="C330" s="184">
        <f>IFERROR('Διανεμόμενες ποσότητες αερίου'!R33/'Ανάπτυξη δικτύου'!U95,0)</f>
        <v>154.93492063492062</v>
      </c>
      <c r="D330" s="184">
        <f>IFERROR('Διανεμόμενες ποσότητες αερίου'!X33/'Ανάπτυξη δικτύου'!X95,0)</f>
        <v>17.420348547717843</v>
      </c>
      <c r="E330" s="184">
        <f>IFERROR('Διανεμόμενες ποσότητες αερίου'!AD33/'Ανάπτυξη δικτύου'!AA95,0)</f>
        <v>18.110583101943671</v>
      </c>
      <c r="F330" s="184">
        <f>IFERROR('Διανεμόμενες ποσότητες αερίου'!AJ33/'Ανάπτυξη δικτύου'!AD95,0)</f>
        <v>0</v>
      </c>
      <c r="G330" s="184">
        <f>IFERROR('Διανεμόμενες ποσότητες αερίου'!AN33/'Ανάπτυξη δικτύου'!AG95,0)</f>
        <v>16.045282631038027</v>
      </c>
      <c r="H330" s="192">
        <f t="shared" si="6"/>
        <v>-0.43271733273233914</v>
      </c>
    </row>
    <row r="331" spans="1:8" outlineLevel="1" x14ac:dyDescent="0.35">
      <c r="A331" s="48" t="s">
        <v>93</v>
      </c>
      <c r="B331" s="62" t="s">
        <v>257</v>
      </c>
      <c r="C331" s="184">
        <f>IFERROR('Διανεμόμενες ποσότητες αερίου'!R34/'Ανάπτυξη δικτύου'!U96,0)</f>
        <v>68.580665887850472</v>
      </c>
      <c r="D331" s="184">
        <f>IFERROR('Διανεμόμενες ποσότητες αερίου'!X34/'Ανάπτυξη δικτύου'!X96,0)</f>
        <v>30.746106497313139</v>
      </c>
      <c r="E331" s="184">
        <f>IFERROR('Διανεμόμενες ποσότητες αερίου'!AD34/'Ανάπτυξη δικτύου'!AA96,0)</f>
        <v>10.313943119537845</v>
      </c>
      <c r="F331" s="184">
        <f>IFERROR('Διανεμόμενες ποσότητες αερίου'!AJ34/'Ανάπτυξη δικτύου'!AD96,0)</f>
        <v>36.594522589659995</v>
      </c>
      <c r="G331" s="184">
        <f>IFERROR('Διανεμόμενες ποσότητες αερίου'!AN34/'Ανάπτυξη δικτύου'!AG96,0)</f>
        <v>14.577349397590364</v>
      </c>
      <c r="H331" s="192">
        <f t="shared" si="6"/>
        <v>-0.32100087218150608</v>
      </c>
    </row>
    <row r="332" spans="1:8" outlineLevel="1" x14ac:dyDescent="0.35">
      <c r="A332" s="48" t="s">
        <v>94</v>
      </c>
      <c r="B332" s="62" t="s">
        <v>257</v>
      </c>
      <c r="C332" s="184">
        <f>IFERROR('Διανεμόμενες ποσότητες αερίου'!R35/'Ανάπτυξη δικτύου'!U97,0)</f>
        <v>695.50786324786327</v>
      </c>
      <c r="D332" s="184">
        <f>IFERROR('Διανεμόμενες ποσότητες αερίου'!X35/'Ανάπτυξη δικτύου'!X97,0)</f>
        <v>21.982587959343238</v>
      </c>
      <c r="E332" s="184">
        <f>IFERROR('Διανεμόμενες ποσότητες αερίου'!AD35/'Ανάπτυξη δικτύου'!AA97,0)</f>
        <v>33.224023334587876</v>
      </c>
      <c r="F332" s="184">
        <f>IFERROR('Διανεμόμενες ποσότητες αερίου'!AJ35/'Ανάπτυξη δικτύου'!AD97,0)</f>
        <v>24.914926015603982</v>
      </c>
      <c r="G332" s="184">
        <f>IFERROR('Διανεμόμενες ποσότητες αερίου'!AN35/'Ανάπτυξη δικτύου'!AG97,0)</f>
        <v>6.3178194338179035</v>
      </c>
      <c r="H332" s="192">
        <f t="shared" si="6"/>
        <v>-0.69127891545328102</v>
      </c>
    </row>
    <row r="333" spans="1:8" outlineLevel="1" x14ac:dyDescent="0.35">
      <c r="A333" s="48" t="s">
        <v>95</v>
      </c>
      <c r="B333" s="62" t="s">
        <v>257</v>
      </c>
      <c r="C333" s="184">
        <f>IFERROR('Διανεμόμενες ποσότητες αερίου'!R36/'Ανάπτυξη δικτύου'!U98,0)</f>
        <v>363.70733668341705</v>
      </c>
      <c r="D333" s="184">
        <f>IFERROR('Διανεμόμενες ποσότητες αερίου'!X36/'Ανάπτυξη δικτύου'!X98,0)</f>
        <v>55.833335740072201</v>
      </c>
      <c r="E333" s="184">
        <f>IFERROR('Διανεμόμενες ποσότητες αερίου'!AD36/'Ανάπτυξη δικτύου'!AA98,0)</f>
        <v>35.140651508526453</v>
      </c>
      <c r="F333" s="184">
        <f>IFERROR('Διανεμόμενες ποσότητες αερίου'!AJ36/'Ανάπτυξη δικτύου'!AD98,0)</f>
        <v>33.83330917874396</v>
      </c>
      <c r="G333" s="184">
        <f>IFERROR('Διανεμόμενες ποσότητες αερίου'!AN36/'Ανάπτυξη δικτύου'!AG98,0)</f>
        <v>0</v>
      </c>
      <c r="H333" s="192">
        <f t="shared" si="6"/>
        <v>-1</v>
      </c>
    </row>
    <row r="334" spans="1:8" outlineLevel="1" x14ac:dyDescent="0.35">
      <c r="A334" s="48" t="s">
        <v>96</v>
      </c>
      <c r="B334" s="62" t="s">
        <v>257</v>
      </c>
      <c r="C334" s="184">
        <f>IFERROR('Διανεμόμενες ποσότητες αερίου'!R37/'Ανάπτυξη δικτύου'!U99,0)</f>
        <v>0</v>
      </c>
      <c r="D334" s="184">
        <f>IFERROR('Διανεμόμενες ποσότητες αερίου'!X37/'Ανάπτυξη δικτύου'!X99,0)</f>
        <v>45.05955394190871</v>
      </c>
      <c r="E334" s="184">
        <f>IFERROR('Διανεμόμενες ποσότητες αερίου'!AD37/'Ανάπτυξη δικτύου'!AA99,0)</f>
        <v>30.573502673796792</v>
      </c>
      <c r="F334" s="184">
        <f>IFERROR('Διανεμόμενες ποσότητες αερίου'!AJ37/'Ανάπτυξη δικτύου'!AD99,0)</f>
        <v>0</v>
      </c>
      <c r="G334" s="184">
        <f>IFERROR('Διανεμόμενες ποσότητες αερίου'!AN37/'Ανάπτυξη δικτύου'!AG99,0)</f>
        <v>9.8506885919835554</v>
      </c>
      <c r="H334" s="192">
        <f t="shared" si="6"/>
        <v>0</v>
      </c>
    </row>
    <row r="335" spans="1:8" outlineLevel="1" x14ac:dyDescent="0.35">
      <c r="A335" s="48" t="s">
        <v>97</v>
      </c>
      <c r="B335" s="62" t="s">
        <v>257</v>
      </c>
      <c r="C335" s="184">
        <f>IFERROR('Διανεμόμενες ποσότητες αερίου'!R38/'Ανάπτυξη δικτύου'!U100,0)</f>
        <v>67.584781172584641</v>
      </c>
      <c r="D335" s="184">
        <f>IFERROR('Διανεμόμενες ποσότητες αερίου'!X38/'Ανάπτυξη δικτύου'!X100,0)</f>
        <v>18.009065751144405</v>
      </c>
      <c r="E335" s="184">
        <f>IFERROR('Διανεμόμενες ποσότητες αερίου'!AD38/'Ανάπτυξη δικτύου'!AA100,0)</f>
        <v>147.40808240887483</v>
      </c>
      <c r="F335" s="184">
        <f>IFERROR('Διανεμόμενες ποσότητες αερίου'!AJ38/'Ανάπτυξη δικτύου'!AD100,0)</f>
        <v>0</v>
      </c>
      <c r="G335" s="184">
        <f>IFERROR('Διανεμόμενες ποσότητες αερίου'!AN38/'Ανάπτυξη δικτύου'!AG100,0)</f>
        <v>5.2908010171646547</v>
      </c>
      <c r="H335" s="192">
        <f t="shared" si="6"/>
        <v>-0.47104572785214283</v>
      </c>
    </row>
    <row r="336" spans="1:8" outlineLevel="1" x14ac:dyDescent="0.35">
      <c r="A336" s="48" t="s">
        <v>98</v>
      </c>
      <c r="B336" s="62" t="s">
        <v>257</v>
      </c>
      <c r="C336" s="184">
        <f>IFERROR('Διανεμόμενες ποσότητες αερίου'!R39/'Ανάπτυξη δικτύου'!U101,0)</f>
        <v>88.706601123595519</v>
      </c>
      <c r="D336" s="184">
        <f>IFERROR('Διανεμόμενες ποσότητες αερίου'!X39/'Ανάπτυξη δικτύου'!X101,0)</f>
        <v>8.3616200974109205</v>
      </c>
      <c r="E336" s="184">
        <f>IFERROR('Διανεμόμενες ποσότητες αερίου'!AD39/'Ανάπτυξη δικτύου'!AA101,0)</f>
        <v>10.978579636131503</v>
      </c>
      <c r="F336" s="184">
        <f>IFERROR('Διανεμόμενες ποσότητες αερίου'!AJ39/'Ανάπτυξη δικτύου'!AD101,0)</f>
        <v>12.849118370214258</v>
      </c>
      <c r="G336" s="184">
        <f>IFERROR('Διανεμόμενες ποσότητες αερίου'!AN39/'Ανάπτυξη δικτύου'!AG101,0)</f>
        <v>2.0554459459459462</v>
      </c>
      <c r="H336" s="192">
        <f t="shared" si="6"/>
        <v>-0.60984468260172398</v>
      </c>
    </row>
    <row r="337" spans="1:8" outlineLevel="1" x14ac:dyDescent="0.35">
      <c r="A337" s="48" t="s">
        <v>99</v>
      </c>
      <c r="B337" s="62" t="s">
        <v>257</v>
      </c>
      <c r="C337" s="184">
        <f>IFERROR('Διανεμόμενες ποσότητες αερίου'!R40/'Ανάπτυξη δικτύου'!U102,0)</f>
        <v>69.642549877015583</v>
      </c>
      <c r="D337" s="184">
        <f>IFERROR('Διανεμόμενες ποσότητες αερίου'!X40/'Ανάπτυξη δικτύου'!X102,0)</f>
        <v>53.280437538335711</v>
      </c>
      <c r="E337" s="184">
        <f>IFERROR('Διανεμόμενες ποσότητες αερίου'!AD40/'Ανάπτυξη δικτύου'!AA102,0)</f>
        <v>70.110660550458718</v>
      </c>
      <c r="F337" s="184">
        <f>IFERROR('Διανεμόμενες ποσότητες αερίου'!AJ40/'Ανάπτυξη δικτύου'!AD102,0)</f>
        <v>30.440010894432945</v>
      </c>
      <c r="G337" s="184">
        <f>IFERROR('Διανεμόμενες ποσότητες αερίου'!AN40/'Ανάπτυξη δικτύου'!AG102,0)</f>
        <v>23.852466619817292</v>
      </c>
      <c r="H337" s="192">
        <f t="shared" si="6"/>
        <v>-0.2349943226322041</v>
      </c>
    </row>
    <row r="338" spans="1:8" outlineLevel="1" x14ac:dyDescent="0.35">
      <c r="A338" s="48" t="s">
        <v>100</v>
      </c>
      <c r="B338" s="62" t="s">
        <v>257</v>
      </c>
      <c r="C338" s="184">
        <f>IFERROR('Διανεμόμενες ποσότητες αερίου'!R41/'Ανάπτυξη δικτύου'!U103,0)</f>
        <v>50.688654822335032</v>
      </c>
      <c r="D338" s="184">
        <f>IFERROR('Διανεμόμενες ποσότητες αερίου'!X41/'Ανάπτυξη δικτύου'!X103,0)</f>
        <v>5.345517070757051</v>
      </c>
      <c r="E338" s="184">
        <f>IFERROR('Διανεμόμενες ποσότητες αερίου'!AD41/'Ανάπτυξη δικτύου'!AA103,0)</f>
        <v>9.9411375770020545</v>
      </c>
      <c r="F338" s="184">
        <f>IFERROR('Διανεμόμενες ποσότητες αερίου'!AJ41/'Ανάπτυξη δικτύου'!AD103,0)</f>
        <v>13.426268509378087</v>
      </c>
      <c r="G338" s="184">
        <f>IFERROR('Διανεμόμενες ποσότητες αερίου'!AN41/'Ανάπτυξη δικτύου'!AG103,0)</f>
        <v>1.5481674740484432</v>
      </c>
      <c r="H338" s="192">
        <f t="shared" si="6"/>
        <v>-0.58195138087584808</v>
      </c>
    </row>
    <row r="339" spans="1:8" outlineLevel="1" x14ac:dyDescent="0.35">
      <c r="A339" s="48" t="s">
        <v>101</v>
      </c>
      <c r="B339" s="62" t="s">
        <v>257</v>
      </c>
      <c r="C339" s="184">
        <f>IFERROR('Διανεμόμενες ποσότητες αερίου'!R42/'Ανάπτυξη δικτύου'!U104,0)</f>
        <v>0</v>
      </c>
      <c r="D339" s="184">
        <f>IFERROR('Διανεμόμενες ποσότητες αερίου'!X42/'Ανάπτυξη δικτύου'!X104,0)</f>
        <v>0</v>
      </c>
      <c r="E339" s="184">
        <f>IFERROR('Διανεμόμενες ποσότητες αερίου'!AD42/'Ανάπτυξη δικτύου'!AA104,0)</f>
        <v>0</v>
      </c>
      <c r="F339" s="184">
        <f>IFERROR('Διανεμόμενες ποσότητες αερίου'!AJ42/'Ανάπτυξη δικτύου'!AD104,0)</f>
        <v>0</v>
      </c>
      <c r="G339" s="184">
        <f>IFERROR('Διανεμόμενες ποσότητες αερίου'!AN42/'Ανάπτυξη δικτύου'!AG104,0)</f>
        <v>0</v>
      </c>
      <c r="H339" s="192">
        <f t="shared" si="6"/>
        <v>0</v>
      </c>
    </row>
    <row r="340" spans="1:8" outlineLevel="1" x14ac:dyDescent="0.35">
      <c r="A340" s="48" t="s">
        <v>102</v>
      </c>
      <c r="B340" s="62" t="s">
        <v>257</v>
      </c>
      <c r="C340" s="184">
        <f>IFERROR('Διανεμόμενες ποσότητες αερίου'!R43/'Ανάπτυξη δικτύου'!U105,0)</f>
        <v>390.89159624413145</v>
      </c>
      <c r="D340" s="184">
        <f>IFERROR('Διανεμόμενες ποσότητες αερίου'!X43/'Ανάπτυξη δικτύου'!X105,0)</f>
        <v>0</v>
      </c>
      <c r="E340" s="184">
        <f>IFERROR('Διανεμόμενες ποσότητες αερίου'!AD43/'Ανάπτυξη δικτύου'!AA105,0)</f>
        <v>139.14091917591125</v>
      </c>
      <c r="F340" s="184">
        <f>IFERROR('Διανεμόμενες ποσότητες αερίου'!AJ43/'Ανάπτυξη δικτύου'!AD105,0)</f>
        <v>0</v>
      </c>
      <c r="G340" s="184">
        <f>IFERROR('Διανεμόμενες ποσότητες αερίου'!AN43/'Ανάπτυξη δικτύου'!AG105,0)</f>
        <v>0</v>
      </c>
      <c r="H340" s="192">
        <f t="shared" si="6"/>
        <v>-1</v>
      </c>
    </row>
    <row r="341" spans="1:8" outlineLevel="1" x14ac:dyDescent="0.35">
      <c r="A341" s="48" t="s">
        <v>103</v>
      </c>
      <c r="B341" s="62" t="s">
        <v>257</v>
      </c>
      <c r="C341" s="184">
        <f>IFERROR('Διανεμόμενες ποσότητες αερίου'!R44/'Ανάπτυξη δικτύου'!U106,0)</f>
        <v>0</v>
      </c>
      <c r="D341" s="184">
        <f>IFERROR('Διανεμόμενες ποσότητες αερίου'!X44/'Ανάπτυξη δικτύου'!X106,0)</f>
        <v>0</v>
      </c>
      <c r="E341" s="184">
        <f>IFERROR('Διανεμόμενες ποσότητες αερίου'!AD44/'Ανάπτυξη δικτύου'!AA106,0)</f>
        <v>0</v>
      </c>
      <c r="F341" s="184">
        <f>IFERROR('Διανεμόμενες ποσότητες αερίου'!AJ44/'Ανάπτυξη δικτύου'!AD106,0)</f>
        <v>0</v>
      </c>
      <c r="G341" s="184">
        <f>IFERROR('Διανεμόμενες ποσότητες αερίου'!AN44/'Ανάπτυξη δικτύου'!AG106,0)</f>
        <v>0</v>
      </c>
      <c r="H341" s="192">
        <f t="shared" si="6"/>
        <v>0</v>
      </c>
    </row>
    <row r="342" spans="1:8" outlineLevel="1" x14ac:dyDescent="0.35">
      <c r="A342" s="48" t="s">
        <v>104</v>
      </c>
      <c r="B342" s="62" t="s">
        <v>257</v>
      </c>
      <c r="C342" s="184">
        <f>IFERROR('Διανεμόμενες ποσότητες αερίου'!R45/'Ανάπτυξη δικτύου'!U107,0)</f>
        <v>0</v>
      </c>
      <c r="D342" s="184">
        <f>IFERROR('Διανεμόμενες ποσότητες αερίου'!X45/'Ανάπτυξη δικτύου'!X107,0)</f>
        <v>0</v>
      </c>
      <c r="E342" s="184">
        <f>IFERROR('Διανεμόμενες ποσότητες αερίου'!AD45/'Ανάπτυξη δικτύου'!AA107,0)</f>
        <v>0</v>
      </c>
      <c r="F342" s="184">
        <f>IFERROR('Διανεμόμενες ποσότητες αερίου'!AJ45/'Ανάπτυξη δικτύου'!AD107,0)</f>
        <v>5.4105679999999996</v>
      </c>
      <c r="G342" s="184">
        <f>IFERROR('Διανεμόμενες ποσότητες αερίου'!AN45/'Ανάπτυξη δικτύου'!AG107,0)</f>
        <v>0.20184000000000002</v>
      </c>
      <c r="H342" s="192">
        <f t="shared" si="6"/>
        <v>0</v>
      </c>
    </row>
    <row r="343" spans="1:8" outlineLevel="1" x14ac:dyDescent="0.35">
      <c r="A343" s="48" t="s">
        <v>136</v>
      </c>
      <c r="B343" s="62" t="s">
        <v>257</v>
      </c>
      <c r="C343" s="184">
        <f>IFERROR('Διανεμόμενες ποσότητες αερίου'!R46/'Ανάπτυξη δικτύου'!U108,0)</f>
        <v>0</v>
      </c>
      <c r="D343" s="184">
        <f>IFERROR('Διανεμόμενες ποσότητες αερίου'!X46/'Ανάπτυξη δικτύου'!X108,0)</f>
        <v>0</v>
      </c>
      <c r="E343" s="184">
        <f>IFERROR('Διανεμόμενες ποσότητες αερίου'!AD46/'Ανάπτυξη δικτύου'!AA108,0)</f>
        <v>0</v>
      </c>
      <c r="F343" s="184">
        <f>IFERROR('Διανεμόμενες ποσότητες αερίου'!AJ46/'Ανάπτυξη δικτύου'!AD108,0)</f>
        <v>4.0160000000000001E-2</v>
      </c>
      <c r="G343" s="184">
        <f>IFERROR('Διανεμόμενες ποσότητες αερίου'!AN46/'Ανάπτυξη δικτύου'!AG108,0)</f>
        <v>0.15748600000000001</v>
      </c>
      <c r="H343" s="192">
        <f t="shared" si="6"/>
        <v>0</v>
      </c>
    </row>
    <row r="344" spans="1:8" outlineLevel="1" x14ac:dyDescent="0.35">
      <c r="A344" s="48" t="s">
        <v>106</v>
      </c>
      <c r="B344" s="62" t="s">
        <v>257</v>
      </c>
      <c r="C344" s="184">
        <f>IFERROR('Διανεμόμενες ποσότητες αερίου'!R47/'Ανάπτυξη δικτύου'!U109,0)</f>
        <v>556.19868421052638</v>
      </c>
      <c r="D344" s="184">
        <f>IFERROR('Διανεμόμενες ποσότητες αερίου'!X47/'Ανάπτυξη δικτύου'!X109,0)</f>
        <v>76.189148211243605</v>
      </c>
      <c r="E344" s="184">
        <f>IFERROR('Διανεμόμενες ποσότητες αερίου'!AD47/'Ανάπτυξη δικτύου'!AA109,0)</f>
        <v>0</v>
      </c>
      <c r="F344" s="184">
        <f>IFERROR('Διανεμόμενες ποσότητες αερίου'!AJ47/'Ανάπτυξη δικτύου'!AD109,0)</f>
        <v>92.757642928786353</v>
      </c>
      <c r="G344" s="184">
        <f>IFERROR('Διανεμόμενες ποσότητες αερίου'!AN47/'Ανάπτυξη δικτύου'!AG109,0)</f>
        <v>2.6475166984732823</v>
      </c>
      <c r="H344" s="192">
        <f t="shared" si="6"/>
        <v>-0.73733501171650651</v>
      </c>
    </row>
    <row r="345" spans="1:8" outlineLevel="1" x14ac:dyDescent="0.35">
      <c r="A345" s="48" t="s">
        <v>107</v>
      </c>
      <c r="B345" s="62" t="s">
        <v>257</v>
      </c>
      <c r="C345" s="184">
        <f>IFERROR('Διανεμόμενες ποσότητες αερίου'!R48/'Ανάπτυξη δικτύου'!U110,0)</f>
        <v>92.667259887005642</v>
      </c>
      <c r="D345" s="184">
        <f>IFERROR('Διανεμόμενες ποσότητες αερίου'!X48/'Ανάπτυξη δικτύου'!X110,0)</f>
        <v>14.52187842971718</v>
      </c>
      <c r="E345" s="184">
        <f>IFERROR('Διανεμόμενες ποσότητες αερίου'!AD48/'Ανάπτυξη δικτύου'!AA110,0)</f>
        <v>143.91434782608695</v>
      </c>
      <c r="F345" s="184">
        <f>IFERROR('Διανεμόμενες ποσότητες αερίου'!AJ48/'Ανάπτυξη δικτύου'!AD110,0)</f>
        <v>0</v>
      </c>
      <c r="G345" s="184">
        <f>IFERROR('Διανεμόμενες ποσότητες αερίου'!AN48/'Ανάπτυξη δικτύου'!AG110,0)</f>
        <v>15.944382716049383</v>
      </c>
      <c r="H345" s="192">
        <f t="shared" si="6"/>
        <v>-0.35594886900076039</v>
      </c>
    </row>
    <row r="346" spans="1:8" outlineLevel="1" x14ac:dyDescent="0.35">
      <c r="A346" s="48" t="s">
        <v>108</v>
      </c>
      <c r="B346" s="62" t="s">
        <v>257</v>
      </c>
      <c r="C346" s="184">
        <f>IFERROR('Διανεμόμενες ποσότητες αερίου'!R49/'Ανάπτυξη δικτύου'!U111,0)</f>
        <v>34.391837543338283</v>
      </c>
      <c r="D346" s="184">
        <f>IFERROR('Διανεμόμενες ποσότητες αερίου'!X49/'Ανάπτυξη δικτύου'!X111,0)</f>
        <v>0</v>
      </c>
      <c r="E346" s="184">
        <f>IFERROR('Διανεμόμενες ποσότητες αερίου'!AD49/'Ανάπτυξη δικτύου'!AA111,0)</f>
        <v>10.426586500132874</v>
      </c>
      <c r="F346" s="184">
        <f>IFERROR('Διανεμόμενες ποσότητες αερίου'!AJ49/'Ανάπτυξη δικτύου'!AD111,0)</f>
        <v>11.095878701668177</v>
      </c>
      <c r="G346" s="184">
        <f>IFERROR('Διανεμόμενες ποσότητες αερίου'!AN49/'Ανάπτυξη δικτύου'!AG111,0)</f>
        <v>14.601094972067038</v>
      </c>
      <c r="H346" s="192">
        <f t="shared" si="6"/>
        <v>-0.19279747583062001</v>
      </c>
    </row>
    <row r="347" spans="1:8" outlineLevel="1" x14ac:dyDescent="0.35">
      <c r="A347" s="48" t="s">
        <v>109</v>
      </c>
      <c r="B347" s="62" t="s">
        <v>257</v>
      </c>
      <c r="C347" s="184">
        <f>IFERROR('Διανεμόμενες ποσότητες αερίου'!R50/'Ανάπτυξη δικτύου'!U112,0)</f>
        <v>0</v>
      </c>
      <c r="D347" s="184">
        <f>IFERROR('Διανεμόμενες ποσότητες αερίου'!X50/'Ανάπτυξη δικτύου'!X112,0)</f>
        <v>0</v>
      </c>
      <c r="E347" s="184">
        <f>IFERROR('Διανεμόμενες ποσότητες αερίου'!AD50/'Ανάπτυξη δικτύου'!AA112,0)</f>
        <v>160.870605296343</v>
      </c>
      <c r="F347" s="184">
        <f>IFERROR('Διανεμόμενες ποσότητες αερίου'!AJ50/'Ανάπτυξη δικτύου'!AD112,0)</f>
        <v>0</v>
      </c>
      <c r="G347" s="184">
        <f>IFERROR('Διανεμόμενες ποσότητες αερίου'!AN50/'Ανάπτυξη δικτύου'!AG112,0)</f>
        <v>0</v>
      </c>
      <c r="H347" s="192">
        <f t="shared" si="6"/>
        <v>0</v>
      </c>
    </row>
    <row r="348" spans="1:8" outlineLevel="1" x14ac:dyDescent="0.35">
      <c r="A348" s="48" t="s">
        <v>110</v>
      </c>
      <c r="B348" s="62" t="s">
        <v>257</v>
      </c>
      <c r="C348" s="184">
        <f>IFERROR('Διανεμόμενες ποσότητες αερίου'!R51/'Ανάπτυξη δικτύου'!U113,0)</f>
        <v>253.9589247311828</v>
      </c>
      <c r="D348" s="184">
        <f>IFERROR('Διανεμόμενες ποσότητες αερίου'!X51/'Ανάπτυξη δικτύου'!X113,0)</f>
        <v>0</v>
      </c>
      <c r="E348" s="184">
        <f>IFERROR('Διανεμόμενες ποσότητες αερίου'!AD51/'Ανάπτυξη δικτύου'!AA113,0)</f>
        <v>77.451299524564178</v>
      </c>
      <c r="F348" s="184">
        <f>IFERROR('Διανεμόμενες ποσότητες αερίου'!AJ51/'Ανάπτυξη δικτύου'!AD113,0)</f>
        <v>0</v>
      </c>
      <c r="G348" s="184">
        <f>IFERROR('Διανεμόμενες ποσότητες αερίου'!AN51/'Ανάπτυξη δικτύου'!AG113,0)</f>
        <v>2.627733241188666</v>
      </c>
      <c r="H348" s="192">
        <f t="shared" si="6"/>
        <v>-0.68106333486403492</v>
      </c>
    </row>
    <row r="349" spans="1:8" outlineLevel="1" x14ac:dyDescent="0.35">
      <c r="A349" s="48" t="s">
        <v>111</v>
      </c>
      <c r="B349" s="62" t="s">
        <v>257</v>
      </c>
      <c r="C349" s="184">
        <f>IFERROR('Διανεμόμενες ποσότητες αερίου'!R52/'Ανάπτυξη δικτύου'!U114,0)</f>
        <v>230.15626865671643</v>
      </c>
      <c r="D349" s="184">
        <f>IFERROR('Διανεμόμενες ποσότητες αερίου'!X52/'Ανάπτυξη δικτύου'!X114,0)</f>
        <v>12.776490172482953</v>
      </c>
      <c r="E349" s="184">
        <f>IFERROR('Διανεμόμενες ποσότητες αερίου'!AD52/'Ανάπτυξη δικτύου'!AA114,0)</f>
        <v>8.2066338340310274</v>
      </c>
      <c r="F349" s="184">
        <f>IFERROR('Διανεμόμενες ποσότητες αερίου'!AJ52/'Ανάπτυξη δικτύου'!AD114,0)</f>
        <v>0</v>
      </c>
      <c r="G349" s="184">
        <f>IFERROR('Διανεμόμενες ποσότητες αερίου'!AN52/'Ανάπτυξη δικτύου'!AG114,0)</f>
        <v>6.0091456310679616</v>
      </c>
      <c r="H349" s="192">
        <f t="shared" si="6"/>
        <v>-0.59802644722817866</v>
      </c>
    </row>
    <row r="350" spans="1:8" outlineLevel="1" x14ac:dyDescent="0.35">
      <c r="A350" s="48" t="s">
        <v>112</v>
      </c>
      <c r="B350" s="62" t="s">
        <v>257</v>
      </c>
      <c r="C350" s="184">
        <f>IFERROR('Διανεμόμενες ποσότητες αερίου'!R53/'Ανάπτυξη δικτύου'!U115,0)</f>
        <v>193.81041474654378</v>
      </c>
      <c r="D350" s="184">
        <f>IFERROR('Διανεμόμενες ποσότητες αερίου'!X53/'Ανάπτυξη δικτύου'!X115,0)</f>
        <v>40.464113183686372</v>
      </c>
      <c r="E350" s="184">
        <f>IFERROR('Διανεμόμενες ποσότητες αερίου'!AD53/'Ανάπτυξη δικτύου'!AA115,0)</f>
        <v>47.063276856524872</v>
      </c>
      <c r="F350" s="184">
        <f>IFERROR('Διανεμόμενες ποσότητες αερίου'!AJ53/'Ανάπτυξη δικτύου'!AD115,0)</f>
        <v>45.758573877271175</v>
      </c>
      <c r="G350" s="184">
        <f>IFERROR('Διανεμόμενες ποσότητες αερίου'!AN53/'Ανάπτυξη δικτύου'!AG115,0)</f>
        <v>2.8327690322580645</v>
      </c>
      <c r="H350" s="192">
        <f t="shared" si="6"/>
        <v>-0.65229693917429477</v>
      </c>
    </row>
    <row r="351" spans="1:8" outlineLevel="1" x14ac:dyDescent="0.35">
      <c r="A351" s="48" t="s">
        <v>113</v>
      </c>
      <c r="B351" s="62" t="s">
        <v>257</v>
      </c>
      <c r="C351" s="184">
        <f>IFERROR('Διανεμόμενες ποσότητες αερίου'!R54/'Ανάπτυξη δικτύου'!U116,0)</f>
        <v>0</v>
      </c>
      <c r="D351" s="184">
        <f>IFERROR('Διανεμόμενες ποσότητες αερίου'!X54/'Ανάπτυξη δικτύου'!X116,0)</f>
        <v>0</v>
      </c>
      <c r="E351" s="184">
        <f>IFERROR('Διανεμόμενες ποσότητες αερίου'!AD54/'Ανάπτυξη δικτύου'!AA116,0)</f>
        <v>0</v>
      </c>
      <c r="F351" s="184">
        <f>IFERROR('Διανεμόμενες ποσότητες αερίου'!AJ54/'Ανάπτυξη δικτύου'!AD116,0)</f>
        <v>0</v>
      </c>
      <c r="G351" s="184">
        <f>IFERROR('Διανεμόμενες ποσότητες αερίου'!AN54/'Ανάπτυξη δικτύου'!AG116,0)</f>
        <v>0</v>
      </c>
      <c r="H351" s="192">
        <f t="shared" si="6"/>
        <v>0</v>
      </c>
    </row>
    <row r="352" spans="1:8" outlineLevel="1" x14ac:dyDescent="0.35">
      <c r="A352" s="48" t="s">
        <v>114</v>
      </c>
      <c r="B352" s="62" t="s">
        <v>257</v>
      </c>
      <c r="C352" s="184">
        <f>IFERROR('Διανεμόμενες ποσότητες αερίου'!R55/'Ανάπτυξη δικτύου'!U117,0)</f>
        <v>0</v>
      </c>
      <c r="D352" s="184">
        <f>IFERROR('Διανεμόμενες ποσότητες αερίου'!X55/'Ανάπτυξη δικτύου'!X117,0)</f>
        <v>0</v>
      </c>
      <c r="E352" s="184">
        <f>IFERROR('Διανεμόμενες ποσότητες αερίου'!AD55/'Ανάπτυξη δικτύου'!AA117,0)</f>
        <v>0</v>
      </c>
      <c r="F352" s="184">
        <f>IFERROR('Διανεμόμενες ποσότητες αερίου'!AJ55/'Ανάπτυξη δικτύου'!AD117,0)</f>
        <v>0</v>
      </c>
      <c r="G352" s="184">
        <f>IFERROR('Διανεμόμενες ποσότητες αερίου'!AN55/'Ανάπτυξη δικτύου'!AG117,0)</f>
        <v>0</v>
      </c>
      <c r="H352" s="192">
        <f t="shared" si="6"/>
        <v>0</v>
      </c>
    </row>
    <row r="353" spans="1:8" outlineLevel="1" x14ac:dyDescent="0.35">
      <c r="A353" s="48" t="s">
        <v>115</v>
      </c>
      <c r="B353" s="62" t="s">
        <v>257</v>
      </c>
      <c r="C353" s="184">
        <f>IFERROR('Διανεμόμενες ποσότητες αερίου'!R56/'Ανάπτυξη δικτύου'!U118,0)</f>
        <v>19.848339622641511</v>
      </c>
      <c r="D353" s="184">
        <f>IFERROR('Διανεμόμενες ποσότητες αερίου'!X56/'Ανάπτυξη δικτύου'!X118,0)</f>
        <v>10.299533300923676</v>
      </c>
      <c r="E353" s="184">
        <f>IFERROR('Διανεμόμενες ποσότητες αερίου'!AD56/'Ανάπτυξη δικτύου'!AA118,0)</f>
        <v>24.368921205711263</v>
      </c>
      <c r="F353" s="184">
        <f>IFERROR('Διανεμόμενες ποσότητες αερίου'!AJ56/'Ανάπτυξη δικτύου'!AD118,0)</f>
        <v>10.380373754152824</v>
      </c>
      <c r="G353" s="184">
        <f>IFERROR('Διανεμόμενες ποσότητες αερίου'!AN56/'Ανάπτυξη δικτύου'!AG118,0)</f>
        <v>6.7618682710576312</v>
      </c>
      <c r="H353" s="192">
        <f t="shared" si="6"/>
        <v>-0.23601359427122326</v>
      </c>
    </row>
    <row r="354" spans="1:8" outlineLevel="1" x14ac:dyDescent="0.35">
      <c r="A354" s="48" t="s">
        <v>116</v>
      </c>
      <c r="B354" s="62" t="s">
        <v>257</v>
      </c>
      <c r="C354" s="184">
        <f>IFERROR('Διανεμόμενες ποσότητες αερίου'!R57/'Ανάπτυξη δικτύου'!U119,0)</f>
        <v>0</v>
      </c>
      <c r="D354" s="184">
        <f>IFERROR('Διανεμόμενες ποσότητες αερίου'!X57/'Ανάπτυξη δικτύου'!X119,0)</f>
        <v>0</v>
      </c>
      <c r="E354" s="184">
        <f>IFERROR('Διανεμόμενες ποσότητες αερίου'!AD57/'Ανάπτυξη δικτύου'!AA119,0)</f>
        <v>0</v>
      </c>
      <c r="F354" s="184">
        <f>IFERROR('Διανεμόμενες ποσότητες αερίου'!AJ57/'Ανάπτυξη δικτύου'!AD119,0)</f>
        <v>0</v>
      </c>
      <c r="G354" s="184">
        <f>IFERROR('Διανεμόμενες ποσότητες αερίου'!AN57/'Ανάπτυξη δικτύου'!AG119,0)</f>
        <v>0</v>
      </c>
      <c r="H354" s="192">
        <f t="shared" si="6"/>
        <v>0</v>
      </c>
    </row>
    <row r="355" spans="1:8" outlineLevel="1" x14ac:dyDescent="0.35">
      <c r="A355" s="48" t="s">
        <v>117</v>
      </c>
      <c r="B355" s="62" t="s">
        <v>257</v>
      </c>
      <c r="C355" s="184">
        <f>IFERROR('Διανεμόμενες ποσότητες αερίου'!R58/'Ανάπτυξη δικτύου'!U120,0)</f>
        <v>51.097607388316156</v>
      </c>
      <c r="D355" s="184">
        <f>IFERROR('Διανεμόμενες ποσότητες αερίου'!X58/'Ανάπτυξη δικτύου'!X120,0)</f>
        <v>15.356042944785276</v>
      </c>
      <c r="E355" s="184">
        <f>IFERROR('Διανεμόμενες ποσότητες αερίου'!AD58/'Ανάπτυξη δικτύου'!AA120,0)</f>
        <v>25.403780603530084</v>
      </c>
      <c r="F355" s="184">
        <f>IFERROR('Διανεμόμενες ποσότητες αερίου'!AJ58/'Ανάπτυξη δικτύου'!AD120,0)</f>
        <v>10.397981698017285</v>
      </c>
      <c r="G355" s="184">
        <f>IFERROR('Διανεμόμενες ποσότητες αερίου'!AN58/'Ανάπτυξη δικτύου'!AG120,0)</f>
        <v>9.3570731707317076</v>
      </c>
      <c r="H355" s="192">
        <f t="shared" si="6"/>
        <v>-0.34583867390151601</v>
      </c>
    </row>
    <row r="356" spans="1:8" outlineLevel="1" x14ac:dyDescent="0.35">
      <c r="A356" s="48" t="s">
        <v>118</v>
      </c>
      <c r="B356" s="62" t="s">
        <v>257</v>
      </c>
      <c r="C356" s="184">
        <f>IFERROR('Διανεμόμενες ποσότητες αερίου'!R59/'Ανάπτυξη δικτύου'!U121,0)</f>
        <v>0</v>
      </c>
      <c r="D356" s="184">
        <f>IFERROR('Διανεμόμενες ποσότητες αερίου'!X59/'Ανάπτυξη δικτύου'!X121,0)</f>
        <v>0</v>
      </c>
      <c r="E356" s="184">
        <f>IFERROR('Διανεμόμενες ποσότητες αερίου'!AD59/'Ανάπτυξη δικτύου'!AA121,0)</f>
        <v>0</v>
      </c>
      <c r="F356" s="184">
        <f>IFERROR('Διανεμόμενες ποσότητες αερίου'!AJ59/'Ανάπτυξη δικτύου'!AD121,0)</f>
        <v>0</v>
      </c>
      <c r="G356" s="184">
        <f>IFERROR('Διανεμόμενες ποσότητες αερίου'!AN59/'Ανάπτυξη δικτύου'!AG121,0)</f>
        <v>9.7101366559485527</v>
      </c>
      <c r="H356" s="192">
        <f t="shared" si="6"/>
        <v>0</v>
      </c>
    </row>
    <row r="357" spans="1:8" outlineLevel="1" x14ac:dyDescent="0.35">
      <c r="A357" s="48" t="s">
        <v>119</v>
      </c>
      <c r="B357" s="62" t="s">
        <v>257</v>
      </c>
      <c r="C357" s="184">
        <f>IFERROR('Διανεμόμενες ποσότητες αερίου'!R60/'Ανάπτυξη δικτύου'!U122,0)</f>
        <v>0</v>
      </c>
      <c r="D357" s="184">
        <f>IFERROR('Διανεμόμενες ποσότητες αερίου'!X60/'Ανάπτυξη δικτύου'!X122,0)</f>
        <v>0</v>
      </c>
      <c r="E357" s="184">
        <f>IFERROR('Διανεμόμενες ποσότητες αερίου'!AD60/'Ανάπτυξη δικτύου'!AA122,0)</f>
        <v>0</v>
      </c>
      <c r="F357" s="184">
        <f>IFERROR('Διανεμόμενες ποσότητες αερίου'!AJ60/'Ανάπτυξη δικτύου'!AD122,0)</f>
        <v>0</v>
      </c>
      <c r="G357" s="184">
        <f>IFERROR('Διανεμόμενες ποσότητες αερίου'!AN60/'Ανάπτυξη δικτύου'!AG122,0)</f>
        <v>0</v>
      </c>
      <c r="H357" s="192">
        <f t="shared" si="6"/>
        <v>0</v>
      </c>
    </row>
    <row r="358" spans="1:8" outlineLevel="1" x14ac:dyDescent="0.35">
      <c r="A358" s="48" t="s">
        <v>120</v>
      </c>
      <c r="B358" s="62" t="s">
        <v>257</v>
      </c>
      <c r="C358" s="184">
        <f>IFERROR('Διανεμόμενες ποσότητες αερίου'!R61/'Ανάπτυξη δικτύου'!U123,0)</f>
        <v>71.995360610263532</v>
      </c>
      <c r="D358" s="184">
        <f>IFERROR('Διανεμόμενες ποσότητες αερίου'!X61/'Ανάπτυξη δικτύου'!X123,0)</f>
        <v>32.28841022627094</v>
      </c>
      <c r="E358" s="184">
        <f>IFERROR('Διανεμόμενες ποσότητες αερίου'!AD61/'Ανάπτυξη δικτύου'!AA123,0)</f>
        <v>30.036326477479822</v>
      </c>
      <c r="F358" s="184">
        <f>IFERROR('Διανεμόμενες ποσότητες αερίου'!AJ61/'Ανάπτυξη δικτύου'!AD123,0)</f>
        <v>53.306081021576396</v>
      </c>
      <c r="G358" s="184">
        <f>IFERROR('Διανεμόμενες ποσότητες αερίου'!AN61/'Ανάπτυξη δικτύου'!AG123,0)</f>
        <v>7.0294603452042823</v>
      </c>
      <c r="H358" s="192">
        <f t="shared" si="6"/>
        <v>-0.44100957549554776</v>
      </c>
    </row>
    <row r="359" spans="1:8" outlineLevel="1" x14ac:dyDescent="0.35">
      <c r="A359" s="48" t="s">
        <v>121</v>
      </c>
      <c r="B359" s="62" t="s">
        <v>257</v>
      </c>
      <c r="C359" s="184">
        <f>IFERROR('Διανεμόμενες ποσότητες αερίου'!R62/'Ανάπτυξη δικτύου'!U124,0)</f>
        <v>45.520906593406593</v>
      </c>
      <c r="D359" s="184">
        <f>IFERROR('Διανεμόμενες ποσότητες αερίου'!X62/'Ανάπτυξη δικτύου'!X124,0)</f>
        <v>9.968596685082872</v>
      </c>
      <c r="E359" s="184">
        <f>IFERROR('Διανεμόμενες ποσότητες αερίου'!AD62/'Ανάπτυξη δικτύου'!AA124,0)</f>
        <v>8.2303850880786555</v>
      </c>
      <c r="F359" s="184">
        <f>IFERROR('Διανεμόμενες ποσότητες αερίου'!AJ62/'Ανάπτυξη δικτύου'!AD124,0)</f>
        <v>11.423936008125953</v>
      </c>
      <c r="G359" s="184">
        <f>IFERROR('Διανεμόμενες ποσότητες αερίου'!AN62/'Ανάπτυξη δικτύου'!AG124,0)</f>
        <v>2.1000278422273788</v>
      </c>
      <c r="H359" s="192">
        <f t="shared" si="6"/>
        <v>-0.53654930534689504</v>
      </c>
    </row>
    <row r="360" spans="1:8" outlineLevel="1" x14ac:dyDescent="0.35">
      <c r="A360" s="48" t="s">
        <v>137</v>
      </c>
      <c r="B360" s="62" t="s">
        <v>257</v>
      </c>
      <c r="C360" s="184">
        <f>IFERROR('Διανεμόμενες ποσότητες αερίου'!R63/'Ανάπτυξη δικτύου'!U125,0)</f>
        <v>0</v>
      </c>
      <c r="D360" s="184">
        <f>IFERROR('Διανεμόμενες ποσότητες αερίου'!X63/'Ανάπτυξη δικτύου'!X125,0)</f>
        <v>0</v>
      </c>
      <c r="E360" s="184">
        <f>IFERROR('Διανεμόμενες ποσότητες αερίου'!AD63/'Ανάπτυξη δικτύου'!AA125,0)</f>
        <v>0</v>
      </c>
      <c r="F360" s="184">
        <f>IFERROR('Διανεμόμενες ποσότητες αερίου'!AJ63/'Ανάπτυξη δικτύου'!AD125,0)</f>
        <v>0</v>
      </c>
      <c r="G360" s="184">
        <f>IFERROR('Διανεμόμενες ποσότητες αερίου'!AN63/'Ανάπτυξη δικτύου'!AG125,0)</f>
        <v>0</v>
      </c>
      <c r="H360" s="192">
        <f t="shared" si="6"/>
        <v>0</v>
      </c>
    </row>
    <row r="361" spans="1:8" outlineLevel="1" x14ac:dyDescent="0.35">
      <c r="A361" s="48" t="s">
        <v>123</v>
      </c>
      <c r="B361" s="62" t="s">
        <v>257</v>
      </c>
      <c r="C361" s="184">
        <f>IFERROR('Διανεμόμενες ποσότητες αερίου'!R64/'Ανάπτυξη δικτύου'!U126,0)</f>
        <v>130.90918169209431</v>
      </c>
      <c r="D361" s="184">
        <f>IFERROR('Διανεμόμενες ποσότητες αερίου'!X64/'Ανάπτυξη δικτύου'!X126,0)</f>
        <v>74.485633587786268</v>
      </c>
      <c r="E361" s="184">
        <f>IFERROR('Διανεμόμενες ποσότητες αερίου'!AD64/'Ανάπτυξη δικτύου'!AA126,0)</f>
        <v>30.532131246237206</v>
      </c>
      <c r="F361" s="184">
        <f>IFERROR('Διανεμόμενες ποσότητες αερίου'!AJ64/'Ανάπτυξη δικτύου'!AD126,0)</f>
        <v>0</v>
      </c>
      <c r="G361" s="184">
        <f>IFERROR('Διανεμόμενες ποσότητες αερίου'!AN64/'Ανάπτυξη δικτύου'!AG126,0)</f>
        <v>5.3945612278945614</v>
      </c>
      <c r="H361" s="192">
        <f t="shared" si="6"/>
        <v>-0.5494463579693406</v>
      </c>
    </row>
    <row r="362" spans="1:8" outlineLevel="1" x14ac:dyDescent="0.35">
      <c r="A362" s="48" t="s">
        <v>124</v>
      </c>
      <c r="B362" s="62" t="s">
        <v>257</v>
      </c>
      <c r="C362" s="184">
        <f>IFERROR('Διανεμόμενες ποσότητες αερίου'!R65/'Ανάπτυξη δικτύου'!U128,0)</f>
        <v>13.909727047146404</v>
      </c>
      <c r="D362" s="184">
        <f>IFERROR('Διανεμόμενες ποσότητες αερίου'!X65/'Ανάπτυξη δικτύου'!X128,0)</f>
        <v>0</v>
      </c>
      <c r="E362" s="184">
        <f>IFERROR('Διανεμόμενες ποσότητες αερίου'!AD65/'Ανάπτυξη δικτύου'!AA128,0)</f>
        <v>0</v>
      </c>
      <c r="F362" s="184">
        <f>IFERROR('Διανεμόμενες ποσότητες αερίου'!AJ65/'Ανάπτυξη δικτύου'!AD128,0)</f>
        <v>0</v>
      </c>
      <c r="G362" s="184">
        <f>IFERROR('Διανεμόμενες ποσότητες αερίου'!AN65/'Ανάπτυξη δικτύου'!AG128,0)</f>
        <v>0</v>
      </c>
      <c r="H362" s="192">
        <f t="shared" si="6"/>
        <v>-1</v>
      </c>
    </row>
    <row r="363" spans="1:8" outlineLevel="1" x14ac:dyDescent="0.35">
      <c r="A363" s="48" t="s">
        <v>125</v>
      </c>
      <c r="B363" s="62" t="s">
        <v>257</v>
      </c>
      <c r="C363" s="184">
        <f>IFERROR('Διανεμόμενες ποσότητες αερίου'!R66/'Ανάπτυξη δικτύου'!U129,0)</f>
        <v>57.794424173318127</v>
      </c>
      <c r="D363" s="184">
        <f>IFERROR('Διανεμόμενες ποσότητες αερίου'!X66/'Ανάπτυξη δικτύου'!X129,0)</f>
        <v>42.891775933609964</v>
      </c>
      <c r="E363" s="184">
        <f>IFERROR('Διανεμόμενες ποσότητες αερίου'!AD66/'Ανάπτυξη δικτύου'!AA129,0)</f>
        <v>59.30606741573034</v>
      </c>
      <c r="F363" s="184">
        <f>IFERROR('Διανεμόμενες ποσότητες αερίου'!AJ66/'Ανάπτυξη δικτύου'!AD129,0)</f>
        <v>41.447782909930716</v>
      </c>
      <c r="G363" s="184">
        <f>IFERROR('Διανεμόμενες ποσότητες αερίου'!AN66/'Ανάπτυξη δικτύου'!AG129,0)</f>
        <v>0</v>
      </c>
      <c r="H363" s="192">
        <f t="shared" si="6"/>
        <v>-1</v>
      </c>
    </row>
    <row r="364" spans="1:8" outlineLevel="1" x14ac:dyDescent="0.35">
      <c r="A364" s="48" t="s">
        <v>126</v>
      </c>
      <c r="B364" s="62" t="s">
        <v>257</v>
      </c>
      <c r="C364" s="184">
        <f>IFERROR('Διανεμόμενες ποσότητες αερίου'!R67/'Ανάπτυξη δικτύου'!U127,0)</f>
        <v>0</v>
      </c>
      <c r="D364" s="184">
        <f>IFERROR('Διανεμόμενες ποσότητες αερίου'!X67/'Ανάπτυξη δικτύου'!X127,0)</f>
        <v>42.482150900900905</v>
      </c>
      <c r="E364" s="184">
        <f>IFERROR('Διανεμόμενες ποσότητες αερίου'!AD67/'Ανάπτυξη δικτύου'!AA127,0)</f>
        <v>102.90068123393317</v>
      </c>
      <c r="F364" s="184">
        <f>IFERROR('Διανεμόμενες ποσότητες αερίου'!AJ67/'Ανάπτυξη δικτύου'!AD127,0)</f>
        <v>62.681945885841373</v>
      </c>
      <c r="G364" s="184">
        <f>IFERROR('Διανεμόμενες ποσότητες αερίου'!AN67/'Ανάπτυξη δικτύου'!AG127,0)</f>
        <v>9.4795165394402048</v>
      </c>
      <c r="H364" s="192">
        <f t="shared" si="6"/>
        <v>0</v>
      </c>
    </row>
    <row r="365" spans="1:8" outlineLevel="1" x14ac:dyDescent="0.35">
      <c r="A365" s="48" t="s">
        <v>127</v>
      </c>
      <c r="B365" s="62" t="s">
        <v>257</v>
      </c>
      <c r="C365" s="184">
        <f>IFERROR('Διανεμόμενες ποσότητες αερίου'!R68/'Ανάπτυξη δικτύου'!U130,0)</f>
        <v>1.1548017621145374</v>
      </c>
      <c r="D365" s="184">
        <f>IFERROR('Διανεμόμενες ποσότητες αερίου'!X68/'Ανάπτυξη δικτύου'!X130,0)</f>
        <v>0</v>
      </c>
      <c r="E365" s="184">
        <f>IFERROR('Διανεμόμενες ποσότητες αερίου'!AD68/'Ανάπτυξη δικτύου'!AA130,0)</f>
        <v>0</v>
      </c>
      <c r="F365" s="184">
        <f>IFERROR('Διανεμόμενες ποσότητες αερίου'!AJ68/'Ανάπτυξη δικτύου'!AD130,0)</f>
        <v>0</v>
      </c>
      <c r="G365" s="184">
        <f>IFERROR('Διανεμόμενες ποσότητες αερίου'!AN68/'Ανάπτυξη δικτύου'!AG130,0)</f>
        <v>0</v>
      </c>
      <c r="H365" s="192">
        <f t="shared" si="6"/>
        <v>-1</v>
      </c>
    </row>
    <row r="366" spans="1:8" outlineLevel="1" x14ac:dyDescent="0.35">
      <c r="A366" s="48" t="s">
        <v>138</v>
      </c>
      <c r="B366" s="62" t="s">
        <v>257</v>
      </c>
      <c r="C366" s="184">
        <f>IFERROR('Διανεμόμενες ποσότητες αερίου'!R69/'Ανάπτυξη δικτύου'!U132,0)</f>
        <v>125.40556872764435</v>
      </c>
      <c r="D366" s="184">
        <f>IFERROR('Διανεμόμενες ποσότητες αερίου'!X69/'Ανάπτυξη δικτύου'!X132,0)</f>
        <v>44.978466167400882</v>
      </c>
      <c r="E366" s="184">
        <f>IFERROR('Διανεμόμενες ποσότητες αερίου'!AD69/'Ανάπτυξη δικτύου'!AA132,0)</f>
        <v>49.60967822429906</v>
      </c>
      <c r="F366" s="184">
        <f>IFERROR('Διανεμόμενες ποσότητες αερίου'!AJ69/'Ανάπτυξη δικτύου'!AD132,0)</f>
        <v>47.653873620689637</v>
      </c>
      <c r="G366" s="184">
        <f>IFERROR('Διανεμόμενες ποσότητες αερίου'!AN69/'Ανάπτυξη δικτύου'!AG131,0)</f>
        <v>0</v>
      </c>
      <c r="H366" s="192">
        <f t="shared" si="6"/>
        <v>-1</v>
      </c>
    </row>
  </sheetData>
  <mergeCells count="14">
    <mergeCell ref="A306:H306"/>
    <mergeCell ref="A309:H309"/>
    <mergeCell ref="A249:H249"/>
    <mergeCell ref="A129:H129"/>
    <mergeCell ref="A126:H126"/>
    <mergeCell ref="A186:H186"/>
    <mergeCell ref="I2:K2"/>
    <mergeCell ref="B2:F2"/>
    <mergeCell ref="A9:H9"/>
    <mergeCell ref="A5:H5"/>
    <mergeCell ref="A246:H246"/>
    <mergeCell ref="A189:H189"/>
    <mergeCell ref="A69:H69"/>
    <mergeCell ref="A66:H66"/>
  </mergeCells>
  <hyperlinks>
    <hyperlink ref="I2" location="'Αρχική σελίδα'!A1" display="Πίσω στην αρχική σελίδα" xr:uid="{CF09721D-2E10-4A0B-8AF6-A0E4C2B557B7}"/>
  </hyperlinks>
  <pageMargins left="0.7" right="0.7" top="0.75" bottom="0.75" header="0.3" footer="0.3"/>
  <pageSetup orientation="portrait"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0150B-8271-4D45-8425-026CE53A8C75}">
  <sheetPr codeName="Sheet16">
    <tabColor theme="5" tint="-0.249977111117893"/>
  </sheetPr>
  <dimension ref="B3:Q8"/>
  <sheetViews>
    <sheetView showGridLines="0" workbookViewId="0">
      <selection activeCell="D17" sqref="D17"/>
    </sheetView>
  </sheetViews>
  <sheetFormatPr defaultColWidth="8.54296875" defaultRowHeight="14.5" x14ac:dyDescent="0.35"/>
  <cols>
    <col min="1" max="1" width="2.54296875" customWidth="1"/>
    <col min="2" max="2" width="23.453125" customWidth="1"/>
  </cols>
  <sheetData>
    <row r="3" spans="2:17" ht="28.5" x14ac:dyDescent="0.65">
      <c r="B3" s="97" t="s">
        <v>271</v>
      </c>
      <c r="C3" s="98"/>
      <c r="D3" s="98"/>
      <c r="E3" s="98"/>
      <c r="F3" s="98"/>
      <c r="G3" s="98"/>
      <c r="H3" s="98"/>
      <c r="I3" s="98"/>
      <c r="J3" s="98"/>
      <c r="K3" s="98"/>
      <c r="L3" s="98"/>
      <c r="M3" s="98"/>
      <c r="N3" s="98"/>
      <c r="O3" s="98"/>
      <c r="P3" s="98"/>
      <c r="Q3" s="98"/>
    </row>
    <row r="5" spans="2:17" ht="21" x14ac:dyDescent="0.5">
      <c r="B5" s="95" t="s">
        <v>4</v>
      </c>
      <c r="C5" s="98"/>
      <c r="D5" s="98"/>
      <c r="E5" s="98"/>
      <c r="F5" s="98"/>
      <c r="G5" s="98"/>
      <c r="H5" s="98"/>
      <c r="I5" s="98"/>
      <c r="J5" s="98"/>
    </row>
    <row r="6" spans="2:17" ht="21" x14ac:dyDescent="0.5">
      <c r="B6" s="96"/>
    </row>
    <row r="7" spans="2:17" x14ac:dyDescent="0.35">
      <c r="B7" s="199" t="s">
        <v>20</v>
      </c>
    </row>
    <row r="8" spans="2:17" x14ac:dyDescent="0.35">
      <c r="B8" s="199" t="s">
        <v>21</v>
      </c>
    </row>
  </sheetData>
  <hyperlinks>
    <hyperlink ref="B7" location="'Αποτελέσματα ανάλυσης'!A1" display="Αποτελέσματα ανάλυσης" xr:uid="{DE47F44C-60B0-41D8-B5E4-B084E5FB4D91}"/>
    <hyperlink ref="B8" location="'Ανάλυση ανά δήμο'!A1" display="Ανάλυση ανά δήμο" xr:uid="{6E6E1B8A-408D-46DD-BD37-6730B50DDF79}"/>
  </hyperlinks>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6BEEB-433E-4E56-8B65-9B5484E89F9F}">
  <sheetPr codeName="Sheet17">
    <tabColor theme="5" tint="0.79998168889431442"/>
  </sheetPr>
  <dimension ref="B2:L16"/>
  <sheetViews>
    <sheetView showGridLines="0" topLeftCell="A7" workbookViewId="0">
      <selection activeCell="C12" sqref="C12:E12"/>
    </sheetView>
  </sheetViews>
  <sheetFormatPr defaultColWidth="8.54296875" defaultRowHeight="14.5" x14ac:dyDescent="0.35"/>
  <cols>
    <col min="1" max="1" width="2.54296875" customWidth="1"/>
    <col min="2" max="2" width="27.453125" customWidth="1"/>
    <col min="3" max="5" width="18.453125" customWidth="1"/>
  </cols>
  <sheetData>
    <row r="2" spans="2:12" ht="18.5" x14ac:dyDescent="0.45">
      <c r="B2" s="1" t="s">
        <v>0</v>
      </c>
      <c r="C2" s="420">
        <f>'Αρχική σελίδα'!C3</f>
        <v>0</v>
      </c>
      <c r="D2" s="420"/>
      <c r="E2" s="420"/>
      <c r="F2" s="420"/>
      <c r="G2" s="420"/>
      <c r="H2" s="420"/>
      <c r="J2" s="421" t="s">
        <v>58</v>
      </c>
      <c r="K2" s="421"/>
      <c r="L2" s="421"/>
    </row>
    <row r="3" spans="2:12" ht="18.5" x14ac:dyDescent="0.45">
      <c r="B3" s="2" t="s">
        <v>1</v>
      </c>
      <c r="C3" s="99">
        <f>'Αρχική σελίδα'!C4</f>
        <v>2024</v>
      </c>
      <c r="D3" s="46" t="s">
        <v>2</v>
      </c>
      <c r="E3" s="46">
        <f>C3+4</f>
        <v>2028</v>
      </c>
    </row>
    <row r="5" spans="2:12" ht="46.4" customHeight="1" x14ac:dyDescent="0.35">
      <c r="B5" s="422" t="s">
        <v>272</v>
      </c>
      <c r="C5" s="422"/>
      <c r="D5" s="422"/>
      <c r="E5" s="422"/>
      <c r="F5" s="422"/>
      <c r="G5" s="422"/>
      <c r="H5" s="422"/>
      <c r="I5" s="422"/>
    </row>
    <row r="6" spans="2:12" x14ac:dyDescent="0.35">
      <c r="B6" s="226"/>
      <c r="C6" s="226"/>
      <c r="D6" s="226"/>
      <c r="E6" s="226"/>
      <c r="F6" s="226"/>
      <c r="G6" s="226"/>
      <c r="H6" s="226"/>
    </row>
    <row r="7" spans="2:12" ht="18.5" x14ac:dyDescent="0.45">
      <c r="B7" s="100" t="s">
        <v>273</v>
      </c>
      <c r="C7" s="101"/>
      <c r="D7" s="101"/>
      <c r="E7" s="101"/>
      <c r="F7" s="101"/>
      <c r="G7" s="101"/>
      <c r="H7" s="101"/>
      <c r="I7" s="101"/>
    </row>
    <row r="9" spans="2:12" ht="15.5" x14ac:dyDescent="0.35">
      <c r="B9" s="419" t="s">
        <v>274</v>
      </c>
      <c r="C9" s="419"/>
      <c r="D9" s="419"/>
      <c r="E9" s="419"/>
    </row>
    <row r="10" spans="2:12" ht="6.65" customHeight="1" x14ac:dyDescent="0.35">
      <c r="B10" s="119"/>
      <c r="C10" s="119"/>
      <c r="D10" s="119"/>
      <c r="E10" s="119"/>
    </row>
    <row r="11" spans="2:12" ht="58" x14ac:dyDescent="0.35">
      <c r="B11" s="55"/>
      <c r="C11" s="74" t="s">
        <v>275</v>
      </c>
      <c r="D11" s="28" t="s">
        <v>276</v>
      </c>
      <c r="E11" s="28" t="s">
        <v>277</v>
      </c>
    </row>
    <row r="12" spans="2:12" x14ac:dyDescent="0.35">
      <c r="B12" s="48" t="s">
        <v>216</v>
      </c>
      <c r="C12" s="6">
        <f>'Ανάλυση ανά δήμο'!D34</f>
        <v>25011015.703762177</v>
      </c>
      <c r="D12" s="402">
        <f>'Ανάλυση ανά δήμο'!D36</f>
        <v>0.1298684091821134</v>
      </c>
      <c r="E12" s="412">
        <f>'Ανάλυση ανά δήμο'!I17</f>
        <v>2029</v>
      </c>
    </row>
    <row r="13" spans="2:12" x14ac:dyDescent="0.35">
      <c r="B13" s="48"/>
      <c r="C13" s="6"/>
      <c r="D13" s="6"/>
      <c r="E13" s="6"/>
    </row>
    <row r="14" spans="2:12" x14ac:dyDescent="0.35">
      <c r="B14" s="48"/>
      <c r="C14" s="6"/>
      <c r="D14" s="6"/>
      <c r="E14" s="6"/>
    </row>
    <row r="15" spans="2:12" x14ac:dyDescent="0.35">
      <c r="B15" s="48"/>
      <c r="C15" s="6"/>
      <c r="D15" s="6"/>
      <c r="E15" s="6"/>
    </row>
    <row r="16" spans="2:12" x14ac:dyDescent="0.35">
      <c r="B16" s="528" t="s">
        <v>166</v>
      </c>
      <c r="C16" s="528"/>
      <c r="D16" s="528"/>
      <c r="E16" s="528"/>
    </row>
  </sheetData>
  <mergeCells count="5">
    <mergeCell ref="B9:E9"/>
    <mergeCell ref="B16:E16"/>
    <mergeCell ref="C2:H2"/>
    <mergeCell ref="J2:L2"/>
    <mergeCell ref="B5:I5"/>
  </mergeCells>
  <hyperlinks>
    <hyperlink ref="J2" location="'Αρχική σελίδα'!A1" display="Πίσω στην αρχική σελίδα" xr:uid="{60111898-36B6-4F93-A857-57D482C14DAF}"/>
  </hyperlinks>
  <pageMargins left="0.7" right="0.7" top="0.75" bottom="0.75" header="0.3" footer="0.3"/>
  <pageSetup paperSize="9" orientation="portrait" r:id="rId1"/>
  <customProperties>
    <customPr name="_pios_id" r:id="rId2"/>
  </customProperties>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0FE8-ECFC-4E2C-8EB7-63764185560A}">
  <sheetPr codeName="Sheet18">
    <tabColor theme="5" tint="0.79998168889431442"/>
  </sheetPr>
  <dimension ref="B2:AB47"/>
  <sheetViews>
    <sheetView showGridLines="0" zoomScale="70" zoomScaleNormal="70" workbookViewId="0">
      <selection activeCell="D27" sqref="D27"/>
    </sheetView>
  </sheetViews>
  <sheetFormatPr defaultColWidth="8.54296875" defaultRowHeight="14.5" outlineLevelRow="1" x14ac:dyDescent="0.35"/>
  <cols>
    <col min="1" max="1" width="2.54296875" customWidth="1"/>
    <col min="2" max="2" width="48.453125" customWidth="1"/>
    <col min="3" max="3" width="9.453125" customWidth="1"/>
    <col min="4" max="4" width="16.54296875" customWidth="1"/>
    <col min="5" max="5" width="16.453125" customWidth="1"/>
    <col min="6" max="6" width="16.54296875" customWidth="1"/>
    <col min="7" max="7" width="14.54296875" customWidth="1"/>
    <col min="8" max="20" width="14.453125" customWidth="1"/>
    <col min="21" max="26" width="20.453125" customWidth="1"/>
    <col min="27" max="28" width="9.453125" customWidth="1"/>
  </cols>
  <sheetData>
    <row r="2" spans="2:28" ht="18.5" x14ac:dyDescent="0.45">
      <c r="B2" s="1" t="s">
        <v>0</v>
      </c>
      <c r="C2" s="420">
        <f>'Αρχική σελίδα'!C3</f>
        <v>0</v>
      </c>
      <c r="D2" s="420"/>
      <c r="E2" s="420"/>
      <c r="F2" s="420"/>
      <c r="G2" s="420"/>
      <c r="H2" s="420"/>
      <c r="J2" s="421" t="s">
        <v>58</v>
      </c>
      <c r="K2" s="421"/>
      <c r="L2" s="421"/>
    </row>
    <row r="3" spans="2:28" ht="18.5" x14ac:dyDescent="0.45">
      <c r="B3" s="2" t="s">
        <v>1</v>
      </c>
      <c r="C3" s="99">
        <f>'Αρχική σελίδα'!C4</f>
        <v>2024</v>
      </c>
      <c r="D3" s="46" t="s">
        <v>2</v>
      </c>
      <c r="E3" s="46">
        <f>C3+4</f>
        <v>2028</v>
      </c>
    </row>
    <row r="5" spans="2:28" ht="44.9" customHeight="1" x14ac:dyDescent="0.35">
      <c r="B5" s="422" t="s">
        <v>278</v>
      </c>
      <c r="C5" s="422"/>
      <c r="D5" s="422"/>
      <c r="E5" s="422"/>
      <c r="F5" s="422"/>
      <c r="G5" s="422"/>
      <c r="H5" s="422"/>
      <c r="I5" s="422"/>
    </row>
    <row r="6" spans="2:28" x14ac:dyDescent="0.35">
      <c r="B6" s="226"/>
      <c r="C6" s="226"/>
      <c r="D6" s="226"/>
      <c r="E6" s="226"/>
      <c r="F6" s="226"/>
      <c r="G6" s="226"/>
      <c r="H6" s="226"/>
    </row>
    <row r="7" spans="2:28" ht="18.5" x14ac:dyDescent="0.45">
      <c r="B7" s="100" t="s">
        <v>279</v>
      </c>
      <c r="C7" s="101"/>
      <c r="D7" s="101"/>
      <c r="E7" s="101"/>
      <c r="F7" s="101"/>
      <c r="G7" s="101"/>
      <c r="H7" s="101"/>
      <c r="I7" s="101"/>
    </row>
    <row r="9" spans="2:28" ht="14.9" customHeight="1" x14ac:dyDescent="0.35">
      <c r="B9" s="528" t="s">
        <v>280</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row>
    <row r="11" spans="2:28" x14ac:dyDescent="0.35">
      <c r="B11" s="3" t="s">
        <v>281</v>
      </c>
      <c r="C11" s="3" t="s">
        <v>253</v>
      </c>
      <c r="D11" s="340">
        <v>8.3799999999999999E-2</v>
      </c>
      <c r="E11" s="340">
        <v>8.3799999999999999E-2</v>
      </c>
      <c r="F11" s="340">
        <v>8.3799999999999999E-2</v>
      </c>
      <c r="G11" s="340">
        <v>8.3799999999999999E-2</v>
      </c>
      <c r="H11" s="340">
        <v>8.3799999999999999E-2</v>
      </c>
      <c r="I11" s="17" t="s">
        <v>282</v>
      </c>
    </row>
    <row r="12" spans="2:28" x14ac:dyDescent="0.35">
      <c r="B12" s="3" t="s">
        <v>283</v>
      </c>
      <c r="C12" s="198" t="s">
        <v>264</v>
      </c>
      <c r="D12" s="130">
        <f>14.0718481067097*1.035</f>
        <v>14.564362790444537</v>
      </c>
      <c r="E12" s="17"/>
    </row>
    <row r="14" spans="2:28" ht="15.5" x14ac:dyDescent="0.35">
      <c r="B14" s="529" t="s">
        <v>284</v>
      </c>
      <c r="C14" s="530"/>
      <c r="D14" s="530"/>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1"/>
    </row>
    <row r="15" spans="2:28" ht="6" customHeight="1" x14ac:dyDescent="0.35">
      <c r="B15" s="104"/>
      <c r="C15" s="104"/>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row>
    <row r="16" spans="2:28" outlineLevel="1" x14ac:dyDescent="0.35">
      <c r="B16" s="106" t="s">
        <v>285</v>
      </c>
      <c r="C16" s="98"/>
    </row>
    <row r="17" spans="2:28" outlineLevel="1" x14ac:dyDescent="0.35">
      <c r="B17" s="3"/>
      <c r="C17" s="27" t="s">
        <v>134</v>
      </c>
      <c r="D17" s="27">
        <f>$C$3</f>
        <v>2024</v>
      </c>
      <c r="E17" s="27">
        <f>$C$3+1</f>
        <v>2025</v>
      </c>
      <c r="F17" s="27">
        <f>$C$3+2</f>
        <v>2026</v>
      </c>
      <c r="G17" s="27">
        <f>$C$3+3</f>
        <v>2027</v>
      </c>
      <c r="H17" s="27">
        <f>$C$3+4</f>
        <v>2028</v>
      </c>
      <c r="I17" s="27">
        <f>H17+1</f>
        <v>2029</v>
      </c>
      <c r="J17" s="27">
        <f t="shared" ref="J17:AB17" si="0">I17+1</f>
        <v>2030</v>
      </c>
      <c r="K17" s="27">
        <f t="shared" si="0"/>
        <v>2031</v>
      </c>
      <c r="L17" s="27">
        <f t="shared" si="0"/>
        <v>2032</v>
      </c>
      <c r="M17" s="27">
        <f t="shared" si="0"/>
        <v>2033</v>
      </c>
      <c r="N17" s="27">
        <f t="shared" si="0"/>
        <v>2034</v>
      </c>
      <c r="O17" s="27">
        <f t="shared" si="0"/>
        <v>2035</v>
      </c>
      <c r="P17" s="27">
        <f t="shared" si="0"/>
        <v>2036</v>
      </c>
      <c r="Q17" s="27">
        <f t="shared" si="0"/>
        <v>2037</v>
      </c>
      <c r="R17" s="27">
        <f t="shared" si="0"/>
        <v>2038</v>
      </c>
      <c r="S17" s="27">
        <f t="shared" si="0"/>
        <v>2039</v>
      </c>
      <c r="T17" s="27">
        <f t="shared" si="0"/>
        <v>2040</v>
      </c>
      <c r="U17" s="27">
        <f t="shared" si="0"/>
        <v>2041</v>
      </c>
      <c r="V17" s="27">
        <f t="shared" si="0"/>
        <v>2042</v>
      </c>
      <c r="W17" s="27">
        <f t="shared" si="0"/>
        <v>2043</v>
      </c>
      <c r="X17" s="27">
        <f t="shared" si="0"/>
        <v>2044</v>
      </c>
      <c r="Y17" s="27">
        <f t="shared" si="0"/>
        <v>2045</v>
      </c>
      <c r="Z17" s="27">
        <f t="shared" si="0"/>
        <v>2046</v>
      </c>
      <c r="AA17" s="27">
        <f t="shared" si="0"/>
        <v>2047</v>
      </c>
      <c r="AB17" s="27">
        <f t="shared" si="0"/>
        <v>2048</v>
      </c>
    </row>
    <row r="18" spans="2:28" outlineLevel="1" x14ac:dyDescent="0.35">
      <c r="B18" s="3" t="s">
        <v>286</v>
      </c>
      <c r="C18" s="38"/>
      <c r="D18" s="21">
        <v>1</v>
      </c>
      <c r="E18" s="21">
        <v>2</v>
      </c>
      <c r="F18" s="21">
        <v>3</v>
      </c>
      <c r="G18" s="21">
        <v>4</v>
      </c>
      <c r="H18" s="21">
        <v>5</v>
      </c>
      <c r="I18" s="21">
        <v>6</v>
      </c>
      <c r="J18" s="21">
        <v>7</v>
      </c>
      <c r="K18" s="21">
        <v>8</v>
      </c>
      <c r="L18" s="21">
        <v>9</v>
      </c>
      <c r="M18" s="21">
        <v>10</v>
      </c>
      <c r="N18" s="21">
        <v>11</v>
      </c>
      <c r="O18" s="21">
        <v>12</v>
      </c>
      <c r="P18" s="21">
        <v>13</v>
      </c>
      <c r="Q18" s="21">
        <v>14</v>
      </c>
      <c r="R18" s="21">
        <v>15</v>
      </c>
      <c r="S18" s="21">
        <v>16</v>
      </c>
      <c r="T18" s="21">
        <v>17</v>
      </c>
      <c r="U18" s="21">
        <v>18</v>
      </c>
      <c r="V18" s="21">
        <v>19</v>
      </c>
      <c r="W18" s="21">
        <v>20</v>
      </c>
      <c r="X18" s="21">
        <v>21</v>
      </c>
      <c r="Y18" s="21">
        <v>22</v>
      </c>
      <c r="Z18" s="21">
        <v>23</v>
      </c>
      <c r="AA18" s="21">
        <v>24</v>
      </c>
      <c r="AB18" s="21">
        <v>25</v>
      </c>
    </row>
    <row r="19" spans="2:28" outlineLevel="1" x14ac:dyDescent="0.35">
      <c r="B19" s="532" t="s">
        <v>287</v>
      </c>
      <c r="C19" s="533"/>
      <c r="D19" s="533"/>
      <c r="E19" s="533"/>
      <c r="F19" s="533"/>
      <c r="G19" s="533"/>
      <c r="H19" s="533"/>
      <c r="I19" s="533"/>
      <c r="J19" s="533"/>
      <c r="K19" s="533"/>
      <c r="L19" s="533"/>
      <c r="M19" s="533"/>
      <c r="N19" s="533"/>
      <c r="O19" s="533"/>
      <c r="P19" s="533"/>
      <c r="Q19" s="533"/>
      <c r="R19" s="533"/>
      <c r="S19" s="533"/>
      <c r="T19" s="533"/>
      <c r="U19" s="533"/>
      <c r="V19" s="533"/>
      <c r="W19" s="533"/>
      <c r="X19" s="533"/>
      <c r="Y19" s="533"/>
      <c r="Z19" s="533"/>
      <c r="AA19" s="533"/>
      <c r="AB19" s="534"/>
    </row>
    <row r="20" spans="2:28" outlineLevel="1" x14ac:dyDescent="0.35">
      <c r="B20" s="3" t="s">
        <v>288</v>
      </c>
      <c r="C20" s="107" t="s">
        <v>233</v>
      </c>
      <c r="D20" s="35">
        <f>Επενδύσεις!D68</f>
        <v>13970314.216290534</v>
      </c>
      <c r="E20" s="35">
        <f>Επενδύσεις!E68</f>
        <v>21125654.687603954</v>
      </c>
      <c r="F20" s="35">
        <f>Επενδύσεις!F68</f>
        <v>22056653.978613518</v>
      </c>
      <c r="G20" s="35">
        <f>Επενδύσεις!G68</f>
        <v>22732653.371555816</v>
      </c>
      <c r="H20" s="35">
        <f>Επενδύσεις!H68</f>
        <v>21068279.521212712</v>
      </c>
      <c r="I20" s="108"/>
      <c r="J20" s="108"/>
      <c r="K20" s="108"/>
      <c r="L20" s="108"/>
      <c r="M20" s="108"/>
      <c r="N20" s="108"/>
      <c r="O20" s="108"/>
      <c r="P20" s="108"/>
      <c r="Q20" s="108"/>
      <c r="R20" s="108"/>
      <c r="S20" s="108"/>
      <c r="T20" s="108"/>
      <c r="U20" s="108"/>
      <c r="V20" s="108"/>
      <c r="W20" s="108"/>
      <c r="X20" s="108"/>
      <c r="Y20" s="108"/>
      <c r="Z20" s="108"/>
      <c r="AA20" s="108"/>
      <c r="AB20" s="108"/>
    </row>
    <row r="21" spans="2:28" outlineLevel="1" x14ac:dyDescent="0.35">
      <c r="B21" s="3" t="s">
        <v>289</v>
      </c>
      <c r="C21" s="107" t="s">
        <v>233</v>
      </c>
      <c r="D21" s="108"/>
      <c r="E21" s="108"/>
      <c r="F21" s="108"/>
      <c r="G21" s="108"/>
      <c r="H21" s="108"/>
      <c r="I21" s="35">
        <v>1423041.0482827409</v>
      </c>
      <c r="J21" s="35">
        <v>715775.17250078358</v>
      </c>
      <c r="K21" s="35">
        <v>585688.51622131048</v>
      </c>
      <c r="L21" s="35">
        <v>539282.63277499331</v>
      </c>
      <c r="M21" s="35">
        <v>532573.3303345961</v>
      </c>
      <c r="N21" s="35">
        <v>537538.38035430503</v>
      </c>
      <c r="O21" s="35">
        <v>537430.3691940268</v>
      </c>
      <c r="P21" s="35">
        <v>533349.74206955649</v>
      </c>
      <c r="Q21" s="35">
        <v>531638.3462227881</v>
      </c>
      <c r="R21" s="35">
        <v>528947.25919416966</v>
      </c>
      <c r="S21" s="35">
        <v>530904.40199436387</v>
      </c>
      <c r="T21" s="35">
        <v>525436.68962485972</v>
      </c>
      <c r="U21" s="35">
        <v>513488.77883810183</v>
      </c>
      <c r="V21" s="35">
        <v>498096.50705248571</v>
      </c>
      <c r="W21" s="35">
        <v>472417.42316076707</v>
      </c>
      <c r="X21" s="35"/>
      <c r="Y21" s="35"/>
      <c r="Z21" s="35"/>
      <c r="AA21" s="35"/>
      <c r="AB21" s="35"/>
    </row>
    <row r="22" spans="2:28" outlineLevel="1" x14ac:dyDescent="0.35">
      <c r="B22" s="3" t="s">
        <v>290</v>
      </c>
      <c r="C22" s="109" t="s">
        <v>233</v>
      </c>
      <c r="D22" s="35">
        <v>316628.21859950881</v>
      </c>
      <c r="E22" s="35">
        <v>741345.10547419696</v>
      </c>
      <c r="F22" s="35">
        <v>1267806.0189102038</v>
      </c>
      <c r="G22" s="35">
        <v>1791728.1970185752</v>
      </c>
      <c r="H22" s="35">
        <v>2279231.620756736</v>
      </c>
      <c r="I22" s="35">
        <v>2554877.6522576748</v>
      </c>
      <c r="J22" s="35">
        <v>2715287.5017105043</v>
      </c>
      <c r="K22" s="35">
        <v>2818638.0638803658</v>
      </c>
      <c r="L22" s="35">
        <v>2910463.7822821848</v>
      </c>
      <c r="M22" s="35">
        <v>2999929.1399369789</v>
      </c>
      <c r="N22" s="35">
        <v>3089787.1911238157</v>
      </c>
      <c r="O22" s="35">
        <v>3178775.3808412715</v>
      </c>
      <c r="P22" s="35">
        <v>3266174.2257869625</v>
      </c>
      <c r="Q22" s="35">
        <v>3352584.7850298318</v>
      </c>
      <c r="R22" s="35">
        <v>3437768.1381290504</v>
      </c>
      <c r="S22" s="35">
        <v>3522813.2847294128</v>
      </c>
      <c r="T22" s="35">
        <v>3606124.3622886161</v>
      </c>
      <c r="U22" s="35">
        <v>3686517.2513247118</v>
      </c>
      <c r="V22" s="35">
        <v>3763313.3499381193</v>
      </c>
      <c r="W22" s="35">
        <v>3834602.7352891713</v>
      </c>
      <c r="X22" s="35"/>
      <c r="Y22" s="35"/>
      <c r="Z22" s="35"/>
      <c r="AA22" s="35"/>
      <c r="AB22" s="35"/>
    </row>
    <row r="23" spans="2:28" outlineLevel="1" x14ac:dyDescent="0.35">
      <c r="B23" s="110" t="s">
        <v>291</v>
      </c>
      <c r="C23" s="109" t="s">
        <v>233</v>
      </c>
      <c r="D23" s="195">
        <f>D20+D22</f>
        <v>14286942.434890043</v>
      </c>
      <c r="E23" s="195">
        <f>E20+E22</f>
        <v>21866999.793078151</v>
      </c>
      <c r="F23" s="195">
        <f>F20+F22</f>
        <v>23324459.997523721</v>
      </c>
      <c r="G23" s="195">
        <f>G20+G22</f>
        <v>24524381.568574391</v>
      </c>
      <c r="H23" s="195">
        <f>H20+H22</f>
        <v>23347511.14196945</v>
      </c>
      <c r="I23" s="195">
        <f>I21+I22</f>
        <v>3977918.7005404159</v>
      </c>
      <c r="J23" s="195">
        <f t="shared" ref="J23:AB23" si="1">J21+J22</f>
        <v>3431062.6742112879</v>
      </c>
      <c r="K23" s="195">
        <f t="shared" si="1"/>
        <v>3404326.5801016763</v>
      </c>
      <c r="L23" s="195">
        <f t="shared" si="1"/>
        <v>3449746.4150571781</v>
      </c>
      <c r="M23" s="195">
        <f t="shared" si="1"/>
        <v>3532502.4702715753</v>
      </c>
      <c r="N23" s="195">
        <f t="shared" si="1"/>
        <v>3627325.571478121</v>
      </c>
      <c r="O23" s="195">
        <f t="shared" si="1"/>
        <v>3716205.7500352981</v>
      </c>
      <c r="P23" s="195">
        <f t="shared" si="1"/>
        <v>3799523.9678565189</v>
      </c>
      <c r="Q23" s="195">
        <f t="shared" si="1"/>
        <v>3884223.1312526199</v>
      </c>
      <c r="R23" s="195">
        <f t="shared" si="1"/>
        <v>3966715.39732322</v>
      </c>
      <c r="S23" s="195">
        <f t="shared" si="1"/>
        <v>4053717.6867237766</v>
      </c>
      <c r="T23" s="195">
        <f t="shared" si="1"/>
        <v>4131561.0519134756</v>
      </c>
      <c r="U23" s="195">
        <f t="shared" si="1"/>
        <v>4200006.0301628141</v>
      </c>
      <c r="V23" s="195">
        <f t="shared" si="1"/>
        <v>4261409.8569906047</v>
      </c>
      <c r="W23" s="195">
        <f t="shared" si="1"/>
        <v>4307020.1584499385</v>
      </c>
      <c r="X23" s="195">
        <f t="shared" si="1"/>
        <v>0</v>
      </c>
      <c r="Y23" s="195">
        <f t="shared" si="1"/>
        <v>0</v>
      </c>
      <c r="Z23" s="195">
        <f t="shared" si="1"/>
        <v>0</v>
      </c>
      <c r="AA23" s="195">
        <f t="shared" si="1"/>
        <v>0</v>
      </c>
      <c r="AB23" s="195">
        <f t="shared" si="1"/>
        <v>0</v>
      </c>
    </row>
    <row r="24" spans="2:28" outlineLevel="1" x14ac:dyDescent="0.35">
      <c r="B24" s="17" t="s">
        <v>292</v>
      </c>
    </row>
    <row r="25" spans="2:28" outlineLevel="1" x14ac:dyDescent="0.35">
      <c r="B25" s="17" t="s">
        <v>293</v>
      </c>
    </row>
    <row r="26" spans="2:28" outlineLevel="1" x14ac:dyDescent="0.35">
      <c r="B26" s="532" t="s">
        <v>294</v>
      </c>
      <c r="C26" s="533"/>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4"/>
    </row>
    <row r="27" spans="2:28" outlineLevel="1" x14ac:dyDescent="0.35">
      <c r="B27" s="111" t="s">
        <v>295</v>
      </c>
      <c r="C27" s="107" t="s">
        <v>147</v>
      </c>
      <c r="D27" s="35">
        <v>99870.557590209995</v>
      </c>
      <c r="E27" s="35">
        <v>296552.56735056249</v>
      </c>
      <c r="F27" s="35">
        <v>499732.12890718738</v>
      </c>
      <c r="G27" s="35">
        <v>719347.11938036443</v>
      </c>
      <c r="H27" s="35">
        <v>922580.90319937468</v>
      </c>
      <c r="I27" s="35">
        <v>1071373.8919410927</v>
      </c>
      <c r="J27" s="35">
        <v>1145392.9887270781</v>
      </c>
      <c r="K27" s="35">
        <v>1184573.5257778571</v>
      </c>
      <c r="L27" s="35">
        <v>1212886.5119124923</v>
      </c>
      <c r="M27" s="35">
        <v>1237361.7358115413</v>
      </c>
      <c r="N27" s="35">
        <v>1260657.9475012936</v>
      </c>
      <c r="O27" s="35">
        <v>1283259.4395161725</v>
      </c>
      <c r="P27" s="35">
        <v>1304811.7331364008</v>
      </c>
      <c r="Q27" s="35">
        <v>1325291.236660209</v>
      </c>
      <c r="R27" s="35">
        <v>1344798.1249912293</v>
      </c>
      <c r="S27" s="35">
        <v>1363446.5327987436</v>
      </c>
      <c r="T27" s="35">
        <v>1381211.1191660634</v>
      </c>
      <c r="U27" s="35">
        <v>1397669.8703336432</v>
      </c>
      <c r="V27" s="35">
        <v>1412559.0589167979</v>
      </c>
      <c r="W27" s="35">
        <v>1425558.040737103</v>
      </c>
      <c r="X27" s="35"/>
      <c r="Y27" s="35"/>
      <c r="Z27" s="35"/>
      <c r="AA27" s="35"/>
      <c r="AB27" s="35"/>
    </row>
    <row r="28" spans="2:28" outlineLevel="1" x14ac:dyDescent="0.35">
      <c r="B28" s="111" t="s">
        <v>296</v>
      </c>
      <c r="C28" s="109" t="s">
        <v>233</v>
      </c>
      <c r="D28" s="151">
        <f t="shared" ref="D28:AB28" si="2">D27*$D$12</f>
        <v>1454551.0328278027</v>
      </c>
      <c r="E28" s="151">
        <f t="shared" si="2"/>
        <v>4319099.1773313303</v>
      </c>
      <c r="F28" s="151">
        <f t="shared" si="2"/>
        <v>7278280.0234454731</v>
      </c>
      <c r="G28" s="151">
        <f t="shared" si="2"/>
        <v>10476832.418916844</v>
      </c>
      <c r="H28" s="151">
        <f t="shared" si="2"/>
        <v>13436802.977731686</v>
      </c>
      <c r="I28" s="151">
        <f t="shared" si="2"/>
        <v>15603878.046440598</v>
      </c>
      <c r="J28" s="151">
        <f t="shared" si="2"/>
        <v>16681919.025452716</v>
      </c>
      <c r="K28" s="151">
        <f t="shared" si="2"/>
        <v>17252558.581384715</v>
      </c>
      <c r="L28" s="151">
        <f t="shared" si="2"/>
        <v>17664919.183130369</v>
      </c>
      <c r="M28" s="151">
        <f t="shared" si="2"/>
        <v>18021385.223373476</v>
      </c>
      <c r="N28" s="151">
        <f t="shared" si="2"/>
        <v>18360679.702066023</v>
      </c>
      <c r="O28" s="151">
        <f>O27*$D$12</f>
        <v>18689856.031376056</v>
      </c>
      <c r="P28" s="151">
        <f t="shared" si="2"/>
        <v>19003751.454627242</v>
      </c>
      <c r="Q28" s="151">
        <f t="shared" si="2"/>
        <v>19302022.373716172</v>
      </c>
      <c r="R28" s="151">
        <f t="shared" si="2"/>
        <v>19586127.77228184</v>
      </c>
      <c r="S28" s="151">
        <f t="shared" si="2"/>
        <v>19857729.94905464</v>
      </c>
      <c r="T28" s="151">
        <f t="shared" si="2"/>
        <v>20116459.82973047</v>
      </c>
      <c r="U28" s="151">
        <f t="shared" si="2"/>
        <v>20356171.052812755</v>
      </c>
      <c r="V28" s="151">
        <f t="shared" si="2"/>
        <v>20573022.596993163</v>
      </c>
      <c r="W28" s="151">
        <f t="shared" si="2"/>
        <v>20762344.484130479</v>
      </c>
      <c r="X28" s="151">
        <f t="shared" si="2"/>
        <v>0</v>
      </c>
      <c r="Y28" s="151">
        <f t="shared" si="2"/>
        <v>0</v>
      </c>
      <c r="Z28" s="151">
        <f t="shared" si="2"/>
        <v>0</v>
      </c>
      <c r="AA28" s="151">
        <f t="shared" si="2"/>
        <v>0</v>
      </c>
      <c r="AB28" s="151">
        <f t="shared" si="2"/>
        <v>0</v>
      </c>
    </row>
    <row r="29" spans="2:28" outlineLevel="1" x14ac:dyDescent="0.35">
      <c r="B29" s="110" t="s">
        <v>297</v>
      </c>
      <c r="C29" s="109" t="s">
        <v>233</v>
      </c>
      <c r="D29" s="195">
        <f>D28</f>
        <v>1454551.0328278027</v>
      </c>
      <c r="E29" s="195">
        <f t="shared" ref="E29:AA29" si="3">E28</f>
        <v>4319099.1773313303</v>
      </c>
      <c r="F29" s="195">
        <f t="shared" si="3"/>
        <v>7278280.0234454731</v>
      </c>
      <c r="G29" s="195">
        <f t="shared" si="3"/>
        <v>10476832.418916844</v>
      </c>
      <c r="H29" s="195">
        <f>H28</f>
        <v>13436802.977731686</v>
      </c>
      <c r="I29" s="195">
        <f t="shared" si="3"/>
        <v>15603878.046440598</v>
      </c>
      <c r="J29" s="195">
        <f t="shared" si="3"/>
        <v>16681919.025452716</v>
      </c>
      <c r="K29" s="195">
        <f t="shared" si="3"/>
        <v>17252558.581384715</v>
      </c>
      <c r="L29" s="195">
        <f t="shared" si="3"/>
        <v>17664919.183130369</v>
      </c>
      <c r="M29" s="195">
        <f t="shared" si="3"/>
        <v>18021385.223373476</v>
      </c>
      <c r="N29" s="195">
        <f t="shared" si="3"/>
        <v>18360679.702066023</v>
      </c>
      <c r="O29" s="195">
        <f t="shared" si="3"/>
        <v>18689856.031376056</v>
      </c>
      <c r="P29" s="195">
        <f t="shared" si="3"/>
        <v>19003751.454627242</v>
      </c>
      <c r="Q29" s="195">
        <f t="shared" si="3"/>
        <v>19302022.373716172</v>
      </c>
      <c r="R29" s="195">
        <f t="shared" si="3"/>
        <v>19586127.77228184</v>
      </c>
      <c r="S29" s="195">
        <f t="shared" si="3"/>
        <v>19857729.94905464</v>
      </c>
      <c r="T29" s="195">
        <f t="shared" si="3"/>
        <v>20116459.82973047</v>
      </c>
      <c r="U29" s="195">
        <f t="shared" si="3"/>
        <v>20356171.052812755</v>
      </c>
      <c r="V29" s="195">
        <f t="shared" si="3"/>
        <v>20573022.596993163</v>
      </c>
      <c r="W29" s="195">
        <f t="shared" si="3"/>
        <v>20762344.484130479</v>
      </c>
      <c r="X29" s="195">
        <f t="shared" si="3"/>
        <v>0</v>
      </c>
      <c r="Y29" s="195">
        <f t="shared" si="3"/>
        <v>0</v>
      </c>
      <c r="Z29" s="195">
        <f t="shared" si="3"/>
        <v>0</v>
      </c>
      <c r="AA29" s="195">
        <f t="shared" si="3"/>
        <v>0</v>
      </c>
      <c r="AB29" s="195">
        <f>AB28</f>
        <v>0</v>
      </c>
    </row>
    <row r="30" spans="2:28" outlineLevel="1" x14ac:dyDescent="0.35">
      <c r="B30" s="112" t="s">
        <v>298</v>
      </c>
    </row>
    <row r="31" spans="2:28" outlineLevel="1" x14ac:dyDescent="0.35">
      <c r="B31" s="3" t="s">
        <v>299</v>
      </c>
      <c r="C31" s="113" t="s">
        <v>233</v>
      </c>
      <c r="D31" s="152">
        <f>D29-D23</f>
        <v>-12832391.402062241</v>
      </c>
      <c r="E31" s="152">
        <f t="shared" ref="E31:AB31" si="4">E29-E23</f>
        <v>-17547900.615746818</v>
      </c>
      <c r="F31" s="152">
        <f t="shared" si="4"/>
        <v>-16046179.974078249</v>
      </c>
      <c r="G31" s="152">
        <f t="shared" si="4"/>
        <v>-14047549.149657547</v>
      </c>
      <c r="H31" s="152">
        <f t="shared" si="4"/>
        <v>-9910708.1642377637</v>
      </c>
      <c r="I31" s="152">
        <f t="shared" si="4"/>
        <v>11625959.345900182</v>
      </c>
      <c r="J31" s="152">
        <f t="shared" si="4"/>
        <v>13250856.351241428</v>
      </c>
      <c r="K31" s="152">
        <f t="shared" si="4"/>
        <v>13848232.001283038</v>
      </c>
      <c r="L31" s="152">
        <f t="shared" si="4"/>
        <v>14215172.76807319</v>
      </c>
      <c r="M31" s="152">
        <f t="shared" si="4"/>
        <v>14488882.7531019</v>
      </c>
      <c r="N31" s="152">
        <f t="shared" si="4"/>
        <v>14733354.130587902</v>
      </c>
      <c r="O31" s="152">
        <f t="shared" si="4"/>
        <v>14973650.281340759</v>
      </c>
      <c r="P31" s="152">
        <f t="shared" si="4"/>
        <v>15204227.486770723</v>
      </c>
      <c r="Q31" s="152">
        <f t="shared" si="4"/>
        <v>15417799.242463551</v>
      </c>
      <c r="R31" s="152">
        <f t="shared" si="4"/>
        <v>15619412.374958619</v>
      </c>
      <c r="S31" s="152">
        <f t="shared" si="4"/>
        <v>15804012.262330864</v>
      </c>
      <c r="T31" s="152">
        <f t="shared" si="4"/>
        <v>15984898.777816994</v>
      </c>
      <c r="U31" s="152">
        <f t="shared" si="4"/>
        <v>16156165.02264994</v>
      </c>
      <c r="V31" s="152">
        <f t="shared" si="4"/>
        <v>16311612.740002558</v>
      </c>
      <c r="W31" s="152">
        <f t="shared" si="4"/>
        <v>16455324.325680541</v>
      </c>
      <c r="X31" s="152">
        <f t="shared" si="4"/>
        <v>0</v>
      </c>
      <c r="Y31" s="152">
        <f t="shared" si="4"/>
        <v>0</v>
      </c>
      <c r="Z31" s="152">
        <f t="shared" si="4"/>
        <v>0</v>
      </c>
      <c r="AA31" s="152">
        <f t="shared" si="4"/>
        <v>0</v>
      </c>
      <c r="AB31" s="152">
        <f t="shared" si="4"/>
        <v>0</v>
      </c>
    </row>
    <row r="32" spans="2:28" outlineLevel="1" x14ac:dyDescent="0.35">
      <c r="B32" s="3" t="s">
        <v>300</v>
      </c>
      <c r="C32" s="113" t="s">
        <v>233</v>
      </c>
      <c r="D32" s="152">
        <f>D31*1/(1+D11)</f>
        <v>-11840183.98418734</v>
      </c>
      <c r="E32" s="152">
        <f>E31*1/(1+E11)*(1/(1+D11))</f>
        <v>-14939183.875753995</v>
      </c>
      <c r="F32" s="152">
        <f>F31*1/(1+F11)*(1/(1+E11))*(1/(1+D11))</f>
        <v>-12604459.261038629</v>
      </c>
      <c r="G32" s="152">
        <f>G31*1/(1+G11)*(1/(1+F11)*(1/(1+E11))*(1/(1+D11)))</f>
        <v>-10181317.327293552</v>
      </c>
      <c r="H32" s="152">
        <f>H31*1/(1+$H$11)*(1/(1+$G$11)*(1/(1+$F$11)*(1/(1+$E$11))*(1/(1+$D$11))))</f>
        <v>-6627640.6729518427</v>
      </c>
      <c r="I32" s="152">
        <f t="shared" ref="I32:X32" si="5">I31*(1/((1+$H$11)^(I18-$G$18))*(1/(1+$G$11)*(1/(1+$F$11)*(1/(1+$E$11))*((1/(1+$D$11))))))</f>
        <v>7173546.5345838303</v>
      </c>
      <c r="J32" s="152">
        <f t="shared" si="5"/>
        <v>7543969.4185407674</v>
      </c>
      <c r="K32" s="152">
        <f t="shared" si="5"/>
        <v>7274466.6521366267</v>
      </c>
      <c r="L32" s="152">
        <f t="shared" si="5"/>
        <v>6889850.8784617223</v>
      </c>
      <c r="M32" s="152">
        <f t="shared" si="5"/>
        <v>6479528.9004610991</v>
      </c>
      <c r="N32" s="152">
        <f t="shared" si="5"/>
        <v>6079404.1306273788</v>
      </c>
      <c r="O32" s="152">
        <f t="shared" si="5"/>
        <v>5700827.835982183</v>
      </c>
      <c r="P32" s="152">
        <f t="shared" si="5"/>
        <v>5341035.3468897054</v>
      </c>
      <c r="Q32" s="152">
        <f t="shared" si="5"/>
        <v>4997287.4682270149</v>
      </c>
      <c r="R32" s="152">
        <f t="shared" si="5"/>
        <v>4671189.5525341406</v>
      </c>
      <c r="S32" s="152">
        <f t="shared" si="5"/>
        <v>4360949.03412221</v>
      </c>
      <c r="T32" s="152">
        <f t="shared" si="5"/>
        <v>4069812.4593980145</v>
      </c>
      <c r="U32" s="152">
        <f t="shared" si="5"/>
        <v>3795365.8041291991</v>
      </c>
      <c r="V32" s="152">
        <f t="shared" si="5"/>
        <v>3535599.9191544801</v>
      </c>
      <c r="W32" s="152">
        <f t="shared" si="5"/>
        <v>3290966.8897391628</v>
      </c>
      <c r="X32" s="152">
        <f t="shared" si="5"/>
        <v>0</v>
      </c>
      <c r="Y32" s="152">
        <f t="shared" ref="Y32:AB32" si="6">Y31*(1/((1+$H$11)^(Y18-$G$18))*(1/(1+$G$11)*(1/(1+$F$11)*(1/(1+$E$11))*((1/(1+$D$11))))))</f>
        <v>0</v>
      </c>
      <c r="Z32" s="152">
        <f t="shared" si="6"/>
        <v>0</v>
      </c>
      <c r="AA32" s="152">
        <f t="shared" si="6"/>
        <v>0</v>
      </c>
      <c r="AB32" s="152">
        <f t="shared" si="6"/>
        <v>0</v>
      </c>
    </row>
    <row r="33" spans="2:28" outlineLevel="1" x14ac:dyDescent="0.35">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row>
    <row r="34" spans="2:28" outlineLevel="1" x14ac:dyDescent="0.35">
      <c r="B34" s="40" t="s">
        <v>301</v>
      </c>
      <c r="C34" s="114" t="s">
        <v>233</v>
      </c>
      <c r="D34" s="115">
        <f>SUM(D32:AB32)</f>
        <v>25011015.703762177</v>
      </c>
      <c r="E34" s="39"/>
      <c r="F34" s="39"/>
      <c r="G34" s="39"/>
      <c r="H34" s="39"/>
    </row>
    <row r="35" spans="2:28" ht="5.15" customHeight="1" outlineLevel="1" x14ac:dyDescent="0.35"/>
    <row r="36" spans="2:28" outlineLevel="1" x14ac:dyDescent="0.35">
      <c r="B36" s="40" t="s">
        <v>276</v>
      </c>
      <c r="C36" s="40"/>
      <c r="D36" s="196">
        <f>IFERROR(IRR(D31:AB31),0)</f>
        <v>0.1298684091821134</v>
      </c>
    </row>
    <row r="37" spans="2:28" ht="5.15" customHeight="1" outlineLevel="1" x14ac:dyDescent="0.35"/>
    <row r="38" spans="2:28" outlineLevel="1" x14ac:dyDescent="0.35">
      <c r="B38" s="40" t="s">
        <v>302</v>
      </c>
    </row>
    <row r="39" spans="2:28" outlineLevel="1" x14ac:dyDescent="0.35">
      <c r="B39" s="3" t="s">
        <v>286</v>
      </c>
      <c r="C39" s="38"/>
      <c r="D39" s="21">
        <v>1</v>
      </c>
      <c r="E39" s="21">
        <v>2</v>
      </c>
      <c r="F39" s="21">
        <v>3</v>
      </c>
      <c r="G39" s="21">
        <v>4</v>
      </c>
      <c r="H39" s="21">
        <v>5</v>
      </c>
      <c r="I39" s="21">
        <v>6</v>
      </c>
      <c r="J39" s="21">
        <v>7</v>
      </c>
      <c r="K39" s="21">
        <v>8</v>
      </c>
      <c r="L39" s="21">
        <v>9</v>
      </c>
      <c r="M39" s="21">
        <v>10</v>
      </c>
      <c r="N39" s="21">
        <v>11</v>
      </c>
      <c r="O39" s="21">
        <v>12</v>
      </c>
      <c r="P39" s="21">
        <v>13</v>
      </c>
      <c r="Q39" s="21">
        <v>14</v>
      </c>
      <c r="R39" s="21">
        <v>15</v>
      </c>
      <c r="S39" s="21">
        <v>16</v>
      </c>
      <c r="T39" s="21">
        <v>17</v>
      </c>
      <c r="U39" s="21">
        <v>18</v>
      </c>
      <c r="V39" s="21">
        <v>19</v>
      </c>
      <c r="W39" s="21">
        <v>20</v>
      </c>
      <c r="X39" s="21">
        <v>21</v>
      </c>
      <c r="Y39" s="21">
        <v>22</v>
      </c>
      <c r="Z39" s="21">
        <v>23</v>
      </c>
      <c r="AA39" s="21">
        <v>24</v>
      </c>
      <c r="AB39" s="21">
        <v>25</v>
      </c>
    </row>
    <row r="40" spans="2:28" outlineLevel="1" x14ac:dyDescent="0.35">
      <c r="B40" s="3" t="s">
        <v>299</v>
      </c>
      <c r="C40" s="113" t="s">
        <v>233</v>
      </c>
      <c r="D40" s="151">
        <f>D31</f>
        <v>-12832391.402062241</v>
      </c>
      <c r="E40" s="151">
        <f>E31</f>
        <v>-17547900.615746818</v>
      </c>
      <c r="F40" s="151">
        <f t="shared" ref="F40:AB40" si="7">F31</f>
        <v>-16046179.974078249</v>
      </c>
      <c r="G40" s="151">
        <f t="shared" si="7"/>
        <v>-14047549.149657547</v>
      </c>
      <c r="H40" s="151">
        <f t="shared" si="7"/>
        <v>-9910708.1642377637</v>
      </c>
      <c r="I40" s="151">
        <f t="shared" si="7"/>
        <v>11625959.345900182</v>
      </c>
      <c r="J40" s="151">
        <f t="shared" si="7"/>
        <v>13250856.351241428</v>
      </c>
      <c r="K40" s="151">
        <f t="shared" si="7"/>
        <v>13848232.001283038</v>
      </c>
      <c r="L40" s="151">
        <f t="shared" si="7"/>
        <v>14215172.76807319</v>
      </c>
      <c r="M40" s="151">
        <f t="shared" si="7"/>
        <v>14488882.7531019</v>
      </c>
      <c r="N40" s="151">
        <f t="shared" si="7"/>
        <v>14733354.130587902</v>
      </c>
      <c r="O40" s="151">
        <f t="shared" si="7"/>
        <v>14973650.281340759</v>
      </c>
      <c r="P40" s="151">
        <f t="shared" si="7"/>
        <v>15204227.486770723</v>
      </c>
      <c r="Q40" s="151">
        <f t="shared" si="7"/>
        <v>15417799.242463551</v>
      </c>
      <c r="R40" s="151">
        <f t="shared" si="7"/>
        <v>15619412.374958619</v>
      </c>
      <c r="S40" s="151">
        <f t="shared" si="7"/>
        <v>15804012.262330864</v>
      </c>
      <c r="T40" s="151">
        <f t="shared" si="7"/>
        <v>15984898.777816994</v>
      </c>
      <c r="U40" s="151">
        <f t="shared" si="7"/>
        <v>16156165.02264994</v>
      </c>
      <c r="V40" s="151">
        <f t="shared" si="7"/>
        <v>16311612.740002558</v>
      </c>
      <c r="W40" s="151">
        <f t="shared" si="7"/>
        <v>16455324.325680541</v>
      </c>
      <c r="X40" s="151">
        <f t="shared" si="7"/>
        <v>0</v>
      </c>
      <c r="Y40" s="151">
        <f t="shared" si="7"/>
        <v>0</v>
      </c>
      <c r="Z40" s="151">
        <f t="shared" si="7"/>
        <v>0</v>
      </c>
      <c r="AA40" s="151">
        <f t="shared" si="7"/>
        <v>0</v>
      </c>
      <c r="AB40" s="151">
        <f t="shared" si="7"/>
        <v>0</v>
      </c>
    </row>
    <row r="41" spans="2:28" outlineLevel="1" x14ac:dyDescent="0.35">
      <c r="B41" s="116" t="s">
        <v>303</v>
      </c>
      <c r="C41" s="117" t="s">
        <v>233</v>
      </c>
      <c r="D41" s="197">
        <f>D20*1/(1+D11)</f>
        <v>12890121.993255705</v>
      </c>
      <c r="E41" s="197">
        <f>E20*1/(1+E11)*(1/(1+D11))</f>
        <v>17985059.682329882</v>
      </c>
      <c r="F41" s="197">
        <f>F20*1/(1+F11)*(1/(1+E11))*(1/(1+D11))</f>
        <v>17325755.847022384</v>
      </c>
      <c r="G41" s="197">
        <f>G20*1/(1+G11)*(1/(1+F11)*(1/(1+E11))*(1/(1+D11)))</f>
        <v>16476066.764487647</v>
      </c>
      <c r="H41" s="197">
        <f>H20*1/(1+$H$11)*(1/(1+$G$11)*(1/(1+$F$11)*(1/(1+$E$11))*(1/(1+$D$11))))</f>
        <v>14089102.81182182</v>
      </c>
    </row>
    <row r="42" spans="2:28" outlineLevel="1" x14ac:dyDescent="0.35">
      <c r="B42" s="3" t="s">
        <v>304</v>
      </c>
      <c r="C42" s="113" t="s">
        <v>233</v>
      </c>
      <c r="D42" s="152">
        <f>D40-D41</f>
        <v>-25722513.395317946</v>
      </c>
      <c r="E42" s="152">
        <f>D42+E40-E41</f>
        <v>-61255473.693394646</v>
      </c>
      <c r="F42" s="152">
        <f>E42+F40-F41</f>
        <v>-94627409.514495283</v>
      </c>
      <c r="G42" s="152">
        <f>F42+G40-G41</f>
        <v>-125151025.42864048</v>
      </c>
      <c r="H42" s="152">
        <f>G42+H40-H41</f>
        <v>-149150836.40470007</v>
      </c>
      <c r="I42" s="152">
        <f t="shared" ref="I42:AA42" si="8">H42+I40</f>
        <v>-137524877.05879989</v>
      </c>
      <c r="J42" s="152">
        <f t="shared" si="8"/>
        <v>-124274020.70755847</v>
      </c>
      <c r="K42" s="152">
        <f t="shared" si="8"/>
        <v>-110425788.70627543</v>
      </c>
      <c r="L42" s="152">
        <f t="shared" si="8"/>
        <v>-96210615.938202247</v>
      </c>
      <c r="M42" s="152">
        <f t="shared" si="8"/>
        <v>-81721733.185100347</v>
      </c>
      <c r="N42" s="152">
        <f t="shared" si="8"/>
        <v>-66988379.054512441</v>
      </c>
      <c r="O42" s="152">
        <f t="shared" si="8"/>
        <v>-52014728.773171678</v>
      </c>
      <c r="P42" s="152">
        <f t="shared" si="8"/>
        <v>-36810501.286400959</v>
      </c>
      <c r="Q42" s="152">
        <f t="shared" si="8"/>
        <v>-21392702.043937407</v>
      </c>
      <c r="R42" s="152">
        <f t="shared" si="8"/>
        <v>-5773289.668978788</v>
      </c>
      <c r="S42" s="152">
        <f t="shared" si="8"/>
        <v>10030722.593352076</v>
      </c>
      <c r="T42" s="152">
        <f t="shared" si="8"/>
        <v>26015621.371169068</v>
      </c>
      <c r="U42" s="152">
        <f t="shared" si="8"/>
        <v>42171786.393819004</v>
      </c>
      <c r="V42" s="152">
        <f t="shared" si="8"/>
        <v>58483399.133821562</v>
      </c>
      <c r="W42" s="152">
        <f t="shared" si="8"/>
        <v>74938723.459502101</v>
      </c>
      <c r="X42" s="152">
        <f t="shared" si="8"/>
        <v>74938723.459502101</v>
      </c>
      <c r="Y42" s="152">
        <f t="shared" si="8"/>
        <v>74938723.459502101</v>
      </c>
      <c r="Z42" s="152">
        <f t="shared" si="8"/>
        <v>74938723.459502101</v>
      </c>
      <c r="AA42" s="152">
        <f t="shared" si="8"/>
        <v>74938723.459502101</v>
      </c>
      <c r="AB42" s="152">
        <f>AA42+AB40</f>
        <v>74938723.459502101</v>
      </c>
    </row>
    <row r="43" spans="2:28" outlineLevel="1" x14ac:dyDescent="0.35">
      <c r="B43" s="118" t="s">
        <v>305</v>
      </c>
    </row>
    <row r="46" spans="2:28" s="399" customFormat="1" ht="16.399999999999999" customHeight="1" x14ac:dyDescent="0.35"/>
    <row r="47" spans="2:28" x14ac:dyDescent="0.35">
      <c r="D47" s="400"/>
      <c r="E47" s="400"/>
      <c r="F47" s="400"/>
      <c r="G47" s="400"/>
      <c r="H47" s="400"/>
      <c r="I47" s="400"/>
      <c r="J47" s="400"/>
      <c r="K47" s="400"/>
      <c r="L47" s="400"/>
      <c r="M47" s="400"/>
      <c r="N47" s="400"/>
      <c r="O47" s="400"/>
      <c r="P47" s="400"/>
      <c r="Q47" s="400"/>
      <c r="R47" s="400"/>
      <c r="S47" s="400"/>
      <c r="T47" s="400"/>
      <c r="U47" s="400"/>
      <c r="V47" s="400"/>
      <c r="W47" s="400"/>
    </row>
  </sheetData>
  <mergeCells count="7">
    <mergeCell ref="B9:AB9"/>
    <mergeCell ref="B14:AB14"/>
    <mergeCell ref="B19:AB19"/>
    <mergeCell ref="B26:AB26"/>
    <mergeCell ref="C2:H2"/>
    <mergeCell ref="J2:L2"/>
    <mergeCell ref="B5:I5"/>
  </mergeCells>
  <conditionalFormatting sqref="D34">
    <cfRule type="cellIs" dxfId="3" priority="1" operator="lessThan">
      <formula>0</formula>
    </cfRule>
    <cfRule type="cellIs" dxfId="2" priority="2" operator="greaterThanOrEqual">
      <formula>0</formula>
    </cfRule>
  </conditionalFormatting>
  <hyperlinks>
    <hyperlink ref="J2" location="'Αρχική σελίδα'!A1" display="Πίσω στην αρχική σελίδα" xr:uid="{D8DBE387-E36D-497D-9529-32E3BB18F18E}"/>
  </hyperlinks>
  <pageMargins left="0.7" right="0.7" top="0.75" bottom="0.75" header="0.3" footer="0.3"/>
  <pageSetup orientation="portrait" r:id="rId1"/>
  <customProperties>
    <customPr name="_pios_id" r:id="rId2"/>
  </customProperties>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B6161-FF02-498F-86A9-B573F362489E}">
  <sheetPr codeName="Sheet19">
    <tabColor theme="9" tint="-0.249977111117893"/>
  </sheetPr>
  <dimension ref="B3:Q11"/>
  <sheetViews>
    <sheetView showGridLines="0" workbookViewId="0">
      <selection activeCell="E18" sqref="E18"/>
    </sheetView>
  </sheetViews>
  <sheetFormatPr defaultColWidth="8.54296875" defaultRowHeight="14.5" x14ac:dyDescent="0.35"/>
  <cols>
    <col min="1" max="1" width="2.54296875" customWidth="1"/>
    <col min="2" max="2" width="28.453125" customWidth="1"/>
  </cols>
  <sheetData>
    <row r="3" spans="2:17" ht="28.5" x14ac:dyDescent="0.65">
      <c r="B3" s="97" t="s">
        <v>306</v>
      </c>
      <c r="C3" s="98"/>
      <c r="D3" s="98"/>
      <c r="E3" s="98"/>
      <c r="F3" s="98"/>
      <c r="G3" s="98"/>
      <c r="H3" s="98"/>
      <c r="I3" s="98"/>
      <c r="J3" s="98"/>
      <c r="K3" s="98"/>
      <c r="L3" s="98"/>
      <c r="M3" s="98"/>
      <c r="N3" s="98"/>
      <c r="O3" s="98"/>
      <c r="P3" s="98"/>
      <c r="Q3" s="98"/>
    </row>
    <row r="6" spans="2:17" ht="21" x14ac:dyDescent="0.5">
      <c r="B6" s="95" t="s">
        <v>4</v>
      </c>
      <c r="C6" s="98"/>
      <c r="D6" s="98"/>
      <c r="E6" s="98"/>
      <c r="F6" s="98"/>
      <c r="G6" s="98"/>
      <c r="H6" s="98"/>
      <c r="I6" s="98"/>
      <c r="J6" s="98"/>
    </row>
    <row r="7" spans="2:17" ht="21" x14ac:dyDescent="0.5">
      <c r="B7" s="96"/>
    </row>
    <row r="8" spans="2:17" x14ac:dyDescent="0.35">
      <c r="B8" s="202" t="s">
        <v>23</v>
      </c>
    </row>
    <row r="9" spans="2:17" x14ac:dyDescent="0.35">
      <c r="B9" s="202" t="s">
        <v>24</v>
      </c>
    </row>
    <row r="10" spans="2:17" x14ac:dyDescent="0.35">
      <c r="B10" s="202" t="s">
        <v>25</v>
      </c>
    </row>
    <row r="11" spans="2:17" x14ac:dyDescent="0.35">
      <c r="B11" s="199" t="s">
        <v>26</v>
      </c>
    </row>
  </sheetData>
  <hyperlinks>
    <hyperlink ref="B9" location="'Πρόγραμμα ανάπτυξης δικτύου'!A1" display="Πρόγραμμα ανάπτυξης δικτύου" xr:uid="{1084293B-0C08-40B8-8A56-DCA4FFD652F6}"/>
    <hyperlink ref="B11" location="'Επίπτωση στη μέση χρέωση'!A1" display="Επίπτωση στη μέση χρέωση" xr:uid="{EE5B4CDB-DE53-46D5-AF24-98CFAD7632B2}"/>
    <hyperlink ref="B10" location="'Συνολικοί δείκτες απόδοσης'!A1" display="Συνολικοί δείκτες απόδοσης" xr:uid="{7944EDAD-A3E0-49F2-B6C5-5D53BBC56CC0}"/>
    <hyperlink ref="B8" location="'Στοιχεία συνολικού δικτύου'!A1" display="Στοιχεία συνολικού δικτύου" xr:uid="{8A996F8E-D31B-4F9F-993E-7442BBD59A04}"/>
  </hyperlinks>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9CF-4AE6-4FCA-8CA4-DDC5E1F80A12}">
  <sheetPr codeName="Sheet2">
    <tabColor theme="4" tint="-0.249977111117893"/>
  </sheetPr>
  <dimension ref="B3:Q20"/>
  <sheetViews>
    <sheetView showGridLines="0" workbookViewId="0">
      <selection activeCell="D27" sqref="D27"/>
    </sheetView>
  </sheetViews>
  <sheetFormatPr defaultColWidth="8.54296875" defaultRowHeight="14.5" x14ac:dyDescent="0.35"/>
  <cols>
    <col min="1" max="1" width="2.54296875" customWidth="1"/>
    <col min="2" max="2" width="30.453125" customWidth="1"/>
  </cols>
  <sheetData>
    <row r="3" spans="2:17" ht="28.5" x14ac:dyDescent="0.65">
      <c r="B3" s="97" t="s">
        <v>56</v>
      </c>
      <c r="C3" s="98"/>
      <c r="D3" s="98"/>
      <c r="E3" s="98"/>
      <c r="F3" s="98"/>
      <c r="G3" s="98"/>
      <c r="H3" s="98"/>
      <c r="I3" s="98"/>
      <c r="J3" s="98"/>
      <c r="K3" s="98"/>
      <c r="L3" s="98"/>
      <c r="M3" s="98"/>
      <c r="N3" s="98"/>
      <c r="O3" s="98"/>
      <c r="P3" s="98"/>
      <c r="Q3" s="98"/>
    </row>
    <row r="6" spans="2:17" ht="21" x14ac:dyDescent="0.5">
      <c r="B6" s="95" t="s">
        <v>4</v>
      </c>
      <c r="C6" s="98"/>
      <c r="D6" s="98"/>
      <c r="E6" s="98"/>
      <c r="F6" s="98"/>
      <c r="G6" s="98"/>
      <c r="H6" s="98"/>
      <c r="I6" s="98"/>
      <c r="J6" s="98"/>
    </row>
    <row r="7" spans="2:17" ht="21" x14ac:dyDescent="0.5">
      <c r="B7" s="96"/>
    </row>
    <row r="8" spans="2:17" x14ac:dyDescent="0.35">
      <c r="B8" s="199" t="s">
        <v>6</v>
      </c>
    </row>
    <row r="9" spans="2:17" x14ac:dyDescent="0.35">
      <c r="B9" s="200" t="s">
        <v>57</v>
      </c>
    </row>
    <row r="10" spans="2:17" x14ac:dyDescent="0.35">
      <c r="B10" s="200" t="s">
        <v>8</v>
      </c>
    </row>
    <row r="11" spans="2:17" x14ac:dyDescent="0.35">
      <c r="B11" s="200" t="s">
        <v>9</v>
      </c>
    </row>
    <row r="12" spans="2:17" x14ac:dyDescent="0.35">
      <c r="B12" s="200" t="s">
        <v>10</v>
      </c>
    </row>
    <row r="13" spans="2:17" x14ac:dyDescent="0.35">
      <c r="B13" s="200" t="s">
        <v>11</v>
      </c>
    </row>
    <row r="14" spans="2:17" x14ac:dyDescent="0.35">
      <c r="B14" s="200" t="s">
        <v>12</v>
      </c>
    </row>
    <row r="15" spans="2:17" x14ac:dyDescent="0.35">
      <c r="B15" s="200" t="s">
        <v>13</v>
      </c>
    </row>
    <row r="16" spans="2:17" x14ac:dyDescent="0.35">
      <c r="B16" s="201" t="s">
        <v>14</v>
      </c>
    </row>
    <row r="17" spans="2:2" x14ac:dyDescent="0.35">
      <c r="B17" s="200" t="s">
        <v>15</v>
      </c>
    </row>
    <row r="18" spans="2:2" x14ac:dyDescent="0.35">
      <c r="B18" s="200" t="s">
        <v>16</v>
      </c>
    </row>
    <row r="19" spans="2:2" x14ac:dyDescent="0.35">
      <c r="B19" s="200" t="s">
        <v>17</v>
      </c>
    </row>
    <row r="20" spans="2:2" x14ac:dyDescent="0.35">
      <c r="B20" s="200" t="s">
        <v>18</v>
      </c>
    </row>
  </sheetData>
  <hyperlinks>
    <hyperlink ref="B10" location="'Ανάπτυξη δικτύου'!A1" display="Ανάπτυξη δικτύου" xr:uid="{C52AA211-1C1C-4FEB-868F-DDD47581EA90}"/>
    <hyperlink ref="B11" location="'Ενεργές συνδέσεις'!A1" display="Ενεργές συνδέσεις" xr:uid="{F4894F64-036C-4B8E-9699-BF63661A824C}"/>
    <hyperlink ref="B13" location="'Ενεργοί πελάτες'!A1" display="Ενεργοί πελάτες" xr:uid="{D73B4CC8-DCFE-4BDE-B8F4-DB7A71FA301F}"/>
    <hyperlink ref="B9" location="'Ανάλυση για νέους δήμους'!A1" display="Ανάλυση για νέους δήμους" xr:uid="{87F4B694-7F66-4C13-97C6-C6A0FE97AC29}"/>
    <hyperlink ref="B14" location="'Μέση ετήσια κατανάλωση'!A1" display="Μέση ετήσια κατανάλωση" xr:uid="{F30542AF-D7AD-4BBC-B37B-274FE85EA8EC}"/>
    <hyperlink ref="B15" location="'Διανεμόμενες ποσότητες αερίου'!A1" display="Διανεμόμενες ποσότητες αερίου" xr:uid="{06938263-0833-45DF-AC11-4E4C8EF6FFC3}"/>
    <hyperlink ref="B16" location="'Παραδοχές μοναδιαίου κόστους'!A1" display="Παραδοχές μοναδιαίου κόστους" xr:uid="{8524F84B-0DC1-4CC8-8B07-640E4A326D52}"/>
    <hyperlink ref="B17" location="Επενδύσεις!A1" display="Επενδύσεις ανάπτυξης / σύνδεσης" xr:uid="{75FB2041-8936-44CA-A46A-258E527D6400}"/>
    <hyperlink ref="B18" location="'Παραδοχές διείσδυσης - κάλυψης'!A1" display="Παραδοχές διείσδυσης - κάλυψης" xr:uid="{15FE033E-34E4-444F-98E8-653F32281812}"/>
    <hyperlink ref="B19" location="'Δείκτες διείσδυσης - κάλυψης'!A1" display="Δείκτες διείσδυσης - κάλυψης" xr:uid="{DE214FA0-37EA-4B7F-9BE1-ACA631203727}"/>
    <hyperlink ref="B20" location="'Δείκτες απόδοσης'!A1" display="Δείκτες απόδοσης" xr:uid="{B9E64714-4832-4A41-9533-0EDCBAFF5D3F}"/>
    <hyperlink ref="B8" location="'Γενική περιγραφή'!A1" display="Γενική περιγραφή" xr:uid="{1F449B32-64EA-42F2-8974-A5D1EE4E5C06}"/>
    <hyperlink ref="B12" location="'Ενεργοί μετρητές'!A1" display="Ενεργοί μετρητές" xr:uid="{812B950F-F320-47FB-93BD-8509F03FB0BD}"/>
  </hyperlinks>
  <pageMargins left="0.7" right="0.7" top="0.75" bottom="0.75" header="0.3" footer="0.3"/>
  <customProperties>
    <customPr name="_pios_id" r:id="rId1"/>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71A55-A606-42F3-ADC7-5A10D1ED5E07}">
  <sheetPr codeName="Sheet20">
    <tabColor theme="9" tint="0.79998168889431442"/>
  </sheetPr>
  <dimension ref="B2:K111"/>
  <sheetViews>
    <sheetView showGridLines="0" topLeftCell="A74" workbookViewId="0">
      <selection activeCell="I88" sqref="I88"/>
    </sheetView>
  </sheetViews>
  <sheetFormatPr defaultColWidth="8.54296875" defaultRowHeight="14.5" outlineLevelRow="1" x14ac:dyDescent="0.35"/>
  <cols>
    <col min="1" max="1" width="2.54296875" customWidth="1"/>
    <col min="2" max="2" width="28.453125" customWidth="1"/>
    <col min="3" max="3" width="27.453125" customWidth="1"/>
    <col min="4" max="8" width="12.453125" customWidth="1"/>
    <col min="9" max="9" width="16" bestFit="1" customWidth="1"/>
  </cols>
  <sheetData>
    <row r="2" spans="2:11" ht="18.5" x14ac:dyDescent="0.45">
      <c r="B2" s="1" t="s">
        <v>0</v>
      </c>
      <c r="C2" s="420">
        <f>'Αρχική σελίδα'!C3</f>
        <v>0</v>
      </c>
      <c r="D2" s="420"/>
      <c r="E2" s="420"/>
      <c r="F2" s="420"/>
      <c r="G2" s="420"/>
      <c r="H2" s="420"/>
      <c r="I2" s="421" t="s">
        <v>58</v>
      </c>
      <c r="J2" s="421"/>
      <c r="K2" s="421"/>
    </row>
    <row r="3" spans="2:11" ht="18.5" x14ac:dyDescent="0.45">
      <c r="B3" s="2" t="s">
        <v>1</v>
      </c>
      <c r="C3" s="46">
        <f>'Αρχική σελίδα'!C4</f>
        <v>2024</v>
      </c>
      <c r="D3" s="46" t="s">
        <v>2</v>
      </c>
      <c r="E3" s="46">
        <f>C3+4</f>
        <v>2028</v>
      </c>
    </row>
    <row r="5" spans="2:11" ht="33" customHeight="1" x14ac:dyDescent="0.35">
      <c r="B5" s="422" t="s">
        <v>307</v>
      </c>
      <c r="C5" s="422"/>
      <c r="D5" s="422"/>
      <c r="E5" s="422"/>
      <c r="F5" s="422"/>
      <c r="G5" s="422"/>
      <c r="H5" s="422"/>
    </row>
    <row r="6" spans="2:11" x14ac:dyDescent="0.35">
      <c r="B6" s="226"/>
      <c r="C6" s="226"/>
      <c r="D6" s="226"/>
      <c r="E6" s="226"/>
      <c r="F6" s="226"/>
      <c r="G6" s="226"/>
      <c r="H6" s="226"/>
    </row>
    <row r="7" spans="2:11" ht="18.5" x14ac:dyDescent="0.45">
      <c r="B7" s="100" t="s">
        <v>308</v>
      </c>
      <c r="C7" s="229"/>
      <c r="D7" s="229"/>
      <c r="E7" s="229"/>
      <c r="F7" s="229"/>
      <c r="G7" s="229"/>
      <c r="H7" s="229"/>
      <c r="I7" s="229"/>
    </row>
    <row r="8" spans="2:11" ht="18.5" x14ac:dyDescent="0.45">
      <c r="C8" s="2"/>
      <c r="D8" s="46"/>
      <c r="E8" s="46"/>
    </row>
    <row r="9" spans="2:11" ht="15.5" x14ac:dyDescent="0.35">
      <c r="B9" s="419" t="s">
        <v>309</v>
      </c>
      <c r="C9" s="419"/>
      <c r="D9" s="419"/>
      <c r="E9" s="419"/>
      <c r="F9" s="419"/>
      <c r="G9" s="419"/>
      <c r="H9" s="419"/>
      <c r="I9" s="419"/>
    </row>
    <row r="10" spans="2:11" ht="5.15" customHeight="1" outlineLevel="1" x14ac:dyDescent="0.35"/>
    <row r="11" spans="2:11" outlineLevel="1" x14ac:dyDescent="0.35">
      <c r="B11" s="539"/>
      <c r="C11" s="540"/>
      <c r="D11" s="9" t="s">
        <v>134</v>
      </c>
      <c r="E11" s="9">
        <f>$C$3-5</f>
        <v>2019</v>
      </c>
      <c r="F11" s="9">
        <f>$C$3-4</f>
        <v>2020</v>
      </c>
      <c r="G11" s="9">
        <f>$C$3-3</f>
        <v>2021</v>
      </c>
      <c r="H11" s="9">
        <f>$C$3-2</f>
        <v>2022</v>
      </c>
      <c r="I11" s="9">
        <f>$C$3-1</f>
        <v>2023</v>
      </c>
      <c r="J11" s="131"/>
    </row>
    <row r="12" spans="2:11" outlineLevel="1" x14ac:dyDescent="0.35">
      <c r="B12" s="541" t="s">
        <v>168</v>
      </c>
      <c r="C12" s="5" t="s">
        <v>171</v>
      </c>
      <c r="D12" s="14" t="s">
        <v>175</v>
      </c>
      <c r="E12" s="138">
        <f>'Ανάπτυξη δικτύου'!D69</f>
        <v>1389.33</v>
      </c>
      <c r="F12" s="138">
        <f>'Ανάπτυξη δικτύου'!F69</f>
        <v>1532.52</v>
      </c>
      <c r="G12" s="138">
        <f>'Ανάπτυξη δικτύου'!I69</f>
        <v>8534.6899999999987</v>
      </c>
      <c r="H12" s="138">
        <f>'Ανάπτυξη δικτύου'!L69</f>
        <v>680.64</v>
      </c>
      <c r="I12" s="138">
        <f>'Ανάπτυξη δικτύου'!O69</f>
        <v>2260.3999999999996</v>
      </c>
    </row>
    <row r="13" spans="2:11" outlineLevel="1" x14ac:dyDescent="0.35">
      <c r="B13" s="541"/>
      <c r="C13" s="7" t="s">
        <v>172</v>
      </c>
      <c r="D13" s="15" t="s">
        <v>175</v>
      </c>
      <c r="E13" s="139">
        <f>'Ανάπτυξη δικτύου'!E69</f>
        <v>332509.57</v>
      </c>
      <c r="F13" s="139">
        <f>E13+F12</f>
        <v>334042.09000000003</v>
      </c>
      <c r="G13" s="139">
        <f>F13+G12</f>
        <v>342576.78</v>
      </c>
      <c r="H13" s="139">
        <f>G13+H12</f>
        <v>343257.42000000004</v>
      </c>
      <c r="I13" s="139">
        <f>H13+I12</f>
        <v>345517.82000000007</v>
      </c>
    </row>
    <row r="14" spans="2:11" outlineLevel="1" x14ac:dyDescent="0.35">
      <c r="B14" s="541" t="s">
        <v>183</v>
      </c>
      <c r="C14" s="5" t="s">
        <v>171</v>
      </c>
      <c r="D14" s="14" t="s">
        <v>175</v>
      </c>
      <c r="E14" s="138">
        <f>'Ανάπτυξη δικτύου'!D132</f>
        <v>117583.94</v>
      </c>
      <c r="F14" s="138">
        <f>'Ανάπτυξη δικτύου'!F132</f>
        <v>161230.23000000004</v>
      </c>
      <c r="G14" s="138">
        <f>'Ανάπτυξη δικτύου'!I132</f>
        <v>155206.93</v>
      </c>
      <c r="H14" s="138">
        <f>'Ανάπτυξη δικτύου'!L132</f>
        <v>53481.75</v>
      </c>
      <c r="I14" s="138">
        <f>'Ανάπτυξη δικτύου'!O132</f>
        <v>128185.23999999999</v>
      </c>
    </row>
    <row r="15" spans="2:11" outlineLevel="1" x14ac:dyDescent="0.35">
      <c r="B15" s="541"/>
      <c r="C15" s="7" t="s">
        <v>172</v>
      </c>
      <c r="D15" s="15" t="s">
        <v>175</v>
      </c>
      <c r="E15" s="139">
        <f>'Ανάπτυξη δικτύου'!E132</f>
        <v>3267431.82</v>
      </c>
      <c r="F15" s="139">
        <f>E15+F14</f>
        <v>3428662.05</v>
      </c>
      <c r="G15" s="139">
        <f>F15+G14</f>
        <v>3583868.98</v>
      </c>
      <c r="H15" s="139">
        <f>G15+H14</f>
        <v>3637350.73</v>
      </c>
      <c r="I15" s="139">
        <f>H15+I14</f>
        <v>3765535.9699999997</v>
      </c>
    </row>
    <row r="16" spans="2:11" outlineLevel="1" x14ac:dyDescent="0.35">
      <c r="B16" s="541" t="s">
        <v>185</v>
      </c>
      <c r="C16" s="5" t="s">
        <v>192</v>
      </c>
      <c r="D16" s="14" t="s">
        <v>141</v>
      </c>
      <c r="E16" s="138">
        <f>'Ανάπτυξη δικτύου'!D194</f>
        <v>7783</v>
      </c>
      <c r="F16" s="138">
        <f>'Ανάπτυξη δικτύου'!F194</f>
        <v>8302</v>
      </c>
      <c r="G16" s="138">
        <f>'Ανάπτυξη δικτύου'!I194</f>
        <v>8397</v>
      </c>
      <c r="H16" s="138">
        <f>'Ανάπτυξη δικτύου'!L194</f>
        <v>4220</v>
      </c>
      <c r="I16" s="138">
        <f>'Ανάπτυξη δικτύου'!O194</f>
        <v>3206</v>
      </c>
    </row>
    <row r="17" spans="2:10" outlineLevel="1" x14ac:dyDescent="0.35">
      <c r="B17" s="541"/>
      <c r="C17" s="7" t="s">
        <v>193</v>
      </c>
      <c r="D17" s="15" t="s">
        <v>141</v>
      </c>
      <c r="E17" s="139">
        <f>'Ανάπτυξη δικτύου'!E194</f>
        <v>82393</v>
      </c>
      <c r="F17" s="139">
        <f>E17+F16</f>
        <v>90695</v>
      </c>
      <c r="G17" s="139">
        <f>F17+G16</f>
        <v>99092</v>
      </c>
      <c r="H17" s="139">
        <f>G17+H16</f>
        <v>103312</v>
      </c>
      <c r="I17" s="139">
        <f>H17+I16</f>
        <v>106518</v>
      </c>
    </row>
    <row r="18" spans="2:10" outlineLevel="1" x14ac:dyDescent="0.35">
      <c r="B18" s="541" t="s">
        <v>191</v>
      </c>
      <c r="C18" s="5" t="s">
        <v>192</v>
      </c>
      <c r="D18" s="14" t="s">
        <v>141</v>
      </c>
      <c r="E18" s="138">
        <f>'Ανάπτυξη δικτύου'!D255</f>
        <v>14713</v>
      </c>
      <c r="F18" s="138">
        <f>'Ανάπτυξη δικτύου'!F255</f>
        <v>20461</v>
      </c>
      <c r="G18" s="138">
        <f>'Ανάπτυξη δικτύου'!I255</f>
        <v>20111</v>
      </c>
      <c r="H18" s="138">
        <f>'Ανάπτυξη δικτύου'!L255</f>
        <v>10915</v>
      </c>
      <c r="I18" s="138">
        <f>'Ανάπτυξη δικτύου'!O255</f>
        <v>8201</v>
      </c>
    </row>
    <row r="19" spans="2:10" outlineLevel="1" x14ac:dyDescent="0.35">
      <c r="B19" s="541"/>
      <c r="C19" s="7" t="s">
        <v>193</v>
      </c>
      <c r="D19" s="15" t="s">
        <v>141</v>
      </c>
      <c r="E19" s="139">
        <f>'Ανάπτυξη δικτύου'!E255</f>
        <v>135028</v>
      </c>
      <c r="F19" s="139">
        <f>E19+F18</f>
        <v>155489</v>
      </c>
      <c r="G19" s="139">
        <f>F19+G18</f>
        <v>175600</v>
      </c>
      <c r="H19" s="139">
        <f>G19+H18</f>
        <v>186515</v>
      </c>
      <c r="I19" s="139">
        <f>H19+I18</f>
        <v>194716</v>
      </c>
    </row>
    <row r="20" spans="2:10" outlineLevel="1" x14ac:dyDescent="0.35">
      <c r="B20" s="542" t="s">
        <v>194</v>
      </c>
      <c r="C20" s="5" t="s">
        <v>192</v>
      </c>
      <c r="D20" s="14" t="s">
        <v>141</v>
      </c>
      <c r="E20" s="138">
        <f>'Ανάπτυξη δικτύου'!D263</f>
        <v>2</v>
      </c>
      <c r="F20" s="138">
        <f>'Ανάπτυξη δικτύου'!F263</f>
        <v>3</v>
      </c>
      <c r="G20" s="138">
        <f>'Ανάπτυξη δικτύου'!I263</f>
        <v>2</v>
      </c>
      <c r="H20" s="138">
        <f>'Ανάπτυξη δικτύου'!L263</f>
        <v>2</v>
      </c>
      <c r="I20" s="138">
        <f>'Ανάπτυξη δικτύου'!O263</f>
        <v>7</v>
      </c>
    </row>
    <row r="21" spans="2:10" outlineLevel="1" x14ac:dyDescent="0.35">
      <c r="B21" s="542"/>
      <c r="C21" s="7" t="s">
        <v>193</v>
      </c>
      <c r="D21" s="15" t="s">
        <v>141</v>
      </c>
      <c r="E21" s="139">
        <f>'Ανάπτυξη δικτύου'!E263</f>
        <v>152</v>
      </c>
      <c r="F21" s="139">
        <f>E21+F20</f>
        <v>155</v>
      </c>
      <c r="G21" s="139">
        <f t="shared" ref="G21" si="0">F21+G20</f>
        <v>157</v>
      </c>
      <c r="H21" s="139">
        <f t="shared" ref="H21" si="1">G21+H20</f>
        <v>159</v>
      </c>
      <c r="I21" s="139">
        <f>H21+I20</f>
        <v>166</v>
      </c>
    </row>
    <row r="22" spans="2:10" outlineLevel="1" x14ac:dyDescent="0.35">
      <c r="B22" s="541" t="s">
        <v>197</v>
      </c>
      <c r="C22" s="5" t="s">
        <v>192</v>
      </c>
      <c r="D22" s="14" t="s">
        <v>141</v>
      </c>
      <c r="E22" s="138"/>
      <c r="F22" s="138"/>
      <c r="G22" s="138"/>
      <c r="H22" s="138"/>
      <c r="I22" s="138"/>
    </row>
    <row r="23" spans="2:10" outlineLevel="1" x14ac:dyDescent="0.35">
      <c r="B23" s="541"/>
      <c r="C23" s="7" t="s">
        <v>193</v>
      </c>
      <c r="D23" s="15" t="s">
        <v>141</v>
      </c>
      <c r="E23" s="139"/>
      <c r="F23" s="139"/>
      <c r="G23" s="139"/>
      <c r="H23" s="139"/>
      <c r="I23" s="139"/>
    </row>
    <row r="24" spans="2:10" outlineLevel="1" x14ac:dyDescent="0.35">
      <c r="B24" s="541" t="s">
        <v>198</v>
      </c>
      <c r="C24" s="5" t="s">
        <v>192</v>
      </c>
      <c r="D24" s="14" t="s">
        <v>141</v>
      </c>
      <c r="E24" s="138"/>
      <c r="F24" s="138"/>
      <c r="G24" s="138"/>
      <c r="H24" s="138"/>
      <c r="I24" s="138"/>
    </row>
    <row r="25" spans="2:10" outlineLevel="1" x14ac:dyDescent="0.35">
      <c r="B25" s="541"/>
      <c r="C25" s="7" t="s">
        <v>193</v>
      </c>
      <c r="D25" s="15" t="s">
        <v>141</v>
      </c>
      <c r="E25" s="139"/>
      <c r="F25" s="139"/>
      <c r="G25" s="139"/>
      <c r="H25" s="139"/>
      <c r="I25" s="139"/>
    </row>
    <row r="26" spans="2:10" outlineLevel="1" x14ac:dyDescent="0.35">
      <c r="B26" s="541" t="s">
        <v>199</v>
      </c>
      <c r="C26" s="5" t="s">
        <v>186</v>
      </c>
      <c r="D26" s="14" t="s">
        <v>141</v>
      </c>
      <c r="E26" s="138"/>
      <c r="F26" s="138"/>
      <c r="G26" s="138"/>
      <c r="H26" s="138"/>
      <c r="I26" s="138"/>
    </row>
    <row r="27" spans="2:10" outlineLevel="1" x14ac:dyDescent="0.35">
      <c r="B27" s="541"/>
      <c r="C27" s="7" t="s">
        <v>187</v>
      </c>
      <c r="D27" s="15" t="s">
        <v>141</v>
      </c>
      <c r="E27" s="139"/>
      <c r="F27" s="139"/>
      <c r="G27" s="139"/>
      <c r="H27" s="139"/>
      <c r="I27" s="139"/>
    </row>
    <row r="29" spans="2:10" ht="15.5" x14ac:dyDescent="0.35">
      <c r="B29" s="419" t="s">
        <v>310</v>
      </c>
      <c r="C29" s="419"/>
      <c r="D29" s="419"/>
      <c r="E29" s="419"/>
      <c r="F29" s="419"/>
      <c r="G29" s="419"/>
      <c r="H29" s="419"/>
      <c r="I29" s="419"/>
    </row>
    <row r="30" spans="2:10" ht="5.15" customHeight="1" outlineLevel="1" x14ac:dyDescent="0.35"/>
    <row r="31" spans="2:10" outlineLevel="1" x14ac:dyDescent="0.35">
      <c r="B31" s="539"/>
      <c r="C31" s="540"/>
      <c r="D31" s="9" t="s">
        <v>134</v>
      </c>
      <c r="E31" s="9">
        <f>$C$3-5</f>
        <v>2019</v>
      </c>
      <c r="F31" s="9">
        <f>$C$3-4</f>
        <v>2020</v>
      </c>
      <c r="G31" s="9">
        <f>$C$3-3</f>
        <v>2021</v>
      </c>
      <c r="H31" s="9">
        <f>$C$3-2</f>
        <v>2022</v>
      </c>
      <c r="I31" s="9">
        <f>$C$3-1</f>
        <v>2023</v>
      </c>
    </row>
    <row r="32" spans="2:10" outlineLevel="1" x14ac:dyDescent="0.35">
      <c r="B32" s="537" t="s">
        <v>201</v>
      </c>
      <c r="C32" s="5" t="s">
        <v>186</v>
      </c>
      <c r="D32" s="14" t="s">
        <v>141</v>
      </c>
      <c r="E32" s="138">
        <f>E34+E38+E42+E44</f>
        <v>7779</v>
      </c>
      <c r="F32" s="138">
        <f t="shared" ref="F32:I32" si="2">F34+F38+F42+F44</f>
        <v>8303</v>
      </c>
      <c r="G32" s="138">
        <f t="shared" si="2"/>
        <v>8396</v>
      </c>
      <c r="H32" s="138">
        <f t="shared" si="2"/>
        <v>4219</v>
      </c>
      <c r="I32" s="138">
        <f t="shared" si="2"/>
        <v>3201</v>
      </c>
      <c r="J32" s="131"/>
    </row>
    <row r="33" spans="2:9" outlineLevel="1" x14ac:dyDescent="0.35">
      <c r="B33" s="538"/>
      <c r="C33" s="7" t="s">
        <v>187</v>
      </c>
      <c r="D33" s="15" t="s">
        <v>141</v>
      </c>
      <c r="E33" s="139">
        <f>E35+E39+E43+E45</f>
        <v>82400</v>
      </c>
      <c r="F33" s="139">
        <f t="shared" ref="F33:I33" si="3">F35+F39+F43+F45</f>
        <v>90703</v>
      </c>
      <c r="G33" s="139">
        <f t="shared" si="3"/>
        <v>99099</v>
      </c>
      <c r="H33" s="139">
        <f t="shared" si="3"/>
        <v>103318</v>
      </c>
      <c r="I33" s="139">
        <f t="shared" si="3"/>
        <v>106517</v>
      </c>
    </row>
    <row r="34" spans="2:9" outlineLevel="1" x14ac:dyDescent="0.35">
      <c r="B34" s="537" t="s">
        <v>311</v>
      </c>
      <c r="C34" s="5" t="s">
        <v>186</v>
      </c>
      <c r="D34" s="14" t="s">
        <v>141</v>
      </c>
      <c r="E34" s="138">
        <f>'Ενεργές συνδέσεις'!D130</f>
        <v>7453</v>
      </c>
      <c r="F34" s="138">
        <f>'Ενεργές συνδέσεις'!F130</f>
        <v>7960</v>
      </c>
      <c r="G34" s="138">
        <f>'Ενεργές συνδέσεις'!I130</f>
        <v>8135</v>
      </c>
      <c r="H34" s="138">
        <f>'Ενεργές συνδέσεις'!L130</f>
        <v>4070</v>
      </c>
      <c r="I34" s="138">
        <f>'Ενεργές συνδέσεις'!O130</f>
        <v>3057</v>
      </c>
    </row>
    <row r="35" spans="2:9" outlineLevel="1" x14ac:dyDescent="0.35">
      <c r="B35" s="538"/>
      <c r="C35" s="7" t="s">
        <v>187</v>
      </c>
      <c r="D35" s="15" t="s">
        <v>141</v>
      </c>
      <c r="E35" s="139">
        <f>'Ενεργές συνδέσεις'!E130</f>
        <v>73946</v>
      </c>
      <c r="F35" s="139">
        <f>'Ενεργές συνδέσεις'!G130</f>
        <v>81906</v>
      </c>
      <c r="G35" s="139">
        <f>'Ενεργές συνδέσεις'!J130</f>
        <v>90041</v>
      </c>
      <c r="H35" s="139">
        <f>'Ενεργές συνδέσεις'!M130</f>
        <v>94111</v>
      </c>
      <c r="I35" s="139">
        <f>'Ενεργές συνδέσεις'!P130</f>
        <v>97168</v>
      </c>
    </row>
    <row r="36" spans="2:9" outlineLevel="1" x14ac:dyDescent="0.35">
      <c r="B36" s="537" t="s">
        <v>139</v>
      </c>
      <c r="C36" s="5" t="s">
        <v>186</v>
      </c>
      <c r="D36" s="14" t="s">
        <v>141</v>
      </c>
      <c r="E36" s="291">
        <v>0</v>
      </c>
      <c r="F36" s="291">
        <v>0</v>
      </c>
      <c r="G36" s="291">
        <v>0</v>
      </c>
      <c r="H36" s="291">
        <v>0</v>
      </c>
      <c r="I36" s="291">
        <v>0</v>
      </c>
    </row>
    <row r="37" spans="2:9" outlineLevel="1" x14ac:dyDescent="0.35">
      <c r="B37" s="538"/>
      <c r="C37" s="7" t="s">
        <v>187</v>
      </c>
      <c r="D37" s="15" t="s">
        <v>141</v>
      </c>
      <c r="E37" s="292">
        <v>0</v>
      </c>
      <c r="F37" s="292">
        <v>0</v>
      </c>
      <c r="G37" s="292">
        <v>0</v>
      </c>
      <c r="H37" s="292">
        <v>0</v>
      </c>
      <c r="I37" s="292">
        <v>0</v>
      </c>
    </row>
    <row r="38" spans="2:9" outlineLevel="1" x14ac:dyDescent="0.35">
      <c r="B38" s="537" t="s">
        <v>52</v>
      </c>
      <c r="C38" s="5" t="s">
        <v>186</v>
      </c>
      <c r="D38" s="14" t="s">
        <v>141</v>
      </c>
      <c r="E38" s="138">
        <f>'Ενεργές συνδέσεις'!D192</f>
        <v>325</v>
      </c>
      <c r="F38" s="138">
        <f>'Ενεργές συνδέσεις'!F192</f>
        <v>337</v>
      </c>
      <c r="G38" s="138">
        <f>'Ενεργές συνδέσεις'!I192</f>
        <v>257</v>
      </c>
      <c r="H38" s="138">
        <f>'Ενεργές συνδέσεις'!L192</f>
        <v>150</v>
      </c>
      <c r="I38" s="138">
        <f>'Ενεργές συνδέσεις'!O192</f>
        <v>146</v>
      </c>
    </row>
    <row r="39" spans="2:9" outlineLevel="1" x14ac:dyDescent="0.35">
      <c r="B39" s="538"/>
      <c r="C39" s="7" t="s">
        <v>187</v>
      </c>
      <c r="D39" s="15" t="s">
        <v>141</v>
      </c>
      <c r="E39" s="139">
        <f>'Ενεργές συνδέσεις'!E192</f>
        <v>8374</v>
      </c>
      <c r="F39" s="139">
        <f>'Ενεργές συνδέσεις'!G192</f>
        <v>8711</v>
      </c>
      <c r="G39" s="139">
        <f>'Ενεργές συνδέσεις'!J192</f>
        <v>8968</v>
      </c>
      <c r="H39" s="139">
        <f>'Ενεργές συνδέσεις'!M192</f>
        <v>9118</v>
      </c>
      <c r="I39" s="139">
        <f>'Ενεργές συνδέσεις'!P192</f>
        <v>9264</v>
      </c>
    </row>
    <row r="40" spans="2:9" outlineLevel="1" x14ac:dyDescent="0.35">
      <c r="B40" s="537" t="s">
        <v>152</v>
      </c>
      <c r="C40" s="5" t="s">
        <v>186</v>
      </c>
      <c r="D40" s="14" t="s">
        <v>141</v>
      </c>
      <c r="E40" s="291">
        <v>0</v>
      </c>
      <c r="F40" s="291">
        <v>0</v>
      </c>
      <c r="G40" s="291">
        <v>0</v>
      </c>
      <c r="H40" s="291">
        <v>0</v>
      </c>
      <c r="I40" s="291">
        <v>0</v>
      </c>
    </row>
    <row r="41" spans="2:9" outlineLevel="1" x14ac:dyDescent="0.35">
      <c r="B41" s="538"/>
      <c r="C41" s="7" t="s">
        <v>187</v>
      </c>
      <c r="D41" s="15" t="s">
        <v>141</v>
      </c>
      <c r="E41" s="292">
        <v>0</v>
      </c>
      <c r="F41" s="292">
        <v>0</v>
      </c>
      <c r="G41" s="292">
        <v>0</v>
      </c>
      <c r="H41" s="292">
        <v>0</v>
      </c>
      <c r="I41" s="292">
        <v>0</v>
      </c>
    </row>
    <row r="42" spans="2:9" outlineLevel="1" x14ac:dyDescent="0.35">
      <c r="B42" s="537" t="s">
        <v>144</v>
      </c>
      <c r="C42" s="5" t="s">
        <v>186</v>
      </c>
      <c r="D42" s="14" t="s">
        <v>141</v>
      </c>
      <c r="E42" s="138">
        <f>'Ενεργές συνδέσεις'!D254</f>
        <v>-1</v>
      </c>
      <c r="F42" s="138">
        <f>'Ενεργές συνδέσεις'!F254</f>
        <v>5</v>
      </c>
      <c r="G42" s="138">
        <f>'Ενεργές συνδέσεις'!I254</f>
        <v>3</v>
      </c>
      <c r="H42" s="138">
        <f>'Ενεργές συνδέσεις'!L254</f>
        <v>-1</v>
      </c>
      <c r="I42" s="138">
        <f>'Ενεργές συνδέσεις'!O254</f>
        <v>-4</v>
      </c>
    </row>
    <row r="43" spans="2:9" outlineLevel="1" x14ac:dyDescent="0.35">
      <c r="B43" s="538"/>
      <c r="C43" s="7" t="s">
        <v>187</v>
      </c>
      <c r="D43" s="15" t="s">
        <v>141</v>
      </c>
      <c r="E43" s="139">
        <f>'Ενεργές συνδέσεις'!E254</f>
        <v>74</v>
      </c>
      <c r="F43" s="139">
        <f>'Ενεργές συνδέσεις'!G254</f>
        <v>79</v>
      </c>
      <c r="G43" s="139">
        <f>'Ενεργές συνδέσεις'!J254</f>
        <v>82</v>
      </c>
      <c r="H43" s="139">
        <f>'Ενεργές συνδέσεις'!M254</f>
        <v>81</v>
      </c>
      <c r="I43" s="139">
        <f>'Ενεργές συνδέσεις'!P254</f>
        <v>77</v>
      </c>
    </row>
    <row r="44" spans="2:9" outlineLevel="1" x14ac:dyDescent="0.35">
      <c r="B44" s="537" t="s">
        <v>145</v>
      </c>
      <c r="C44" s="5" t="s">
        <v>186</v>
      </c>
      <c r="D44" s="14" t="s">
        <v>141</v>
      </c>
      <c r="E44" s="138">
        <f>'Ενεργές συνδέσεις'!D315</f>
        <v>2</v>
      </c>
      <c r="F44" s="138">
        <f>'Ενεργές συνδέσεις'!F315</f>
        <v>1</v>
      </c>
      <c r="G44" s="138">
        <f>'Ενεργές συνδέσεις'!I315</f>
        <v>1</v>
      </c>
      <c r="H44" s="138">
        <f>'Ενεργές συνδέσεις'!L315</f>
        <v>0</v>
      </c>
      <c r="I44" s="138">
        <f>'Ενεργές συνδέσεις'!O315</f>
        <v>2</v>
      </c>
    </row>
    <row r="45" spans="2:9" outlineLevel="1" x14ac:dyDescent="0.35">
      <c r="B45" s="538"/>
      <c r="C45" s="7" t="s">
        <v>187</v>
      </c>
      <c r="D45" s="15" t="s">
        <v>141</v>
      </c>
      <c r="E45" s="138">
        <f>'Ενεργές συνδέσεις'!E315</f>
        <v>6</v>
      </c>
      <c r="F45" s="138">
        <f>'Ενεργές συνδέσεις'!G315</f>
        <v>7</v>
      </c>
      <c r="G45" s="138">
        <f>'Ενεργές συνδέσεις'!J315</f>
        <v>8</v>
      </c>
      <c r="H45" s="138">
        <f>'Ενεργές συνδέσεις'!M315</f>
        <v>8</v>
      </c>
      <c r="I45" s="138">
        <f>'Ενεργές συνδέσεις'!P315</f>
        <v>8</v>
      </c>
    </row>
    <row r="47" spans="2:9" ht="15.5" x14ac:dyDescent="0.35">
      <c r="B47" s="419" t="s">
        <v>312</v>
      </c>
      <c r="C47" s="419"/>
      <c r="D47" s="419"/>
      <c r="E47" s="419"/>
      <c r="F47" s="419"/>
      <c r="G47" s="419"/>
      <c r="H47" s="419"/>
      <c r="I47" s="419"/>
    </row>
    <row r="48" spans="2:9" ht="5.15" customHeight="1" outlineLevel="1" x14ac:dyDescent="0.35"/>
    <row r="49" spans="2:10" outlineLevel="1" x14ac:dyDescent="0.35">
      <c r="B49" s="539"/>
      <c r="C49" s="540"/>
      <c r="D49" s="9" t="s">
        <v>134</v>
      </c>
      <c r="E49" s="9">
        <f>$C$3-5</f>
        <v>2019</v>
      </c>
      <c r="F49" s="9">
        <f>$C$3-4</f>
        <v>2020</v>
      </c>
      <c r="G49" s="9">
        <f>$C$3-3</f>
        <v>2021</v>
      </c>
      <c r="H49" s="9">
        <f>$C$3-2</f>
        <v>2022</v>
      </c>
      <c r="I49" s="9">
        <f>$C$3-1</f>
        <v>2023</v>
      </c>
    </row>
    <row r="50" spans="2:10" outlineLevel="1" x14ac:dyDescent="0.35">
      <c r="B50" s="537" t="s">
        <v>201</v>
      </c>
      <c r="C50" s="5" t="s">
        <v>186</v>
      </c>
      <c r="D50" s="14" t="s">
        <v>141</v>
      </c>
      <c r="E50" s="138">
        <f>E52+E54+E56+E58+E60+E62</f>
        <v>14713</v>
      </c>
      <c r="F50" s="138">
        <f t="shared" ref="F50:I51" si="4">F52+F54+F56+F58+F60+F62</f>
        <v>20461</v>
      </c>
      <c r="G50" s="138">
        <f t="shared" si="4"/>
        <v>20111</v>
      </c>
      <c r="H50" s="138">
        <f t="shared" si="4"/>
        <v>10915</v>
      </c>
      <c r="I50" s="138">
        <f t="shared" si="4"/>
        <v>8201</v>
      </c>
      <c r="J50" s="131"/>
    </row>
    <row r="51" spans="2:10" outlineLevel="1" x14ac:dyDescent="0.35">
      <c r="B51" s="538"/>
      <c r="C51" s="7" t="s">
        <v>187</v>
      </c>
      <c r="D51" s="15" t="s">
        <v>141</v>
      </c>
      <c r="E51" s="139">
        <f>E53+E55+E57+E59+E61+E63</f>
        <v>135028</v>
      </c>
      <c r="F51" s="139">
        <f t="shared" ref="F51:G51" si="5">F53+F55+F57+F59+F61+F63</f>
        <v>155489</v>
      </c>
      <c r="G51" s="139">
        <f t="shared" si="5"/>
        <v>175600</v>
      </c>
      <c r="H51" s="139">
        <f>H53+H55+H57+H59+H61+H63</f>
        <v>186515</v>
      </c>
      <c r="I51" s="139">
        <f t="shared" si="4"/>
        <v>194716</v>
      </c>
    </row>
    <row r="52" spans="2:10" ht="15" customHeight="1" outlineLevel="1" x14ac:dyDescent="0.35">
      <c r="B52" s="537" t="s">
        <v>133</v>
      </c>
      <c r="C52" s="5" t="s">
        <v>186</v>
      </c>
      <c r="D52" s="14" t="s">
        <v>141</v>
      </c>
      <c r="E52" s="138">
        <f>'Ενεργοί μετρητές'!D130</f>
        <v>14489</v>
      </c>
      <c r="F52" s="138">
        <f>'Ενεργοί μετρητές'!F130</f>
        <v>20177</v>
      </c>
      <c r="G52" s="138">
        <f>'Ενεργοί μετρητές'!I130</f>
        <v>19858</v>
      </c>
      <c r="H52" s="138">
        <f>'Ενεργοί μετρητές'!L130</f>
        <v>10936</v>
      </c>
      <c r="I52" s="138">
        <f>'Ενεργοί μετρητές'!O130</f>
        <v>8277</v>
      </c>
    </row>
    <row r="53" spans="2:10" outlineLevel="1" x14ac:dyDescent="0.35">
      <c r="B53" s="538"/>
      <c r="C53" s="7" t="s">
        <v>187</v>
      </c>
      <c r="D53" s="15" t="s">
        <v>141</v>
      </c>
      <c r="E53" s="139">
        <f>'Ενεργοί μετρητές'!E130</f>
        <v>122863</v>
      </c>
      <c r="F53" s="139">
        <f>E53+F52</f>
        <v>143040</v>
      </c>
      <c r="G53" s="139">
        <f t="shared" ref="G53:I53" si="6">F53+G52</f>
        <v>162898</v>
      </c>
      <c r="H53" s="139">
        <f t="shared" si="6"/>
        <v>173834</v>
      </c>
      <c r="I53" s="139">
        <f t="shared" si="6"/>
        <v>182111</v>
      </c>
    </row>
    <row r="54" spans="2:10" ht="15" customHeight="1" outlineLevel="1" x14ac:dyDescent="0.35">
      <c r="B54" s="537" t="s">
        <v>139</v>
      </c>
      <c r="C54" s="5" t="s">
        <v>186</v>
      </c>
      <c r="D54" s="14" t="s">
        <v>141</v>
      </c>
      <c r="E54" s="138">
        <f>'Ενεργοί μετρητές'!D191</f>
        <v>28</v>
      </c>
      <c r="F54" s="138">
        <f>'Ενεργοί μετρητές'!F191</f>
        <v>23</v>
      </c>
      <c r="G54" s="138">
        <f>'Ενεργοί μετρητές'!I191</f>
        <v>22</v>
      </c>
      <c r="H54" s="138">
        <f>'Ενεργοί μετρητές'!L191</f>
        <v>11</v>
      </c>
      <c r="I54" s="138">
        <f>'Ενεργοί μετρητές'!O191</f>
        <v>-24</v>
      </c>
    </row>
    <row r="55" spans="2:10" outlineLevel="1" x14ac:dyDescent="0.35">
      <c r="B55" s="538"/>
      <c r="C55" s="7" t="s">
        <v>187</v>
      </c>
      <c r="D55" s="15" t="s">
        <v>141</v>
      </c>
      <c r="E55" s="139">
        <f>'Ενεργοί μετρητές'!E191</f>
        <v>4861</v>
      </c>
      <c r="F55" s="139">
        <f>E55+F54</f>
        <v>4884</v>
      </c>
      <c r="G55" s="139">
        <f>F55+G54</f>
        <v>4906</v>
      </c>
      <c r="H55" s="139">
        <f>G55+H54</f>
        <v>4917</v>
      </c>
      <c r="I55" s="139">
        <f>H55+I54</f>
        <v>4893</v>
      </c>
    </row>
    <row r="56" spans="2:10" outlineLevel="1" x14ac:dyDescent="0.35">
      <c r="B56" s="537" t="s">
        <v>52</v>
      </c>
      <c r="C56" s="5" t="s">
        <v>186</v>
      </c>
      <c r="D56" s="14" t="s">
        <v>141</v>
      </c>
      <c r="E56" s="138">
        <f>'Ενεργοί μετρητές'!D252</f>
        <v>195</v>
      </c>
      <c r="F56" s="138">
        <f>'Ενεργοί μετρητές'!F252</f>
        <v>255</v>
      </c>
      <c r="G56" s="138">
        <f>'Ενεργοί μετρητές'!I252</f>
        <v>227</v>
      </c>
      <c r="H56" s="138">
        <f>'Ενεργοί μετρητές'!L252</f>
        <v>-29</v>
      </c>
      <c r="I56" s="138">
        <f>'Ενεργοί μετρητές'!O252</f>
        <v>-50</v>
      </c>
    </row>
    <row r="57" spans="2:10" outlineLevel="1" x14ac:dyDescent="0.35">
      <c r="B57" s="538"/>
      <c r="C57" s="7" t="s">
        <v>187</v>
      </c>
      <c r="D57" s="15" t="s">
        <v>141</v>
      </c>
      <c r="E57" s="139">
        <f>'Ενεργοί μετρητές'!E252</f>
        <v>7224</v>
      </c>
      <c r="F57" s="139">
        <f>E57+F56</f>
        <v>7479</v>
      </c>
      <c r="G57" s="139">
        <f>F57+G56</f>
        <v>7706</v>
      </c>
      <c r="H57" s="139">
        <f>G57+H56</f>
        <v>7677</v>
      </c>
      <c r="I57" s="139">
        <f>H57+I56</f>
        <v>7627</v>
      </c>
    </row>
    <row r="58" spans="2:10" ht="15" customHeight="1" outlineLevel="1" x14ac:dyDescent="0.35">
      <c r="B58" s="537" t="s">
        <v>152</v>
      </c>
      <c r="C58" s="5" t="s">
        <v>186</v>
      </c>
      <c r="D58" s="14" t="s">
        <v>141</v>
      </c>
      <c r="E58" s="138"/>
      <c r="F58" s="138"/>
      <c r="G58" s="138"/>
      <c r="H58" s="138"/>
      <c r="I58" s="138"/>
    </row>
    <row r="59" spans="2:10" outlineLevel="1" x14ac:dyDescent="0.35">
      <c r="B59" s="538"/>
      <c r="C59" s="7" t="s">
        <v>187</v>
      </c>
      <c r="D59" s="15" t="s">
        <v>141</v>
      </c>
      <c r="E59" s="139"/>
      <c r="F59" s="139">
        <f>E59+F58</f>
        <v>0</v>
      </c>
      <c r="G59" s="139"/>
      <c r="H59" s="139">
        <f t="shared" ref="H59" si="7">G59+H58</f>
        <v>0</v>
      </c>
      <c r="I59" s="139">
        <f>H59+I58</f>
        <v>0</v>
      </c>
    </row>
    <row r="60" spans="2:10" outlineLevel="1" x14ac:dyDescent="0.35">
      <c r="B60" s="537" t="s">
        <v>144</v>
      </c>
      <c r="C60" s="5" t="s">
        <v>186</v>
      </c>
      <c r="D60" s="14" t="s">
        <v>141</v>
      </c>
      <c r="E60" s="138">
        <f>'Ενεργοί μετρητές'!D321</f>
        <v>-1</v>
      </c>
      <c r="F60" s="138">
        <f>'Ενεργοί μετρητές'!F321</f>
        <v>5</v>
      </c>
      <c r="G60" s="138">
        <f>'Ενεργοί μετρητές'!I321</f>
        <v>3</v>
      </c>
      <c r="H60" s="138">
        <f>'Ενεργοί μετρητές'!L321</f>
        <v>-2</v>
      </c>
      <c r="I60" s="138">
        <f>'Ενεργοί μετρητές'!O321</f>
        <v>-3</v>
      </c>
    </row>
    <row r="61" spans="2:10" outlineLevel="1" x14ac:dyDescent="0.35">
      <c r="B61" s="538"/>
      <c r="C61" s="7" t="s">
        <v>187</v>
      </c>
      <c r="D61" s="15" t="s">
        <v>141</v>
      </c>
      <c r="E61" s="139">
        <f>'Ενεργοί μετρητές'!E321</f>
        <v>74</v>
      </c>
      <c r="F61" s="139">
        <f>E61+F60</f>
        <v>79</v>
      </c>
      <c r="G61" s="139">
        <f>F61+G60</f>
        <v>82</v>
      </c>
      <c r="H61" s="139">
        <f>G61+H60</f>
        <v>80</v>
      </c>
      <c r="I61" s="139">
        <f>H61+I60</f>
        <v>77</v>
      </c>
    </row>
    <row r="62" spans="2:10" ht="15" customHeight="1" outlineLevel="1" x14ac:dyDescent="0.35">
      <c r="B62" s="537" t="s">
        <v>145</v>
      </c>
      <c r="C62" s="5" t="s">
        <v>186</v>
      </c>
      <c r="D62" s="14" t="s">
        <v>141</v>
      </c>
      <c r="E62" s="138">
        <f>'Ενεργοί μετρητές'!D382</f>
        <v>2</v>
      </c>
      <c r="F62" s="138">
        <f>'Ενεργοί μετρητές'!F382</f>
        <v>1</v>
      </c>
      <c r="G62" s="138">
        <f>'Ενεργοί μετρητές'!I382</f>
        <v>1</v>
      </c>
      <c r="H62" s="138">
        <f>'Ενεργοί μετρητές'!L382</f>
        <v>-1</v>
      </c>
      <c r="I62" s="138">
        <f>'Ενεργοί μετρητές'!O382</f>
        <v>1</v>
      </c>
    </row>
    <row r="63" spans="2:10" outlineLevel="1" x14ac:dyDescent="0.35">
      <c r="B63" s="538"/>
      <c r="C63" s="7" t="s">
        <v>187</v>
      </c>
      <c r="D63" s="15" t="s">
        <v>141</v>
      </c>
      <c r="E63" s="139">
        <f>'Ενεργοί μετρητές'!E382</f>
        <v>6</v>
      </c>
      <c r="F63" s="139">
        <f>E63+F62</f>
        <v>7</v>
      </c>
      <c r="G63" s="139">
        <f>F63+G62</f>
        <v>8</v>
      </c>
      <c r="H63" s="139">
        <f>G63+H62</f>
        <v>7</v>
      </c>
      <c r="I63" s="139">
        <f>H63+I62</f>
        <v>8</v>
      </c>
    </row>
    <row r="65" spans="2:10" ht="15.5" x14ac:dyDescent="0.35">
      <c r="B65" s="419" t="s">
        <v>313</v>
      </c>
      <c r="C65" s="419"/>
      <c r="D65" s="419"/>
      <c r="E65" s="419"/>
      <c r="F65" s="419"/>
      <c r="G65" s="419"/>
      <c r="H65" s="419"/>
      <c r="I65" s="419"/>
    </row>
    <row r="66" spans="2:10" ht="5.15" customHeight="1" outlineLevel="1" x14ac:dyDescent="0.35"/>
    <row r="67" spans="2:10" outlineLevel="1" x14ac:dyDescent="0.35">
      <c r="B67" s="539"/>
      <c r="C67" s="540"/>
      <c r="D67" s="9" t="s">
        <v>134</v>
      </c>
      <c r="E67" s="9">
        <f>$C$3-5</f>
        <v>2019</v>
      </c>
      <c r="F67" s="9">
        <f>$C$3-4</f>
        <v>2020</v>
      </c>
      <c r="G67" s="9">
        <f>$C$3-3</f>
        <v>2021</v>
      </c>
      <c r="H67" s="9">
        <f>$C$3-2</f>
        <v>2022</v>
      </c>
      <c r="I67" s="9">
        <f>$C$3-1</f>
        <v>2023</v>
      </c>
    </row>
    <row r="68" spans="2:10" outlineLevel="1" x14ac:dyDescent="0.35">
      <c r="B68" s="537" t="s">
        <v>314</v>
      </c>
      <c r="C68" s="5" t="s">
        <v>192</v>
      </c>
      <c r="D68" s="14" t="s">
        <v>141</v>
      </c>
      <c r="E68" s="138">
        <f>E70+E72+E74+E76+E78+E80</f>
        <v>20251</v>
      </c>
      <c r="F68" s="138">
        <f t="shared" ref="F68:H68" si="8">F70+F72+F74+F76+F78+F80</f>
        <v>25334</v>
      </c>
      <c r="G68" s="138">
        <f t="shared" si="8"/>
        <v>20111</v>
      </c>
      <c r="H68" s="138">
        <f t="shared" si="8"/>
        <v>4265</v>
      </c>
      <c r="I68" s="138">
        <f t="shared" ref="I68" si="9">I70+I72+I74+I76+I78+I80</f>
        <v>5037</v>
      </c>
      <c r="J68" s="131"/>
    </row>
    <row r="69" spans="2:10" outlineLevel="1" x14ac:dyDescent="0.35">
      <c r="B69" s="538"/>
      <c r="C69" s="7" t="s">
        <v>193</v>
      </c>
      <c r="D69" s="15" t="s">
        <v>141</v>
      </c>
      <c r="E69" s="139">
        <f t="shared" ref="E69:G69" si="10">E71+E73+E75+E77+E79+E81</f>
        <v>375921</v>
      </c>
      <c r="F69" s="139">
        <f t="shared" si="10"/>
        <v>401255</v>
      </c>
      <c r="G69" s="139">
        <f t="shared" si="10"/>
        <v>421366</v>
      </c>
      <c r="H69" s="139">
        <f>H71+H73+H75+H77+H79+H81</f>
        <v>425631</v>
      </c>
      <c r="I69" s="139">
        <f t="shared" ref="I69" si="11">I71+I73+I75+I77+I79+I81</f>
        <v>430668</v>
      </c>
    </row>
    <row r="70" spans="2:10" outlineLevel="1" x14ac:dyDescent="0.35">
      <c r="B70" s="537" t="s">
        <v>133</v>
      </c>
      <c r="C70" s="5" t="s">
        <v>192</v>
      </c>
      <c r="D70" s="14" t="s">
        <v>141</v>
      </c>
      <c r="E70" s="138">
        <f>'Ενεργοί πελάτες'!D130</f>
        <v>20027</v>
      </c>
      <c r="F70" s="138">
        <f>'Ενεργοί πελάτες'!F130</f>
        <v>25050</v>
      </c>
      <c r="G70" s="138">
        <f>'Ενεργοί πελάτες'!I130</f>
        <v>19858</v>
      </c>
      <c r="H70" s="138">
        <f>'Ενεργοί πελάτες'!L130</f>
        <v>4286</v>
      </c>
      <c r="I70" s="138">
        <f>'Ενεργοί πελάτες'!O130</f>
        <v>5113</v>
      </c>
    </row>
    <row r="71" spans="2:10" outlineLevel="1" x14ac:dyDescent="0.35">
      <c r="B71" s="538"/>
      <c r="C71" s="7" t="s">
        <v>193</v>
      </c>
      <c r="D71" s="15" t="s">
        <v>141</v>
      </c>
      <c r="E71" s="139">
        <f>'Ενεργοί πελάτες'!E130</f>
        <v>363756</v>
      </c>
      <c r="F71" s="139">
        <f>E71+F70</f>
        <v>388806</v>
      </c>
      <c r="G71" s="139">
        <f>F71+G70</f>
        <v>408664</v>
      </c>
      <c r="H71" s="139">
        <f>G71+H70</f>
        <v>412950</v>
      </c>
      <c r="I71" s="139">
        <f>H71+I70</f>
        <v>418063</v>
      </c>
    </row>
    <row r="72" spans="2:10" outlineLevel="1" x14ac:dyDescent="0.35">
      <c r="B72" s="537" t="s">
        <v>139</v>
      </c>
      <c r="C72" s="5" t="s">
        <v>192</v>
      </c>
      <c r="D72" s="14" t="s">
        <v>141</v>
      </c>
      <c r="E72" s="138">
        <f>'Ενεργοί πελάτες'!D191</f>
        <v>28</v>
      </c>
      <c r="F72" s="138">
        <f>'Ενεργοί πελάτες'!F191</f>
        <v>23</v>
      </c>
      <c r="G72" s="138">
        <f>'Ενεργοί πελάτες'!I191</f>
        <v>22</v>
      </c>
      <c r="H72" s="138">
        <f>'Ενεργοί πελάτες'!L191</f>
        <v>11</v>
      </c>
      <c r="I72" s="138">
        <f>'Ενεργοί πελάτες'!O191</f>
        <v>-24</v>
      </c>
    </row>
    <row r="73" spans="2:10" outlineLevel="1" x14ac:dyDescent="0.35">
      <c r="B73" s="538"/>
      <c r="C73" s="7" t="s">
        <v>193</v>
      </c>
      <c r="D73" s="15" t="s">
        <v>141</v>
      </c>
      <c r="E73" s="139">
        <f>'Ενεργοί πελάτες'!E191</f>
        <v>4861</v>
      </c>
      <c r="F73" s="139">
        <f>E73+F72</f>
        <v>4884</v>
      </c>
      <c r="G73" s="139">
        <f>F73+G72</f>
        <v>4906</v>
      </c>
      <c r="H73" s="139">
        <f>G73+H72</f>
        <v>4917</v>
      </c>
      <c r="I73" s="139">
        <f>H73+I72</f>
        <v>4893</v>
      </c>
    </row>
    <row r="74" spans="2:10" outlineLevel="1" x14ac:dyDescent="0.35">
      <c r="B74" s="537" t="s">
        <v>52</v>
      </c>
      <c r="C74" s="5" t="s">
        <v>192</v>
      </c>
      <c r="D74" s="14" t="s">
        <v>141</v>
      </c>
      <c r="E74" s="138">
        <f>'Ενεργοί πελάτες'!D252</f>
        <v>195</v>
      </c>
      <c r="F74" s="138">
        <f>'Ενεργοί πελάτες'!F252</f>
        <v>255</v>
      </c>
      <c r="G74" s="138">
        <f>'Ενεργοί πελάτες'!I252</f>
        <v>227</v>
      </c>
      <c r="H74" s="138">
        <f>'Ενεργοί πελάτες'!L252</f>
        <v>-29</v>
      </c>
      <c r="I74" s="138">
        <f>'Ενεργοί πελάτες'!O252</f>
        <v>-50</v>
      </c>
    </row>
    <row r="75" spans="2:10" outlineLevel="1" x14ac:dyDescent="0.35">
      <c r="B75" s="538"/>
      <c r="C75" s="7" t="s">
        <v>193</v>
      </c>
      <c r="D75" s="15" t="s">
        <v>141</v>
      </c>
      <c r="E75" s="139">
        <f>'Ενεργοί πελάτες'!E252</f>
        <v>7224</v>
      </c>
      <c r="F75" s="139">
        <f>E75+F74</f>
        <v>7479</v>
      </c>
      <c r="G75" s="139">
        <f>F75+G74</f>
        <v>7706</v>
      </c>
      <c r="H75" s="139">
        <f>G75+H74</f>
        <v>7677</v>
      </c>
      <c r="I75" s="139">
        <f>H75+I74</f>
        <v>7627</v>
      </c>
    </row>
    <row r="76" spans="2:10" outlineLevel="1" x14ac:dyDescent="0.35">
      <c r="B76" s="537" t="s">
        <v>152</v>
      </c>
      <c r="C76" s="5" t="s">
        <v>192</v>
      </c>
      <c r="D76" s="14" t="s">
        <v>141</v>
      </c>
      <c r="E76" s="138">
        <v>0</v>
      </c>
      <c r="F76" s="138">
        <v>0</v>
      </c>
      <c r="G76" s="138">
        <v>0</v>
      </c>
      <c r="H76" s="138">
        <v>0</v>
      </c>
      <c r="I76" s="138">
        <v>0</v>
      </c>
    </row>
    <row r="77" spans="2:10" outlineLevel="1" x14ac:dyDescent="0.35">
      <c r="B77" s="538"/>
      <c r="C77" s="7" t="s">
        <v>193</v>
      </c>
      <c r="D77" s="15" t="s">
        <v>141</v>
      </c>
      <c r="E77" s="139">
        <v>0</v>
      </c>
      <c r="F77" s="139">
        <f>E77+F76</f>
        <v>0</v>
      </c>
      <c r="G77" s="139">
        <f>F77+G76</f>
        <v>0</v>
      </c>
      <c r="H77" s="139">
        <f>G77+H76</f>
        <v>0</v>
      </c>
      <c r="I77" s="139">
        <f>H77+I76</f>
        <v>0</v>
      </c>
    </row>
    <row r="78" spans="2:10" outlineLevel="1" x14ac:dyDescent="0.35">
      <c r="B78" s="537" t="s">
        <v>144</v>
      </c>
      <c r="C78" s="5" t="s">
        <v>192</v>
      </c>
      <c r="D78" s="14" t="s">
        <v>141</v>
      </c>
      <c r="E78" s="138">
        <f>'Ενεργοί πελάτες'!D321</f>
        <v>-1</v>
      </c>
      <c r="F78" s="138">
        <f>'Ενεργοί πελάτες'!F321</f>
        <v>5</v>
      </c>
      <c r="G78" s="138">
        <f>'Ενεργοί πελάτες'!I321</f>
        <v>3</v>
      </c>
      <c r="H78" s="138">
        <f>'Ενεργοί πελάτες'!L321</f>
        <v>-2</v>
      </c>
      <c r="I78" s="138">
        <f>'Ενεργοί πελάτες'!O321</f>
        <v>-3</v>
      </c>
      <c r="J78" s="131"/>
    </row>
    <row r="79" spans="2:10" outlineLevel="1" x14ac:dyDescent="0.35">
      <c r="B79" s="538"/>
      <c r="C79" s="7" t="s">
        <v>193</v>
      </c>
      <c r="D79" s="15" t="s">
        <v>141</v>
      </c>
      <c r="E79" s="139">
        <f>'Ενεργοί πελάτες'!E321</f>
        <v>74</v>
      </c>
      <c r="F79" s="139">
        <f>E79+F78</f>
        <v>79</v>
      </c>
      <c r="G79" s="139">
        <f>F79+G78</f>
        <v>82</v>
      </c>
      <c r="H79" s="139">
        <f>G79+H78</f>
        <v>80</v>
      </c>
      <c r="I79" s="139">
        <f>H79+I78</f>
        <v>77</v>
      </c>
      <c r="J79" s="131"/>
    </row>
    <row r="80" spans="2:10" outlineLevel="1" x14ac:dyDescent="0.35">
      <c r="B80" s="537" t="s">
        <v>145</v>
      </c>
      <c r="C80" s="5" t="s">
        <v>192</v>
      </c>
      <c r="D80" s="14" t="s">
        <v>141</v>
      </c>
      <c r="E80" s="138">
        <f>'Ενεργοί πελάτες'!D382</f>
        <v>2</v>
      </c>
      <c r="F80" s="138">
        <f>'Ενεργοί πελάτες'!F382</f>
        <v>1</v>
      </c>
      <c r="G80" s="138">
        <f>'Ενεργοί πελάτες'!I382</f>
        <v>1</v>
      </c>
      <c r="H80" s="138">
        <f>'Ενεργοί πελάτες'!L382</f>
        <v>-1</v>
      </c>
      <c r="I80" s="138">
        <f>'Ενεργοί πελάτες'!O382</f>
        <v>1</v>
      </c>
    </row>
    <row r="81" spans="2:10" outlineLevel="1" x14ac:dyDescent="0.35">
      <c r="B81" s="538"/>
      <c r="C81" s="7" t="s">
        <v>193</v>
      </c>
      <c r="D81" s="15" t="s">
        <v>141</v>
      </c>
      <c r="E81" s="139">
        <f>'Ενεργοί πελάτες'!E382</f>
        <v>6</v>
      </c>
      <c r="F81" s="139">
        <f>E81+F80</f>
        <v>7</v>
      </c>
      <c r="G81" s="139">
        <f>F81+G80</f>
        <v>8</v>
      </c>
      <c r="H81" s="139">
        <f>G81+H80</f>
        <v>7</v>
      </c>
      <c r="I81" s="139">
        <f>H81+I80</f>
        <v>8</v>
      </c>
    </row>
    <row r="82" spans="2:10" outlineLevel="1" x14ac:dyDescent="0.35">
      <c r="B82" s="17" t="s">
        <v>213</v>
      </c>
    </row>
    <row r="84" spans="2:10" ht="15.5" x14ac:dyDescent="0.35">
      <c r="B84" s="419" t="s">
        <v>315</v>
      </c>
      <c r="C84" s="419"/>
      <c r="D84" s="419"/>
      <c r="E84" s="419"/>
      <c r="F84" s="419"/>
      <c r="G84" s="419"/>
      <c r="H84" s="419"/>
      <c r="I84" s="419"/>
    </row>
    <row r="85" spans="2:10" ht="5.15" customHeight="1" outlineLevel="1" x14ac:dyDescent="0.35"/>
    <row r="86" spans="2:10" outlineLevel="1" x14ac:dyDescent="0.35">
      <c r="B86" s="539"/>
      <c r="C86" s="540"/>
      <c r="D86" s="9" t="s">
        <v>134</v>
      </c>
      <c r="E86" s="9">
        <f>$C$3-5</f>
        <v>2019</v>
      </c>
      <c r="F86" s="9">
        <f>$C$3-4</f>
        <v>2020</v>
      </c>
      <c r="G86" s="9">
        <f>$C$3-3</f>
        <v>2021</v>
      </c>
      <c r="H86" s="9">
        <f>$C$3-2</f>
        <v>2022</v>
      </c>
      <c r="I86" s="9">
        <f>$C$3-1</f>
        <v>2023</v>
      </c>
    </row>
    <row r="87" spans="2:10" outlineLevel="1" x14ac:dyDescent="0.35">
      <c r="B87" s="535" t="s">
        <v>209</v>
      </c>
      <c r="C87" s="536"/>
      <c r="D87" s="15" t="s">
        <v>147</v>
      </c>
      <c r="E87" s="139">
        <f t="shared" ref="E87:I87" si="12">SUM(E88:E93)</f>
        <v>3981246.105</v>
      </c>
      <c r="F87" s="139">
        <f t="shared" si="12"/>
        <v>4097581.2099999981</v>
      </c>
      <c r="G87" s="139">
        <f t="shared" si="12"/>
        <v>4375079.5090020001</v>
      </c>
      <c r="H87" s="139">
        <f t="shared" si="12"/>
        <v>4242654.1999999993</v>
      </c>
      <c r="I87" s="139">
        <f t="shared" si="12"/>
        <v>3650123</v>
      </c>
    </row>
    <row r="88" spans="2:10" outlineLevel="1" x14ac:dyDescent="0.35">
      <c r="B88" s="535" t="s">
        <v>133</v>
      </c>
      <c r="C88" s="536"/>
      <c r="D88" s="15" t="s">
        <v>147</v>
      </c>
      <c r="E88" s="139">
        <f>'Διανεμόμενες ποσότητες αερίου'!D132</f>
        <v>1953060.6647423711</v>
      </c>
      <c r="F88" s="139">
        <f>'Διανεμόμενες ποσότητες αερίου'!E132</f>
        <v>2231149.6827688646</v>
      </c>
      <c r="G88" s="139">
        <f>'Διανεμόμενες ποσότητες αερίου'!G132</f>
        <v>2402100.1284609819</v>
      </c>
      <c r="H88" s="139">
        <f>'Διανεμόμενες ποσότητες αερίου'!I132</f>
        <v>2174000.8999999994</v>
      </c>
      <c r="I88" s="139">
        <f>'Διανεμόμενες ποσότητες αερίου'!K132</f>
        <v>1650109.9999999995</v>
      </c>
      <c r="J88" s="131"/>
    </row>
    <row r="89" spans="2:10" outlineLevel="1" x14ac:dyDescent="0.35">
      <c r="B89" s="535" t="s">
        <v>139</v>
      </c>
      <c r="C89" s="536"/>
      <c r="D89" s="15" t="s">
        <v>147</v>
      </c>
      <c r="E89" s="139">
        <f>'Διανεμόμενες ποσότητες αερίου'!D194</f>
        <v>7991.3252576293344</v>
      </c>
      <c r="F89" s="139">
        <f>'Διανεμόμενες ποσότητες αερίου'!E194</f>
        <v>8775.872099117767</v>
      </c>
      <c r="G89" s="139">
        <f>'Διανεμόμενες ποσότητες αερίου'!G194</f>
        <v>9058.0621540189768</v>
      </c>
      <c r="H89" s="139">
        <f>'Διανεμόμενες ποσότητες αερίου'!I194</f>
        <v>8158.2999999999993</v>
      </c>
      <c r="I89" s="139">
        <f>'Διανεμόμενες ποσότητες αερίου'!K194</f>
        <v>7071.3999999999987</v>
      </c>
      <c r="J89" s="131"/>
    </row>
    <row r="90" spans="2:10" outlineLevel="1" x14ac:dyDescent="0.35">
      <c r="B90" s="535" t="s">
        <v>52</v>
      </c>
      <c r="C90" s="536"/>
      <c r="D90" s="30" t="s">
        <v>147</v>
      </c>
      <c r="E90" s="140">
        <f>'Διανεμόμενες ποσότητες αερίου'!D256</f>
        <v>1142729.7039999999</v>
      </c>
      <c r="F90" s="140">
        <f>'Διανεμόμενες ποσότητες αερίου'!E256</f>
        <v>996188.38194250595</v>
      </c>
      <c r="G90" s="140">
        <f>'Διανεμόμενες ποσότητες αερίου'!G256</f>
        <v>1058692.0703045954</v>
      </c>
      <c r="H90" s="140">
        <f>'Διανεμόμενες ποσότητες αερίου'!I256</f>
        <v>1139806.2999999996</v>
      </c>
      <c r="I90" s="140">
        <f>'Διανεμόμενες ποσότητες αερίου'!K256</f>
        <v>1018723.5000000001</v>
      </c>
    </row>
    <row r="91" spans="2:10" outlineLevel="1" x14ac:dyDescent="0.35">
      <c r="B91" s="535" t="s">
        <v>152</v>
      </c>
      <c r="C91" s="536"/>
      <c r="D91" s="15" t="s">
        <v>147</v>
      </c>
      <c r="E91" s="139"/>
      <c r="F91" s="139"/>
      <c r="G91" s="139"/>
      <c r="H91" s="139"/>
      <c r="I91" s="139"/>
    </row>
    <row r="92" spans="2:10" ht="27" customHeight="1" outlineLevel="1" x14ac:dyDescent="0.35">
      <c r="B92" s="535" t="s">
        <v>144</v>
      </c>
      <c r="C92" s="536"/>
      <c r="D92" s="15" t="s">
        <v>147</v>
      </c>
      <c r="E92" s="139">
        <f>'Διανεμόμενες ποσότητες αερίου'!D330</f>
        <v>825109.95544095896</v>
      </c>
      <c r="F92" s="139">
        <f>'Διανεμόμενες ποσότητες αερίου'!E330</f>
        <v>793218.94034895091</v>
      </c>
      <c r="G92" s="139">
        <f>'Διανεμόμενες ποσότητες αερίου'!G330</f>
        <v>797349.00555360457</v>
      </c>
      <c r="H92" s="139">
        <f>'Διανεμόμενες ποσότητες αερίου'!I330</f>
        <v>792492.89999999991</v>
      </c>
      <c r="I92" s="139">
        <f>'Διανεμόμενες ποσότητες αερίου'!K330</f>
        <v>826064.90000000026</v>
      </c>
    </row>
    <row r="93" spans="2:10" outlineLevel="1" x14ac:dyDescent="0.35">
      <c r="B93" s="535" t="s">
        <v>145</v>
      </c>
      <c r="C93" s="536"/>
      <c r="D93" s="15" t="s">
        <v>147</v>
      </c>
      <c r="E93" s="139">
        <f>'Διανεμόμενες ποσότητες αερίου'!D392</f>
        <v>52354.455559040725</v>
      </c>
      <c r="F93" s="139">
        <f>'Διανεμόμενες ποσότητες αερίου'!E392</f>
        <v>68248.332840559073</v>
      </c>
      <c r="G93" s="139">
        <f>'Διανεμόμενες ποσότητες αερίου'!G392</f>
        <v>107880.2425288001</v>
      </c>
      <c r="H93" s="139">
        <f>'Διανεμόμενες ποσότητες αερίου'!I392</f>
        <v>128195.79999999999</v>
      </c>
      <c r="I93" s="139">
        <f>'Διανεμόμενες ποσότητες αερίου'!K392</f>
        <v>148153.20000000001</v>
      </c>
    </row>
    <row r="95" spans="2:10" ht="15.5" x14ac:dyDescent="0.35">
      <c r="B95" s="419" t="s">
        <v>316</v>
      </c>
      <c r="C95" s="419"/>
      <c r="D95" s="419"/>
      <c r="E95" s="419"/>
      <c r="F95" s="419"/>
      <c r="G95" s="419"/>
      <c r="H95" s="419"/>
      <c r="I95" s="419"/>
    </row>
    <row r="96" spans="2:10" ht="5.15" customHeight="1" outlineLevel="1" x14ac:dyDescent="0.35"/>
    <row r="97" spans="2:9" outlineLevel="1" x14ac:dyDescent="0.35">
      <c r="B97" s="539"/>
      <c r="C97" s="540"/>
      <c r="D97" s="9" t="s">
        <v>134</v>
      </c>
      <c r="E97" s="9">
        <f>$C$3-5</f>
        <v>2019</v>
      </c>
      <c r="F97" s="9">
        <f>$C$3-4</f>
        <v>2020</v>
      </c>
      <c r="G97" s="9">
        <f>$C$3-3</f>
        <v>2021</v>
      </c>
      <c r="H97" s="9">
        <f>$C$3-2</f>
        <v>2022</v>
      </c>
      <c r="I97" s="9">
        <f>$C$3-1</f>
        <v>2023</v>
      </c>
    </row>
    <row r="98" spans="2:9" outlineLevel="1" x14ac:dyDescent="0.35">
      <c r="B98" s="543" t="s">
        <v>236</v>
      </c>
      <c r="C98" s="5" t="s">
        <v>237</v>
      </c>
      <c r="D98" s="14" t="s">
        <v>141</v>
      </c>
      <c r="E98" s="138">
        <f>SUM(E99:E101)</f>
        <v>931112.20042936597</v>
      </c>
      <c r="F98" s="138">
        <f>SUM(F99:F101)</f>
        <v>972065.94756975037</v>
      </c>
      <c r="G98" s="138">
        <f t="shared" ref="G98:I98" si="13">SUM(G99:G101)</f>
        <v>1024812.8662296577</v>
      </c>
      <c r="H98" s="138">
        <f t="shared" si="13"/>
        <v>1047951.8555420121</v>
      </c>
      <c r="I98" s="138">
        <f t="shared" si="13"/>
        <v>1079544</v>
      </c>
    </row>
    <row r="99" spans="2:9" outlineLevel="1" x14ac:dyDescent="0.35">
      <c r="B99" s="544"/>
      <c r="C99" s="13" t="s">
        <v>238</v>
      </c>
      <c r="D99" s="16" t="s">
        <v>141</v>
      </c>
      <c r="E99" s="141">
        <f>'Παραδοχές διείσδυσης - κάλυψης'!E68</f>
        <v>931112.20042936597</v>
      </c>
      <c r="F99" s="141">
        <f>'Παραδοχές διείσδυσης - κάλυψης'!I68</f>
        <v>972065.94756975037</v>
      </c>
      <c r="G99" s="141">
        <f>'Παραδοχές διείσδυσης - κάλυψης'!M68</f>
        <v>1024812.8662296577</v>
      </c>
      <c r="H99" s="141">
        <f>'Παραδοχές διείσδυσης - κάλυψης'!Q68</f>
        <v>1047951.8555420121</v>
      </c>
      <c r="I99" s="141">
        <f>'Παραδοχές διείσδυσης - κάλυψης'!U68</f>
        <v>1079544</v>
      </c>
    </row>
    <row r="100" spans="2:9" outlineLevel="1" x14ac:dyDescent="0.35">
      <c r="B100" s="544"/>
      <c r="C100" s="126" t="s">
        <v>239</v>
      </c>
      <c r="D100" s="16" t="s">
        <v>141</v>
      </c>
      <c r="E100" s="142">
        <f>'Παραδοχές διείσδυσης - κάλυψης'!F22</f>
        <v>0</v>
      </c>
      <c r="F100" s="142">
        <f>'Παραδοχές διείσδυσης - κάλυψης'!J22</f>
        <v>0</v>
      </c>
      <c r="G100" s="142">
        <f>'Παραδοχές διείσδυσης - κάλυψης'!N22</f>
        <v>0</v>
      </c>
      <c r="H100" s="142">
        <f>'Παραδοχές διείσδυσης - κάλυψης'!R22</f>
        <v>0</v>
      </c>
      <c r="I100" s="142">
        <f>'Παραδοχές διείσδυσης - κάλυψης'!V22</f>
        <v>0</v>
      </c>
    </row>
    <row r="101" spans="2:9" outlineLevel="1" x14ac:dyDescent="0.35">
      <c r="B101" s="545"/>
      <c r="C101" s="7" t="s">
        <v>144</v>
      </c>
      <c r="D101" s="15" t="s">
        <v>141</v>
      </c>
      <c r="E101" s="139">
        <f>'Παραδοχές διείσδυσης - κάλυψης'!G22</f>
        <v>0</v>
      </c>
      <c r="F101" s="139">
        <f>'Παραδοχές διείσδυσης - κάλυψης'!K22</f>
        <v>0</v>
      </c>
      <c r="G101" s="139">
        <f>'Παραδοχές διείσδυσης - κάλυψης'!O22</f>
        <v>0</v>
      </c>
      <c r="H101" s="139">
        <f>'Παραδοχές διείσδυσης - κάλυψης'!S22</f>
        <v>0</v>
      </c>
      <c r="I101" s="139">
        <f>'Παραδοχές διείσδυσης - κάλυψης'!W22</f>
        <v>0</v>
      </c>
    </row>
    <row r="102" spans="2:9" outlineLevel="1" x14ac:dyDescent="0.35">
      <c r="B102" s="542" t="s">
        <v>317</v>
      </c>
      <c r="C102" s="542"/>
      <c r="D102" s="12" t="s">
        <v>141</v>
      </c>
      <c r="E102" s="143">
        <f>'Παραδοχές διείσδυσης - κάλυψης'!D130</f>
        <v>213009.36538748044</v>
      </c>
      <c r="F102" s="143">
        <f>'Παραδοχές διείσδυσης - κάλυψης'!E130</f>
        <v>224198.90775184982</v>
      </c>
      <c r="G102" s="143">
        <f>'Παραδοχές διείσδυσης - κάλυψης'!F130</f>
        <v>236093.88416896012</v>
      </c>
      <c r="H102" s="143">
        <f>'Παραδοχές διείσδυσης - κάλυψης'!G130</f>
        <v>241925.72373440751</v>
      </c>
      <c r="I102" s="143">
        <f>'Παραδοχές διείσδυσης - κάλυψης'!H130</f>
        <v>250712</v>
      </c>
    </row>
    <row r="103" spans="2:9" outlineLevel="1" x14ac:dyDescent="0.35">
      <c r="B103" s="17" t="s">
        <v>318</v>
      </c>
    </row>
    <row r="104" spans="2:9" outlineLevel="1" x14ac:dyDescent="0.35">
      <c r="B104" s="17" t="s">
        <v>242</v>
      </c>
    </row>
    <row r="106" spans="2:9" ht="15.5" x14ac:dyDescent="0.35">
      <c r="B106" s="419" t="s">
        <v>319</v>
      </c>
      <c r="C106" s="419"/>
      <c r="D106" s="419"/>
      <c r="E106" s="419"/>
      <c r="F106" s="419"/>
      <c r="G106" s="419"/>
      <c r="H106" s="419"/>
      <c r="I106" s="419"/>
    </row>
    <row r="107" spans="2:9" ht="5.15" customHeight="1" outlineLevel="1" x14ac:dyDescent="0.35"/>
    <row r="108" spans="2:9" outlineLevel="1" x14ac:dyDescent="0.35">
      <c r="B108" s="539"/>
      <c r="C108" s="540"/>
      <c r="D108" s="9" t="s">
        <v>134</v>
      </c>
      <c r="E108" s="9">
        <f>$C$3-5</f>
        <v>2019</v>
      </c>
      <c r="F108" s="9">
        <f>$C$3-4</f>
        <v>2020</v>
      </c>
      <c r="G108" s="9">
        <f>$C$3-3</f>
        <v>2021</v>
      </c>
      <c r="H108" s="9">
        <f>$C$3-2</f>
        <v>2022</v>
      </c>
      <c r="I108" s="9" t="str">
        <f>$C$3-1&amp;""&amp;" ("&amp;"Πρόβλεψη"&amp;")"</f>
        <v>2023 (Πρόβλεψη)</v>
      </c>
    </row>
    <row r="109" spans="2:9" outlineLevel="1" x14ac:dyDescent="0.35">
      <c r="B109" s="546" t="s">
        <v>320</v>
      </c>
      <c r="C109" s="547"/>
      <c r="D109" s="15" t="s">
        <v>175</v>
      </c>
      <c r="E109" s="139">
        <f>'Παραδοχές διείσδυσης - κάλυψης'!D190</f>
        <v>7555829.2807559995</v>
      </c>
      <c r="F109" s="139">
        <f>'Παραδοχές διείσδυσης - κάλυψης'!E190</f>
        <v>7555829.2807559995</v>
      </c>
      <c r="G109" s="139">
        <f>'Παραδοχές διείσδυσης - κάλυψης'!F190</f>
        <v>7555829.2807559995</v>
      </c>
      <c r="H109" s="139">
        <f>'Παραδοχές διείσδυσης - κάλυψης'!G190</f>
        <v>7555829.2807559995</v>
      </c>
      <c r="I109" s="139">
        <f>'Παραδοχές διείσδυσης - κάλυψης'!H190</f>
        <v>7555829.2807559995</v>
      </c>
    </row>
    <row r="110" spans="2:9" outlineLevel="1" x14ac:dyDescent="0.35">
      <c r="B110" s="542" t="s">
        <v>246</v>
      </c>
      <c r="C110" s="542"/>
      <c r="D110" s="12" t="s">
        <v>175</v>
      </c>
      <c r="E110" s="143">
        <f>'Παραδοχές διείσδυσης - κάλυψης'!D250</f>
        <v>8017622.3370237015</v>
      </c>
      <c r="F110" s="143">
        <f>'Παραδοχές διείσδυσης - κάλυψης'!E250</f>
        <v>8017622.3370237015</v>
      </c>
      <c r="G110" s="143">
        <f>'Παραδοχές διείσδυσης - κάλυψης'!F250</f>
        <v>8017622.3370237015</v>
      </c>
      <c r="H110" s="143">
        <f>'Παραδοχές διείσδυσης - κάλυψης'!G250</f>
        <v>8017622.3370237015</v>
      </c>
      <c r="I110" s="143">
        <f>'Παραδοχές διείσδυσης - κάλυψης'!H250</f>
        <v>8017622.3370237015</v>
      </c>
    </row>
    <row r="111" spans="2:9" outlineLevel="1" x14ac:dyDescent="0.35">
      <c r="B111" s="521" t="s">
        <v>248</v>
      </c>
      <c r="C111" s="521"/>
      <c r="D111" s="521"/>
      <c r="E111" s="521"/>
      <c r="F111" s="521"/>
      <c r="G111" s="521"/>
      <c r="H111" s="521"/>
    </row>
  </sheetData>
  <mergeCells count="58">
    <mergeCell ref="B22:B23"/>
    <mergeCell ref="B29:I29"/>
    <mergeCell ref="B26:B27"/>
    <mergeCell ref="B24:B25"/>
    <mergeCell ref="B38:B39"/>
    <mergeCell ref="B40:B41"/>
    <mergeCell ref="B72:B73"/>
    <mergeCell ref="B42:B43"/>
    <mergeCell ref="B47:I47"/>
    <mergeCell ref="B49:C49"/>
    <mergeCell ref="B50:B51"/>
    <mergeCell ref="B52:B53"/>
    <mergeCell ref="B54:B55"/>
    <mergeCell ref="B56:B57"/>
    <mergeCell ref="B58:B59"/>
    <mergeCell ref="B60:B61"/>
    <mergeCell ref="B62:B63"/>
    <mergeCell ref="B44:B45"/>
    <mergeCell ref="B67:C67"/>
    <mergeCell ref="B68:B69"/>
    <mergeCell ref="B70:B71"/>
    <mergeCell ref="B111:H111"/>
    <mergeCell ref="B98:B101"/>
    <mergeCell ref="B102:C102"/>
    <mergeCell ref="B108:C108"/>
    <mergeCell ref="B91:C91"/>
    <mergeCell ref="B92:C92"/>
    <mergeCell ref="B93:C93"/>
    <mergeCell ref="B110:C110"/>
    <mergeCell ref="B109:C109"/>
    <mergeCell ref="B97:C97"/>
    <mergeCell ref="B95:I95"/>
    <mergeCell ref="B106:I106"/>
    <mergeCell ref="B90:C90"/>
    <mergeCell ref="B74:B75"/>
    <mergeCell ref="B76:B77"/>
    <mergeCell ref="B78:B79"/>
    <mergeCell ref="B80:B81"/>
    <mergeCell ref="B86:C86"/>
    <mergeCell ref="B84:I84"/>
    <mergeCell ref="B89:C89"/>
    <mergeCell ref="B88:C88"/>
    <mergeCell ref="B65:I65"/>
    <mergeCell ref="B5:H5"/>
    <mergeCell ref="I2:K2"/>
    <mergeCell ref="C2:H2"/>
    <mergeCell ref="B87:C87"/>
    <mergeCell ref="B36:B37"/>
    <mergeCell ref="B9:I9"/>
    <mergeCell ref="B32:B33"/>
    <mergeCell ref="B34:B35"/>
    <mergeCell ref="B11:C11"/>
    <mergeCell ref="B31:C31"/>
    <mergeCell ref="B16:B17"/>
    <mergeCell ref="B18:B19"/>
    <mergeCell ref="B20:B21"/>
    <mergeCell ref="B12:B13"/>
    <mergeCell ref="B14:B15"/>
  </mergeCells>
  <hyperlinks>
    <hyperlink ref="I2" location="'Αρχική σελίδα'!A1" display="Πίσω στην αρχική σελίδα" xr:uid="{E57A80E0-8D20-40DF-8019-5F0CF057F26A}"/>
  </hyperlinks>
  <pageMargins left="0.7" right="0.7" top="0.75" bottom="0.75" header="0.3" footer="0.3"/>
  <pageSetup paperSize="9" orientation="portrait" horizontalDpi="300" verticalDpi="300" r:id="rId1"/>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DCCE-4F4C-4797-A47A-946225F39BD8}">
  <sheetPr codeName="Sheet21">
    <tabColor theme="9" tint="0.79998168889431442"/>
  </sheetPr>
  <dimension ref="B2:N185"/>
  <sheetViews>
    <sheetView showGridLines="0" zoomScale="90" zoomScaleNormal="90" workbookViewId="0">
      <selection activeCell="B1" sqref="B1"/>
    </sheetView>
  </sheetViews>
  <sheetFormatPr defaultColWidth="8.54296875" defaultRowHeight="14.5" outlineLevelRow="1" x14ac:dyDescent="0.35"/>
  <cols>
    <col min="1" max="1" width="2.54296875" customWidth="1"/>
    <col min="2" max="2" width="28.453125" customWidth="1"/>
    <col min="3" max="3" width="30" bestFit="1" customWidth="1"/>
    <col min="4" max="4" width="12.453125" customWidth="1"/>
    <col min="5" max="5" width="16.1796875" customWidth="1"/>
    <col min="6" max="7" width="19.1796875" customWidth="1"/>
    <col min="8" max="8" width="17.453125" customWidth="1"/>
    <col min="9" max="9" width="18.453125" customWidth="1"/>
    <col min="10" max="10" width="15.54296875" customWidth="1"/>
    <col min="11" max="11" width="17.453125" customWidth="1"/>
    <col min="12" max="12" width="27.453125" customWidth="1"/>
    <col min="13" max="13" width="10.1796875" bestFit="1" customWidth="1"/>
    <col min="14" max="14" width="20.54296875" customWidth="1"/>
    <col min="15" max="19" width="9.1796875" customWidth="1"/>
  </cols>
  <sheetData>
    <row r="2" spans="2:12" ht="18.5" x14ac:dyDescent="0.45">
      <c r="B2" s="1" t="s">
        <v>0</v>
      </c>
      <c r="C2" s="420">
        <f>'Αρχική σελίδα'!C3</f>
        <v>0</v>
      </c>
      <c r="D2" s="420"/>
      <c r="E2" s="420"/>
      <c r="F2" s="420"/>
      <c r="G2" s="420"/>
      <c r="H2" s="420"/>
      <c r="J2" s="421" t="s">
        <v>58</v>
      </c>
      <c r="K2" s="421"/>
      <c r="L2" s="421"/>
    </row>
    <row r="3" spans="2:12" ht="18.5" x14ac:dyDescent="0.45">
      <c r="B3" s="2" t="s">
        <v>1</v>
      </c>
      <c r="C3" s="46">
        <f>'Αρχική σελίδα'!C4</f>
        <v>2024</v>
      </c>
      <c r="D3" s="46" t="s">
        <v>2</v>
      </c>
      <c r="E3" s="46">
        <f>C3+4</f>
        <v>2028</v>
      </c>
    </row>
    <row r="5" spans="2:12" ht="33" customHeight="1" x14ac:dyDescent="0.35">
      <c r="B5" s="422" t="s">
        <v>321</v>
      </c>
      <c r="C5" s="422"/>
      <c r="D5" s="422"/>
      <c r="E5" s="422"/>
      <c r="F5" s="422"/>
      <c r="G5" s="422"/>
      <c r="H5" s="422"/>
      <c r="I5" s="422"/>
    </row>
    <row r="6" spans="2:12" x14ac:dyDescent="0.35">
      <c r="B6" s="226"/>
      <c r="C6" s="226"/>
      <c r="D6" s="226"/>
      <c r="E6" s="226"/>
      <c r="F6" s="226"/>
      <c r="G6" s="226"/>
      <c r="H6" s="226"/>
    </row>
    <row r="7" spans="2:12" ht="18.5" x14ac:dyDescent="0.45">
      <c r="B7" s="100" t="s">
        <v>322</v>
      </c>
      <c r="C7" s="229"/>
      <c r="D7" s="229"/>
      <c r="E7" s="229"/>
      <c r="F7" s="229"/>
      <c r="G7" s="229"/>
      <c r="H7" s="229"/>
      <c r="I7" s="229"/>
      <c r="J7" s="229"/>
      <c r="K7" s="100"/>
    </row>
    <row r="8" spans="2:12" x14ac:dyDescent="0.35">
      <c r="B8" s="226"/>
      <c r="C8" s="226"/>
      <c r="D8" s="226"/>
      <c r="E8" s="226"/>
      <c r="F8" s="226"/>
      <c r="G8" s="226"/>
      <c r="H8" s="226"/>
    </row>
    <row r="9" spans="2:12" ht="15.5" x14ac:dyDescent="0.35">
      <c r="B9" s="551" t="s">
        <v>309</v>
      </c>
      <c r="C9" s="551"/>
      <c r="D9" s="551"/>
      <c r="E9" s="551"/>
      <c r="F9" s="551"/>
      <c r="G9" s="551"/>
      <c r="H9" s="551"/>
      <c r="I9" s="551"/>
      <c r="J9" s="551"/>
      <c r="K9" s="551"/>
    </row>
    <row r="10" spans="2:12" ht="5.15" customHeight="1" outlineLevel="1" x14ac:dyDescent="0.35"/>
    <row r="11" spans="2:12" outlineLevel="1" x14ac:dyDescent="0.35">
      <c r="B11" s="539"/>
      <c r="C11" s="540"/>
      <c r="D11" s="9" t="s">
        <v>134</v>
      </c>
      <c r="E11" s="9">
        <f>$C$3-1</f>
        <v>2023</v>
      </c>
      <c r="F11" s="9">
        <f>$C$3</f>
        <v>2024</v>
      </c>
      <c r="G11" s="9">
        <f>$C$3+1</f>
        <v>2025</v>
      </c>
      <c r="H11" s="9">
        <f>$C$3+2</f>
        <v>2026</v>
      </c>
      <c r="I11" s="9">
        <f>$C$3+3</f>
        <v>2027</v>
      </c>
      <c r="J11" s="9">
        <f>$C$3+4</f>
        <v>2028</v>
      </c>
      <c r="K11" s="9" t="str">
        <f>F11&amp;" - "&amp;J11</f>
        <v>2024 - 2028</v>
      </c>
    </row>
    <row r="12" spans="2:12" outlineLevel="1" x14ac:dyDescent="0.35">
      <c r="B12" s="541" t="s">
        <v>168</v>
      </c>
      <c r="C12" s="5" t="s">
        <v>171</v>
      </c>
      <c r="D12" s="14" t="s">
        <v>175</v>
      </c>
      <c r="E12" s="144">
        <f>'Στοιχεία υφιστάμενου δικτύου'!I12</f>
        <v>2260.3999999999996</v>
      </c>
      <c r="F12" s="138">
        <f>'Ανάπτυξη δικτύου'!U69</f>
        <v>1313</v>
      </c>
      <c r="G12" s="138">
        <f>'Ανάπτυξη δικτύου'!X69</f>
        <v>4000</v>
      </c>
      <c r="H12" s="138">
        <f>'Ανάπτυξη δικτύου'!AA69</f>
        <v>2551</v>
      </c>
      <c r="I12" s="138">
        <f>'Ανάπτυξη δικτύου'!AD69</f>
        <v>3000</v>
      </c>
      <c r="J12" s="138">
        <f>'Ανάπτυξη δικτύου'!AG69</f>
        <v>1000</v>
      </c>
      <c r="K12" s="138">
        <f>SUM(F12:J12)</f>
        <v>11864</v>
      </c>
    </row>
    <row r="13" spans="2:12" outlineLevel="1" x14ac:dyDescent="0.35">
      <c r="B13" s="541"/>
      <c r="C13" s="7" t="s">
        <v>172</v>
      </c>
      <c r="D13" s="15" t="s">
        <v>175</v>
      </c>
      <c r="E13" s="331">
        <f>'Στοιχεία υφιστάμενου δικτύου'!I13</f>
        <v>345517.82000000007</v>
      </c>
      <c r="F13" s="139">
        <f>E13+F12</f>
        <v>346830.82000000007</v>
      </c>
      <c r="G13" s="139">
        <f>F13+G12</f>
        <v>350830.82000000007</v>
      </c>
      <c r="H13" s="139">
        <f>G13+H12</f>
        <v>353381.82000000007</v>
      </c>
      <c r="I13" s="139">
        <f>H13+I12</f>
        <v>356381.82000000007</v>
      </c>
      <c r="J13" s="139">
        <f>I13+J12</f>
        <v>357381.82000000007</v>
      </c>
      <c r="K13" s="32"/>
    </row>
    <row r="14" spans="2:12" outlineLevel="1" x14ac:dyDescent="0.35">
      <c r="B14" s="541" t="s">
        <v>183</v>
      </c>
      <c r="C14" s="5" t="s">
        <v>171</v>
      </c>
      <c r="D14" s="14" t="s">
        <v>175</v>
      </c>
      <c r="E14" s="332">
        <f>'Στοιχεία υφιστάμενου δικτύου'!I14</f>
        <v>128185.23999999999</v>
      </c>
      <c r="F14" s="138">
        <f>'Ανάπτυξη δικτύου'!U132</f>
        <v>39140</v>
      </c>
      <c r="G14" s="138">
        <f>'Ανάπτυξη δικτύου'!X132</f>
        <v>113500</v>
      </c>
      <c r="H14" s="138">
        <f>'Ανάπτυξη δικτύου'!AA132</f>
        <v>107000</v>
      </c>
      <c r="I14" s="138">
        <f>'Ανάπτυξη δικτύου'!AD132</f>
        <v>116000</v>
      </c>
      <c r="J14" s="138">
        <f>'Ανάπτυξη δικτύου'!AG132</f>
        <v>110000</v>
      </c>
      <c r="K14" s="138">
        <f>SUM(F14:J14)</f>
        <v>485640</v>
      </c>
    </row>
    <row r="15" spans="2:12" outlineLevel="1" x14ac:dyDescent="0.35">
      <c r="B15" s="541"/>
      <c r="C15" s="7" t="s">
        <v>172</v>
      </c>
      <c r="D15" s="15" t="s">
        <v>175</v>
      </c>
      <c r="E15" s="331">
        <f>'Στοιχεία υφιστάμενου δικτύου'!I15</f>
        <v>3765535.9699999997</v>
      </c>
      <c r="F15" s="139">
        <f>E15+F14</f>
        <v>3804675.9699999997</v>
      </c>
      <c r="G15" s="139">
        <f>F15+G14</f>
        <v>3918175.9699999997</v>
      </c>
      <c r="H15" s="139">
        <f>G15+H14</f>
        <v>4025175.9699999997</v>
      </c>
      <c r="I15" s="139">
        <f>H15+I14</f>
        <v>4141175.9699999997</v>
      </c>
      <c r="J15" s="139">
        <f>I15+J14</f>
        <v>4251175.97</v>
      </c>
      <c r="K15" s="32"/>
    </row>
    <row r="16" spans="2:12" outlineLevel="1" x14ac:dyDescent="0.35">
      <c r="B16" s="541" t="s">
        <v>185</v>
      </c>
      <c r="C16" s="5" t="s">
        <v>192</v>
      </c>
      <c r="D16" s="14" t="s">
        <v>141</v>
      </c>
      <c r="E16" s="332">
        <f>'Στοιχεία υφιστάμενου δικτύου'!I16</f>
        <v>3206</v>
      </c>
      <c r="F16" s="138">
        <f>'Ανάπτυξη δικτύου'!U194</f>
        <v>3463.7154605263158</v>
      </c>
      <c r="G16" s="138">
        <f>'Ανάπτυξη δικτύου'!X194</f>
        <v>5075.5285544590661</v>
      </c>
      <c r="H16" s="138">
        <f>'Ανάπτυξη δικτύου'!AA194</f>
        <v>5787.4058845029249</v>
      </c>
      <c r="I16" s="138">
        <f>'Ανάπτυξη δικτύου'!AD194</f>
        <v>5241.1954495614036</v>
      </c>
      <c r="J16" s="138">
        <f>'Ανάπτυξη δικτύου'!AG194</f>
        <v>4637.7152320906453</v>
      </c>
      <c r="K16" s="138">
        <f>SUM(F16:J16)</f>
        <v>24205.560581140358</v>
      </c>
    </row>
    <row r="17" spans="2:11" outlineLevel="1" x14ac:dyDescent="0.35">
      <c r="B17" s="541"/>
      <c r="C17" s="7" t="s">
        <v>193</v>
      </c>
      <c r="D17" s="15" t="s">
        <v>141</v>
      </c>
      <c r="E17" s="331">
        <f>'Στοιχεία υφιστάμενου δικτύου'!I17</f>
        <v>106518</v>
      </c>
      <c r="F17" s="139">
        <f>E17+F16</f>
        <v>109981.71546052632</v>
      </c>
      <c r="G17" s="139">
        <f>F17+G16</f>
        <v>115057.24401498539</v>
      </c>
      <c r="H17" s="139">
        <f>G17+H16</f>
        <v>120844.64989948831</v>
      </c>
      <c r="I17" s="139">
        <f>H17+I16</f>
        <v>126085.84534904972</v>
      </c>
      <c r="J17" s="139">
        <f>I17+J16</f>
        <v>130723.56058114037</v>
      </c>
      <c r="K17" s="32"/>
    </row>
    <row r="18" spans="2:11" outlineLevel="1" x14ac:dyDescent="0.35">
      <c r="B18" s="541" t="s">
        <v>191</v>
      </c>
      <c r="C18" s="5" t="s">
        <v>192</v>
      </c>
      <c r="D18" s="14" t="s">
        <v>141</v>
      </c>
      <c r="E18" s="332">
        <f>'Στοιχεία υφιστάμενου δικτύου'!I18</f>
        <v>8201</v>
      </c>
      <c r="F18" s="138">
        <f>'Ανάπτυξη δικτύου'!U255</f>
        <v>13887</v>
      </c>
      <c r="G18" s="138">
        <f>'Ανάπτυξη δικτύου'!X255</f>
        <v>17924.625</v>
      </c>
      <c r="H18" s="138">
        <f>'Ανάπτυξη δικτύου'!AA255</f>
        <v>21524.083333333332</v>
      </c>
      <c r="I18" s="138">
        <f>'Ανάπτυξη δικτύου'!AD255</f>
        <v>20635.583333333332</v>
      </c>
      <c r="J18" s="138">
        <f>'Ανάπτυξη δικτύου'!AG255</f>
        <v>18372</v>
      </c>
      <c r="K18" s="138">
        <f>SUM(F18:J18)</f>
        <v>92343.291666666657</v>
      </c>
    </row>
    <row r="19" spans="2:11" outlineLevel="1" x14ac:dyDescent="0.35">
      <c r="B19" s="541"/>
      <c r="C19" s="7" t="s">
        <v>193</v>
      </c>
      <c r="D19" s="15" t="s">
        <v>141</v>
      </c>
      <c r="E19" s="331">
        <f>'Στοιχεία υφιστάμενου δικτύου'!I19</f>
        <v>194716</v>
      </c>
      <c r="F19" s="139">
        <f>E19+F18</f>
        <v>208603</v>
      </c>
      <c r="G19" s="139">
        <f>F19+G18</f>
        <v>226527.625</v>
      </c>
      <c r="H19" s="139">
        <f>G19+H18</f>
        <v>248051.70833333334</v>
      </c>
      <c r="I19" s="139">
        <f>H19+I18</f>
        <v>268687.29166666669</v>
      </c>
      <c r="J19" s="139">
        <f>I19+J18</f>
        <v>287059.29166666669</v>
      </c>
      <c r="K19" s="32"/>
    </row>
    <row r="20" spans="2:11" outlineLevel="1" x14ac:dyDescent="0.35">
      <c r="B20" s="542" t="s">
        <v>194</v>
      </c>
      <c r="C20" s="5" t="s">
        <v>192</v>
      </c>
      <c r="D20" s="14" t="s">
        <v>141</v>
      </c>
      <c r="E20" s="332">
        <f>'Στοιχεία υφιστάμενου δικτύου'!I20</f>
        <v>7</v>
      </c>
      <c r="F20" s="138">
        <f>'Ανάπτυξη δικτύου'!U263</f>
        <v>10</v>
      </c>
      <c r="G20" s="138">
        <f>'Ανάπτυξη δικτύου'!X263</f>
        <v>6</v>
      </c>
      <c r="H20" s="138">
        <f>'Ανάπτυξη δικτύου'!AA263</f>
        <v>5</v>
      </c>
      <c r="I20" s="138">
        <f>'Ανάπτυξη δικτύου'!AD263</f>
        <v>3</v>
      </c>
      <c r="J20" s="138">
        <f>'Ανάπτυξη δικτύου'!AG263</f>
        <v>2</v>
      </c>
      <c r="K20" s="138">
        <f>SUM(F20:J20)</f>
        <v>26</v>
      </c>
    </row>
    <row r="21" spans="2:11" outlineLevel="1" x14ac:dyDescent="0.35">
      <c r="B21" s="542"/>
      <c r="C21" s="7" t="s">
        <v>193</v>
      </c>
      <c r="D21" s="15" t="s">
        <v>141</v>
      </c>
      <c r="E21" s="331">
        <f>'Στοιχεία υφιστάμενου δικτύου'!I21</f>
        <v>166</v>
      </c>
      <c r="F21" s="139">
        <f>E21+F20</f>
        <v>176</v>
      </c>
      <c r="G21" s="139">
        <f>F21+G20</f>
        <v>182</v>
      </c>
      <c r="H21" s="139">
        <f>G21+H20</f>
        <v>187</v>
      </c>
      <c r="I21" s="139">
        <f>H21+I20</f>
        <v>190</v>
      </c>
      <c r="J21" s="139">
        <f>I21+J20</f>
        <v>192</v>
      </c>
      <c r="K21" s="32"/>
    </row>
    <row r="22" spans="2:11" outlineLevel="1" x14ac:dyDescent="0.35">
      <c r="B22" s="541" t="s">
        <v>197</v>
      </c>
      <c r="C22" s="5" t="s">
        <v>192</v>
      </c>
      <c r="D22" s="14" t="s">
        <v>141</v>
      </c>
      <c r="E22" s="144"/>
      <c r="F22" s="138"/>
      <c r="G22" s="138"/>
      <c r="H22" s="138"/>
      <c r="I22" s="138"/>
      <c r="J22" s="138"/>
      <c r="K22" s="138">
        <f>SUM(F22:J22)</f>
        <v>0</v>
      </c>
    </row>
    <row r="23" spans="2:11" outlineLevel="1" x14ac:dyDescent="0.35">
      <c r="B23" s="541"/>
      <c r="C23" s="7" t="s">
        <v>193</v>
      </c>
      <c r="D23" s="15" t="s">
        <v>141</v>
      </c>
      <c r="E23" s="145"/>
      <c r="F23" s="139"/>
      <c r="G23" s="139"/>
      <c r="H23" s="139"/>
      <c r="I23" s="139"/>
      <c r="J23" s="139"/>
      <c r="K23" s="32"/>
    </row>
    <row r="24" spans="2:11" outlineLevel="1" x14ac:dyDescent="0.35">
      <c r="B24" s="541" t="s">
        <v>198</v>
      </c>
      <c r="C24" s="5" t="s">
        <v>192</v>
      </c>
      <c r="D24" s="14" t="s">
        <v>141</v>
      </c>
      <c r="E24" s="144"/>
      <c r="F24" s="138"/>
      <c r="G24" s="138"/>
      <c r="H24" s="138"/>
      <c r="I24" s="138"/>
      <c r="J24" s="138"/>
      <c r="K24" s="138">
        <f>SUM(F24:J24)</f>
        <v>0</v>
      </c>
    </row>
    <row r="25" spans="2:11" outlineLevel="1" x14ac:dyDescent="0.35">
      <c r="B25" s="541"/>
      <c r="C25" s="7" t="s">
        <v>193</v>
      </c>
      <c r="D25" s="15" t="s">
        <v>141</v>
      </c>
      <c r="E25" s="145"/>
      <c r="F25" s="139"/>
      <c r="G25" s="139"/>
      <c r="H25" s="139"/>
      <c r="I25" s="139"/>
      <c r="J25" s="139"/>
      <c r="K25" s="32"/>
    </row>
    <row r="26" spans="2:11" outlineLevel="1" x14ac:dyDescent="0.35">
      <c r="B26" s="541" t="s">
        <v>199</v>
      </c>
      <c r="C26" s="5" t="s">
        <v>186</v>
      </c>
      <c r="D26" s="14" t="s">
        <v>141</v>
      </c>
      <c r="E26" s="144"/>
      <c r="F26" s="138"/>
      <c r="G26" s="138"/>
      <c r="H26" s="138"/>
      <c r="I26" s="138"/>
      <c r="J26" s="138"/>
      <c r="K26" s="138">
        <f>SUM(F26:J26)</f>
        <v>0</v>
      </c>
    </row>
    <row r="27" spans="2:11" outlineLevel="1" x14ac:dyDescent="0.35">
      <c r="B27" s="541"/>
      <c r="C27" s="7" t="s">
        <v>187</v>
      </c>
      <c r="D27" s="15" t="s">
        <v>141</v>
      </c>
      <c r="E27" s="145"/>
      <c r="F27" s="139"/>
      <c r="G27" s="139"/>
      <c r="H27" s="139"/>
      <c r="I27" s="139"/>
      <c r="J27" s="139"/>
      <c r="K27" s="32"/>
    </row>
    <row r="28" spans="2:11" outlineLevel="1" x14ac:dyDescent="0.35">
      <c r="B28" s="31" t="s">
        <v>323</v>
      </c>
      <c r="C28" s="23"/>
      <c r="D28" s="24"/>
      <c r="F28" s="26"/>
      <c r="G28" s="26"/>
      <c r="H28" s="26"/>
      <c r="I28" s="26"/>
    </row>
    <row r="29" spans="2:11" x14ac:dyDescent="0.35">
      <c r="B29" s="22"/>
      <c r="C29" s="23"/>
      <c r="D29" s="24"/>
      <c r="E29" s="25"/>
      <c r="F29" s="26"/>
      <c r="G29" s="26"/>
      <c r="H29" s="26"/>
      <c r="I29" s="26"/>
    </row>
    <row r="30" spans="2:11" ht="15.5" x14ac:dyDescent="0.35">
      <c r="B30" s="551" t="s">
        <v>324</v>
      </c>
      <c r="C30" s="551"/>
      <c r="D30" s="551"/>
      <c r="E30" s="551"/>
      <c r="F30" s="551"/>
      <c r="G30" s="551"/>
      <c r="H30" s="551"/>
      <c r="I30" s="551"/>
      <c r="J30" s="551"/>
      <c r="K30" s="551"/>
    </row>
    <row r="31" spans="2:11" ht="5.15" customHeight="1" outlineLevel="1" x14ac:dyDescent="0.35"/>
    <row r="32" spans="2:11" outlineLevel="1" x14ac:dyDescent="0.35">
      <c r="B32" s="539"/>
      <c r="C32" s="540"/>
      <c r="D32" s="9" t="s">
        <v>134</v>
      </c>
      <c r="E32" s="9">
        <f>$C$3-1</f>
        <v>2023</v>
      </c>
      <c r="F32" s="9">
        <f>$C$3</f>
        <v>2024</v>
      </c>
      <c r="G32" s="9">
        <f>$C$3+1</f>
        <v>2025</v>
      </c>
      <c r="H32" s="9">
        <f>$C$3+2</f>
        <v>2026</v>
      </c>
      <c r="I32" s="9">
        <f>$C$3+3</f>
        <v>2027</v>
      </c>
      <c r="J32" s="9">
        <f>$C$3+4</f>
        <v>2028</v>
      </c>
      <c r="K32" s="9" t="str">
        <f>F32&amp;" - "&amp;J32</f>
        <v>2024 - 2028</v>
      </c>
    </row>
    <row r="33" spans="2:11" outlineLevel="1" x14ac:dyDescent="0.35">
      <c r="B33" s="537" t="s">
        <v>201</v>
      </c>
      <c r="C33" s="5" t="s">
        <v>186</v>
      </c>
      <c r="D33" s="14" t="s">
        <v>141</v>
      </c>
      <c r="E33" s="144">
        <f>'Στοιχεία υφιστάμενου δικτύου'!I32</f>
        <v>3201</v>
      </c>
      <c r="F33" s="138">
        <f>F35+F37+F39+F41+F43+F45</f>
        <v>3460.9700000000003</v>
      </c>
      <c r="G33" s="138">
        <f t="shared" ref="G33:J33" si="0">G35+G37+G39+G41+G43+G45</f>
        <v>5076.0200000000004</v>
      </c>
      <c r="H33" s="138">
        <f t="shared" si="0"/>
        <v>5785.9800000000005</v>
      </c>
      <c r="I33" s="138">
        <f t="shared" si="0"/>
        <v>5241.0200000000023</v>
      </c>
      <c r="J33" s="138">
        <f t="shared" si="0"/>
        <v>4637.03</v>
      </c>
      <c r="K33" s="138">
        <f>SUM(F33:J33)</f>
        <v>24201.020000000004</v>
      </c>
    </row>
    <row r="34" spans="2:11" outlineLevel="1" x14ac:dyDescent="0.35">
      <c r="B34" s="538"/>
      <c r="C34" s="7" t="s">
        <v>187</v>
      </c>
      <c r="D34" s="15" t="s">
        <v>141</v>
      </c>
      <c r="E34" s="145">
        <f>'Στοιχεία υφιστάμενου δικτύου'!I33</f>
        <v>106517</v>
      </c>
      <c r="F34" s="139">
        <f>F36+F38+F40+F42+F44+F46</f>
        <v>109977.97</v>
      </c>
      <c r="G34" s="139">
        <f t="shared" ref="G34:H34" si="1">G36+G38+G40+G42+G44+G46</f>
        <v>115053.99</v>
      </c>
      <c r="H34" s="139">
        <f t="shared" si="1"/>
        <v>120839.97</v>
      </c>
      <c r="I34" s="139">
        <f>I36+I38+I40+I42+I44+I46</f>
        <v>126080.99</v>
      </c>
      <c r="J34" s="139">
        <f t="shared" ref="J34" si="2">J36+J38+J40+J42+J44+J46</f>
        <v>130718.02</v>
      </c>
      <c r="K34" s="32"/>
    </row>
    <row r="35" spans="2:11" outlineLevel="1" x14ac:dyDescent="0.35">
      <c r="B35" s="537" t="s">
        <v>133</v>
      </c>
      <c r="C35" s="5" t="s">
        <v>186</v>
      </c>
      <c r="D35" s="14" t="s">
        <v>141</v>
      </c>
      <c r="E35" s="144">
        <f>'Στοιχεία υφιστάμενου δικτύου'!I34</f>
        <v>3057</v>
      </c>
      <c r="F35" s="138">
        <f>'Ενεργές συνδέσεις'!U130</f>
        <v>3189.9700000000003</v>
      </c>
      <c r="G35" s="138">
        <f>'Ενεργές συνδέσεις'!Z130</f>
        <v>4802.0200000000004</v>
      </c>
      <c r="H35" s="138">
        <f>'Ενεργές συνδέσεις'!AE130</f>
        <v>5487.9800000000005</v>
      </c>
      <c r="I35" s="138">
        <f>'Ενεργές συνδέσεις'!AJ130</f>
        <v>4954.0200000000023</v>
      </c>
      <c r="J35" s="138">
        <f>'Ενεργές συνδέσεις'!AO130</f>
        <v>4361.03</v>
      </c>
      <c r="K35" s="138">
        <f>SUM(F35:J35)</f>
        <v>22795.020000000004</v>
      </c>
    </row>
    <row r="36" spans="2:11" outlineLevel="1" x14ac:dyDescent="0.35">
      <c r="B36" s="538"/>
      <c r="C36" s="7" t="s">
        <v>187</v>
      </c>
      <c r="D36" s="15" t="s">
        <v>141</v>
      </c>
      <c r="E36" s="145">
        <f>'Στοιχεία υφιστάμενου δικτύου'!I35</f>
        <v>97168</v>
      </c>
      <c r="F36" s="139">
        <f>E36+F35</f>
        <v>100357.97</v>
      </c>
      <c r="G36" s="139">
        <f>F36+G35</f>
        <v>105159.99</v>
      </c>
      <c r="H36" s="139">
        <f t="shared" ref="H36" si="3">G36+H35</f>
        <v>110647.97</v>
      </c>
      <c r="I36" s="139">
        <f t="shared" ref="I36" si="4">H36+I35</f>
        <v>115601.99</v>
      </c>
      <c r="J36" s="139">
        <f>I36+J35</f>
        <v>119963.02</v>
      </c>
      <c r="K36" s="32"/>
    </row>
    <row r="37" spans="2:11" outlineLevel="1" x14ac:dyDescent="0.35">
      <c r="B37" s="537" t="s">
        <v>139</v>
      </c>
      <c r="C37" s="5" t="s">
        <v>186</v>
      </c>
      <c r="D37" s="14" t="s">
        <v>141</v>
      </c>
      <c r="E37" s="144">
        <f>'Στοιχεία υφιστάμενου δικτύου'!I36</f>
        <v>0</v>
      </c>
      <c r="F37" s="138">
        <v>0</v>
      </c>
      <c r="G37" s="138"/>
      <c r="H37" s="138"/>
      <c r="I37" s="138"/>
      <c r="J37" s="138"/>
      <c r="K37" s="138">
        <f>SUM(F37:J37)</f>
        <v>0</v>
      </c>
    </row>
    <row r="38" spans="2:11" outlineLevel="1" x14ac:dyDescent="0.35">
      <c r="B38" s="538"/>
      <c r="C38" s="7" t="s">
        <v>187</v>
      </c>
      <c r="D38" s="15" t="s">
        <v>141</v>
      </c>
      <c r="E38" s="145">
        <f>'Στοιχεία υφιστάμενου δικτύου'!I37</f>
        <v>0</v>
      </c>
      <c r="F38" s="139">
        <f>E38+F37</f>
        <v>0</v>
      </c>
      <c r="G38" s="139">
        <f>F38+G37</f>
        <v>0</v>
      </c>
      <c r="H38" s="139">
        <f>G38+H37</f>
        <v>0</v>
      </c>
      <c r="I38" s="139">
        <f>H38+I37</f>
        <v>0</v>
      </c>
      <c r="J38" s="139">
        <f>I38+J37</f>
        <v>0</v>
      </c>
      <c r="K38" s="32"/>
    </row>
    <row r="39" spans="2:11" outlineLevel="1" x14ac:dyDescent="0.35">
      <c r="B39" s="537" t="s">
        <v>52</v>
      </c>
      <c r="C39" s="5" t="s">
        <v>186</v>
      </c>
      <c r="D39" s="14" t="s">
        <v>141</v>
      </c>
      <c r="E39" s="144">
        <f>'Στοιχεία υφιστάμενου δικτύου'!I38</f>
        <v>146</v>
      </c>
      <c r="F39" s="138">
        <f>'Ενεργές συνδέσεις'!U192</f>
        <v>263</v>
      </c>
      <c r="G39" s="138">
        <f>'Ενεργές συνδέσεις'!Z192</f>
        <v>273</v>
      </c>
      <c r="H39" s="138">
        <f>'Ενεργές συνδέσεις'!AE192</f>
        <v>298</v>
      </c>
      <c r="I39" s="138">
        <f>'Ενεργές συνδέσεις'!AJ192</f>
        <v>286</v>
      </c>
      <c r="J39" s="138">
        <f>'Ενεργές συνδέσεις'!AO192</f>
        <v>276</v>
      </c>
      <c r="K39" s="138">
        <f>SUM(F39:J39)</f>
        <v>1396</v>
      </c>
    </row>
    <row r="40" spans="2:11" outlineLevel="1" x14ac:dyDescent="0.35">
      <c r="B40" s="538"/>
      <c r="C40" s="7" t="s">
        <v>187</v>
      </c>
      <c r="D40" s="15" t="s">
        <v>141</v>
      </c>
      <c r="E40" s="145">
        <f>'Στοιχεία υφιστάμενου δικτύου'!I39</f>
        <v>9264</v>
      </c>
      <c r="F40" s="139">
        <f>E40+F39</f>
        <v>9527</v>
      </c>
      <c r="G40" s="139">
        <f>F40+G39</f>
        <v>9800</v>
      </c>
      <c r="H40" s="139">
        <f>G40+H39</f>
        <v>10098</v>
      </c>
      <c r="I40" s="139">
        <f>H40+I39</f>
        <v>10384</v>
      </c>
      <c r="J40" s="139">
        <f>I40+J39</f>
        <v>10660</v>
      </c>
      <c r="K40" s="32"/>
    </row>
    <row r="41" spans="2:11" outlineLevel="1" x14ac:dyDescent="0.35">
      <c r="B41" s="537" t="s">
        <v>152</v>
      </c>
      <c r="C41" s="5" t="s">
        <v>186</v>
      </c>
      <c r="D41" s="14" t="s">
        <v>141</v>
      </c>
      <c r="E41" s="144">
        <f>'Στοιχεία υφιστάμενου δικτύου'!I40</f>
        <v>0</v>
      </c>
      <c r="F41" s="138"/>
      <c r="G41" s="138"/>
      <c r="H41" s="138"/>
      <c r="I41" s="138"/>
      <c r="J41" s="138"/>
      <c r="K41" s="138">
        <f>SUM(F41:J41)</f>
        <v>0</v>
      </c>
    </row>
    <row r="42" spans="2:11" outlineLevel="1" x14ac:dyDescent="0.35">
      <c r="B42" s="538"/>
      <c r="C42" s="7" t="s">
        <v>187</v>
      </c>
      <c r="D42" s="15" t="s">
        <v>141</v>
      </c>
      <c r="E42" s="145">
        <f>'Στοιχεία υφιστάμενου δικτύου'!I41</f>
        <v>0</v>
      </c>
      <c r="F42" s="139">
        <f>E42+F41</f>
        <v>0</v>
      </c>
      <c r="G42" s="139">
        <f>F42+G41</f>
        <v>0</v>
      </c>
      <c r="H42" s="139">
        <f>G42+H41</f>
        <v>0</v>
      </c>
      <c r="I42" s="139">
        <f>H42+I41</f>
        <v>0</v>
      </c>
      <c r="J42" s="139">
        <f>I42+J41</f>
        <v>0</v>
      </c>
      <c r="K42" s="32"/>
    </row>
    <row r="43" spans="2:11" outlineLevel="1" x14ac:dyDescent="0.35">
      <c r="B43" s="537" t="s">
        <v>144</v>
      </c>
      <c r="C43" s="5" t="s">
        <v>186</v>
      </c>
      <c r="D43" s="14" t="s">
        <v>141</v>
      </c>
      <c r="E43" s="144">
        <f>'Στοιχεία υφιστάμενου δικτύου'!I42</f>
        <v>-4</v>
      </c>
      <c r="F43" s="138">
        <f>'Ενεργές συνδέσεις'!U254</f>
        <v>8</v>
      </c>
      <c r="G43" s="138">
        <f>'Ενεργές συνδέσεις'!Z254</f>
        <v>1</v>
      </c>
      <c r="H43" s="138">
        <f>'Ενεργές συνδέσεις'!AE254</f>
        <v>0</v>
      </c>
      <c r="I43" s="138">
        <f>'Ενεργές συνδέσεις'!AJ254</f>
        <v>1</v>
      </c>
      <c r="J43" s="138">
        <f>'Ενεργές συνδέσεις'!AO254</f>
        <v>0</v>
      </c>
      <c r="K43" s="138">
        <f>SUM(F43:J43)</f>
        <v>10</v>
      </c>
    </row>
    <row r="44" spans="2:11" outlineLevel="1" x14ac:dyDescent="0.35">
      <c r="B44" s="538"/>
      <c r="C44" s="7" t="s">
        <v>187</v>
      </c>
      <c r="D44" s="15" t="s">
        <v>141</v>
      </c>
      <c r="E44" s="145">
        <f>'Στοιχεία υφιστάμενου δικτύου'!I43</f>
        <v>77</v>
      </c>
      <c r="F44" s="139">
        <f>E44+F43</f>
        <v>85</v>
      </c>
      <c r="G44" s="139">
        <f>F44+G43</f>
        <v>86</v>
      </c>
      <c r="H44" s="139">
        <f>G44+H43</f>
        <v>86</v>
      </c>
      <c r="I44" s="139">
        <f>H44+I43</f>
        <v>87</v>
      </c>
      <c r="J44" s="139">
        <f>I44+J43</f>
        <v>87</v>
      </c>
      <c r="K44" s="32"/>
    </row>
    <row r="45" spans="2:11" outlineLevel="1" x14ac:dyDescent="0.35">
      <c r="B45" s="537" t="s">
        <v>145</v>
      </c>
      <c r="C45" s="5" t="s">
        <v>186</v>
      </c>
      <c r="D45" s="14" t="s">
        <v>141</v>
      </c>
      <c r="E45" s="144">
        <f>'Στοιχεία υφιστάμενου δικτύου'!I44</f>
        <v>2</v>
      </c>
      <c r="F45" s="144">
        <f>'Στοιχεία υφιστάμενου δικτύου'!J44</f>
        <v>0</v>
      </c>
      <c r="G45" s="144">
        <f>'Στοιχεία υφιστάμενου δικτύου'!K44</f>
        <v>0</v>
      </c>
      <c r="H45" s="144">
        <f>'Στοιχεία υφιστάμενου δικτύου'!L44</f>
        <v>0</v>
      </c>
      <c r="I45" s="144">
        <f>'Στοιχεία υφιστάμενου δικτύου'!M44</f>
        <v>0</v>
      </c>
      <c r="J45" s="144">
        <f>'Στοιχεία υφιστάμενου δικτύου'!N44</f>
        <v>0</v>
      </c>
      <c r="K45" s="138">
        <f>SUM(F45:J45)</f>
        <v>0</v>
      </c>
    </row>
    <row r="46" spans="2:11" outlineLevel="1" x14ac:dyDescent="0.35">
      <c r="B46" s="538"/>
      <c r="C46" s="7" t="s">
        <v>187</v>
      </c>
      <c r="D46" s="15" t="s">
        <v>141</v>
      </c>
      <c r="E46" s="145">
        <f>'Στοιχεία υφιστάμενου δικτύου'!I45</f>
        <v>8</v>
      </c>
      <c r="F46" s="139">
        <f>E46+F45</f>
        <v>8</v>
      </c>
      <c r="G46" s="139">
        <f>F46+G45</f>
        <v>8</v>
      </c>
      <c r="H46" s="139">
        <f>G46+H45</f>
        <v>8</v>
      </c>
      <c r="I46" s="139">
        <f>H46+I45</f>
        <v>8</v>
      </c>
      <c r="J46" s="139">
        <f>I46+J45</f>
        <v>8</v>
      </c>
      <c r="K46" s="32"/>
    </row>
    <row r="48" spans="2:11" ht="15.5" x14ac:dyDescent="0.35">
      <c r="B48" s="551" t="s">
        <v>325</v>
      </c>
      <c r="C48" s="551"/>
      <c r="D48" s="551"/>
      <c r="E48" s="551"/>
      <c r="F48" s="551"/>
      <c r="G48" s="551"/>
      <c r="H48" s="551"/>
      <c r="I48" s="551"/>
      <c r="J48" s="551"/>
      <c r="K48" s="551"/>
    </row>
    <row r="49" spans="2:11" ht="5.15" customHeight="1" outlineLevel="1" x14ac:dyDescent="0.35"/>
    <row r="50" spans="2:11" outlineLevel="1" x14ac:dyDescent="0.35">
      <c r="B50" s="539"/>
      <c r="C50" s="540"/>
      <c r="D50" s="9" t="s">
        <v>134</v>
      </c>
      <c r="E50" s="9">
        <f>$C$3-1</f>
        <v>2023</v>
      </c>
      <c r="F50" s="9">
        <f>$C$3</f>
        <v>2024</v>
      </c>
      <c r="G50" s="9">
        <f>$C$3+1</f>
        <v>2025</v>
      </c>
      <c r="H50" s="9">
        <f>$C$3+2</f>
        <v>2026</v>
      </c>
      <c r="I50" s="9">
        <f>$C$3+3</f>
        <v>2027</v>
      </c>
      <c r="J50" s="9">
        <f>$C$3+4</f>
        <v>2028</v>
      </c>
      <c r="K50" s="9" t="str">
        <f>F50&amp;" - "&amp;J50</f>
        <v>2024 - 2028</v>
      </c>
    </row>
    <row r="51" spans="2:11" outlineLevel="1" x14ac:dyDescent="0.35">
      <c r="B51" s="537" t="s">
        <v>201</v>
      </c>
      <c r="C51" s="5" t="s">
        <v>186</v>
      </c>
      <c r="D51" s="14" t="s">
        <v>141</v>
      </c>
      <c r="E51" s="144">
        <f>'Στοιχεία υφιστάμενου δικτύου'!I50</f>
        <v>8201</v>
      </c>
      <c r="F51" s="138">
        <f>F53+F55+F57+F59+F61+F63</f>
        <v>13887</v>
      </c>
      <c r="G51" s="138">
        <f t="shared" ref="G51:J52" si="5">G53+G55+G57+G59+G61+G63</f>
        <v>17925</v>
      </c>
      <c r="H51" s="138">
        <f t="shared" si="5"/>
        <v>21524</v>
      </c>
      <c r="I51" s="138">
        <f t="shared" si="5"/>
        <v>20635</v>
      </c>
      <c r="J51" s="138">
        <f t="shared" si="5"/>
        <v>18372</v>
      </c>
      <c r="K51" s="138">
        <f>SUM(F51:J51)</f>
        <v>92343</v>
      </c>
    </row>
    <row r="52" spans="2:11" outlineLevel="1" x14ac:dyDescent="0.35">
      <c r="B52" s="538"/>
      <c r="C52" s="7" t="s">
        <v>187</v>
      </c>
      <c r="D52" s="15" t="s">
        <v>141</v>
      </c>
      <c r="E52" s="145">
        <f>'Στοιχεία υφιστάμενου δικτύου'!I51</f>
        <v>194716</v>
      </c>
      <c r="F52" s="139">
        <f t="shared" ref="F52:H52" si="6">F54+F56+F58+F60+F62+F64</f>
        <v>208603</v>
      </c>
      <c r="G52" s="139">
        <f t="shared" si="6"/>
        <v>226528</v>
      </c>
      <c r="H52" s="139">
        <f t="shared" si="6"/>
        <v>248052</v>
      </c>
      <c r="I52" s="139">
        <f>I54+I56+I58+I60+I62+I64</f>
        <v>268687</v>
      </c>
      <c r="J52" s="139">
        <f t="shared" si="5"/>
        <v>287059</v>
      </c>
      <c r="K52" s="32"/>
    </row>
    <row r="53" spans="2:11" outlineLevel="1" x14ac:dyDescent="0.35">
      <c r="B53" s="537" t="s">
        <v>133</v>
      </c>
      <c r="C53" s="5" t="s">
        <v>186</v>
      </c>
      <c r="D53" s="14" t="s">
        <v>141</v>
      </c>
      <c r="E53" s="144">
        <f>'Στοιχεία υφιστάμενου δικτύου'!I52</f>
        <v>8277</v>
      </c>
      <c r="F53" s="138">
        <f>'Ενεργοί μετρητές'!U130</f>
        <v>13530</v>
      </c>
      <c r="G53" s="138">
        <f>'Ενεργοί μετρητές'!Z130</f>
        <v>17546</v>
      </c>
      <c r="H53" s="138">
        <f>'Ενεργοί μετρητές'!AE130</f>
        <v>21120</v>
      </c>
      <c r="I53" s="138">
        <f>'Ενεργοί μετρητές'!AJ130</f>
        <v>20253</v>
      </c>
      <c r="J53" s="138">
        <f>'Ενεργοί μετρητές'!AO130</f>
        <v>18005</v>
      </c>
      <c r="K53" s="138">
        <f>SUM(F53:J53)</f>
        <v>90454</v>
      </c>
    </row>
    <row r="54" spans="2:11" outlineLevel="1" x14ac:dyDescent="0.35">
      <c r="B54" s="538"/>
      <c r="C54" s="7" t="s">
        <v>187</v>
      </c>
      <c r="D54" s="15" t="s">
        <v>141</v>
      </c>
      <c r="E54" s="145">
        <f>'Στοιχεία υφιστάμενου δικτύου'!I53</f>
        <v>182111</v>
      </c>
      <c r="F54" s="139">
        <f>E54+F53</f>
        <v>195641</v>
      </c>
      <c r="G54" s="139">
        <f>F54+G53</f>
        <v>213187</v>
      </c>
      <c r="H54" s="139">
        <f t="shared" ref="H54:J54" si="7">G54+H53</f>
        <v>234307</v>
      </c>
      <c r="I54" s="139">
        <f t="shared" si="7"/>
        <v>254560</v>
      </c>
      <c r="J54" s="139">
        <f t="shared" si="7"/>
        <v>272565</v>
      </c>
      <c r="K54" s="32"/>
    </row>
    <row r="55" spans="2:11" outlineLevel="1" x14ac:dyDescent="0.35">
      <c r="B55" s="537" t="s">
        <v>139</v>
      </c>
      <c r="C55" s="5" t="s">
        <v>186</v>
      </c>
      <c r="D55" s="14" t="s">
        <v>141</v>
      </c>
      <c r="E55" s="144">
        <f>'Στοιχεία υφιστάμενου δικτύου'!I54</f>
        <v>-24</v>
      </c>
      <c r="F55" s="138">
        <f>'Ενεργοί μετρητές'!U191</f>
        <v>80</v>
      </c>
      <c r="G55" s="138">
        <f>'Ενεργοί μετρητές'!Z191</f>
        <v>105</v>
      </c>
      <c r="H55" s="138">
        <f>'Ενεργοί μετρητές'!AE191</f>
        <v>105</v>
      </c>
      <c r="I55" s="138">
        <f>'Ενεργοί μετρητές'!AJ191</f>
        <v>95</v>
      </c>
      <c r="J55" s="138">
        <f>'Ενεργοί μετρητές'!AO191</f>
        <v>90</v>
      </c>
      <c r="K55" s="138">
        <f>SUM(F55:J55)</f>
        <v>475</v>
      </c>
    </row>
    <row r="56" spans="2:11" outlineLevel="1" x14ac:dyDescent="0.35">
      <c r="B56" s="538"/>
      <c r="C56" s="7" t="s">
        <v>187</v>
      </c>
      <c r="D56" s="15" t="s">
        <v>141</v>
      </c>
      <c r="E56" s="145">
        <f>'Στοιχεία υφιστάμενου δικτύου'!I55</f>
        <v>4893</v>
      </c>
      <c r="F56" s="139">
        <f>E56+F55</f>
        <v>4973</v>
      </c>
      <c r="G56" s="139">
        <f>F56+G55</f>
        <v>5078</v>
      </c>
      <c r="H56" s="139">
        <f t="shared" ref="H56:J56" si="8">G56+H55</f>
        <v>5183</v>
      </c>
      <c r="I56" s="139">
        <f t="shared" si="8"/>
        <v>5278</v>
      </c>
      <c r="J56" s="139">
        <f t="shared" si="8"/>
        <v>5368</v>
      </c>
      <c r="K56" s="32"/>
    </row>
    <row r="57" spans="2:11" outlineLevel="1" x14ac:dyDescent="0.35">
      <c r="B57" s="537" t="s">
        <v>52</v>
      </c>
      <c r="C57" s="5" t="s">
        <v>186</v>
      </c>
      <c r="D57" s="14" t="s">
        <v>141</v>
      </c>
      <c r="E57" s="144">
        <f>'Στοιχεία υφιστάμενου δικτύου'!I56</f>
        <v>-50</v>
      </c>
      <c r="F57" s="138">
        <f>'Ενεργοί μετρητές'!U252</f>
        <v>265</v>
      </c>
      <c r="G57" s="138">
        <f>'Ενεργοί μετρητές'!Z252</f>
        <v>273</v>
      </c>
      <c r="H57" s="138">
        <f>'Ενεργοί μετρητές'!AE252</f>
        <v>298</v>
      </c>
      <c r="I57" s="138">
        <f>'Ενεργοί μετρητές'!AJ252</f>
        <v>286</v>
      </c>
      <c r="J57" s="138">
        <f>'Ενεργοί μετρητές'!AO252</f>
        <v>276</v>
      </c>
      <c r="K57" s="138">
        <f>SUM(F57:J57)</f>
        <v>1398</v>
      </c>
    </row>
    <row r="58" spans="2:11" outlineLevel="1" x14ac:dyDescent="0.35">
      <c r="B58" s="538"/>
      <c r="C58" s="7" t="s">
        <v>187</v>
      </c>
      <c r="D58" s="15" t="s">
        <v>141</v>
      </c>
      <c r="E58" s="145">
        <f>'Στοιχεία υφιστάμενου δικτύου'!I57</f>
        <v>7627</v>
      </c>
      <c r="F58" s="139">
        <f>E58+F57</f>
        <v>7892</v>
      </c>
      <c r="G58" s="139">
        <f>F58+G57</f>
        <v>8165</v>
      </c>
      <c r="H58" s="139">
        <f t="shared" ref="H58:J58" si="9">G58+H57</f>
        <v>8463</v>
      </c>
      <c r="I58" s="139">
        <f t="shared" si="9"/>
        <v>8749</v>
      </c>
      <c r="J58" s="139">
        <f t="shared" si="9"/>
        <v>9025</v>
      </c>
      <c r="K58" s="32"/>
    </row>
    <row r="59" spans="2:11" outlineLevel="1" x14ac:dyDescent="0.35">
      <c r="B59" s="537" t="s">
        <v>152</v>
      </c>
      <c r="C59" s="5" t="s">
        <v>186</v>
      </c>
      <c r="D59" s="14" t="s">
        <v>141</v>
      </c>
      <c r="E59" s="144">
        <f>'Στοιχεία υφιστάμενου δικτύου'!I58</f>
        <v>0</v>
      </c>
      <c r="F59" s="138"/>
      <c r="G59" s="138"/>
      <c r="H59" s="138"/>
      <c r="I59" s="138"/>
      <c r="J59" s="138"/>
      <c r="K59" s="138">
        <f>SUM(F59:J59)</f>
        <v>0</v>
      </c>
    </row>
    <row r="60" spans="2:11" outlineLevel="1" x14ac:dyDescent="0.35">
      <c r="B60" s="538"/>
      <c r="C60" s="7" t="s">
        <v>187</v>
      </c>
      <c r="D60" s="15" t="s">
        <v>141</v>
      </c>
      <c r="E60" s="145">
        <f>'Στοιχεία υφιστάμενου δικτύου'!I59</f>
        <v>0</v>
      </c>
      <c r="F60" s="139">
        <f>E60+F59</f>
        <v>0</v>
      </c>
      <c r="G60" s="139">
        <f>F60+G59</f>
        <v>0</v>
      </c>
      <c r="H60" s="139">
        <f t="shared" ref="H60:J60" si="10">G60+H59</f>
        <v>0</v>
      </c>
      <c r="I60" s="139">
        <f t="shared" si="10"/>
        <v>0</v>
      </c>
      <c r="J60" s="139">
        <f t="shared" si="10"/>
        <v>0</v>
      </c>
      <c r="K60" s="32"/>
    </row>
    <row r="61" spans="2:11" outlineLevel="1" x14ac:dyDescent="0.35">
      <c r="B61" s="537" t="s">
        <v>144</v>
      </c>
      <c r="C61" s="5" t="s">
        <v>186</v>
      </c>
      <c r="D61" s="14" t="s">
        <v>141</v>
      </c>
      <c r="E61" s="144">
        <f>'Στοιχεία υφιστάμενου δικτύου'!I60</f>
        <v>-3</v>
      </c>
      <c r="F61" s="138">
        <f>'Ενεργοί μετρητές'!U321</f>
        <v>8</v>
      </c>
      <c r="G61" s="138">
        <f>'Ενεργοί μετρητές'!Z321</f>
        <v>1</v>
      </c>
      <c r="H61" s="138">
        <f>'Ενεργοί μετρητές'!AE321</f>
        <v>0</v>
      </c>
      <c r="I61" s="138">
        <f>'Ενεργοί μετρητές'!AJ321</f>
        <v>1</v>
      </c>
      <c r="J61" s="138">
        <f>'Ενεργοί μετρητές'!AO321</f>
        <v>0</v>
      </c>
      <c r="K61" s="138">
        <f>SUM(F61:J61)</f>
        <v>10</v>
      </c>
    </row>
    <row r="62" spans="2:11" outlineLevel="1" x14ac:dyDescent="0.35">
      <c r="B62" s="538"/>
      <c r="C62" s="7" t="s">
        <v>187</v>
      </c>
      <c r="D62" s="15" t="s">
        <v>141</v>
      </c>
      <c r="E62" s="145">
        <f>'Στοιχεία υφιστάμενου δικτύου'!I61</f>
        <v>77</v>
      </c>
      <c r="F62" s="139">
        <f>E62+F61</f>
        <v>85</v>
      </c>
      <c r="G62" s="139">
        <f>F62+G61</f>
        <v>86</v>
      </c>
      <c r="H62" s="139">
        <f t="shared" ref="H62:J62" si="11">G62+H61</f>
        <v>86</v>
      </c>
      <c r="I62" s="139">
        <f t="shared" si="11"/>
        <v>87</v>
      </c>
      <c r="J62" s="139">
        <f t="shared" si="11"/>
        <v>87</v>
      </c>
      <c r="K62" s="32"/>
    </row>
    <row r="63" spans="2:11" outlineLevel="1" x14ac:dyDescent="0.35">
      <c r="B63" s="537" t="s">
        <v>145</v>
      </c>
      <c r="C63" s="5" t="s">
        <v>186</v>
      </c>
      <c r="D63" s="14" t="s">
        <v>141</v>
      </c>
      <c r="E63" s="144">
        <f>'Στοιχεία υφιστάμενου δικτύου'!I62</f>
        <v>1</v>
      </c>
      <c r="F63" s="138">
        <f>'Ενεργοί μετρητές'!U382</f>
        <v>4</v>
      </c>
      <c r="G63" s="138">
        <f>'Ενεργοί μετρητές'!Z382</f>
        <v>0</v>
      </c>
      <c r="H63" s="138">
        <f>'Ενεργοί μετρητές'!AE382</f>
        <v>1</v>
      </c>
      <c r="I63" s="138">
        <f>'Ενεργοί μετρητές'!AJ382</f>
        <v>0</v>
      </c>
      <c r="J63" s="138">
        <f>'Ενεργοί μετρητές'!AO382</f>
        <v>1</v>
      </c>
      <c r="K63" s="138">
        <f>SUM(F63:J63)</f>
        <v>6</v>
      </c>
    </row>
    <row r="64" spans="2:11" outlineLevel="1" x14ac:dyDescent="0.35">
      <c r="B64" s="538"/>
      <c r="C64" s="7" t="s">
        <v>187</v>
      </c>
      <c r="D64" s="15" t="s">
        <v>141</v>
      </c>
      <c r="E64" s="145">
        <f>'Στοιχεία υφιστάμενου δικτύου'!I63</f>
        <v>8</v>
      </c>
      <c r="F64" s="139">
        <f>E64+F63</f>
        <v>12</v>
      </c>
      <c r="G64" s="139">
        <f>F64+G63</f>
        <v>12</v>
      </c>
      <c r="H64" s="139">
        <f>G64+H63</f>
        <v>13</v>
      </c>
      <c r="I64" s="139">
        <f>H64+I63</f>
        <v>13</v>
      </c>
      <c r="J64" s="139">
        <f>I64+J63</f>
        <v>14</v>
      </c>
      <c r="K64" s="32"/>
    </row>
    <row r="66" spans="2:11" ht="15.5" x14ac:dyDescent="0.35">
      <c r="B66" s="551" t="s">
        <v>326</v>
      </c>
      <c r="C66" s="551"/>
      <c r="D66" s="551"/>
      <c r="E66" s="551"/>
      <c r="F66" s="551"/>
      <c r="G66" s="551"/>
      <c r="H66" s="551"/>
      <c r="I66" s="551"/>
      <c r="J66" s="551"/>
      <c r="K66" s="551"/>
    </row>
    <row r="67" spans="2:11" ht="5.15" customHeight="1" outlineLevel="1" x14ac:dyDescent="0.35"/>
    <row r="68" spans="2:11" outlineLevel="1" x14ac:dyDescent="0.35">
      <c r="B68" s="539"/>
      <c r="C68" s="540"/>
      <c r="D68" s="9" t="s">
        <v>134</v>
      </c>
      <c r="E68" s="9">
        <f>$C$3-1</f>
        <v>2023</v>
      </c>
      <c r="F68" s="9">
        <f>$C$3</f>
        <v>2024</v>
      </c>
      <c r="G68" s="9">
        <f>$C$3+1</f>
        <v>2025</v>
      </c>
      <c r="H68" s="9">
        <f>$C$3+2</f>
        <v>2026</v>
      </c>
      <c r="I68" s="9">
        <f>$C$3+3</f>
        <v>2027</v>
      </c>
      <c r="J68" s="9">
        <f>$C$3+4</f>
        <v>2028</v>
      </c>
      <c r="K68" s="9" t="str">
        <f>F68&amp;" - "&amp;J68</f>
        <v>2024 - 2028</v>
      </c>
    </row>
    <row r="69" spans="2:11" outlineLevel="1" x14ac:dyDescent="0.35">
      <c r="B69" s="537" t="s">
        <v>314</v>
      </c>
      <c r="C69" s="5" t="s">
        <v>192</v>
      </c>
      <c r="D69" s="14" t="s">
        <v>141</v>
      </c>
      <c r="E69" s="144">
        <f>'Στοιχεία υφιστάμενου δικτύου'!I68</f>
        <v>5037</v>
      </c>
      <c r="F69" s="138">
        <f>F71+F73+F75+F77+F79+F81</f>
        <v>14366</v>
      </c>
      <c r="G69" s="138">
        <f t="shared" ref="G69:J70" si="12">G71+G73+G75+G77+G79+G81</f>
        <v>18463</v>
      </c>
      <c r="H69" s="138">
        <f t="shared" si="12"/>
        <v>22145</v>
      </c>
      <c r="I69" s="138">
        <f t="shared" si="12"/>
        <v>21242</v>
      </c>
      <c r="J69" s="138">
        <f t="shared" si="12"/>
        <v>18918</v>
      </c>
      <c r="K69" s="138">
        <f>SUM(F69:J69)</f>
        <v>95134</v>
      </c>
    </row>
    <row r="70" spans="2:11" outlineLevel="1" x14ac:dyDescent="0.35">
      <c r="B70" s="538"/>
      <c r="C70" s="7" t="s">
        <v>193</v>
      </c>
      <c r="D70" s="15" t="s">
        <v>141</v>
      </c>
      <c r="E70" s="145">
        <f>'Στοιχεία υφιστάμενου δικτύου'!I69</f>
        <v>430668</v>
      </c>
      <c r="F70" s="139">
        <f t="shared" ref="F70:H70" si="13">F72+F74+F76+F78+F80+F82</f>
        <v>445034</v>
      </c>
      <c r="G70" s="139">
        <f t="shared" si="13"/>
        <v>463497</v>
      </c>
      <c r="H70" s="139">
        <f t="shared" si="13"/>
        <v>485642</v>
      </c>
      <c r="I70" s="139">
        <f>I72+I74+I76+I78+I80+I82</f>
        <v>506884</v>
      </c>
      <c r="J70" s="139">
        <f t="shared" si="12"/>
        <v>525802</v>
      </c>
      <c r="K70" s="32"/>
    </row>
    <row r="71" spans="2:11" outlineLevel="1" x14ac:dyDescent="0.35">
      <c r="B71" s="537" t="s">
        <v>133</v>
      </c>
      <c r="C71" s="5" t="s">
        <v>192</v>
      </c>
      <c r="D71" s="14" t="s">
        <v>141</v>
      </c>
      <c r="E71" s="144">
        <f>'Στοιχεία υφιστάμενου δικτύου'!I70</f>
        <v>5113</v>
      </c>
      <c r="F71" s="138">
        <f>'Ενεργοί πελάτες'!U130</f>
        <v>14009</v>
      </c>
      <c r="G71" s="138">
        <f>'Ενεργοί πελάτες'!X130</f>
        <v>18084</v>
      </c>
      <c r="H71" s="138">
        <f>'Ενεργοί πελάτες'!AA130</f>
        <v>21741</v>
      </c>
      <c r="I71" s="138">
        <f>'Ενεργοί πελάτες'!AD130</f>
        <v>20860</v>
      </c>
      <c r="J71" s="138">
        <f>'Ενεργοί πελάτες'!AG130</f>
        <v>18551</v>
      </c>
      <c r="K71" s="138">
        <f>SUM(F71:J71)</f>
        <v>93245</v>
      </c>
    </row>
    <row r="72" spans="2:11" outlineLevel="1" x14ac:dyDescent="0.35">
      <c r="B72" s="538"/>
      <c r="C72" s="7" t="s">
        <v>193</v>
      </c>
      <c r="D72" s="15" t="s">
        <v>141</v>
      </c>
      <c r="E72" s="145">
        <f>'Στοιχεία υφιστάμενου δικτύου'!I71</f>
        <v>418063</v>
      </c>
      <c r="F72" s="139">
        <f>E72+F71</f>
        <v>432072</v>
      </c>
      <c r="G72" s="139">
        <f>F72+G71</f>
        <v>450156</v>
      </c>
      <c r="H72" s="139">
        <f t="shared" ref="H72:J72" si="14">G72+H71</f>
        <v>471897</v>
      </c>
      <c r="I72" s="139">
        <f t="shared" si="14"/>
        <v>492757</v>
      </c>
      <c r="J72" s="139">
        <f t="shared" si="14"/>
        <v>511308</v>
      </c>
      <c r="K72" s="32"/>
    </row>
    <row r="73" spans="2:11" outlineLevel="1" x14ac:dyDescent="0.35">
      <c r="B73" s="537" t="s">
        <v>139</v>
      </c>
      <c r="C73" s="5" t="s">
        <v>192</v>
      </c>
      <c r="D73" s="14" t="s">
        <v>141</v>
      </c>
      <c r="E73" s="144">
        <f>'Στοιχεία υφιστάμενου δικτύου'!I72</f>
        <v>-24</v>
      </c>
      <c r="F73" s="138">
        <f>'Ενεργοί πελάτες'!U191</f>
        <v>80</v>
      </c>
      <c r="G73" s="138">
        <f>'Ενεργοί πελάτες'!X191</f>
        <v>105</v>
      </c>
      <c r="H73" s="138">
        <f>'Ενεργοί πελάτες'!AA191</f>
        <v>105</v>
      </c>
      <c r="I73" s="138">
        <f>'Ενεργοί πελάτες'!AD191</f>
        <v>95</v>
      </c>
      <c r="J73" s="138">
        <f>'Ενεργοί πελάτες'!AG191</f>
        <v>90</v>
      </c>
      <c r="K73" s="138">
        <f>SUM(F73:J73)</f>
        <v>475</v>
      </c>
    </row>
    <row r="74" spans="2:11" outlineLevel="1" x14ac:dyDescent="0.35">
      <c r="B74" s="538"/>
      <c r="C74" s="7" t="s">
        <v>193</v>
      </c>
      <c r="D74" s="15" t="s">
        <v>141</v>
      </c>
      <c r="E74" s="145">
        <f>'Στοιχεία υφιστάμενου δικτύου'!I73</f>
        <v>4893</v>
      </c>
      <c r="F74" s="139">
        <f>E74+F73</f>
        <v>4973</v>
      </c>
      <c r="G74" s="139">
        <f>F74+G73</f>
        <v>5078</v>
      </c>
      <c r="H74" s="139">
        <f t="shared" ref="H74:J74" si="15">G74+H73</f>
        <v>5183</v>
      </c>
      <c r="I74" s="139">
        <f t="shared" si="15"/>
        <v>5278</v>
      </c>
      <c r="J74" s="139">
        <f t="shared" si="15"/>
        <v>5368</v>
      </c>
      <c r="K74" s="32"/>
    </row>
    <row r="75" spans="2:11" outlineLevel="1" x14ac:dyDescent="0.35">
      <c r="B75" s="537" t="s">
        <v>52</v>
      </c>
      <c r="C75" s="5" t="s">
        <v>192</v>
      </c>
      <c r="D75" s="14" t="s">
        <v>141</v>
      </c>
      <c r="E75" s="144">
        <f>'Στοιχεία υφιστάμενου δικτύου'!I74</f>
        <v>-50</v>
      </c>
      <c r="F75" s="138">
        <f>'Ενεργοί πελάτες'!U252</f>
        <v>265</v>
      </c>
      <c r="G75" s="138">
        <f>'Ενεργοί πελάτες'!X252</f>
        <v>273</v>
      </c>
      <c r="H75" s="138">
        <f>'Ενεργοί πελάτες'!AA252</f>
        <v>298</v>
      </c>
      <c r="I75" s="138">
        <f>'Ενεργοί πελάτες'!AD252</f>
        <v>286</v>
      </c>
      <c r="J75" s="138">
        <f>'Ενεργοί πελάτες'!AG252</f>
        <v>276</v>
      </c>
      <c r="K75" s="138">
        <f>SUM(F75:J75)</f>
        <v>1398</v>
      </c>
    </row>
    <row r="76" spans="2:11" outlineLevel="1" x14ac:dyDescent="0.35">
      <c r="B76" s="538"/>
      <c r="C76" s="7" t="s">
        <v>193</v>
      </c>
      <c r="D76" s="15" t="s">
        <v>141</v>
      </c>
      <c r="E76" s="145">
        <f>'Στοιχεία υφιστάμενου δικτύου'!I75</f>
        <v>7627</v>
      </c>
      <c r="F76" s="139">
        <f>E76+F75</f>
        <v>7892</v>
      </c>
      <c r="G76" s="139">
        <f>F76+G75</f>
        <v>8165</v>
      </c>
      <c r="H76" s="139">
        <f t="shared" ref="H76:J76" si="16">G76+H75</f>
        <v>8463</v>
      </c>
      <c r="I76" s="139">
        <f t="shared" si="16"/>
        <v>8749</v>
      </c>
      <c r="J76" s="139">
        <f t="shared" si="16"/>
        <v>9025</v>
      </c>
      <c r="K76" s="32"/>
    </row>
    <row r="77" spans="2:11" outlineLevel="1" x14ac:dyDescent="0.35">
      <c r="B77" s="537" t="s">
        <v>152</v>
      </c>
      <c r="C77" s="5" t="s">
        <v>192</v>
      </c>
      <c r="D77" s="14" t="s">
        <v>141</v>
      </c>
      <c r="E77" s="144"/>
      <c r="F77" s="138"/>
      <c r="G77" s="138"/>
      <c r="H77" s="138"/>
      <c r="I77" s="138"/>
      <c r="J77" s="138"/>
      <c r="K77" s="138">
        <f>SUM(F77:J77)</f>
        <v>0</v>
      </c>
    </row>
    <row r="78" spans="2:11" outlineLevel="1" x14ac:dyDescent="0.35">
      <c r="B78" s="538"/>
      <c r="C78" s="7" t="s">
        <v>193</v>
      </c>
      <c r="D78" s="15" t="s">
        <v>141</v>
      </c>
      <c r="E78" s="145"/>
      <c r="F78" s="139"/>
      <c r="G78" s="139"/>
      <c r="H78" s="139"/>
      <c r="I78" s="139"/>
      <c r="J78" s="139"/>
      <c r="K78" s="32"/>
    </row>
    <row r="79" spans="2:11" outlineLevel="1" x14ac:dyDescent="0.35">
      <c r="B79" s="537" t="s">
        <v>144</v>
      </c>
      <c r="C79" s="5" t="s">
        <v>192</v>
      </c>
      <c r="D79" s="14" t="s">
        <v>141</v>
      </c>
      <c r="E79" s="144">
        <f>'Στοιχεία υφιστάμενου δικτύου'!I78</f>
        <v>-3</v>
      </c>
      <c r="F79" s="138">
        <f>'Ενεργοί πελάτες'!U321</f>
        <v>8</v>
      </c>
      <c r="G79" s="138">
        <f>'Ενεργοί πελάτες'!X321</f>
        <v>1</v>
      </c>
      <c r="H79" s="138">
        <f>'Ενεργοί πελάτες'!AA321</f>
        <v>0</v>
      </c>
      <c r="I79" s="138">
        <f>'Ενεργοί πελάτες'!AD321</f>
        <v>1</v>
      </c>
      <c r="J79" s="138">
        <f>'Ενεργοί πελάτες'!AG321</f>
        <v>0</v>
      </c>
      <c r="K79" s="138">
        <f>SUM(F79:J79)</f>
        <v>10</v>
      </c>
    </row>
    <row r="80" spans="2:11" outlineLevel="1" x14ac:dyDescent="0.35">
      <c r="B80" s="538"/>
      <c r="C80" s="7" t="s">
        <v>193</v>
      </c>
      <c r="D80" s="15" t="s">
        <v>141</v>
      </c>
      <c r="E80" s="145">
        <f>'Στοιχεία υφιστάμενου δικτύου'!I79</f>
        <v>77</v>
      </c>
      <c r="F80" s="139">
        <f>E80+F79</f>
        <v>85</v>
      </c>
      <c r="G80" s="139">
        <f>F80+G79</f>
        <v>86</v>
      </c>
      <c r="H80" s="139">
        <f t="shared" ref="H80:J80" si="17">G80+H79</f>
        <v>86</v>
      </c>
      <c r="I80" s="139">
        <f t="shared" si="17"/>
        <v>87</v>
      </c>
      <c r="J80" s="139">
        <f t="shared" si="17"/>
        <v>87</v>
      </c>
      <c r="K80" s="32"/>
    </row>
    <row r="81" spans="2:11" outlineLevel="1" x14ac:dyDescent="0.35">
      <c r="B81" s="537" t="s">
        <v>145</v>
      </c>
      <c r="C81" s="5" t="s">
        <v>192</v>
      </c>
      <c r="D81" s="14" t="s">
        <v>141</v>
      </c>
      <c r="E81" s="144">
        <f>'Στοιχεία υφιστάμενου δικτύου'!I80</f>
        <v>1</v>
      </c>
      <c r="F81" s="138">
        <f>'Ενεργοί πελάτες'!U382</f>
        <v>4</v>
      </c>
      <c r="G81" s="138">
        <f>'Ενεργοί πελάτες'!X382</f>
        <v>0</v>
      </c>
      <c r="H81" s="138">
        <f>'Ενεργοί πελάτες'!AA382</f>
        <v>1</v>
      </c>
      <c r="I81" s="138">
        <f>'Ενεργοί πελάτες'!AD382</f>
        <v>0</v>
      </c>
      <c r="J81" s="138">
        <f>'Ενεργοί πελάτες'!AG382</f>
        <v>1</v>
      </c>
      <c r="K81" s="138">
        <f>SUM(F81:J81)</f>
        <v>6</v>
      </c>
    </row>
    <row r="82" spans="2:11" outlineLevel="1" x14ac:dyDescent="0.35">
      <c r="B82" s="538"/>
      <c r="C82" s="7" t="s">
        <v>193</v>
      </c>
      <c r="D82" s="15" t="s">
        <v>141</v>
      </c>
      <c r="E82" s="145">
        <f>'Στοιχεία υφιστάμενου δικτύου'!I81</f>
        <v>8</v>
      </c>
      <c r="F82" s="139">
        <f>E82+F81</f>
        <v>12</v>
      </c>
      <c r="G82" s="139">
        <f>F82+G81</f>
        <v>12</v>
      </c>
      <c r="H82" s="139">
        <f t="shared" ref="H82:J82" si="18">G82+H81</f>
        <v>13</v>
      </c>
      <c r="I82" s="139">
        <f t="shared" si="18"/>
        <v>13</v>
      </c>
      <c r="J82" s="139">
        <f t="shared" si="18"/>
        <v>14</v>
      </c>
      <c r="K82" s="32"/>
    </row>
    <row r="83" spans="2:11" outlineLevel="1" x14ac:dyDescent="0.35">
      <c r="B83" s="17" t="s">
        <v>318</v>
      </c>
    </row>
    <row r="85" spans="2:11" ht="15.5" x14ac:dyDescent="0.35">
      <c r="B85" s="551" t="s">
        <v>327</v>
      </c>
      <c r="C85" s="551"/>
      <c r="D85" s="551"/>
      <c r="E85" s="551"/>
      <c r="F85" s="551"/>
      <c r="G85" s="551"/>
      <c r="H85" s="551"/>
      <c r="I85" s="551"/>
      <c r="J85" s="551"/>
      <c r="K85" s="551"/>
    </row>
    <row r="86" spans="2:11" ht="5.15" customHeight="1" outlineLevel="1" x14ac:dyDescent="0.35"/>
    <row r="87" spans="2:11" outlineLevel="1" x14ac:dyDescent="0.35">
      <c r="B87" s="539"/>
      <c r="C87" s="540"/>
      <c r="D87" s="9" t="s">
        <v>134</v>
      </c>
      <c r="E87" s="9">
        <f>$C$3-1</f>
        <v>2023</v>
      </c>
      <c r="F87" s="9">
        <f>$C$3</f>
        <v>2024</v>
      </c>
      <c r="G87" s="9">
        <f>$C$3+1</f>
        <v>2025</v>
      </c>
      <c r="H87" s="9">
        <f>$C$3+2</f>
        <v>2026</v>
      </c>
      <c r="I87" s="9">
        <f>$C$3+3</f>
        <v>2027</v>
      </c>
      <c r="J87" s="9">
        <f>$C$3+4</f>
        <v>2028</v>
      </c>
      <c r="K87" s="9" t="str">
        <f>F87&amp;" - "&amp;J87</f>
        <v>2024 - 2028</v>
      </c>
    </row>
    <row r="88" spans="2:11" outlineLevel="1" x14ac:dyDescent="0.35">
      <c r="B88" s="535" t="s">
        <v>133</v>
      </c>
      <c r="C88" s="536"/>
      <c r="D88" s="14" t="s">
        <v>223</v>
      </c>
      <c r="E88" s="144">
        <f>IFERROR(E107/E72,0)</f>
        <v>3.9470366906423182</v>
      </c>
      <c r="F88" s="144">
        <f t="shared" ref="F88:J88" si="19">IFERROR(F107/F72,0)</f>
        <v>6.4458463404247421</v>
      </c>
      <c r="G88" s="144">
        <f t="shared" si="19"/>
        <v>6.4986470245870303</v>
      </c>
      <c r="H88" s="144">
        <f t="shared" si="19"/>
        <v>6.5717436008281451</v>
      </c>
      <c r="I88" s="144">
        <f t="shared" si="19"/>
        <v>6.6791774850484096</v>
      </c>
      <c r="J88" s="144">
        <f t="shared" si="19"/>
        <v>6.7818895069116838</v>
      </c>
      <c r="K88" s="204">
        <f>SUM(E88:J88)</f>
        <v>36.924340648442332</v>
      </c>
    </row>
    <row r="89" spans="2:11" outlineLevel="1" x14ac:dyDescent="0.35">
      <c r="B89" s="535" t="s">
        <v>139</v>
      </c>
      <c r="C89" s="536" t="s">
        <v>192</v>
      </c>
      <c r="D89" s="14" t="s">
        <v>223</v>
      </c>
      <c r="E89" s="144">
        <f>IFERROR(E112/E74,0)</f>
        <v>1.4452074391988552</v>
      </c>
      <c r="F89" s="144">
        <f t="shared" ref="F89:J89" si="20">IFERROR(F112/F74,0)</f>
        <v>1.9381741403579331</v>
      </c>
      <c r="G89" s="144">
        <f t="shared" si="20"/>
        <v>1.931677825915715</v>
      </c>
      <c r="H89" s="144">
        <f t="shared" si="20"/>
        <v>1.9321358286706545</v>
      </c>
      <c r="I89" s="144">
        <f t="shared" si="20"/>
        <v>1.9345547555892386</v>
      </c>
      <c r="J89" s="144">
        <f t="shared" si="20"/>
        <v>1.9358867362146055</v>
      </c>
      <c r="K89" s="204">
        <f t="shared" ref="K89:K93" si="21">SUM(E89:J89)</f>
        <v>11.117636725947001</v>
      </c>
    </row>
    <row r="90" spans="2:11" outlineLevel="1" x14ac:dyDescent="0.35">
      <c r="B90" s="535" t="s">
        <v>52</v>
      </c>
      <c r="C90" s="536" t="s">
        <v>192</v>
      </c>
      <c r="D90" s="14" t="s">
        <v>223</v>
      </c>
      <c r="E90" s="144">
        <f>IFERROR(E117/E76,0)</f>
        <v>133.56804772518686</v>
      </c>
      <c r="F90" s="144">
        <f t="shared" ref="F90:J90" si="22">IFERROR(F117/F76,0)</f>
        <v>140.66293081601623</v>
      </c>
      <c r="G90" s="144">
        <f t="shared" si="22"/>
        <v>139.65657685241885</v>
      </c>
      <c r="H90" s="144">
        <f t="shared" si="22"/>
        <v>137.45847808105873</v>
      </c>
      <c r="I90" s="144">
        <f t="shared" si="22"/>
        <v>135.74791861927079</v>
      </c>
      <c r="J90" s="144">
        <f t="shared" si="22"/>
        <v>133.98185595567867</v>
      </c>
      <c r="K90" s="204">
        <f t="shared" si="21"/>
        <v>821.07580804963004</v>
      </c>
    </row>
    <row r="91" spans="2:11" outlineLevel="1" x14ac:dyDescent="0.35">
      <c r="B91" s="535" t="s">
        <v>152</v>
      </c>
      <c r="C91" s="536" t="s">
        <v>192</v>
      </c>
      <c r="D91" s="14" t="s">
        <v>223</v>
      </c>
      <c r="E91" s="144">
        <f>IFERROR(E122/E78,0)</f>
        <v>0</v>
      </c>
      <c r="F91" s="144">
        <f t="shared" ref="F91:J91" si="23">IFERROR(F122/F78,0)</f>
        <v>0</v>
      </c>
      <c r="G91" s="144">
        <f t="shared" si="23"/>
        <v>0</v>
      </c>
      <c r="H91" s="144">
        <f t="shared" si="23"/>
        <v>0</v>
      </c>
      <c r="I91" s="144">
        <f t="shared" si="23"/>
        <v>0</v>
      </c>
      <c r="J91" s="144">
        <f t="shared" si="23"/>
        <v>0</v>
      </c>
      <c r="K91" s="204">
        <f t="shared" si="21"/>
        <v>0</v>
      </c>
    </row>
    <row r="92" spans="2:11" outlineLevel="1" x14ac:dyDescent="0.35">
      <c r="B92" s="535" t="s">
        <v>144</v>
      </c>
      <c r="C92" s="536" t="s">
        <v>192</v>
      </c>
      <c r="D92" s="14" t="s">
        <v>223</v>
      </c>
      <c r="E92" s="144">
        <f>IFERROR(E127/E80,0)</f>
        <v>10728.115584415587</v>
      </c>
      <c r="F92" s="144">
        <f t="shared" ref="F92:J92" si="24">IFERROR(F127/F80,0)</f>
        <v>9876.081058823529</v>
      </c>
      <c r="G92" s="144">
        <f t="shared" si="24"/>
        <v>9973.1989534883705</v>
      </c>
      <c r="H92" s="144">
        <f t="shared" si="24"/>
        <v>9976.2243023255796</v>
      </c>
      <c r="I92" s="144">
        <f t="shared" si="24"/>
        <v>9914.3722988505742</v>
      </c>
      <c r="J92" s="144">
        <f t="shared" si="24"/>
        <v>9914.3987356321832</v>
      </c>
      <c r="K92" s="204">
        <f t="shared" si="21"/>
        <v>60382.390933535826</v>
      </c>
    </row>
    <row r="93" spans="2:11" outlineLevel="1" x14ac:dyDescent="0.35">
      <c r="B93" s="535" t="s">
        <v>145</v>
      </c>
      <c r="C93" s="536" t="s">
        <v>192</v>
      </c>
      <c r="D93" s="12" t="s">
        <v>223</v>
      </c>
      <c r="E93" s="148">
        <f t="shared" ref="E93:J93" si="25">IFERROR(E132/E82,0)</f>
        <v>18519.150000000001</v>
      </c>
      <c r="F93" s="148">
        <f t="shared" si="25"/>
        <v>13673.913333333332</v>
      </c>
      <c r="G93" s="148">
        <f t="shared" si="25"/>
        <v>14320.903333333334</v>
      </c>
      <c r="H93" s="148">
        <f t="shared" si="25"/>
        <v>13520.67923076923</v>
      </c>
      <c r="I93" s="148">
        <f t="shared" si="25"/>
        <v>13555.25923076923</v>
      </c>
      <c r="J93" s="148">
        <f t="shared" si="25"/>
        <v>12951.370714285713</v>
      </c>
      <c r="K93" s="208">
        <f t="shared" si="21"/>
        <v>86541.275842490839</v>
      </c>
    </row>
    <row r="94" spans="2:11" x14ac:dyDescent="0.35">
      <c r="B94" s="17"/>
    </row>
    <row r="95" spans="2:11" ht="15.5" x14ac:dyDescent="0.35">
      <c r="B95" s="551" t="s">
        <v>328</v>
      </c>
      <c r="C95" s="551"/>
      <c r="D95" s="551"/>
      <c r="E95" s="551"/>
      <c r="F95" s="551"/>
      <c r="G95" s="551"/>
      <c r="H95" s="551"/>
      <c r="I95" s="551"/>
      <c r="J95" s="551"/>
      <c r="K95" s="551"/>
    </row>
    <row r="96" spans="2:11" ht="5.15" customHeight="1" outlineLevel="1" x14ac:dyDescent="0.35"/>
    <row r="97" spans="2:11" outlineLevel="1" x14ac:dyDescent="0.35">
      <c r="B97" s="539"/>
      <c r="C97" s="540"/>
      <c r="D97" s="9" t="s">
        <v>134</v>
      </c>
      <c r="E97" s="9">
        <f>$C$3-1</f>
        <v>2023</v>
      </c>
      <c r="F97" s="73">
        <f>$C$3</f>
        <v>2024</v>
      </c>
      <c r="G97" s="73">
        <f>$C$3+1</f>
        <v>2025</v>
      </c>
      <c r="H97" s="9">
        <f>$C$3+2</f>
        <v>2026</v>
      </c>
      <c r="I97" s="9">
        <f>$C$3+3</f>
        <v>2027</v>
      </c>
      <c r="J97" s="9">
        <f>$C$3+4</f>
        <v>2028</v>
      </c>
      <c r="K97" s="9" t="str">
        <f>F97&amp;" - "&amp;J97</f>
        <v>2024 - 2028</v>
      </c>
    </row>
    <row r="98" spans="2:11" ht="43.5" outlineLevel="1" x14ac:dyDescent="0.35">
      <c r="B98" s="537" t="s">
        <v>209</v>
      </c>
      <c r="C98" s="209" t="s">
        <v>329</v>
      </c>
      <c r="D98" s="218" t="s">
        <v>147</v>
      </c>
      <c r="E98" s="203"/>
      <c r="F98" s="204">
        <f>F103+F108+F113+F118+F123+F128</f>
        <v>102315.26000000004</v>
      </c>
      <c r="G98" s="204">
        <f t="shared" ref="G98:J98" si="26">G103+G108+G113+G118+G123+G128</f>
        <v>298997.21000000002</v>
      </c>
      <c r="H98" s="204">
        <f t="shared" si="26"/>
        <v>502176.86999999988</v>
      </c>
      <c r="I98" s="204">
        <f t="shared" si="26"/>
        <v>721790.64</v>
      </c>
      <c r="J98" s="204">
        <f t="shared" si="26"/>
        <v>925025.63000000012</v>
      </c>
      <c r="K98" s="204">
        <f>SUM(F98:J98)</f>
        <v>2550305.6100000003</v>
      </c>
    </row>
    <row r="99" spans="2:11" ht="39.5" outlineLevel="1" x14ac:dyDescent="0.35">
      <c r="B99" s="550"/>
      <c r="C99" s="210" t="s">
        <v>330</v>
      </c>
      <c r="D99" s="219" t="s">
        <v>147</v>
      </c>
      <c r="E99" s="211"/>
      <c r="F99" s="214">
        <f>F104+F109+F114+F119+F124+F129</f>
        <v>102315.26000000004</v>
      </c>
      <c r="G99" s="214">
        <f t="shared" ref="G99:J99" si="27">G104+G109+G114+G119+G124+G129</f>
        <v>84225.630000000019</v>
      </c>
      <c r="H99" s="214">
        <f t="shared" si="27"/>
        <v>100676.79000000001</v>
      </c>
      <c r="I99" s="214">
        <f t="shared" si="27"/>
        <v>96323.310000000027</v>
      </c>
      <c r="J99" s="214">
        <f t="shared" si="27"/>
        <v>88547.360000000015</v>
      </c>
      <c r="K99" s="215"/>
    </row>
    <row r="100" spans="2:11" ht="26.5" outlineLevel="1" x14ac:dyDescent="0.35">
      <c r="B100" s="550"/>
      <c r="C100" s="212" t="s">
        <v>331</v>
      </c>
      <c r="D100" s="220" t="s">
        <v>147</v>
      </c>
      <c r="E100" s="213"/>
      <c r="F100" s="213"/>
      <c r="G100" s="216">
        <f t="shared" ref="G100:J100" si="28">G105+G110+G115+G120+G125+G130</f>
        <v>214771.58000000002</v>
      </c>
      <c r="H100" s="216">
        <f t="shared" si="28"/>
        <v>401500.07999999996</v>
      </c>
      <c r="I100" s="216">
        <f t="shared" si="28"/>
        <v>625467.32999999996</v>
      </c>
      <c r="J100" s="216">
        <f t="shared" si="28"/>
        <v>836478.27</v>
      </c>
      <c r="K100" s="217"/>
    </row>
    <row r="101" spans="2:11" ht="43.5" outlineLevel="1" x14ac:dyDescent="0.35">
      <c r="B101" s="550"/>
      <c r="C101" s="135" t="s">
        <v>226</v>
      </c>
      <c r="D101" s="221" t="s">
        <v>147</v>
      </c>
      <c r="E101" s="205"/>
      <c r="F101" s="206">
        <f>F106+F111+F116+F121+F126+F131</f>
        <v>4806058.6999999993</v>
      </c>
      <c r="G101" s="206">
        <f t="shared" ref="G101:J101" si="29">G106+G111+G116+G121+G126+G131</f>
        <v>4806058.6999999993</v>
      </c>
      <c r="H101" s="206">
        <f t="shared" si="29"/>
        <v>4806058.6999999993</v>
      </c>
      <c r="I101" s="206">
        <f t="shared" si="29"/>
        <v>4806058.6999999993</v>
      </c>
      <c r="J101" s="206">
        <f t="shared" si="29"/>
        <v>4806058.6999999993</v>
      </c>
      <c r="K101" s="207"/>
    </row>
    <row r="102" spans="2:11" outlineLevel="1" x14ac:dyDescent="0.35">
      <c r="B102" s="538"/>
      <c r="C102" s="7" t="s">
        <v>332</v>
      </c>
      <c r="D102" s="30" t="s">
        <v>147</v>
      </c>
      <c r="E102" s="204">
        <f>'Στοιχεία υφιστάμενου δικτύου'!I87</f>
        <v>3650123</v>
      </c>
      <c r="F102" s="140">
        <f>F107+F112+F117+F122+F127+F132</f>
        <v>4908373.959999999</v>
      </c>
      <c r="G102" s="140">
        <f t="shared" ref="G102:J102" si="30">G107+G112+G117+G122+G127+G132</f>
        <v>5105055.9099999983</v>
      </c>
      <c r="H102" s="140">
        <f t="shared" si="30"/>
        <v>5308235.5699999994</v>
      </c>
      <c r="I102" s="140">
        <f t="shared" si="30"/>
        <v>5527849.3399999989</v>
      </c>
      <c r="J102" s="140">
        <f t="shared" si="30"/>
        <v>5731084.3299999991</v>
      </c>
      <c r="K102" s="204">
        <f>SUM(F102:J102)</f>
        <v>26580599.109999996</v>
      </c>
    </row>
    <row r="103" spans="2:11" ht="43.5" outlineLevel="1" x14ac:dyDescent="0.35">
      <c r="B103" s="537" t="s">
        <v>133</v>
      </c>
      <c r="C103" s="209" t="s">
        <v>329</v>
      </c>
      <c r="D103" s="218" t="s">
        <v>147</v>
      </c>
      <c r="E103" s="203"/>
      <c r="F103" s="204">
        <f>F104+F105</f>
        <v>56970.000000000015</v>
      </c>
      <c r="G103" s="204">
        <f>G104+G105</f>
        <v>197305.22999999998</v>
      </c>
      <c r="H103" s="204">
        <f t="shared" ref="H103:J103" si="31">H104+H105</f>
        <v>373086.36999999994</v>
      </c>
      <c r="I103" s="204">
        <f t="shared" si="31"/>
        <v>563111.74</v>
      </c>
      <c r="J103" s="204">
        <f t="shared" si="31"/>
        <v>739534.64</v>
      </c>
      <c r="K103" s="204">
        <f>SUM(F103:J103)</f>
        <v>1930007.98</v>
      </c>
    </row>
    <row r="104" spans="2:11" ht="39.5" outlineLevel="1" x14ac:dyDescent="0.35">
      <c r="B104" s="550"/>
      <c r="C104" s="210" t="s">
        <v>330</v>
      </c>
      <c r="D104" s="219" t="s">
        <v>147</v>
      </c>
      <c r="E104" s="211"/>
      <c r="F104" s="214">
        <f>'Διανεμόμενες ποσότητες αερίου'!P132</f>
        <v>56970.000000000015</v>
      </c>
      <c r="G104" s="214">
        <f>'Διανεμόμενες ποσότητες αερίου'!T132</f>
        <v>71174.930000000008</v>
      </c>
      <c r="H104" s="214">
        <f>'Διανεμόμενες ποσότητες αερίου'!Z132</f>
        <v>85517.08</v>
      </c>
      <c r="I104" s="214">
        <f>'Διανεμόμενες ποσότητες αερίου'!AF132</f>
        <v>82613.520000000019</v>
      </c>
      <c r="J104" s="214">
        <f>'Διανεμόμενες ποσότητες αερίου'!AL132</f>
        <v>74031.020000000019</v>
      </c>
      <c r="K104" s="215"/>
    </row>
    <row r="105" spans="2:11" ht="26.5" outlineLevel="1" x14ac:dyDescent="0.35">
      <c r="B105" s="550"/>
      <c r="C105" s="212" t="s">
        <v>331</v>
      </c>
      <c r="D105" s="220" t="s">
        <v>147</v>
      </c>
      <c r="E105" s="213"/>
      <c r="F105" s="213"/>
      <c r="G105" s="216">
        <f>'Διανεμόμενες ποσότητες αερίου'!U132</f>
        <v>126130.29999999999</v>
      </c>
      <c r="H105" s="216">
        <f>'Διανεμόμενες ποσότητες αερίου'!AA132</f>
        <v>287569.28999999992</v>
      </c>
      <c r="I105" s="216">
        <f>'Διανεμόμενες ποσότητες αερίου'!AG132</f>
        <v>480498.22</v>
      </c>
      <c r="J105" s="216">
        <f>'Διανεμόμενες ποσότητες αερίου'!AM132</f>
        <v>665503.62</v>
      </c>
      <c r="K105" s="217"/>
    </row>
    <row r="106" spans="2:11" ht="43.5" outlineLevel="1" x14ac:dyDescent="0.35">
      <c r="B106" s="550"/>
      <c r="C106" s="135" t="s">
        <v>226</v>
      </c>
      <c r="D106" s="221" t="s">
        <v>147</v>
      </c>
      <c r="E106" s="205"/>
      <c r="F106" s="206">
        <f>'Διανεμόμενες ποσότητες αερίου'!Q132</f>
        <v>2728099.7199999993</v>
      </c>
      <c r="G106" s="206">
        <f>'Διανεμόμενες ποσότητες αερίου'!W132</f>
        <v>2728099.7199999993</v>
      </c>
      <c r="H106" s="206">
        <f>'Διανεμόμενες ποσότητες αερίου'!AC132</f>
        <v>2728099.7199999993</v>
      </c>
      <c r="I106" s="206">
        <f>'Διανεμόμενες ποσότητες αερίου'!AI132</f>
        <v>2728099.7199999993</v>
      </c>
      <c r="J106" s="206">
        <f>'Διανεμόμενες ποσότητες αερίου'!AO132</f>
        <v>2728099.7199999993</v>
      </c>
      <c r="K106" s="207"/>
    </row>
    <row r="107" spans="2:11" outlineLevel="1" x14ac:dyDescent="0.35">
      <c r="B107" s="538"/>
      <c r="C107" s="7" t="s">
        <v>332</v>
      </c>
      <c r="D107" s="30" t="s">
        <v>147</v>
      </c>
      <c r="E107" s="204">
        <f>'Στοιχεία υφιστάμενου δικτύου'!I88</f>
        <v>1650109.9999999995</v>
      </c>
      <c r="F107" s="140">
        <f>F103+F106</f>
        <v>2785069.7199999993</v>
      </c>
      <c r="G107" s="140">
        <f t="shared" ref="G107:J107" si="32">G103+G106</f>
        <v>2925404.9499999993</v>
      </c>
      <c r="H107" s="140">
        <f t="shared" si="32"/>
        <v>3101186.0899999994</v>
      </c>
      <c r="I107" s="140">
        <f t="shared" si="32"/>
        <v>3291211.459999999</v>
      </c>
      <c r="J107" s="140">
        <f t="shared" si="32"/>
        <v>3467634.3599999994</v>
      </c>
      <c r="K107" s="204">
        <f>SUM(F107:J107)</f>
        <v>15570506.579999996</v>
      </c>
    </row>
    <row r="108" spans="2:11" ht="43.5" outlineLevel="1" x14ac:dyDescent="0.35">
      <c r="B108" s="537" t="s">
        <v>139</v>
      </c>
      <c r="C108" s="209" t="s">
        <v>329</v>
      </c>
      <c r="D108" s="218" t="s">
        <v>147</v>
      </c>
      <c r="E108" s="203"/>
      <c r="F108" s="204">
        <f>F109+F110</f>
        <v>78.130000000000024</v>
      </c>
      <c r="G108" s="204">
        <f t="shared" ref="G108" si="33">G109+G110</f>
        <v>248.64999999999998</v>
      </c>
      <c r="H108" s="204">
        <f t="shared" ref="H108" si="34">H109+H110</f>
        <v>453.84999999999991</v>
      </c>
      <c r="I108" s="204">
        <f t="shared" ref="I108" si="35">I109+I110</f>
        <v>650.1700000000003</v>
      </c>
      <c r="J108" s="204">
        <f t="shared" ref="J108" si="36">J109+J110</f>
        <v>831.43000000000006</v>
      </c>
      <c r="K108" s="204">
        <f>SUM(F108:J108)</f>
        <v>2262.2300000000005</v>
      </c>
    </row>
    <row r="109" spans="2:11" ht="39.5" outlineLevel="1" x14ac:dyDescent="0.35">
      <c r="B109" s="550"/>
      <c r="C109" s="210" t="s">
        <v>330</v>
      </c>
      <c r="D109" s="219" t="s">
        <v>147</v>
      </c>
      <c r="E109" s="211"/>
      <c r="F109" s="214">
        <f>'Διανεμόμενες ποσότητες αερίου'!P194</f>
        <v>78.130000000000024</v>
      </c>
      <c r="G109" s="214">
        <f>'Διανεμόμενες ποσότητες αερίου'!T194</f>
        <v>92.35</v>
      </c>
      <c r="H109" s="214">
        <f>'Διανεμόμενες ποσότητες αερίου'!Z194</f>
        <v>92.36999999999999</v>
      </c>
      <c r="I109" s="214">
        <f>'Διανεμόμενες ποσότητες αερίου'!AF194</f>
        <v>83.570000000000022</v>
      </c>
      <c r="J109" s="214">
        <f>'Διανεμόμενες ποσότητες αερίου'!AL194</f>
        <v>79.169999999999987</v>
      </c>
      <c r="K109" s="215"/>
    </row>
    <row r="110" spans="2:11" ht="26.5" outlineLevel="1" x14ac:dyDescent="0.35">
      <c r="B110" s="550"/>
      <c r="C110" s="212" t="s">
        <v>331</v>
      </c>
      <c r="D110" s="220" t="s">
        <v>147</v>
      </c>
      <c r="E110" s="213"/>
      <c r="F110" s="213"/>
      <c r="G110" s="216">
        <f>'Διανεμόμενες ποσότητες αερίου'!U194</f>
        <v>156.29999999999998</v>
      </c>
      <c r="H110" s="216">
        <f>'Διανεμόμενες ποσότητες αερίου'!AA194</f>
        <v>361.4799999999999</v>
      </c>
      <c r="I110" s="216">
        <f>'Διανεμόμενες ποσότητες αερίου'!AG194</f>
        <v>566.60000000000025</v>
      </c>
      <c r="J110" s="216">
        <f>'Διανεμόμενες ποσότητες αερίου'!AM194</f>
        <v>752.2600000000001</v>
      </c>
      <c r="K110" s="217"/>
    </row>
    <row r="111" spans="2:11" ht="43.5" outlineLevel="1" x14ac:dyDescent="0.35">
      <c r="B111" s="550"/>
      <c r="C111" s="135" t="s">
        <v>226</v>
      </c>
      <c r="D111" s="221" t="s">
        <v>147</v>
      </c>
      <c r="E111" s="205"/>
      <c r="F111" s="206">
        <f>'Διανεμόμενες ποσότητες αερίου'!Q194</f>
        <v>9560.4100000000017</v>
      </c>
      <c r="G111" s="206">
        <f>'Διανεμόμενες ποσότητες αερίου'!W194</f>
        <v>9560.4100000000017</v>
      </c>
      <c r="H111" s="206">
        <f>'Διανεμόμενες ποσότητες αερίου'!AC194</f>
        <v>9560.4100000000017</v>
      </c>
      <c r="I111" s="206">
        <f>'Διανεμόμενες ποσότητες αερίου'!AI194</f>
        <v>9560.4100000000017</v>
      </c>
      <c r="J111" s="206">
        <f>'Διανεμόμενες ποσότητες αερίου'!AO194</f>
        <v>9560.4100000000017</v>
      </c>
      <c r="K111" s="207"/>
    </row>
    <row r="112" spans="2:11" outlineLevel="1" x14ac:dyDescent="0.35">
      <c r="B112" s="538"/>
      <c r="C112" s="7" t="s">
        <v>332</v>
      </c>
      <c r="D112" s="30" t="s">
        <v>147</v>
      </c>
      <c r="E112" s="204">
        <f>'Στοιχεία υφιστάμενου δικτύου'!I89</f>
        <v>7071.3999999999987</v>
      </c>
      <c r="F112" s="140">
        <f>F108+F111</f>
        <v>9638.5400000000009</v>
      </c>
      <c r="G112" s="140">
        <f t="shared" ref="G112" si="37">G108+G111</f>
        <v>9809.0600000000013</v>
      </c>
      <c r="H112" s="140">
        <f t="shared" ref="H112" si="38">H108+H111</f>
        <v>10014.260000000002</v>
      </c>
      <c r="I112" s="140">
        <f t="shared" ref="I112" si="39">I108+I111</f>
        <v>10210.580000000002</v>
      </c>
      <c r="J112" s="140">
        <f t="shared" ref="J112" si="40">J108+J111</f>
        <v>10391.840000000002</v>
      </c>
      <c r="K112" s="204">
        <f>SUM(F112:J112)</f>
        <v>50064.280000000006</v>
      </c>
    </row>
    <row r="113" spans="2:11" ht="43.5" outlineLevel="1" x14ac:dyDescent="0.35">
      <c r="B113" s="537" t="s">
        <v>52</v>
      </c>
      <c r="C113" s="209" t="s">
        <v>329</v>
      </c>
      <c r="D113" s="218" t="s">
        <v>147</v>
      </c>
      <c r="E113" s="203"/>
      <c r="F113" s="204">
        <f>F114+F115</f>
        <v>16204.62000000001</v>
      </c>
      <c r="G113" s="204">
        <f t="shared" ref="G113" si="41">G114+G115</f>
        <v>46388.720000000023</v>
      </c>
      <c r="H113" s="204">
        <f t="shared" ref="H113" si="42">H114+H115</f>
        <v>69403.87000000001</v>
      </c>
      <c r="I113" s="204">
        <f t="shared" ref="I113" si="43">I114+I115</f>
        <v>93751.310000000056</v>
      </c>
      <c r="J113" s="204">
        <f t="shared" ref="J113" si="44">J114+J115</f>
        <v>115279.02000000003</v>
      </c>
      <c r="K113" s="204">
        <f>SUM(F113:J113)</f>
        <v>341027.54000000015</v>
      </c>
    </row>
    <row r="114" spans="2:11" ht="39.5" outlineLevel="1" x14ac:dyDescent="0.35">
      <c r="B114" s="550"/>
      <c r="C114" s="210" t="s">
        <v>330</v>
      </c>
      <c r="D114" s="219" t="s">
        <v>147</v>
      </c>
      <c r="E114" s="211"/>
      <c r="F114" s="214">
        <f>'Διανεμόμενες ποσότητες αερίου'!P256</f>
        <v>16204.62000000001</v>
      </c>
      <c r="G114" s="214">
        <f>'Διανεμόμενες ποσότητες αερίου'!T256</f>
        <v>9195.8100000000049</v>
      </c>
      <c r="H114" s="214">
        <f>'Διανεμόμενες ποσότητες αερίου'!Z256</f>
        <v>11494.150000000001</v>
      </c>
      <c r="I114" s="214">
        <f>'Διανεμόμενες ποσότητες αερίου'!AF256</f>
        <v>9031.1199999999972</v>
      </c>
      <c r="J114" s="214">
        <f>'Διανεμόμενες ποσότητες αερίου'!AL256</f>
        <v>9336.3500000000022</v>
      </c>
      <c r="K114" s="215"/>
    </row>
    <row r="115" spans="2:11" ht="26.5" outlineLevel="1" x14ac:dyDescent="0.35">
      <c r="B115" s="550"/>
      <c r="C115" s="212" t="s">
        <v>331</v>
      </c>
      <c r="D115" s="220" t="s">
        <v>147</v>
      </c>
      <c r="E115" s="213"/>
      <c r="F115" s="213"/>
      <c r="G115" s="216">
        <f>'Διανεμόμενες ποσότητες αερίου'!U256</f>
        <v>37192.910000000018</v>
      </c>
      <c r="H115" s="216">
        <f>'Διανεμόμενες ποσότητες αερίου'!AA256</f>
        <v>57909.720000000008</v>
      </c>
      <c r="I115" s="216">
        <f>'Διανεμόμενες ποσότητες αερίου'!AG256</f>
        <v>84720.190000000061</v>
      </c>
      <c r="J115" s="216">
        <f>'Διανεμόμενες ποσότητες αερίου'!AM256</f>
        <v>105942.67000000003</v>
      </c>
      <c r="K115" s="217"/>
    </row>
    <row r="116" spans="2:11" ht="43.5" outlineLevel="1" x14ac:dyDescent="0.35">
      <c r="B116" s="550"/>
      <c r="C116" s="135" t="s">
        <v>226</v>
      </c>
      <c r="D116" s="221" t="s">
        <v>147</v>
      </c>
      <c r="E116" s="205"/>
      <c r="F116" s="206">
        <f>'Διανεμόμενες ποσότητες αερίου'!Q256</f>
        <v>1093907.23</v>
      </c>
      <c r="G116" s="206">
        <f>'Διανεμόμενες ποσότητες αερίου'!W256</f>
        <v>1093907.23</v>
      </c>
      <c r="H116" s="206">
        <f>'Διανεμόμενες ποσότητες αερίου'!AC256</f>
        <v>1093907.23</v>
      </c>
      <c r="I116" s="206">
        <f>'Διανεμόμενες ποσότητες αερίου'!AI256</f>
        <v>1093907.23</v>
      </c>
      <c r="J116" s="206">
        <f>'Διανεμόμενες ποσότητες αερίου'!AO256</f>
        <v>1093907.23</v>
      </c>
      <c r="K116" s="207"/>
    </row>
    <row r="117" spans="2:11" outlineLevel="1" x14ac:dyDescent="0.35">
      <c r="B117" s="538"/>
      <c r="C117" s="7" t="s">
        <v>332</v>
      </c>
      <c r="D117" s="30" t="s">
        <v>147</v>
      </c>
      <c r="E117" s="204">
        <f>'Στοιχεία υφιστάμενου δικτύου'!I90</f>
        <v>1018723.5000000001</v>
      </c>
      <c r="F117" s="140">
        <f>F113+F116</f>
        <v>1110111.8500000001</v>
      </c>
      <c r="G117" s="140">
        <f t="shared" ref="G117" si="45">G113+G116</f>
        <v>1140295.95</v>
      </c>
      <c r="H117" s="140">
        <f t="shared" ref="H117" si="46">H113+H116</f>
        <v>1163311.1000000001</v>
      </c>
      <c r="I117" s="140">
        <f t="shared" ref="I117" si="47">I113+I116</f>
        <v>1187658.54</v>
      </c>
      <c r="J117" s="140">
        <f t="shared" ref="J117" si="48">J113+J116</f>
        <v>1209186.25</v>
      </c>
      <c r="K117" s="204">
        <f>SUM(F117:J117)</f>
        <v>5810563.6899999995</v>
      </c>
    </row>
    <row r="118" spans="2:11" ht="43.5" outlineLevel="1" x14ac:dyDescent="0.35">
      <c r="B118" s="537" t="s">
        <v>152</v>
      </c>
      <c r="C118" s="209" t="s">
        <v>329</v>
      </c>
      <c r="D118" s="218" t="s">
        <v>147</v>
      </c>
      <c r="E118" s="203"/>
      <c r="F118" s="204">
        <f>F119+F120</f>
        <v>0</v>
      </c>
      <c r="G118" s="204">
        <f t="shared" ref="G118" si="49">G119+G120</f>
        <v>0</v>
      </c>
      <c r="H118" s="204">
        <f t="shared" ref="H118" si="50">H119+H120</f>
        <v>0</v>
      </c>
      <c r="I118" s="204">
        <f t="shared" ref="I118" si="51">I119+I120</f>
        <v>0</v>
      </c>
      <c r="J118" s="204">
        <f t="shared" ref="J118" si="52">J119+J120</f>
        <v>0</v>
      </c>
      <c r="K118" s="204">
        <f>SUM(F118:J118)</f>
        <v>0</v>
      </c>
    </row>
    <row r="119" spans="2:11" ht="39.5" outlineLevel="1" x14ac:dyDescent="0.35">
      <c r="B119" s="550"/>
      <c r="C119" s="210" t="s">
        <v>330</v>
      </c>
      <c r="D119" s="219" t="s">
        <v>147</v>
      </c>
      <c r="E119" s="211"/>
      <c r="F119" s="214"/>
      <c r="G119" s="214"/>
      <c r="H119" s="214"/>
      <c r="I119" s="214"/>
      <c r="J119" s="214"/>
      <c r="K119" s="215"/>
    </row>
    <row r="120" spans="2:11" ht="26.5" outlineLevel="1" x14ac:dyDescent="0.35">
      <c r="B120" s="550"/>
      <c r="C120" s="212" t="s">
        <v>331</v>
      </c>
      <c r="D120" s="220" t="s">
        <v>147</v>
      </c>
      <c r="E120" s="213"/>
      <c r="F120" s="213"/>
      <c r="G120" s="216"/>
      <c r="H120" s="216"/>
      <c r="I120" s="216"/>
      <c r="J120" s="216"/>
      <c r="K120" s="217"/>
    </row>
    <row r="121" spans="2:11" ht="43.5" outlineLevel="1" x14ac:dyDescent="0.35">
      <c r="B121" s="550"/>
      <c r="C121" s="135" t="s">
        <v>226</v>
      </c>
      <c r="D121" s="221" t="s">
        <v>147</v>
      </c>
      <c r="E121" s="205"/>
      <c r="F121" s="206"/>
      <c r="G121" s="206"/>
      <c r="H121" s="206"/>
      <c r="I121" s="206"/>
      <c r="J121" s="206"/>
      <c r="K121" s="207"/>
    </row>
    <row r="122" spans="2:11" outlineLevel="1" x14ac:dyDescent="0.35">
      <c r="B122" s="538"/>
      <c r="C122" s="7" t="s">
        <v>332</v>
      </c>
      <c r="D122" s="30" t="s">
        <v>147</v>
      </c>
      <c r="E122" s="204" t="e">
        <f>'Στοιχεία υφιστάμενου δικτύου'!#REF!</f>
        <v>#REF!</v>
      </c>
      <c r="F122" s="140">
        <f>F118+F121</f>
        <v>0</v>
      </c>
      <c r="G122" s="140">
        <f t="shared" ref="G122" si="53">G118+G121</f>
        <v>0</v>
      </c>
      <c r="H122" s="140">
        <f t="shared" ref="H122" si="54">H118+H121</f>
        <v>0</v>
      </c>
      <c r="I122" s="140">
        <f t="shared" ref="I122" si="55">I118+I121</f>
        <v>0</v>
      </c>
      <c r="J122" s="140">
        <f t="shared" ref="J122" si="56">J118+J121</f>
        <v>0</v>
      </c>
      <c r="K122" s="204">
        <f>SUM(F122:J122)</f>
        <v>0</v>
      </c>
    </row>
    <row r="123" spans="2:11" ht="43.5" outlineLevel="1" x14ac:dyDescent="0.35">
      <c r="B123" s="537" t="s">
        <v>144</v>
      </c>
      <c r="C123" s="209" t="s">
        <v>329</v>
      </c>
      <c r="D123" s="218" t="s">
        <v>147</v>
      </c>
      <c r="E123" s="203"/>
      <c r="F123" s="204">
        <f>F124+F125</f>
        <v>20735.47</v>
      </c>
      <c r="G123" s="204">
        <f t="shared" ref="G123" si="57">G124+G125</f>
        <v>38963.69</v>
      </c>
      <c r="H123" s="204">
        <f t="shared" ref="H123" si="58">H124+H125</f>
        <v>39223.869999999995</v>
      </c>
      <c r="I123" s="204">
        <f t="shared" ref="I123" si="59">I124+I125</f>
        <v>43818.969999999994</v>
      </c>
      <c r="J123" s="204">
        <f t="shared" ref="J123" si="60">J124+J125</f>
        <v>43821.270000000004</v>
      </c>
      <c r="K123" s="204">
        <f>SUM(F123:J123)</f>
        <v>186563.27000000002</v>
      </c>
    </row>
    <row r="124" spans="2:11" ht="39.5" outlineLevel="1" x14ac:dyDescent="0.35">
      <c r="B124" s="550"/>
      <c r="C124" s="210" t="s">
        <v>330</v>
      </c>
      <c r="D124" s="219" t="s">
        <v>147</v>
      </c>
      <c r="E124" s="211"/>
      <c r="F124" s="214">
        <f>'Διανεμόμενες ποσότητες αερίου'!P330</f>
        <v>20735.47</v>
      </c>
      <c r="G124" s="214">
        <f>'Διανεμόμενες ποσότητες αερίου'!T330</f>
        <v>3762.54</v>
      </c>
      <c r="H124" s="214">
        <f>'Διανεμόμενες ποσότητες αερίου'!Z330</f>
        <v>0</v>
      </c>
      <c r="I124" s="214">
        <f>'Διανεμόμενες ποσότητες αερίου'!AF330</f>
        <v>4595.1000000000004</v>
      </c>
      <c r="J124" s="214">
        <f>'Διανεμόμενες ποσότητες αερίου'!AL330</f>
        <v>0</v>
      </c>
      <c r="K124" s="215"/>
    </row>
    <row r="125" spans="2:11" ht="26.5" outlineLevel="1" x14ac:dyDescent="0.35">
      <c r="B125" s="550"/>
      <c r="C125" s="212" t="s">
        <v>331</v>
      </c>
      <c r="D125" s="220" t="s">
        <v>147</v>
      </c>
      <c r="E125" s="213"/>
      <c r="F125" s="213"/>
      <c r="G125" s="216">
        <f>'Διανεμόμενες ποσότητες αερίου'!U330</f>
        <v>35201.15</v>
      </c>
      <c r="H125" s="216">
        <f>'Διανεμόμενες ποσότητες αερίου'!AA330</f>
        <v>39223.869999999995</v>
      </c>
      <c r="I125" s="216">
        <f>'Διανεμόμενες ποσότητες αερίου'!AG330</f>
        <v>39223.869999999995</v>
      </c>
      <c r="J125" s="216">
        <f>'Διανεμόμενες ποσότητες αερίου'!AM330</f>
        <v>43821.270000000004</v>
      </c>
      <c r="K125" s="217"/>
    </row>
    <row r="126" spans="2:11" ht="43.5" outlineLevel="1" x14ac:dyDescent="0.35">
      <c r="B126" s="550"/>
      <c r="C126" s="135" t="s">
        <v>226</v>
      </c>
      <c r="D126" s="221" t="s">
        <v>147</v>
      </c>
      <c r="E126" s="205"/>
      <c r="F126" s="206">
        <f>'Διανεμόμενες ποσότητες αερίου'!Q330</f>
        <v>818731.41999999993</v>
      </c>
      <c r="G126" s="206">
        <f>'Διανεμόμενες ποσότητες αερίου'!W330</f>
        <v>818731.41999999993</v>
      </c>
      <c r="H126" s="206">
        <f>'Διανεμόμενες ποσότητες αερίου'!AC330</f>
        <v>818731.41999999993</v>
      </c>
      <c r="I126" s="206">
        <f>'Διανεμόμενες ποσότητες αερίου'!AI330</f>
        <v>818731.41999999993</v>
      </c>
      <c r="J126" s="206">
        <f>'Διανεμόμενες ποσότητες αερίου'!AO330</f>
        <v>818731.41999999993</v>
      </c>
      <c r="K126" s="207"/>
    </row>
    <row r="127" spans="2:11" outlineLevel="1" x14ac:dyDescent="0.35">
      <c r="B127" s="538"/>
      <c r="C127" s="7" t="s">
        <v>332</v>
      </c>
      <c r="D127" s="30" t="s">
        <v>147</v>
      </c>
      <c r="E127" s="204">
        <f>'Στοιχεία υφιστάμενου δικτύου'!I92</f>
        <v>826064.90000000026</v>
      </c>
      <c r="F127" s="140">
        <f>F123+F126</f>
        <v>839466.8899999999</v>
      </c>
      <c r="G127" s="140">
        <f t="shared" ref="G127" si="61">G123+G126</f>
        <v>857695.10999999987</v>
      </c>
      <c r="H127" s="140">
        <f t="shared" ref="H127" si="62">H123+H126</f>
        <v>857955.28999999992</v>
      </c>
      <c r="I127" s="140">
        <f t="shared" ref="I127" si="63">I123+I126</f>
        <v>862550.3899999999</v>
      </c>
      <c r="J127" s="140">
        <f t="shared" ref="J127" si="64">J123+J126</f>
        <v>862552.69</v>
      </c>
      <c r="K127" s="204">
        <f>SUM(F127:J127)</f>
        <v>4280220.3699999992</v>
      </c>
    </row>
    <row r="128" spans="2:11" ht="43.5" outlineLevel="1" x14ac:dyDescent="0.35">
      <c r="B128" s="537" t="s">
        <v>145</v>
      </c>
      <c r="C128" s="209" t="s">
        <v>329</v>
      </c>
      <c r="D128" s="218" t="s">
        <v>147</v>
      </c>
      <c r="E128" s="203"/>
      <c r="F128" s="204">
        <f>F129+F130</f>
        <v>8327.0400000000009</v>
      </c>
      <c r="G128" s="204">
        <f t="shared" ref="G128" si="65">G129+G130</f>
        <v>16090.92</v>
      </c>
      <c r="H128" s="204">
        <f t="shared" ref="H128" si="66">H129+H130</f>
        <v>20008.91</v>
      </c>
      <c r="I128" s="204">
        <f t="shared" ref="I128" si="67">I129+I130</f>
        <v>20458.45</v>
      </c>
      <c r="J128" s="204">
        <f t="shared" ref="J128" si="68">J129+J130</f>
        <v>25559.27</v>
      </c>
      <c r="K128" s="204">
        <f>SUM(F128:J128)</f>
        <v>90444.59</v>
      </c>
    </row>
    <row r="129" spans="2:11" ht="39.5" outlineLevel="1" x14ac:dyDescent="0.35">
      <c r="B129" s="550"/>
      <c r="C129" s="210" t="s">
        <v>330</v>
      </c>
      <c r="D129" s="219" t="s">
        <v>147</v>
      </c>
      <c r="E129" s="211"/>
      <c r="F129" s="214">
        <f>'Διανεμόμενες ποσότητες αερίου'!P392</f>
        <v>8327.0400000000009</v>
      </c>
      <c r="G129" s="214">
        <f>'Διανεμόμενες ποσότητες αερίου'!T392</f>
        <v>0</v>
      </c>
      <c r="H129" s="214">
        <f>'Διανεμόμενες ποσότητες αερίου'!Z392</f>
        <v>3573.19</v>
      </c>
      <c r="I129" s="214">
        <f>'Διανεμόμενες ποσότητες αερίου'!AF392</f>
        <v>0</v>
      </c>
      <c r="J129" s="214">
        <f>'Διανεμόμενες ποσότητες αερίου'!AL392</f>
        <v>5100.82</v>
      </c>
      <c r="K129" s="215"/>
    </row>
    <row r="130" spans="2:11" ht="26.5" outlineLevel="1" x14ac:dyDescent="0.35">
      <c r="B130" s="550"/>
      <c r="C130" s="212" t="s">
        <v>331</v>
      </c>
      <c r="D130" s="220" t="s">
        <v>147</v>
      </c>
      <c r="E130" s="213"/>
      <c r="F130" s="213"/>
      <c r="G130" s="216">
        <f>'Διανεμόμενες ποσότητες αερίου'!U392</f>
        <v>16090.92</v>
      </c>
      <c r="H130" s="216">
        <f>'Διανεμόμενες ποσότητες αερίου'!AA392</f>
        <v>16435.72</v>
      </c>
      <c r="I130" s="216">
        <f>'Διανεμόμενες ποσότητες αερίου'!AG392</f>
        <v>20458.45</v>
      </c>
      <c r="J130" s="216">
        <f>'Διανεμόμενες ποσότητες αερίου'!AM392</f>
        <v>20458.45</v>
      </c>
      <c r="K130" s="217"/>
    </row>
    <row r="131" spans="2:11" ht="43.5" outlineLevel="1" x14ac:dyDescent="0.35">
      <c r="B131" s="550"/>
      <c r="C131" s="135" t="s">
        <v>226</v>
      </c>
      <c r="D131" s="221" t="s">
        <v>147</v>
      </c>
      <c r="E131" s="205"/>
      <c r="F131" s="206">
        <f>'Διανεμόμενες ποσότητες αερίου'!Q392</f>
        <v>155759.91999999998</v>
      </c>
      <c r="G131" s="206">
        <f>'Διανεμόμενες ποσότητες αερίου'!W392</f>
        <v>155759.91999999998</v>
      </c>
      <c r="H131" s="206">
        <f>'Διανεμόμενες ποσότητες αερίου'!AC392</f>
        <v>155759.91999999998</v>
      </c>
      <c r="I131" s="206">
        <f>'Διανεμόμενες ποσότητες αερίου'!AI392</f>
        <v>155759.91999999998</v>
      </c>
      <c r="J131" s="206">
        <f>'Διανεμόμενες ποσότητες αερίου'!AO392</f>
        <v>155759.91999999998</v>
      </c>
      <c r="K131" s="207"/>
    </row>
    <row r="132" spans="2:11" outlineLevel="1" x14ac:dyDescent="0.35">
      <c r="B132" s="538"/>
      <c r="C132" s="7" t="s">
        <v>332</v>
      </c>
      <c r="D132" s="30" t="s">
        <v>147</v>
      </c>
      <c r="E132" s="208">
        <f>'Στοιχεία υφιστάμενου δικτύου'!I93</f>
        <v>148153.20000000001</v>
      </c>
      <c r="F132" s="140">
        <f>F128+F131</f>
        <v>164086.96</v>
      </c>
      <c r="G132" s="140">
        <f t="shared" ref="G132" si="69">G128+G131</f>
        <v>171850.84</v>
      </c>
      <c r="H132" s="140">
        <f t="shared" ref="H132" si="70">H128+H131</f>
        <v>175768.83</v>
      </c>
      <c r="I132" s="140">
        <f t="shared" ref="I132" si="71">I128+I131</f>
        <v>176218.37</v>
      </c>
      <c r="J132" s="140">
        <f t="shared" ref="J132" si="72">J128+J131</f>
        <v>181319.18999999997</v>
      </c>
      <c r="K132" s="208">
        <f>SUM(F132:J132)</f>
        <v>869244.19</v>
      </c>
    </row>
    <row r="133" spans="2:11" ht="26.15" customHeight="1" outlineLevel="1" x14ac:dyDescent="0.35">
      <c r="B133" s="31" t="s">
        <v>333</v>
      </c>
      <c r="C133" s="23"/>
      <c r="D133" s="24"/>
      <c r="E133" s="25"/>
      <c r="F133" s="26"/>
      <c r="G133" s="26"/>
      <c r="H133" s="26"/>
      <c r="I133" s="26"/>
    </row>
    <row r="134" spans="2:11" outlineLevel="1" x14ac:dyDescent="0.35">
      <c r="B134" s="31" t="s">
        <v>334</v>
      </c>
      <c r="C134" s="23"/>
      <c r="D134" s="24"/>
      <c r="E134" s="25"/>
      <c r="F134" s="26"/>
      <c r="G134" s="26"/>
      <c r="H134" s="26"/>
      <c r="I134" s="26"/>
    </row>
    <row r="135" spans="2:11" x14ac:dyDescent="0.35">
      <c r="B135" s="31"/>
      <c r="C135" s="23"/>
      <c r="D135" s="24"/>
      <c r="E135" s="25"/>
      <c r="F135" s="26"/>
      <c r="G135" s="26"/>
      <c r="H135" s="26"/>
      <c r="I135" s="26"/>
    </row>
    <row r="136" spans="2:11" ht="15.5" x14ac:dyDescent="0.35">
      <c r="B136" s="551" t="s">
        <v>335</v>
      </c>
      <c r="C136" s="551"/>
      <c r="D136" s="551"/>
      <c r="E136" s="551"/>
      <c r="F136" s="551"/>
      <c r="G136" s="551"/>
      <c r="H136" s="551"/>
      <c r="I136" s="551"/>
      <c r="J136" s="551"/>
    </row>
    <row r="137" spans="2:11" ht="5.15" customHeight="1" outlineLevel="1" x14ac:dyDescent="0.35"/>
    <row r="138" spans="2:11" outlineLevel="1" x14ac:dyDescent="0.35">
      <c r="B138" s="539"/>
      <c r="C138" s="540"/>
      <c r="D138" s="9" t="s">
        <v>134</v>
      </c>
      <c r="E138" s="9">
        <f>$C$3-1</f>
        <v>2023</v>
      </c>
      <c r="F138" s="9">
        <f>$C$3</f>
        <v>2024</v>
      </c>
      <c r="G138" s="9">
        <f>$C$3+1</f>
        <v>2025</v>
      </c>
      <c r="H138" s="9">
        <f>$C$3+2</f>
        <v>2026</v>
      </c>
      <c r="I138" s="9">
        <f>$C$3+3</f>
        <v>2027</v>
      </c>
      <c r="J138" s="9">
        <f>$C$3+4</f>
        <v>2028</v>
      </c>
    </row>
    <row r="139" spans="2:11" outlineLevel="1" x14ac:dyDescent="0.35">
      <c r="B139" s="543" t="s">
        <v>236</v>
      </c>
      <c r="C139" s="5" t="s">
        <v>237</v>
      </c>
      <c r="D139" s="14" t="s">
        <v>141</v>
      </c>
      <c r="E139" s="138">
        <f>'Στοιχεία υφιστάμενου δικτύου'!I98</f>
        <v>1079544</v>
      </c>
      <c r="F139" s="138">
        <f>SUM(F140:F142)</f>
        <v>1087630</v>
      </c>
      <c r="G139" s="138">
        <f>SUM(G140:G142)</f>
        <v>1115032</v>
      </c>
      <c r="H139" s="138">
        <f>SUM(H140:H142)</f>
        <v>1143433</v>
      </c>
      <c r="I139" s="138">
        <f>SUM(I140:I142)</f>
        <v>1167341</v>
      </c>
      <c r="J139" s="138">
        <f>SUM(J140:J142)</f>
        <v>1190455</v>
      </c>
    </row>
    <row r="140" spans="2:11" outlineLevel="1" x14ac:dyDescent="0.35">
      <c r="B140" s="544"/>
      <c r="C140" s="13" t="s">
        <v>238</v>
      </c>
      <c r="D140" s="16" t="s">
        <v>141</v>
      </c>
      <c r="E140" s="146">
        <f>'Στοιχεία υφιστάμενου δικτύου'!I99</f>
        <v>1079544</v>
      </c>
      <c r="F140" s="141">
        <f>'Παραδοχές διείσδυσης - κάλυψης'!Y68</f>
        <v>1087630</v>
      </c>
      <c r="G140" s="141">
        <f>'Παραδοχές διείσδυσης - κάλυψης'!AC68</f>
        <v>1115032</v>
      </c>
      <c r="H140" s="141">
        <f>'Παραδοχές διείσδυσης - κάλυψης'!AG68</f>
        <v>1143433</v>
      </c>
      <c r="I140" s="141">
        <f>'Παραδοχές διείσδυσης - κάλυψης'!AK68</f>
        <v>1167341</v>
      </c>
      <c r="J140" s="141">
        <f>'Παραδοχές διείσδυσης - κάλυψης'!AO68</f>
        <v>1190455</v>
      </c>
    </row>
    <row r="141" spans="2:11" outlineLevel="1" x14ac:dyDescent="0.35">
      <c r="B141" s="544"/>
      <c r="C141" s="126" t="s">
        <v>239</v>
      </c>
      <c r="D141" s="16" t="s">
        <v>141</v>
      </c>
      <c r="E141" s="146">
        <f>'Στοιχεία υφιστάμενου δικτύου'!I100</f>
        <v>0</v>
      </c>
      <c r="F141" s="141">
        <f>'Παραδοχές διείσδυσης - κάλυψης'!Z22</f>
        <v>0</v>
      </c>
      <c r="G141" s="141">
        <f>'Παραδοχές διείσδυσης - κάλυψης'!AD22</f>
        <v>0</v>
      </c>
      <c r="H141" s="141">
        <f>'Παραδοχές διείσδυσης - κάλυψης'!AH22</f>
        <v>0</v>
      </c>
      <c r="I141" s="141">
        <f>'Παραδοχές διείσδυσης - κάλυψης'!AL22</f>
        <v>0</v>
      </c>
      <c r="J141" s="141">
        <f>'Παραδοχές διείσδυσης - κάλυψης'!AP22</f>
        <v>0</v>
      </c>
    </row>
    <row r="142" spans="2:11" outlineLevel="1" x14ac:dyDescent="0.35">
      <c r="B142" s="545"/>
      <c r="C142" s="7" t="s">
        <v>144</v>
      </c>
      <c r="D142" s="15" t="s">
        <v>141</v>
      </c>
      <c r="E142" s="147">
        <f>'Στοιχεία υφιστάμενου δικτύου'!I101</f>
        <v>0</v>
      </c>
      <c r="F142" s="139">
        <f>'Παραδοχές διείσδυσης - κάλυψης'!AA22</f>
        <v>0</v>
      </c>
      <c r="G142" s="139">
        <f>'Παραδοχές διείσδυσης - κάλυψης'!AE22</f>
        <v>0</v>
      </c>
      <c r="H142" s="139">
        <f>'Παραδοχές διείσδυσης - κάλυψης'!AI22</f>
        <v>0</v>
      </c>
      <c r="I142" s="139">
        <f>'Παραδοχές διείσδυσης - κάλυψης'!AM22</f>
        <v>0</v>
      </c>
      <c r="J142" s="139">
        <f>'Παραδοχές διείσδυσης - κάλυψης'!AQ22</f>
        <v>0</v>
      </c>
    </row>
    <row r="143" spans="2:11" outlineLevel="1" x14ac:dyDescent="0.35">
      <c r="B143" s="542" t="s">
        <v>317</v>
      </c>
      <c r="C143" s="542"/>
      <c r="D143" s="12" t="s">
        <v>141</v>
      </c>
      <c r="E143" s="148">
        <f>'Στοιχεία υφιστάμενου δικτύου'!I102</f>
        <v>250712</v>
      </c>
      <c r="F143" s="143">
        <f>'Παραδοχές διείσδυσης - κάλυψης'!I130</f>
        <v>253054</v>
      </c>
      <c r="G143" s="143">
        <f>'Παραδοχές διείσδυσης - κάλυψης'!J130</f>
        <v>261234</v>
      </c>
      <c r="H143" s="143">
        <f>'Παραδοχές διείσδυσης - κάλυψης'!K130</f>
        <v>269390</v>
      </c>
      <c r="I143" s="143">
        <f>'Παραδοχές διείσδυσης - κάλυψης'!L130</f>
        <v>276932</v>
      </c>
      <c r="J143" s="143">
        <f>'Παραδοχές διείσδυσης - κάλυψης'!M130</f>
        <v>284250</v>
      </c>
    </row>
    <row r="144" spans="2:11" outlineLevel="1" x14ac:dyDescent="0.35">
      <c r="B144" s="17" t="s">
        <v>318</v>
      </c>
    </row>
    <row r="145" spans="2:14" outlineLevel="1" x14ac:dyDescent="0.35">
      <c r="B145" s="17" t="s">
        <v>242</v>
      </c>
    </row>
    <row r="146" spans="2:14" x14ac:dyDescent="0.35">
      <c r="B146" s="17"/>
    </row>
    <row r="147" spans="2:14" ht="15.5" x14ac:dyDescent="0.35">
      <c r="B147" s="551" t="s">
        <v>336</v>
      </c>
      <c r="C147" s="551"/>
      <c r="D147" s="551"/>
      <c r="E147" s="551"/>
      <c r="F147" s="551"/>
      <c r="G147" s="551"/>
      <c r="H147" s="551"/>
      <c r="I147" s="551"/>
      <c r="J147" s="551"/>
    </row>
    <row r="148" spans="2:14" ht="5.15" customHeight="1" outlineLevel="1" x14ac:dyDescent="0.35"/>
    <row r="149" spans="2:14" outlineLevel="1" x14ac:dyDescent="0.35">
      <c r="B149" s="539"/>
      <c r="C149" s="540"/>
      <c r="D149" s="9" t="s">
        <v>134</v>
      </c>
      <c r="E149" s="9">
        <f>$C$3-1</f>
        <v>2023</v>
      </c>
      <c r="F149" s="9">
        <f>$C$3</f>
        <v>2024</v>
      </c>
      <c r="G149" s="9">
        <f>$C$3+1</f>
        <v>2025</v>
      </c>
      <c r="H149" s="9">
        <f>$C$3+2</f>
        <v>2026</v>
      </c>
      <c r="I149" s="9">
        <f>$C$3+3</f>
        <v>2027</v>
      </c>
      <c r="J149" s="9">
        <f>$C$3+4</f>
        <v>2028</v>
      </c>
    </row>
    <row r="150" spans="2:14" outlineLevel="1" x14ac:dyDescent="0.35">
      <c r="B150" s="546" t="s">
        <v>320</v>
      </c>
      <c r="C150" s="547"/>
      <c r="D150" s="15" t="s">
        <v>175</v>
      </c>
      <c r="E150" s="145">
        <f>'Στοιχεία υφιστάμενου δικτύου'!I109</f>
        <v>7555829.2807559995</v>
      </c>
      <c r="F150" s="145">
        <f>'Παραδοχές διείσδυσης - κάλυψης'!I190</f>
        <v>7555829.2807559995</v>
      </c>
      <c r="G150" s="145">
        <f>'Παραδοχές διείσδυσης - κάλυψης'!J190</f>
        <v>7555829.2807559995</v>
      </c>
      <c r="H150" s="145">
        <f>'Παραδοχές διείσδυσης - κάλυψης'!K190</f>
        <v>7555829.2807559995</v>
      </c>
      <c r="I150" s="145">
        <f>'Παραδοχές διείσδυσης - κάλυψης'!L190</f>
        <v>7555829.2807559995</v>
      </c>
      <c r="J150" s="145">
        <f>'Παραδοχές διείσδυσης - κάλυψης'!M190</f>
        <v>7555829.2807559995</v>
      </c>
    </row>
    <row r="151" spans="2:14" outlineLevel="1" x14ac:dyDescent="0.35">
      <c r="B151" s="542" t="s">
        <v>246</v>
      </c>
      <c r="C151" s="542"/>
      <c r="D151" s="12" t="s">
        <v>175</v>
      </c>
      <c r="E151" s="145">
        <f>'Στοιχεία υφιστάμενου δικτύου'!I110</f>
        <v>8017622.3370237015</v>
      </c>
      <c r="F151" s="145">
        <f>'Παραδοχές διείσδυσης - κάλυψης'!I250</f>
        <v>8017622.3370237015</v>
      </c>
      <c r="G151" s="145">
        <f>'Παραδοχές διείσδυσης - κάλυψης'!J250</f>
        <v>8017622.3370237015</v>
      </c>
      <c r="H151" s="145">
        <f>'Παραδοχές διείσδυσης - κάλυψης'!K250</f>
        <v>8017622.3370237015</v>
      </c>
      <c r="I151" s="145">
        <f>'Παραδοχές διείσδυσης - κάλυψης'!L250</f>
        <v>8017622.3370237015</v>
      </c>
      <c r="J151" s="145">
        <f>'Παραδοχές διείσδυσης - κάλυψης'!M250</f>
        <v>8017622.3370237015</v>
      </c>
    </row>
    <row r="152" spans="2:14" outlineLevel="1" x14ac:dyDescent="0.35">
      <c r="B152" s="521" t="s">
        <v>248</v>
      </c>
      <c r="C152" s="521"/>
      <c r="D152" s="521"/>
      <c r="E152" s="521"/>
      <c r="F152" s="521"/>
      <c r="G152" s="521"/>
      <c r="H152" s="521"/>
      <c r="I152" s="521"/>
    </row>
    <row r="154" spans="2:14" ht="15.5" x14ac:dyDescent="0.35">
      <c r="B154" s="551" t="s">
        <v>337</v>
      </c>
      <c r="C154" s="551"/>
      <c r="D154" s="551"/>
      <c r="E154" s="551"/>
      <c r="F154" s="551"/>
      <c r="G154" s="551"/>
      <c r="H154" s="551"/>
      <c r="I154" s="551"/>
      <c r="J154" s="551"/>
      <c r="K154" s="551"/>
    </row>
    <row r="155" spans="2:14" ht="5.15" customHeight="1" outlineLevel="1" x14ac:dyDescent="0.35"/>
    <row r="156" spans="2:14" outlineLevel="1" x14ac:dyDescent="0.35">
      <c r="B156" s="539"/>
      <c r="C156" s="540"/>
      <c r="D156" s="9" t="s">
        <v>134</v>
      </c>
      <c r="E156" s="9">
        <f>$C$3-1</f>
        <v>2023</v>
      </c>
      <c r="F156" s="9">
        <f>$C$3</f>
        <v>2024</v>
      </c>
      <c r="G156" s="9">
        <f>$C$3+1</f>
        <v>2025</v>
      </c>
      <c r="H156" s="9">
        <f>$C$3+2</f>
        <v>2026</v>
      </c>
      <c r="I156" s="9">
        <f>$C$3+3</f>
        <v>2027</v>
      </c>
      <c r="J156" s="9">
        <f>$C$3+4</f>
        <v>2028</v>
      </c>
      <c r="K156" s="9" t="str">
        <f>F156&amp;" - "&amp;J156</f>
        <v>2024 - 2028</v>
      </c>
    </row>
    <row r="157" spans="2:14" outlineLevel="1" x14ac:dyDescent="0.35">
      <c r="B157" s="542" t="s">
        <v>338</v>
      </c>
      <c r="C157" s="542"/>
      <c r="D157" s="12" t="s">
        <v>233</v>
      </c>
      <c r="E157" s="136"/>
      <c r="F157" s="143">
        <f>SUM(F158,F165,F168,F172,F173,F169)</f>
        <v>28661513.69029925</v>
      </c>
      <c r="G157" s="143">
        <f>SUM(G158,G165,G168,G172,G173,G169)</f>
        <v>45915373.038690887</v>
      </c>
      <c r="H157" s="143">
        <f>SUM(H158,H165,H168,H172,H173,H169)</f>
        <v>38773429.505581304</v>
      </c>
      <c r="I157" s="143">
        <f>SUM(I158,I165,I168,I172,I173,I169)</f>
        <v>34903430.789478056</v>
      </c>
      <c r="J157" s="143">
        <f>SUM(J158,J165,J168,J172,J173,J169)</f>
        <v>26985263.189000268</v>
      </c>
      <c r="K157" s="143">
        <f>SUM(K158,K165,K168,K169,K172,K173)</f>
        <v>175239010.21304977</v>
      </c>
    </row>
    <row r="158" spans="2:14" outlineLevel="1" x14ac:dyDescent="0.35">
      <c r="B158" s="546" t="s">
        <v>339</v>
      </c>
      <c r="C158" s="547"/>
      <c r="D158" s="15" t="s">
        <v>233</v>
      </c>
      <c r="E158" s="137"/>
      <c r="F158" s="8">
        <f>SUM(F159:F164)</f>
        <v>4461765.6268925127</v>
      </c>
      <c r="G158" s="8">
        <f t="shared" ref="G158:J158" si="73">SUM(G159:G164)</f>
        <v>10978693.69408462</v>
      </c>
      <c r="H158" s="8">
        <f t="shared" si="73"/>
        <v>10225880.147544792</v>
      </c>
      <c r="I158" s="8">
        <f t="shared" si="73"/>
        <v>11542688.557676373</v>
      </c>
      <c r="J158" s="8">
        <f t="shared" si="73"/>
        <v>10797831.309731513</v>
      </c>
      <c r="K158" s="139">
        <f>SUM(F158:J158)</f>
        <v>48006859.335929811</v>
      </c>
      <c r="L158" s="293"/>
    </row>
    <row r="159" spans="2:14" outlineLevel="1" x14ac:dyDescent="0.35">
      <c r="B159" s="548" t="s">
        <v>168</v>
      </c>
      <c r="C159" s="549"/>
      <c r="D159" s="224" t="s">
        <v>233</v>
      </c>
      <c r="E159" s="222"/>
      <c r="F159" s="223">
        <f>Επενδύσεις!D128</f>
        <v>291596.61907148012</v>
      </c>
      <c r="G159" s="223">
        <f>Επενδύσεις!E128</f>
        <v>911606.43866157392</v>
      </c>
      <c r="H159" s="223">
        <f>Επενδύσεις!F128</f>
        <v>593111.03869890422</v>
      </c>
      <c r="I159" s="223">
        <f>Επενδύσεις!G128</f>
        <v>725602.90890362894</v>
      </c>
      <c r="J159" s="223">
        <f>Επενδύσεις!H128</f>
        <v>250139.27922584693</v>
      </c>
      <c r="K159" s="139">
        <f t="shared" ref="K159:K165" si="74">SUM(F159:J159)</f>
        <v>2772056.2845614338</v>
      </c>
      <c r="N159" s="39"/>
    </row>
    <row r="160" spans="2:14" outlineLevel="1" x14ac:dyDescent="0.35">
      <c r="B160" s="548" t="s">
        <v>183</v>
      </c>
      <c r="C160" s="549"/>
      <c r="D160" s="224" t="s">
        <v>233</v>
      </c>
      <c r="E160" s="222"/>
      <c r="F160" s="223">
        <f>Επενδύσεις!D189</f>
        <v>3366158.1497546937</v>
      </c>
      <c r="G160" s="223">
        <f>Επενδύσεις!E189</f>
        <v>9625009.6191541012</v>
      </c>
      <c r="H160" s="223">
        <f>Επενδύσεις!F189</f>
        <v>9256935.6376052164</v>
      </c>
      <c r="I160" s="223">
        <f>Επενδύσεις!G189</f>
        <v>10582501.362371733</v>
      </c>
      <c r="J160" s="223">
        <f>Επενδύσεις!H189</f>
        <v>10385954.13337755</v>
      </c>
      <c r="K160" s="139">
        <f t="shared" si="74"/>
        <v>43216558.902263299</v>
      </c>
    </row>
    <row r="161" spans="2:13" outlineLevel="1" x14ac:dyDescent="0.35">
      <c r="B161" s="548" t="s">
        <v>194</v>
      </c>
      <c r="C161" s="549"/>
      <c r="D161" s="224" t="s">
        <v>233</v>
      </c>
      <c r="E161" s="222"/>
      <c r="F161" s="223">
        <f>Επενδύσεις!D316</f>
        <v>804010.85806633881</v>
      </c>
      <c r="G161" s="223">
        <f>Επενδύσεις!E316</f>
        <v>442077.63626894611</v>
      </c>
      <c r="H161" s="223">
        <f>Επενδύσεις!F316</f>
        <v>375833.47124067089</v>
      </c>
      <c r="I161" s="223">
        <f>Επενδύσεις!G316</f>
        <v>234584.28640101041</v>
      </c>
      <c r="J161" s="223">
        <f>Επενδύσεις!H316</f>
        <v>161737.89712811587</v>
      </c>
      <c r="K161" s="139">
        <f t="shared" si="74"/>
        <v>2018244.149105082</v>
      </c>
    </row>
    <row r="162" spans="2:13" outlineLevel="1" x14ac:dyDescent="0.35">
      <c r="B162" s="548" t="s">
        <v>340</v>
      </c>
      <c r="C162" s="549"/>
      <c r="D162" s="224" t="s">
        <v>233</v>
      </c>
      <c r="E162" s="222"/>
      <c r="F162" s="223">
        <v>0</v>
      </c>
      <c r="G162" s="223">
        <v>0</v>
      </c>
      <c r="H162" s="223">
        <v>0</v>
      </c>
      <c r="I162" s="223">
        <v>0</v>
      </c>
      <c r="J162" s="223">
        <v>0</v>
      </c>
      <c r="K162" s="139">
        <f t="shared" si="74"/>
        <v>0</v>
      </c>
    </row>
    <row r="163" spans="2:13" outlineLevel="1" x14ac:dyDescent="0.35">
      <c r="B163" s="548" t="s">
        <v>341</v>
      </c>
      <c r="C163" s="549"/>
      <c r="D163" s="224" t="s">
        <v>233</v>
      </c>
      <c r="E163" s="222"/>
      <c r="F163" s="223">
        <v>0</v>
      </c>
      <c r="G163" s="223">
        <v>0</v>
      </c>
      <c r="H163" s="223">
        <v>0</v>
      </c>
      <c r="I163" s="223">
        <v>0</v>
      </c>
      <c r="J163" s="223">
        <v>0</v>
      </c>
      <c r="K163" s="139">
        <f t="shared" si="74"/>
        <v>0</v>
      </c>
    </row>
    <row r="164" spans="2:13" outlineLevel="1" x14ac:dyDescent="0.35">
      <c r="B164" s="548" t="s">
        <v>342</v>
      </c>
      <c r="C164" s="549"/>
      <c r="D164" s="224" t="s">
        <v>233</v>
      </c>
      <c r="E164" s="222"/>
      <c r="F164" s="223">
        <v>0</v>
      </c>
      <c r="G164" s="223">
        <v>0</v>
      </c>
      <c r="H164" s="223">
        <v>0</v>
      </c>
      <c r="I164" s="223">
        <v>0</v>
      </c>
      <c r="J164" s="223">
        <v>0</v>
      </c>
      <c r="K164" s="139">
        <f t="shared" si="74"/>
        <v>0</v>
      </c>
    </row>
    <row r="165" spans="2:13" outlineLevel="1" x14ac:dyDescent="0.35">
      <c r="B165" s="542" t="s">
        <v>343</v>
      </c>
      <c r="C165" s="542"/>
      <c r="D165" s="12" t="s">
        <v>233</v>
      </c>
      <c r="E165" s="136"/>
      <c r="F165" s="4">
        <f>SUM(F166:F167)</f>
        <v>9508548.5893980227</v>
      </c>
      <c r="G165" s="4">
        <f t="shared" ref="G165:J165" si="75">SUM(G166:G167)</f>
        <v>10146960.99351933</v>
      </c>
      <c r="H165" s="4">
        <f t="shared" si="75"/>
        <v>11830773.831068728</v>
      </c>
      <c r="I165" s="4">
        <f t="shared" si="75"/>
        <v>11189964.813879445</v>
      </c>
      <c r="J165" s="4">
        <f t="shared" si="75"/>
        <v>10270448.211481199</v>
      </c>
      <c r="K165" s="139">
        <f t="shared" si="74"/>
        <v>52946696.439346731</v>
      </c>
    </row>
    <row r="166" spans="2:13" outlineLevel="1" x14ac:dyDescent="0.35">
      <c r="B166" s="552" t="s">
        <v>185</v>
      </c>
      <c r="C166" s="553"/>
      <c r="D166" s="224" t="s">
        <v>233</v>
      </c>
      <c r="E166" s="222"/>
      <c r="F166" s="223">
        <f>Επενδύσεις!D249</f>
        <v>5456948.8820919935</v>
      </c>
      <c r="G166" s="223">
        <f>Επενδύσεις!E249</f>
        <v>6868254.0056103561</v>
      </c>
      <c r="H166" s="223">
        <f>Επενδύσεις!F249</f>
        <v>7952800.3238362065</v>
      </c>
      <c r="I166" s="223">
        <f>Επενδύσεις!G249</f>
        <v>7492869.9644068331</v>
      </c>
      <c r="J166" s="223">
        <f>Επενδύσεις!H249</f>
        <v>6897644.4874990778</v>
      </c>
      <c r="K166" s="139">
        <f t="shared" ref="K166:K173" si="76">SUM(F166:J166)</f>
        <v>34668517.663444467</v>
      </c>
    </row>
    <row r="167" spans="2:13" outlineLevel="1" x14ac:dyDescent="0.35">
      <c r="B167" s="552" t="s">
        <v>191</v>
      </c>
      <c r="C167" s="553"/>
      <c r="D167" s="224" t="s">
        <v>233</v>
      </c>
      <c r="E167" s="222"/>
      <c r="F167" s="223">
        <f>Επενδύσεις!D309</f>
        <v>4051599.7073060293</v>
      </c>
      <c r="G167" s="223">
        <f>Επενδύσεις!E309</f>
        <v>3278706.9879089743</v>
      </c>
      <c r="H167" s="223">
        <f>Επενδύσεις!F309</f>
        <v>3877973.5072325217</v>
      </c>
      <c r="I167" s="223">
        <f>Επενδύσεις!G309</f>
        <v>3697094.8494726126</v>
      </c>
      <c r="J167" s="223">
        <f>Επενδύσεις!H309</f>
        <v>3372803.7239821209</v>
      </c>
      <c r="K167" s="139">
        <f t="shared" si="76"/>
        <v>18278178.77590226</v>
      </c>
    </row>
    <row r="168" spans="2:13" outlineLevel="1" x14ac:dyDescent="0.35">
      <c r="B168" s="546" t="s">
        <v>344</v>
      </c>
      <c r="C168" s="547"/>
      <c r="D168" s="15" t="s">
        <v>233</v>
      </c>
      <c r="E168" s="137"/>
      <c r="F168" s="8">
        <v>6408529.932009466</v>
      </c>
      <c r="G168" s="8">
        <v>5761064.1710234778</v>
      </c>
      <c r="H168" s="8">
        <v>5645577.9402716998</v>
      </c>
      <c r="I168" s="8">
        <v>1874550</v>
      </c>
      <c r="J168" s="8">
        <v>1871118</v>
      </c>
      <c r="K168" s="139">
        <f t="shared" si="76"/>
        <v>21560840.043304645</v>
      </c>
    </row>
    <row r="169" spans="2:13" outlineLevel="1" x14ac:dyDescent="0.35">
      <c r="B169" s="383" t="s">
        <v>345</v>
      </c>
      <c r="C169" s="384"/>
      <c r="D169" s="15" t="s">
        <v>233</v>
      </c>
      <c r="E169" s="222"/>
      <c r="F169" s="223">
        <f>F170+F171</f>
        <v>2620722.36</v>
      </c>
      <c r="G169" s="223">
        <f t="shared" ref="G169:J169" si="77">G170+G171</f>
        <v>11453394.156755401</v>
      </c>
      <c r="H169" s="223">
        <f t="shared" si="77"/>
        <v>8156970.9417534824</v>
      </c>
      <c r="I169" s="223">
        <f t="shared" si="77"/>
        <v>7780571.0661355061</v>
      </c>
      <c r="J169" s="223">
        <f t="shared" si="77"/>
        <v>1770225.7659181545</v>
      </c>
      <c r="K169" s="139">
        <f t="shared" si="76"/>
        <v>31781884.290562544</v>
      </c>
    </row>
    <row r="170" spans="2:13" outlineLevel="1" x14ac:dyDescent="0.35">
      <c r="B170" s="548" t="s">
        <v>346</v>
      </c>
      <c r="C170" s="549"/>
      <c r="D170" s="224" t="s">
        <v>233</v>
      </c>
      <c r="E170" s="222"/>
      <c r="F170" s="223">
        <v>1866000</v>
      </c>
      <c r="G170" s="223">
        <v>1130500</v>
      </c>
      <c r="H170" s="223">
        <v>1634000</v>
      </c>
      <c r="I170" s="223">
        <v>1098500</v>
      </c>
      <c r="J170" s="223">
        <v>1128500</v>
      </c>
      <c r="K170" s="139">
        <f t="shared" si="76"/>
        <v>6857500</v>
      </c>
    </row>
    <row r="171" spans="2:13" outlineLevel="1" x14ac:dyDescent="0.35">
      <c r="B171" s="548" t="s">
        <v>347</v>
      </c>
      <c r="C171" s="549"/>
      <c r="D171" s="224" t="s">
        <v>233</v>
      </c>
      <c r="E171" s="222"/>
      <c r="F171" s="223">
        <v>754722.36</v>
      </c>
      <c r="G171" s="223">
        <v>10322894.156755401</v>
      </c>
      <c r="H171" s="223">
        <v>6522970.9417534824</v>
      </c>
      <c r="I171" s="223">
        <v>6682071.0661355061</v>
      </c>
      <c r="J171" s="223">
        <v>641725.7659181545</v>
      </c>
      <c r="K171" s="139">
        <f t="shared" si="76"/>
        <v>24924384.290562544</v>
      </c>
      <c r="L171" s="39"/>
      <c r="M171" s="39"/>
    </row>
    <row r="172" spans="2:13" outlineLevel="1" x14ac:dyDescent="0.35">
      <c r="B172" s="542" t="s">
        <v>348</v>
      </c>
      <c r="C172" s="542"/>
      <c r="D172" s="12" t="s">
        <v>233</v>
      </c>
      <c r="E172" s="136"/>
      <c r="F172" s="4">
        <v>249000</v>
      </c>
      <c r="G172" s="4">
        <v>217500</v>
      </c>
      <c r="H172" s="4">
        <v>45000</v>
      </c>
      <c r="I172" s="4">
        <v>45000</v>
      </c>
      <c r="J172" s="4">
        <v>45000</v>
      </c>
      <c r="K172" s="139">
        <f t="shared" si="76"/>
        <v>601500</v>
      </c>
    </row>
    <row r="173" spans="2:13" outlineLevel="1" x14ac:dyDescent="0.35">
      <c r="B173" s="542" t="s">
        <v>50</v>
      </c>
      <c r="C173" s="542"/>
      <c r="D173" s="12" t="s">
        <v>233</v>
      </c>
      <c r="E173" s="136"/>
      <c r="F173" s="4">
        <f>SUM(F174:F177)</f>
        <v>5412947.1819992522</v>
      </c>
      <c r="G173" s="4">
        <f>SUM(G174:G177)</f>
        <v>7357760.0233080564</v>
      </c>
      <c r="H173" s="4">
        <f>SUM(H174:H177)</f>
        <v>2869226.6449426087</v>
      </c>
      <c r="I173" s="4">
        <f>SUM(I174:I177)</f>
        <v>2470656.351786728</v>
      </c>
      <c r="J173" s="4">
        <f>SUM(J174:J177)</f>
        <v>2230639.9018694009</v>
      </c>
      <c r="K173" s="139">
        <f t="shared" si="76"/>
        <v>20341230.103906047</v>
      </c>
    </row>
    <row r="174" spans="2:13" outlineLevel="1" x14ac:dyDescent="0.35">
      <c r="B174" s="548" t="s">
        <v>349</v>
      </c>
      <c r="C174" s="549"/>
      <c r="D174" s="224" t="s">
        <v>233</v>
      </c>
      <c r="E174" s="222"/>
      <c r="F174" s="223">
        <v>3082304.3875411795</v>
      </c>
      <c r="G174" s="223">
        <v>3031086.2533692722</v>
      </c>
      <c r="H174" s="223">
        <v>1470436.3581910753</v>
      </c>
      <c r="I174" s="223">
        <v>1876405.9598682239</v>
      </c>
      <c r="J174" s="223">
        <v>1359363.057801737</v>
      </c>
      <c r="K174" s="139">
        <f t="shared" ref="K174:K177" si="78">SUM(F174:J174)</f>
        <v>10819596.016771488</v>
      </c>
    </row>
    <row r="175" spans="2:13" outlineLevel="1" x14ac:dyDescent="0.35">
      <c r="B175" s="381"/>
      <c r="C175" s="382" t="s">
        <v>350</v>
      </c>
      <c r="D175" s="224" t="s">
        <v>233</v>
      </c>
      <c r="E175" s="222"/>
      <c r="F175" s="223">
        <v>1611000</v>
      </c>
      <c r="G175" s="223">
        <v>1232500</v>
      </c>
      <c r="H175" s="223">
        <v>255000</v>
      </c>
      <c r="I175" s="223">
        <v>255000</v>
      </c>
      <c r="J175" s="223">
        <v>255000</v>
      </c>
      <c r="K175" s="139">
        <f t="shared" si="78"/>
        <v>3608500</v>
      </c>
    </row>
    <row r="176" spans="2:13" outlineLevel="1" x14ac:dyDescent="0.35">
      <c r="B176" s="381"/>
      <c r="C176" s="382" t="s">
        <v>351</v>
      </c>
      <c r="D176" s="224" t="s">
        <v>233</v>
      </c>
      <c r="E176" s="222"/>
      <c r="F176" s="223">
        <v>80000</v>
      </c>
      <c r="G176" s="223">
        <v>40000</v>
      </c>
      <c r="H176" s="223">
        <v>30000</v>
      </c>
      <c r="I176" s="223">
        <v>200000</v>
      </c>
      <c r="J176" s="223">
        <v>30000</v>
      </c>
      <c r="K176" s="139">
        <f t="shared" si="78"/>
        <v>380000</v>
      </c>
    </row>
    <row r="177" spans="2:11" outlineLevel="1" x14ac:dyDescent="0.35">
      <c r="B177" s="381"/>
      <c r="C177" s="382" t="s">
        <v>352</v>
      </c>
      <c r="D177" s="224" t="s">
        <v>233</v>
      </c>
      <c r="E177" s="222"/>
      <c r="F177" s="223">
        <v>639642.7944580724</v>
      </c>
      <c r="G177" s="223">
        <v>3054173.7699387847</v>
      </c>
      <c r="H177" s="223">
        <v>1113790.2867515336</v>
      </c>
      <c r="I177" s="223">
        <v>139250.39191850403</v>
      </c>
      <c r="J177" s="223">
        <v>586276.84406766389</v>
      </c>
      <c r="K177" s="139">
        <f t="shared" si="78"/>
        <v>5533134.0871345587</v>
      </c>
    </row>
    <row r="179" spans="2:11" x14ac:dyDescent="0.35">
      <c r="F179" s="33"/>
      <c r="G179" s="33"/>
      <c r="H179" s="33"/>
      <c r="I179" s="33"/>
      <c r="J179" s="33"/>
    </row>
    <row r="180" spans="2:11" x14ac:dyDescent="0.35">
      <c r="F180" s="33"/>
      <c r="G180" s="33"/>
      <c r="H180" s="33"/>
      <c r="I180" s="33"/>
      <c r="J180" s="33"/>
    </row>
    <row r="182" spans="2:11" x14ac:dyDescent="0.35">
      <c r="F182" s="33"/>
      <c r="G182" s="33"/>
      <c r="H182" s="33"/>
      <c r="I182" s="33"/>
      <c r="J182" s="33"/>
    </row>
    <row r="183" spans="2:11" x14ac:dyDescent="0.35">
      <c r="F183" s="33"/>
      <c r="G183" s="33"/>
      <c r="H183" s="33"/>
      <c r="I183" s="33"/>
      <c r="J183" s="33"/>
    </row>
    <row r="184" spans="2:11" x14ac:dyDescent="0.35">
      <c r="F184" s="33"/>
      <c r="G184" s="33"/>
      <c r="H184" s="33"/>
      <c r="I184" s="33"/>
      <c r="J184" s="33"/>
    </row>
    <row r="185" spans="2:11" x14ac:dyDescent="0.35">
      <c r="F185" s="33"/>
      <c r="G185" s="33"/>
      <c r="H185" s="33"/>
      <c r="I185" s="33"/>
      <c r="J185" s="33"/>
    </row>
  </sheetData>
  <mergeCells count="85">
    <mergeCell ref="B172:C172"/>
    <mergeCell ref="B173:C173"/>
    <mergeCell ref="B152:I152"/>
    <mergeCell ref="B156:C156"/>
    <mergeCell ref="B157:C157"/>
    <mergeCell ref="B158:C158"/>
    <mergeCell ref="B165:C165"/>
    <mergeCell ref="B154:K154"/>
    <mergeCell ref="B163:C163"/>
    <mergeCell ref="B168:C168"/>
    <mergeCell ref="B164:C164"/>
    <mergeCell ref="B166:C166"/>
    <mergeCell ref="B167:C167"/>
    <mergeCell ref="B162:C162"/>
    <mergeCell ref="B170:C170"/>
    <mergeCell ref="B171:C171"/>
    <mergeCell ref="B81:B82"/>
    <mergeCell ref="B63:B64"/>
    <mergeCell ref="B68:C68"/>
    <mergeCell ref="B69:B70"/>
    <mergeCell ref="B71:B72"/>
    <mergeCell ref="B73:B74"/>
    <mergeCell ref="B59:B60"/>
    <mergeCell ref="B61:B62"/>
    <mergeCell ref="B75:B76"/>
    <mergeCell ref="B77:B78"/>
    <mergeCell ref="B79:B80"/>
    <mergeCell ref="J2:L2"/>
    <mergeCell ref="B98:B102"/>
    <mergeCell ref="B103:B107"/>
    <mergeCell ref="B108:B112"/>
    <mergeCell ref="B113:B117"/>
    <mergeCell ref="B91:C91"/>
    <mergeCell ref="B92:C92"/>
    <mergeCell ref="B93:C93"/>
    <mergeCell ref="C2:H2"/>
    <mergeCell ref="B9:K9"/>
    <mergeCell ref="B48:K48"/>
    <mergeCell ref="B66:K66"/>
    <mergeCell ref="B20:B21"/>
    <mergeCell ref="B22:B23"/>
    <mergeCell ref="B24:B25"/>
    <mergeCell ref="B26:B27"/>
    <mergeCell ref="B150:C150"/>
    <mergeCell ref="B151:C151"/>
    <mergeCell ref="B118:B122"/>
    <mergeCell ref="B138:C138"/>
    <mergeCell ref="B128:B132"/>
    <mergeCell ref="B139:B142"/>
    <mergeCell ref="B143:C143"/>
    <mergeCell ref="B149:C149"/>
    <mergeCell ref="B136:J136"/>
    <mergeCell ref="B147:J147"/>
    <mergeCell ref="B37:B38"/>
    <mergeCell ref="B97:C97"/>
    <mergeCell ref="B95:K95"/>
    <mergeCell ref="B85:K85"/>
    <mergeCell ref="B87:C87"/>
    <mergeCell ref="B88:C88"/>
    <mergeCell ref="B89:C89"/>
    <mergeCell ref="B90:C90"/>
    <mergeCell ref="B39:B40"/>
    <mergeCell ref="B41:B42"/>
    <mergeCell ref="B43:B44"/>
    <mergeCell ref="B45:B46"/>
    <mergeCell ref="B51:B52"/>
    <mergeCell ref="B53:B54"/>
    <mergeCell ref="B55:B56"/>
    <mergeCell ref="B57:B58"/>
    <mergeCell ref="B174:C174"/>
    <mergeCell ref="B5:I5"/>
    <mergeCell ref="B123:B127"/>
    <mergeCell ref="B159:C159"/>
    <mergeCell ref="B160:C160"/>
    <mergeCell ref="B161:C161"/>
    <mergeCell ref="B50:C50"/>
    <mergeCell ref="B11:C11"/>
    <mergeCell ref="B12:B13"/>
    <mergeCell ref="B14:B15"/>
    <mergeCell ref="B16:B17"/>
    <mergeCell ref="B18:B19"/>
    <mergeCell ref="B30:K30"/>
    <mergeCell ref="B32:C32"/>
    <mergeCell ref="B33:B34"/>
    <mergeCell ref="B35:B36"/>
  </mergeCells>
  <hyperlinks>
    <hyperlink ref="J2" location="'Αρχική σελίδα'!A1" display="Πίσω στην αρχική σελίδα" xr:uid="{690C1EE3-6E01-4D71-B9CA-EB65F41887EF}"/>
  </hyperlinks>
  <pageMargins left="0.7" right="0.7" top="0.75" bottom="0.75" header="0.3" footer="0.3"/>
  <pageSetup orientation="portrait"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D73BF-0348-452C-909B-299C97771F2A}">
  <sheetPr codeName="Sheet22">
    <tabColor theme="9" tint="0.79998168889431442"/>
  </sheetPr>
  <dimension ref="B2:L33"/>
  <sheetViews>
    <sheetView showGridLines="0" topLeftCell="A8" workbookViewId="0">
      <selection activeCell="L29" sqref="L29"/>
    </sheetView>
  </sheetViews>
  <sheetFormatPr defaultColWidth="8.54296875" defaultRowHeight="14.5" x14ac:dyDescent="0.35"/>
  <cols>
    <col min="1" max="1" width="2.54296875" customWidth="1"/>
    <col min="2" max="2" width="34.453125" customWidth="1"/>
    <col min="3" max="3" width="13.1796875" customWidth="1"/>
    <col min="4" max="7" width="12.453125" customWidth="1"/>
    <col min="8" max="8" width="16" bestFit="1" customWidth="1"/>
    <col min="9" max="9" width="22.453125" customWidth="1"/>
    <col min="10" max="10" width="12.453125" customWidth="1"/>
  </cols>
  <sheetData>
    <row r="2" spans="2:12" ht="18.5" x14ac:dyDescent="0.45">
      <c r="B2" s="1" t="s">
        <v>0</v>
      </c>
      <c r="C2" s="420">
        <f>'Αρχική σελίδα'!C3</f>
        <v>0</v>
      </c>
      <c r="D2" s="420"/>
      <c r="E2" s="420"/>
      <c r="F2" s="420"/>
      <c r="G2" s="420"/>
      <c r="H2" s="420"/>
      <c r="J2" s="421" t="s">
        <v>58</v>
      </c>
      <c r="K2" s="421"/>
      <c r="L2" s="421"/>
    </row>
    <row r="3" spans="2:12" ht="18.5" x14ac:dyDescent="0.45">
      <c r="B3" s="2" t="s">
        <v>1</v>
      </c>
      <c r="C3" s="46">
        <f>'Αρχική σελίδα'!C4</f>
        <v>2024</v>
      </c>
      <c r="D3" s="46" t="s">
        <v>2</v>
      </c>
      <c r="E3" s="46">
        <f>C3+4</f>
        <v>2028</v>
      </c>
    </row>
    <row r="5" spans="2:12" ht="30.65" customHeight="1" x14ac:dyDescent="0.35">
      <c r="B5" s="422" t="s">
        <v>353</v>
      </c>
      <c r="C5" s="422"/>
      <c r="D5" s="422"/>
      <c r="E5" s="422"/>
      <c r="F5" s="422"/>
      <c r="G5" s="422"/>
      <c r="H5" s="422"/>
      <c r="I5" s="422"/>
    </row>
    <row r="6" spans="2:12" x14ac:dyDescent="0.35">
      <c r="B6" s="226"/>
      <c r="C6" s="226"/>
      <c r="D6" s="226"/>
      <c r="E6" s="226"/>
      <c r="F6" s="226"/>
      <c r="G6" s="226"/>
      <c r="H6" s="226"/>
    </row>
    <row r="7" spans="2:12" ht="15.5" x14ac:dyDescent="0.35">
      <c r="B7" s="20" t="s">
        <v>354</v>
      </c>
      <c r="C7" s="20"/>
      <c r="D7" s="20"/>
      <c r="E7" s="20"/>
      <c r="F7" s="20"/>
      <c r="G7" s="20"/>
      <c r="H7" s="20"/>
    </row>
    <row r="8" spans="2:12" ht="5.15" customHeight="1" x14ac:dyDescent="0.35"/>
    <row r="9" spans="2:12" x14ac:dyDescent="0.35">
      <c r="B9" s="18"/>
      <c r="C9" s="9" t="s">
        <v>355</v>
      </c>
      <c r="D9" s="9">
        <f>$C$3-5</f>
        <v>2019</v>
      </c>
      <c r="E9" s="9">
        <f>$C$3-4</f>
        <v>2020</v>
      </c>
      <c r="F9" s="9">
        <f>$C$3-3</f>
        <v>2021</v>
      </c>
      <c r="G9" s="9">
        <f>$C$3-2</f>
        <v>2022</v>
      </c>
      <c r="H9" s="9">
        <f>$C$3-1</f>
        <v>2023</v>
      </c>
    </row>
    <row r="10" spans="2:12" x14ac:dyDescent="0.35">
      <c r="B10" s="19" t="s">
        <v>251</v>
      </c>
      <c r="C10" s="29" t="s">
        <v>253</v>
      </c>
      <c r="D10" s="149">
        <f>IFERROR('Στοιχεία υφιστάμενου δικτύου'!E69/'Στοιχεία υφιστάμενου δικτύου'!E98,0)</f>
        <v>0.40373329855054058</v>
      </c>
      <c r="E10" s="149">
        <f>IFERROR('Στοιχεία υφιστάμενου δικτύου'!F69/'Στοιχεία υφιστάμενου δικτύου'!F98,0)</f>
        <v>0.41278577961008972</v>
      </c>
      <c r="F10" s="149">
        <f>IFERROR('Στοιχεία υφιστάμενου δικτύου'!G69/'Στοιχεία υφιστάμενου δικτύου'!G98,0)</f>
        <v>0.41116384647884885</v>
      </c>
      <c r="G10" s="149">
        <f>IFERROR('Στοιχεία υφιστάμενου δικτύου'!H69/'Στοιχεία υφιστάμενου δικτύου'!H98,0)</f>
        <v>0.4061551088908173</v>
      </c>
      <c r="H10" s="149">
        <f>IFERROR('Στοιχεία υφιστάμενου δικτύου'!I69/'Στοιχεία υφιστάμενου δικτύου'!I98,0)</f>
        <v>0.39893510593361642</v>
      </c>
    </row>
    <row r="11" spans="2:12" x14ac:dyDescent="0.35">
      <c r="B11" s="19" t="s">
        <v>34</v>
      </c>
      <c r="C11" s="29" t="s">
        <v>253</v>
      </c>
      <c r="D11" s="149">
        <f>IFERROR('Στοιχεία υφιστάμενου δικτύου'!E15/'Στοιχεία υφιστάμενου δικτύου'!E110,0)</f>
        <v>0.40753127082472862</v>
      </c>
      <c r="E11" s="149">
        <f>IFERROR('Στοιχεία υφιστάμενου δικτύου'!F15/'Στοιχεία υφιστάμενου δικτύου'!F110,0)</f>
        <v>0.42764075256665013</v>
      </c>
      <c r="F11" s="149">
        <f>IFERROR('Στοιχεία υφιστάμενου δικτύου'!G15/'Στοιχεία υφιστάμενου δικτύου'!G110,0)</f>
        <v>0.44699897667297739</v>
      </c>
      <c r="G11" s="149">
        <f>IFERROR('Στοιχεία υφιστάμενου δικτύου'!H15/'Στοιχεία υφιστάμενου δικτύου'!H110,0)</f>
        <v>0.45366950164308384</v>
      </c>
      <c r="H11" s="149">
        <f>IFERROR('Στοιχεία υφιστάμενου δικτύου'!I15/'Στοιχεία υφιστάμενου δικτύου'!I110,0)</f>
        <v>0.46965743854154152</v>
      </c>
    </row>
    <row r="12" spans="2:12" x14ac:dyDescent="0.35">
      <c r="B12" s="19" t="s">
        <v>356</v>
      </c>
      <c r="C12" s="29" t="s">
        <v>253</v>
      </c>
      <c r="D12" s="149">
        <f>IFERROR(('Στοιχεία υφιστάμενου δικτύου'!E13+'Στοιχεία υφιστάμενου δικτύου'!E15)/'Στοιχεία υφιστάμενου δικτύου'!E110,0)</f>
        <v>0.44900361212777806</v>
      </c>
      <c r="E12" s="149">
        <f>IFERROR(('Στοιχεία υφιστάμενου δικτύου'!F13+'Στοιχεία υφιστάμενου δικτύου'!F15)/'Στοιχεία υφιστάμενου δικτύου'!F110,0)</f>
        <v>0.46930423781931202</v>
      </c>
      <c r="F12" s="149">
        <f>IFERROR(('Στοιχεία υφιστάμενου δικτύου'!G13+'Στοιχεία υφιστάμενου δικτύου'!G15)/'Στοιχεία υφιστάμενου δικτύου'!G110,0)</f>
        <v>0.48972695332237032</v>
      </c>
      <c r="G12" s="149">
        <f>IFERROR(('Στοιχεία υφιστάμενου δικτύου'!H13+'Στοιχεία υφιστάμενου δικτύου'!H15)/'Στοιχεία υφιστάμενου δικτύου'!H110,0)</f>
        <v>0.49648237129084827</v>
      </c>
      <c r="H12" s="149">
        <f>IFERROR(('Στοιχεία υφιστάμενου δικτύου'!I13+'Στοιχεία υφιστάμενου δικτύου'!I15)/'Στοιχεία υφιστάμενου δικτύου'!I110,0)</f>
        <v>0.51275223715839224</v>
      </c>
    </row>
    <row r="13" spans="2:12" x14ac:dyDescent="0.35">
      <c r="B13" s="19" t="s">
        <v>254</v>
      </c>
      <c r="C13" s="29" t="s">
        <v>253</v>
      </c>
      <c r="D13" s="149">
        <f>IFERROR('Στοιχεία υφιστάμενου δικτύου'!E33/'Στοιχεία υφιστάμενου δικτύου'!E102,0)</f>
        <v>0.38683745125529129</v>
      </c>
      <c r="E13" s="149">
        <f>IFERROR('Στοιχεία υφιστάμενου δικτύου'!F33/'Στοιχεία υφιστάμενου δικτύου'!F102,0)</f>
        <v>0.40456486121864982</v>
      </c>
      <c r="F13" s="149">
        <f>IFERROR('Στοιχεία υφιστάμενου δικτύου'!G33/'Στοιχεία υφιστάμενου δικτύου'!G102,0)</f>
        <v>0.41974403677936867</v>
      </c>
      <c r="G13" s="149">
        <f>IFERROR('Στοιχεία υφιστάμενου δικτύου'!H33/'Στοιχεία υφιστάμενου δικτύου'!H102,0)</f>
        <v>0.42706496194437449</v>
      </c>
      <c r="H13" s="149">
        <f>IFERROR('Στοιχεία υφιστάμενου δικτύου'!I33/'Στοιχεία υφιστάμενου δικτύου'!I102,0)</f>
        <v>0.42485800440345894</v>
      </c>
    </row>
    <row r="14" spans="2:12" x14ac:dyDescent="0.35">
      <c r="B14" s="19" t="s">
        <v>255</v>
      </c>
      <c r="C14" s="29" t="s">
        <v>253</v>
      </c>
      <c r="D14" s="149">
        <f>IFERROR('Στοιχεία υφιστάμενου δικτύου'!E109/'Στοιχεία υφιστάμενου δικτύου'!E110,0)</f>
        <v>0.94240274275139668</v>
      </c>
      <c r="E14" s="149">
        <f>IFERROR('Στοιχεία υφιστάμενου δικτύου'!F109/'Στοιχεία υφιστάμενου δικτύου'!F110,0)</f>
        <v>0.94240274275139668</v>
      </c>
      <c r="F14" s="149">
        <f>IFERROR('Στοιχεία υφιστάμενου δικτύου'!G109/'Στοιχεία υφιστάμενου δικτύου'!G110,0)</f>
        <v>0.94240274275139668</v>
      </c>
      <c r="G14" s="149">
        <f>IFERROR('Στοιχεία υφιστάμενου δικτύου'!H109/'Στοιχεία υφιστάμενου δικτύου'!H110,0)</f>
        <v>0.94240274275139668</v>
      </c>
      <c r="H14" s="149">
        <f>IFERROR('Στοιχεία υφιστάμενου δικτύου'!I109/'Στοιχεία υφιστάμενου δικτύου'!I110,0)</f>
        <v>0.94240274275139668</v>
      </c>
    </row>
    <row r="15" spans="2:12" ht="29" x14ac:dyDescent="0.35">
      <c r="B15" s="10" t="s">
        <v>256</v>
      </c>
      <c r="C15" s="11" t="s">
        <v>257</v>
      </c>
      <c r="D15" s="150">
        <f>IFERROR('Στοιχεία υφιστάμενου δικτύου'!E87/'Στοιχεία υφιστάμενου δικτύου'!E15,0)</f>
        <v>1.2184634062234236</v>
      </c>
      <c r="E15" s="150">
        <f>IFERROR('Στοιχεία υφιστάμενου δικτύου'!F87/'Στοιχεία υφιστάμενου δικτύου'!F15,0)</f>
        <v>1.1950962650285111</v>
      </c>
      <c r="F15" s="150">
        <f>IFERROR('Στοιχεία υφιστάμενου δικτύου'!G87/'Στοιχεία υφιστάμενου δικτύου'!G15,0)</f>
        <v>1.2207699370198517</v>
      </c>
      <c r="G15" s="150">
        <f>IFERROR('Στοιχεία υφιστάμενου δικτύου'!H87/'Στοιχεία υφιστάμενου δικτύου'!H15,0)</f>
        <v>1.1664132812399972</v>
      </c>
      <c r="H15" s="150">
        <f>IFERROR('Στοιχεία υφιστάμενου δικτύου'!I87/'Στοιχεία υφιστάμενου δικτύου'!I15,0)</f>
        <v>0.96935018788308114</v>
      </c>
    </row>
    <row r="16" spans="2:12" ht="29" x14ac:dyDescent="0.35">
      <c r="B16" s="10" t="s">
        <v>258</v>
      </c>
      <c r="C16" s="11" t="s">
        <v>259</v>
      </c>
      <c r="D16" s="150">
        <f>IFERROR('Στοιχεία υφιστάμενου δικτύου'!E33/'Στοιχεία υφιστάμενου δικτύου'!E15,0)</f>
        <v>2.5218582831821722E-2</v>
      </c>
      <c r="E16" s="150">
        <f>IFERROR('Στοιχεία υφιστάμενου δικτύου'!F33/'Στοιχεία υφιστάμενου δικτύου'!F15,0)</f>
        <v>2.6454342445327909E-2</v>
      </c>
      <c r="F16" s="150">
        <f>IFERROR('Στοιχεία υφιστάμενου δικτύου'!G33/'Στοιχεία υφιστάμενου δικτύου'!G15,0)</f>
        <v>2.7651401475061736E-2</v>
      </c>
      <c r="G16" s="150">
        <f>IFERROR('Στοιχεία υφιστάμενου δικτύου'!H33/'Στοιχεία υφιστάμενου δικτύου'!H15,0)</f>
        <v>2.8404739512155872E-2</v>
      </c>
      <c r="H16" s="150">
        <f>IFERROR('Στοιχεία υφιστάμενου δικτύου'!I33/'Στοιχεία υφιστάμενου δικτύου'!I15,0)</f>
        <v>2.8287340991726074E-2</v>
      </c>
    </row>
    <row r="17" spans="2:10" x14ac:dyDescent="0.35">
      <c r="D17" s="293"/>
    </row>
    <row r="19" spans="2:10" ht="15.5" x14ac:dyDescent="0.35">
      <c r="B19" s="419" t="s">
        <v>357</v>
      </c>
      <c r="C19" s="419"/>
      <c r="D19" s="419"/>
      <c r="E19" s="419"/>
      <c r="F19" s="419"/>
      <c r="G19" s="419"/>
      <c r="H19" s="419"/>
      <c r="I19" s="419"/>
    </row>
    <row r="20" spans="2:10" ht="5.15" customHeight="1" x14ac:dyDescent="0.35"/>
    <row r="21" spans="2:10" ht="29" x14ac:dyDescent="0.35">
      <c r="B21" s="18"/>
      <c r="C21" s="18"/>
      <c r="D21" s="27">
        <f>$C$3</f>
        <v>2024</v>
      </c>
      <c r="E21" s="27">
        <f>$C$3+1</f>
        <v>2025</v>
      </c>
      <c r="F21" s="27">
        <f>$C$3+2</f>
        <v>2026</v>
      </c>
      <c r="G21" s="27">
        <f>$C$3+3</f>
        <v>2027</v>
      </c>
      <c r="H21" s="27">
        <f>$C$3+4</f>
        <v>2028</v>
      </c>
      <c r="I21" s="28" t="str">
        <f>"Σύνολο Προγράμματος Ανάπτυξης "&amp;D21&amp;" - "&amp;H21</f>
        <v>Σύνολο Προγράμματος Ανάπτυξης 2024 - 2028</v>
      </c>
    </row>
    <row r="22" spans="2:10" x14ac:dyDescent="0.35">
      <c r="B22" s="19" t="s">
        <v>251</v>
      </c>
      <c r="C22" s="29" t="s">
        <v>253</v>
      </c>
      <c r="D22" s="149">
        <f>IFERROR('Πρόγραμμα ανάπτυξης δικτύου'!F70/'Πρόγραμμα ανάπτυξης δικτύου'!F139,0)</f>
        <v>0.40917775346395374</v>
      </c>
      <c r="E22" s="149">
        <f>IFERROR('Πρόγραμμα ανάπτυξης δικτύου'!G70/'Πρόγραμμα ανάπτυξης δικτύου'!G139,0)</f>
        <v>0.41568044683919386</v>
      </c>
      <c r="F22" s="149">
        <f>IFERROR('Πρόγραμμα ανάπτυξης δικτύου'!H70/'Πρόγραμμα ανάπτυξης δικτύου'!H139,0)</f>
        <v>0.42472274282795758</v>
      </c>
      <c r="G22" s="149">
        <f>IFERROR('Πρόγραμμα ανάπτυξης δικτύου'!I70/'Πρόγραμμα ανάπτυξης δικτύου'!I139,0)</f>
        <v>0.43422102025029535</v>
      </c>
      <c r="H22" s="149">
        <f>IFERROR('Πρόγραμμα ανάπτυξης δικτύου'!J70/'Πρόγραμμα ανάπτυξης δικτύου'!J139,0)</f>
        <v>0.44168154193144638</v>
      </c>
      <c r="I22" s="554"/>
    </row>
    <row r="23" spans="2:10" x14ac:dyDescent="0.35">
      <c r="B23" s="19" t="s">
        <v>34</v>
      </c>
      <c r="C23" s="29" t="s">
        <v>253</v>
      </c>
      <c r="D23" s="149">
        <f>IFERROR('Πρόγραμμα ανάπτυξης δικτύου'!F15/'Πρόγραμμα ανάπτυξης δικτύου'!F151,0)</f>
        <v>0.47453918506872078</v>
      </c>
      <c r="E23" s="149">
        <f>IFERROR('Πρόγραμμα ανάπτυξης δικτύου'!G15/'Πρόγραμμα ανάπτυξης δικτύου'!G151,0)</f>
        <v>0.48869550164600339</v>
      </c>
      <c r="F23" s="149">
        <f>IFERROR('Πρόγραμμα ανάπτυξης δικτύου'!H15/'Πρόγραμμα ανάπτυξης δικτύου'!H151,0)</f>
        <v>0.50204110405806712</v>
      </c>
      <c r="G23" s="149">
        <f>IFERROR('Πρόγραμμα ανάπτυξης δικτύου'!I15/'Πρόγραμμα ανάπτυξης δικτύου'!I151,0)</f>
        <v>0.51650923377581859</v>
      </c>
      <c r="H23" s="149">
        <f>IFERROR('Πρόγραμμα ανάπτυξης δικτύου'!J15/'Πρόγραμμα ανάπτυξης δικτύου'!J151,0)</f>
        <v>0.5302290119564449</v>
      </c>
      <c r="I23" s="555"/>
    </row>
    <row r="24" spans="2:10" x14ac:dyDescent="0.35">
      <c r="B24" s="19" t="s">
        <v>254</v>
      </c>
      <c r="C24" s="29" t="s">
        <v>253</v>
      </c>
      <c r="D24" s="149">
        <f>IFERROR('Πρόγραμμα ανάπτυξης δικτύου'!F34/'Πρόγραμμα ανάπτυξης δικτύου'!F143,0)</f>
        <v>0.43460277253076418</v>
      </c>
      <c r="E24" s="149">
        <f>IFERROR('Πρόγραμμα ανάπτυξης δικτύου'!G34/'Πρόγραμμα ανάπτυξης δικτύου'!G143,0)</f>
        <v>0.44042502124532029</v>
      </c>
      <c r="F24" s="149">
        <f>IFERROR('Πρόγραμμα ανάπτυξης δικτύου'!H34/'Πρόγραμμα ανάπτυξης δικτύου'!H143,0)</f>
        <v>0.44856887783510896</v>
      </c>
      <c r="G24" s="149">
        <f>IFERROR('Πρόγραμμα ανάπτυξης δικτύου'!I34/'Πρόγραμμα ανάπτυξης δικτύου'!I143,0)</f>
        <v>0.45527779382664341</v>
      </c>
      <c r="H24" s="149">
        <f>IFERROR('Πρόγραμμα ανάπτυξης δικτύου'!J34/'Πρόγραμμα ανάπτυξης δικτύου'!J143,0)</f>
        <v>0.45986990325417765</v>
      </c>
      <c r="I24" s="555"/>
    </row>
    <row r="25" spans="2:10" ht="29" x14ac:dyDescent="0.35">
      <c r="B25" s="10" t="s">
        <v>358</v>
      </c>
      <c r="C25" s="11" t="s">
        <v>257</v>
      </c>
      <c r="D25" s="150">
        <f>IFERROR(('Πρόγραμμα ανάπτυξης δικτύου'!F102)/'Πρόγραμμα ανάπτυξης δικτύου'!F15,0)</f>
        <v>1.2900898785343866</v>
      </c>
      <c r="E25" s="150">
        <f>IFERROR(('Πρόγραμμα ανάπτυξης δικτύου'!G102)/'Πρόγραμμα ανάπτυξης δικτύου'!G15,0)</f>
        <v>1.3029164460931546</v>
      </c>
      <c r="F25" s="150">
        <f>IFERROR(('Πρόγραμμα ανάπτυξης δικτύου'!H102)/'Πρόγραμμα ανάπτυξης δικτύου'!H15,0)</f>
        <v>1.3187586355386096</v>
      </c>
      <c r="G25" s="150">
        <f>IFERROR(('Πρόγραμμα ανάπτυξης δικτύου'!I102)/'Πρόγραμμα ανάπτυξης δικτύου'!I15,0)</f>
        <v>1.3348501440280498</v>
      </c>
      <c r="H25" s="150">
        <f>IFERROR(('Πρόγραμμα ανάπτυξης δικτύου'!J102)/'Πρόγραμμα ανάπτυξης δικτύου'!J15,0)</f>
        <v>1.3481174080874379</v>
      </c>
      <c r="I25" s="555"/>
      <c r="J25" s="131"/>
    </row>
    <row r="26" spans="2:10" ht="29" x14ac:dyDescent="0.35">
      <c r="B26" s="10" t="s">
        <v>258</v>
      </c>
      <c r="C26" s="11" t="s">
        <v>259</v>
      </c>
      <c r="D26" s="150">
        <f>IFERROR('Πρόγραμμα ανάπτυξης δικτύου'!F34/'Πρόγραμμα ανάπτυξης δικτύου'!F15,0)</f>
        <v>2.8906001685079112E-2</v>
      </c>
      <c r="E26" s="150">
        <f>IFERROR('Πρόγραμμα ανάπτυξης δικτύου'!G34/'Πρόγραμμα ανάπτυξης δικτύου'!G15,0)</f>
        <v>2.936417120643002E-2</v>
      </c>
      <c r="F26" s="150">
        <f>IFERROR('Πρόγραμμα ανάπτυξης δικτύου'!H34/'Πρόγραμμα ανάπτυξης δικτύου'!H15,0)</f>
        <v>3.002104029752518E-2</v>
      </c>
      <c r="G26" s="150">
        <f>IFERROR('Πρόγραμμα ανάπτυξης δικτύου'!I34/'Πρόγραμμα ανάπτυξης δικτύου'!I15,0)</f>
        <v>3.0445697288251194E-2</v>
      </c>
      <c r="H26" s="150">
        <f>IFERROR('Πρόγραμμα ανάπτυξης δικτύου'!J34/'Πρόγραμμα ανάπτυξης δικτύου'!J15,0)</f>
        <v>3.0748673054811233E-2</v>
      </c>
      <c r="I26" s="556"/>
    </row>
    <row r="27" spans="2:10" ht="29" x14ac:dyDescent="0.35">
      <c r="B27" s="10" t="s">
        <v>261</v>
      </c>
      <c r="C27" s="11" t="s">
        <v>262</v>
      </c>
      <c r="D27" s="150">
        <f>IFERROR('Πρόγραμμα ανάπτυξης δικτύου'!F157/'Πρόγραμμα ανάπτυξης δικτύου'!F69,0)</f>
        <v>1995.0935326673571</v>
      </c>
      <c r="E27" s="150">
        <f>IFERROR('Πρόγραμμα ανάπτυξης δικτύου'!G157/'Πρόγραμμα ανάπτυξης δικτύου'!G69,0)</f>
        <v>2486.8858278010553</v>
      </c>
      <c r="F27" s="150">
        <f>IFERROR('Πρόγραμμα ανάπτυξης δικτύου'!H157/'Πρόγραμμα ανάπτυξης δικτύου'!H69,0)</f>
        <v>1750.8886658650397</v>
      </c>
      <c r="G27" s="150">
        <f>IFERROR('Πρόγραμμα ανάπτυξης δικτύου'!I157/'Πρόγραμμα ανάπτυξης δικτύου'!I69,0)</f>
        <v>1643.1329813331163</v>
      </c>
      <c r="H27" s="150">
        <f>IFERROR('Πρόγραμμα ανάπτυξης δικτύου'!J157/'Πρόγραμμα ανάπτυξης δικτύου'!J69,0)</f>
        <v>1426.4331953166438</v>
      </c>
      <c r="I27" s="150">
        <f>IFERROR('Πρόγραμμα ανάπτυξης δικτύου'!K157/'Πρόγραμμα ανάπτυξης δικτύου'!K69,0)</f>
        <v>1842.0229383085939</v>
      </c>
    </row>
    <row r="28" spans="2:10" x14ac:dyDescent="0.35">
      <c r="B28" s="10" t="s">
        <v>359</v>
      </c>
      <c r="C28" s="11" t="s">
        <v>264</v>
      </c>
      <c r="D28" s="150">
        <f>IFERROR('Πρόγραμμα ανάπτυξης δικτύου'!F157/'Πρόγραμμα ανάπτυξης δικτύου'!F98,0)</f>
        <v>280.12941266336264</v>
      </c>
      <c r="E28" s="150">
        <f>IFERROR('Πρόγραμμα ανάπτυξης δικτύου'!G157/'Πρόγραμμα ανάπτυξης δικτύου'!G98,0)</f>
        <v>153.56455345750845</v>
      </c>
      <c r="F28" s="150">
        <f>IFERROR('Πρόγραμμα ανάπτυξης δικτύου'!H157/'Πρόγραμμα ανάπτυξης δικτύου'!H98,0)</f>
        <v>77.21070368211366</v>
      </c>
      <c r="G28" s="150">
        <f>IFERROR('Πρόγραμμα ανάπτυξης δικτύου'!I157/'Πρόγραμμα ανάπτυξης δικτύου'!I98,0)</f>
        <v>48.356724034933528</v>
      </c>
      <c r="H28" s="150">
        <f>IFERROR('Πρόγραμμα ανάπτυξης δικτύου'!J157/'Πρόγραμμα ανάπτυξης δικτύου'!J98,0)</f>
        <v>29.17244918824602</v>
      </c>
      <c r="I28" s="150">
        <f>IFERROR('Πρόγραμμα ανάπτυξης δικτύου'!K157/'Πρόγραμμα ανάπτυξης δικτύου'!K98,0)</f>
        <v>68.712945431292738</v>
      </c>
    </row>
    <row r="29" spans="2:10" x14ac:dyDescent="0.35">
      <c r="B29" s="10" t="s">
        <v>265</v>
      </c>
      <c r="C29" s="11" t="s">
        <v>266</v>
      </c>
      <c r="D29" s="150">
        <f>IFERROR('Πρόγραμμα ανάπτυξης δικτύου'!F157/'Πρόγραμμα ανάπτυξης δικτύου'!F33,0)</f>
        <v>8281.3528260283238</v>
      </c>
      <c r="E29" s="150">
        <f>IFERROR('Πρόγραμμα ανάπτυξης δικτύου'!G157/'Πρόγραμμα ανάπτυξης δικτύου'!G33,0)</f>
        <v>9045.5461244618582</v>
      </c>
      <c r="F29" s="150">
        <f>IFERROR('Πρόγραμμα ανάπτυξης δικτύου'!H157/'Πρόγραμμα ανάπτυξης δικτύου'!H33,0)</f>
        <v>6701.2726462209166</v>
      </c>
      <c r="G29" s="150">
        <f>IFERROR('Πρόγραμμα ανάπτυξης δικτύου'!I157/'Πρόγραμμα ανάπτυξης δικτύου'!I33,0)</f>
        <v>6659.6637275717403</v>
      </c>
      <c r="H29" s="150">
        <f>IFERROR('Πρόγραμμα ανάπτυξης δικτύου'!J157/'Πρόγραμμα ανάπτυξης δικτύου'!J33,0)</f>
        <v>5819.5144713319232</v>
      </c>
      <c r="I29" s="150">
        <f>IFERROR('Πρόγραμμα ανάπτυξης δικτύου'!K157/'Πρόγραμμα ανάπτυξης δικτύου'!K33,0)</f>
        <v>7240.9762155913158</v>
      </c>
    </row>
    <row r="30" spans="2:10" ht="29" x14ac:dyDescent="0.35">
      <c r="B30" s="10" t="s">
        <v>267</v>
      </c>
      <c r="C30" s="11" t="s">
        <v>268</v>
      </c>
      <c r="D30" s="150">
        <f>IFERROR('Πρόγραμμα ανάπτυξης δικτύου'!F69/'Πρόγραμμα ανάπτυξης δικτύου'!F14,0)</f>
        <v>0.36704138988247315</v>
      </c>
      <c r="E30" s="150">
        <f>IFERROR('Πρόγραμμα ανάπτυξης δικτύου'!G69/'Πρόγραμμα ανάπτυξης δικτύου'!G14,0)</f>
        <v>0.16266960352422907</v>
      </c>
      <c r="F30" s="150">
        <f>IFERROR('Πρόγραμμα ανάπτυξης δικτύου'!H69/'Πρόγραμμα ανάπτυξης δικτύου'!H14,0)</f>
        <v>0.20696261682242992</v>
      </c>
      <c r="G30" s="150">
        <f>IFERROR('Πρόγραμμα ανάπτυξης δικτύου'!I69/'Πρόγραμμα ανάπτυξης δικτύου'!I14,0)</f>
        <v>0.18312068965517242</v>
      </c>
      <c r="H30" s="150">
        <f>IFERROR('Πρόγραμμα ανάπτυξης δικτύου'!J69/'Πρόγραμμα ανάπτυξης δικτύου'!J14,0)</f>
        <v>0.17198181818181818</v>
      </c>
      <c r="I30" s="150">
        <f>IFERROR('Πρόγραμμα ανάπτυξης δικτύου'!K69/'Πρόγραμμα ανάπτυξης δικτύου'!K14,0)</f>
        <v>0.1958940779177992</v>
      </c>
    </row>
    <row r="31" spans="2:10" ht="29" x14ac:dyDescent="0.35">
      <c r="B31" s="10" t="s">
        <v>269</v>
      </c>
      <c r="C31" s="11" t="s">
        <v>259</v>
      </c>
      <c r="D31" s="150">
        <f>IFERROR('Πρόγραμμα ανάπτυξης δικτύου'!F33/'Πρόγραμμα ανάπτυξης δικτύου'!F14,0)</f>
        <v>8.8425396014307614E-2</v>
      </c>
      <c r="E31" s="150">
        <f>IFERROR('Πρόγραμμα ανάπτυξης δικτύου'!G33/'Πρόγραμμα ανάπτυξης δικτύου'!G14,0)</f>
        <v>4.4722643171806173E-2</v>
      </c>
      <c r="F31" s="150">
        <f>IFERROR('Πρόγραμμα ανάπτυξης δικτύου'!H33/'Πρόγραμμα ανάπτυξης δικτύου'!H14,0)</f>
        <v>5.407457943925234E-2</v>
      </c>
      <c r="G31" s="150">
        <f>IFERROR('Πρόγραμμα ανάπτυξης δικτύου'!I33/'Πρόγραμμα ανάπτυξης δικτύου'!I14,0)</f>
        <v>4.5181206896551744E-2</v>
      </c>
      <c r="H31" s="150">
        <f>IFERROR('Πρόγραμμα ανάπτυξης δικτύου'!J33/'Πρόγραμμα ανάπτυξης δικτύου'!J14,0)</f>
        <v>4.2154818181818182E-2</v>
      </c>
      <c r="I31" s="150">
        <f>IFERROR('Πρόγραμμα ανάπτυξης δικτύου'!K33/'Πρόγραμμα ανάπτυξης δικτύου'!K14,0)</f>
        <v>4.9833250967795083E-2</v>
      </c>
    </row>
    <row r="32" spans="2:10" ht="29" x14ac:dyDescent="0.35">
      <c r="B32" s="10" t="s">
        <v>360</v>
      </c>
      <c r="C32" s="11" t="s">
        <v>257</v>
      </c>
      <c r="D32" s="150">
        <f>IFERROR('Πρόγραμμα ανάπτυξης δικτύου'!F98/'Πρόγραμμα ανάπτυξης δικτύου'!F14,0)</f>
        <v>2.6140843127235573</v>
      </c>
      <c r="E32" s="150">
        <f>IFERROR('Πρόγραμμα ανάπτυξης δικτύου'!G98/'Πρόγραμμα ανάπτυξης δικτύου'!G14,0)</f>
        <v>2.634336651982379</v>
      </c>
      <c r="F32" s="150">
        <f>IFERROR('Πρόγραμμα ανάπτυξης δικτύου'!H98/'Πρόγραμμα ανάπτυξης δικτύου'!H14,0)</f>
        <v>4.6932417757009333</v>
      </c>
      <c r="G32" s="150">
        <f>IFERROR('Πρόγραμμα ανάπτυξης δικτύου'!I98/'Πρόγραμμα ανάπτυξης δικτύου'!I14,0)</f>
        <v>6.2223331034482756</v>
      </c>
      <c r="H32" s="150">
        <f>IFERROR('Πρόγραμμα ανάπτυξης δικτύου'!J98/'Πρόγραμμα ανάπτυξης δικτύου'!J14,0)</f>
        <v>8.4093239090909098</v>
      </c>
      <c r="I32" s="150">
        <f>IFERROR('Πρόγραμμα ανάπτυξης δικτύου'!K98/'Πρόγραμμα ανάπτυξης δικτύου'!K14,0)</f>
        <v>5.2514323573017059</v>
      </c>
      <c r="J32" s="131"/>
    </row>
    <row r="33" spans="2:2" x14ac:dyDescent="0.35">
      <c r="B33" s="230" t="s">
        <v>361</v>
      </c>
    </row>
  </sheetData>
  <mergeCells count="5">
    <mergeCell ref="I22:I26"/>
    <mergeCell ref="B19:I19"/>
    <mergeCell ref="C2:H2"/>
    <mergeCell ref="J2:L2"/>
    <mergeCell ref="B5:I5"/>
  </mergeCells>
  <hyperlinks>
    <hyperlink ref="J2" location="'Αρχική σελίδα'!A1" display="Πίσω στην αρχική σελίδα" xr:uid="{8401035D-41D6-462B-B9B4-DDEF21BC9551}"/>
  </hyperlinks>
  <pageMargins left="0.7" right="0.7" top="0.75" bottom="0.75" header="0.3" footer="0.3"/>
  <customProperties>
    <customPr name="_pios_id" r:id="rId1"/>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0E597-B05A-4AEA-9E9E-2BDC62205EAF}">
  <sheetPr codeName="Sheet23">
    <tabColor theme="9" tint="0.79998168889431442"/>
  </sheetPr>
  <dimension ref="B2:P47"/>
  <sheetViews>
    <sheetView showGridLines="0" zoomScale="120" zoomScaleNormal="120" workbookViewId="0">
      <selection activeCell="D15" sqref="D15:H15"/>
    </sheetView>
  </sheetViews>
  <sheetFormatPr defaultColWidth="8.54296875" defaultRowHeight="14.5" x14ac:dyDescent="0.35"/>
  <cols>
    <col min="1" max="1" width="2.54296875" customWidth="1"/>
    <col min="2" max="2" width="45.453125" customWidth="1"/>
    <col min="3" max="8" width="12.453125" customWidth="1"/>
    <col min="15" max="15" width="11.453125" bestFit="1" customWidth="1"/>
  </cols>
  <sheetData>
    <row r="2" spans="2:16" ht="18.5" x14ac:dyDescent="0.45">
      <c r="B2" s="92" t="s">
        <v>0</v>
      </c>
      <c r="C2" s="420">
        <f>'Αρχική σελίδα'!C3</f>
        <v>0</v>
      </c>
      <c r="D2" s="420"/>
      <c r="E2" s="420"/>
      <c r="F2" s="420"/>
      <c r="G2" s="420"/>
      <c r="H2" s="420"/>
      <c r="J2" s="421" t="s">
        <v>58</v>
      </c>
      <c r="K2" s="421"/>
      <c r="L2" s="421"/>
    </row>
    <row r="3" spans="2:16" ht="18.5" x14ac:dyDescent="0.45">
      <c r="B3" s="2" t="s">
        <v>1</v>
      </c>
      <c r="C3" s="46">
        <f>'Αρχική σελίδα'!C4</f>
        <v>2024</v>
      </c>
      <c r="D3" s="46" t="s">
        <v>2</v>
      </c>
      <c r="E3" s="46">
        <f>C3+4</f>
        <v>2028</v>
      </c>
    </row>
    <row r="5" spans="2:16" ht="32.15" customHeight="1" x14ac:dyDescent="0.35">
      <c r="B5" s="422" t="s">
        <v>362</v>
      </c>
      <c r="C5" s="422"/>
      <c r="D5" s="422"/>
      <c r="E5" s="422"/>
      <c r="F5" s="422"/>
      <c r="G5" s="422"/>
      <c r="H5" s="422"/>
      <c r="I5" s="422"/>
    </row>
    <row r="6" spans="2:16" x14ac:dyDescent="0.35">
      <c r="B6" s="226"/>
      <c r="C6" s="226"/>
      <c r="D6" s="226"/>
      <c r="E6" s="226"/>
      <c r="F6" s="226"/>
      <c r="G6" s="226"/>
      <c r="H6" s="226"/>
    </row>
    <row r="7" spans="2:16" x14ac:dyDescent="0.35">
      <c r="B7" s="3" t="s">
        <v>281</v>
      </c>
      <c r="C7" s="53" t="s">
        <v>253</v>
      </c>
      <c r="D7" s="340">
        <f>'Ανάλυση ανά δήμο'!D11</f>
        <v>8.3799999999999999E-2</v>
      </c>
      <c r="E7" s="340">
        <f>'Ανάλυση ανά δήμο'!E11</f>
        <v>8.3799999999999999E-2</v>
      </c>
      <c r="F7" s="340">
        <f>'Ανάλυση ανά δήμο'!F11</f>
        <v>8.3799999999999999E-2</v>
      </c>
      <c r="G7" s="340">
        <f>'Ανάλυση ανά δήμο'!G11</f>
        <v>8.3799999999999999E-2</v>
      </c>
      <c r="H7" s="340">
        <f>'Ανάλυση ανά δήμο'!H11</f>
        <v>8.3799999999999999E-2</v>
      </c>
      <c r="I7" s="17" t="s">
        <v>282</v>
      </c>
    </row>
    <row r="9" spans="2:16" ht="15.5" x14ac:dyDescent="0.35">
      <c r="B9" s="557" t="s">
        <v>363</v>
      </c>
      <c r="C9" s="558"/>
      <c r="D9" s="558"/>
      <c r="E9" s="558"/>
      <c r="F9" s="558"/>
      <c r="G9" s="558"/>
      <c r="H9" s="559"/>
    </row>
    <row r="10" spans="2:16" x14ac:dyDescent="0.35">
      <c r="B10" s="3"/>
      <c r="C10" s="27" t="s">
        <v>134</v>
      </c>
      <c r="D10" s="27">
        <f>$C$3</f>
        <v>2024</v>
      </c>
      <c r="E10" s="27">
        <f>$C$3+1</f>
        <v>2025</v>
      </c>
      <c r="F10" s="27">
        <f>$C$3+2</f>
        <v>2026</v>
      </c>
      <c r="G10" s="27">
        <f>$C$3+3</f>
        <v>2027</v>
      </c>
      <c r="H10" s="27">
        <f>$C$3+4</f>
        <v>2028</v>
      </c>
    </row>
    <row r="11" spans="2:16" x14ac:dyDescent="0.35">
      <c r="B11" s="3" t="s">
        <v>286</v>
      </c>
      <c r="C11" s="38"/>
      <c r="D11" s="21">
        <v>1</v>
      </c>
      <c r="E11" s="21">
        <v>2</v>
      </c>
      <c r="F11" s="21">
        <v>3</v>
      </c>
      <c r="G11" s="21">
        <v>4</v>
      </c>
      <c r="H11" s="21">
        <v>5</v>
      </c>
    </row>
    <row r="12" spans="2:16" x14ac:dyDescent="0.35">
      <c r="B12" s="3" t="s">
        <v>364</v>
      </c>
      <c r="C12" s="34" t="s">
        <v>233</v>
      </c>
      <c r="D12" s="35">
        <v>308508974.98820299</v>
      </c>
      <c r="E12" s="35">
        <v>295237052.12453818</v>
      </c>
      <c r="F12" s="35">
        <v>282879495.26143813</v>
      </c>
      <c r="G12" s="35">
        <v>270984093.39773822</v>
      </c>
      <c r="H12" s="35">
        <v>259858516.53453815</v>
      </c>
    </row>
    <row r="13" spans="2:16" x14ac:dyDescent="0.35">
      <c r="B13" s="3" t="s">
        <v>365</v>
      </c>
      <c r="C13" s="34" t="s">
        <v>233</v>
      </c>
      <c r="D13" s="151">
        <f>D12*$D$7</f>
        <v>25853052.104011409</v>
      </c>
      <c r="E13" s="151">
        <f>E12*$E$7</f>
        <v>24740864.968036301</v>
      </c>
      <c r="F13" s="151">
        <f>F12*$F$7</f>
        <v>23705301.702908516</v>
      </c>
      <c r="G13" s="151">
        <f>G12*$G$7</f>
        <v>22708467.026730463</v>
      </c>
      <c r="H13" s="151">
        <f>H12*$H$7</f>
        <v>21776143.685594298</v>
      </c>
    </row>
    <row r="14" spans="2:16" x14ac:dyDescent="0.35">
      <c r="B14" s="3" t="s">
        <v>366</v>
      </c>
      <c r="C14" s="36" t="s">
        <v>233</v>
      </c>
      <c r="D14" s="35">
        <v>13083495.6652242</v>
      </c>
      <c r="E14" s="35">
        <v>13308929.47008544</v>
      </c>
      <c r="F14" s="35">
        <v>12357556.863418773</v>
      </c>
      <c r="G14" s="35">
        <v>11895401.863418773</v>
      </c>
      <c r="H14" s="35">
        <v>11125576.863418773</v>
      </c>
      <c r="K14" s="39"/>
      <c r="L14" s="39"/>
      <c r="M14" s="39"/>
      <c r="N14" s="39"/>
      <c r="O14" s="39"/>
      <c r="P14" s="39"/>
    </row>
    <row r="15" spans="2:16" x14ac:dyDescent="0.35">
      <c r="B15" s="3" t="s">
        <v>367</v>
      </c>
      <c r="C15" s="29" t="s">
        <v>233</v>
      </c>
      <c r="D15" s="35">
        <v>31632007.917031128</v>
      </c>
      <c r="E15" s="35">
        <v>30305597.528112356</v>
      </c>
      <c r="F15" s="35">
        <v>30664178.176342025</v>
      </c>
      <c r="G15" s="35">
        <v>31257843.582082432</v>
      </c>
      <c r="H15" s="35">
        <v>35179647.096800625</v>
      </c>
    </row>
    <row r="16" spans="2:16" x14ac:dyDescent="0.35">
      <c r="B16" s="3" t="s">
        <v>368</v>
      </c>
      <c r="C16" s="37" t="s">
        <v>233</v>
      </c>
      <c r="D16" s="152">
        <f>SUM(D13:D15)</f>
        <v>70568555.686266735</v>
      </c>
      <c r="E16" s="152">
        <f t="shared" ref="E16:H16" si="0">SUM(E13:E15)</f>
        <v>68355391.966234103</v>
      </c>
      <c r="F16" s="152">
        <f t="shared" si="0"/>
        <v>66727036.742669314</v>
      </c>
      <c r="G16" s="152">
        <f t="shared" si="0"/>
        <v>65861712.472231671</v>
      </c>
      <c r="H16" s="152">
        <f t="shared" si="0"/>
        <v>68081367.645813704</v>
      </c>
    </row>
    <row r="17" spans="2:8" x14ac:dyDescent="0.35">
      <c r="B17" s="3" t="s">
        <v>300</v>
      </c>
      <c r="C17" s="37" t="s">
        <v>233</v>
      </c>
      <c r="D17" s="152">
        <f>D16*1/(1+D7)</f>
        <v>65112156.935104936</v>
      </c>
      <c r="E17" s="152">
        <f>E16*(1/(1+E7)*1/(1+D7))</f>
        <v>58193500.854822837</v>
      </c>
      <c r="F17" s="152">
        <f>F16*(1/(1+F7)*(1/(1+E7)*1/(1+D7)))</f>
        <v>52414856.220701002</v>
      </c>
      <c r="G17" s="152">
        <f>G16*(1/(1+G7)*(1/(1+F7)*(1/(1+E7)*1/(1+D7))))</f>
        <v>47734945.594769821</v>
      </c>
      <c r="H17" s="152">
        <f>H16*(1/(1+H7)*(1/(1+G7)*(1/(1+F7)*(1/(1+E7)*1/(1+D7)))))</f>
        <v>45528415.709765375</v>
      </c>
    </row>
    <row r="18" spans="2:8" x14ac:dyDescent="0.35">
      <c r="B18" s="40" t="s">
        <v>369</v>
      </c>
      <c r="C18" s="41" t="s">
        <v>233</v>
      </c>
      <c r="D18" s="153">
        <f>SUM(D17:H17)</f>
        <v>268983875.31516397</v>
      </c>
      <c r="E18" s="39"/>
      <c r="F18" s="39"/>
      <c r="G18" s="39"/>
      <c r="H18" s="39"/>
    </row>
    <row r="19" spans="2:8" ht="6" customHeight="1" x14ac:dyDescent="0.35">
      <c r="C19" s="33"/>
      <c r="D19" s="33"/>
      <c r="E19" s="33"/>
      <c r="F19" s="33"/>
    </row>
    <row r="20" spans="2:8" x14ac:dyDescent="0.35">
      <c r="B20" s="3" t="s">
        <v>370</v>
      </c>
      <c r="C20" s="37" t="s">
        <v>147</v>
      </c>
      <c r="D20" s="152">
        <f>'Πρόγραμμα ανάπτυξης δικτύου'!F101</f>
        <v>4806058.6999999993</v>
      </c>
      <c r="E20" s="152">
        <f>'Πρόγραμμα ανάπτυξης δικτύου'!G101</f>
        <v>4806058.6999999993</v>
      </c>
      <c r="F20" s="152">
        <f>'Πρόγραμμα ανάπτυξης δικτύου'!H101</f>
        <v>4806058.6999999993</v>
      </c>
      <c r="G20" s="152">
        <f>'Πρόγραμμα ανάπτυξης δικτύου'!I101</f>
        <v>4806058.6999999993</v>
      </c>
      <c r="H20" s="152">
        <f>'Πρόγραμμα ανάπτυξης δικτύου'!J101</f>
        <v>4806058.6999999993</v>
      </c>
    </row>
    <row r="21" spans="2:8" x14ac:dyDescent="0.35">
      <c r="B21" s="40" t="s">
        <v>371</v>
      </c>
      <c r="C21" s="41" t="s">
        <v>147</v>
      </c>
      <c r="D21" s="153">
        <f>SUM(D20:H20)</f>
        <v>24030293.499999996</v>
      </c>
    </row>
    <row r="22" spans="2:8" x14ac:dyDescent="0.35">
      <c r="B22" s="17"/>
    </row>
    <row r="23" spans="2:8" x14ac:dyDescent="0.35">
      <c r="B23" s="3" t="s">
        <v>283</v>
      </c>
      <c r="C23" s="42" t="s">
        <v>264</v>
      </c>
      <c r="D23" s="154">
        <f>IFERROR(D18/D21,0)</f>
        <v>11.193532668053514</v>
      </c>
    </row>
    <row r="24" spans="2:8" x14ac:dyDescent="0.35">
      <c r="D24" s="39"/>
    </row>
    <row r="26" spans="2:8" ht="15.5" x14ac:dyDescent="0.35">
      <c r="B26" s="557" t="s">
        <v>372</v>
      </c>
      <c r="C26" s="558"/>
      <c r="D26" s="558"/>
      <c r="E26" s="558"/>
      <c r="F26" s="558"/>
      <c r="G26" s="558"/>
      <c r="H26" s="559"/>
    </row>
    <row r="27" spans="2:8" x14ac:dyDescent="0.35">
      <c r="B27" s="3"/>
      <c r="C27" s="27" t="s">
        <v>134</v>
      </c>
      <c r="D27" s="27">
        <f>$C$3</f>
        <v>2024</v>
      </c>
      <c r="E27" s="27">
        <f>$C$3+1</f>
        <v>2025</v>
      </c>
      <c r="F27" s="27">
        <f>$C$3+2</f>
        <v>2026</v>
      </c>
      <c r="G27" s="27">
        <f>$C$3+3</f>
        <v>2027</v>
      </c>
      <c r="H27" s="27">
        <f>$C$3+4</f>
        <v>2028</v>
      </c>
    </row>
    <row r="28" spans="2:8" x14ac:dyDescent="0.35">
      <c r="B28" s="3" t="s">
        <v>286</v>
      </c>
      <c r="C28" s="38"/>
      <c r="D28" s="21">
        <v>1</v>
      </c>
      <c r="E28" s="21">
        <v>2</v>
      </c>
      <c r="F28" s="21">
        <v>3</v>
      </c>
      <c r="G28" s="21">
        <v>4</v>
      </c>
      <c r="H28" s="21">
        <v>5</v>
      </c>
    </row>
    <row r="29" spans="2:8" x14ac:dyDescent="0.35">
      <c r="B29" s="3" t="s">
        <v>364</v>
      </c>
      <c r="C29" s="34" t="s">
        <v>233</v>
      </c>
      <c r="D29" s="35">
        <v>332428095.56656986</v>
      </c>
      <c r="E29" s="35">
        <v>359831554.95384383</v>
      </c>
      <c r="F29" s="35">
        <v>376964617.58388865</v>
      </c>
      <c r="G29" s="35">
        <v>389079271.20760101</v>
      </c>
      <c r="H29" s="35">
        <v>392880380.12071389</v>
      </c>
    </row>
    <row r="30" spans="2:8" x14ac:dyDescent="0.35">
      <c r="B30" s="3" t="s">
        <v>365</v>
      </c>
      <c r="C30" s="34" t="s">
        <v>233</v>
      </c>
      <c r="D30" s="151">
        <f>D29*$D$7</f>
        <v>27857474.408478554</v>
      </c>
      <c r="E30" s="151">
        <f t="shared" ref="E30" si="1">E29*$D$7</f>
        <v>30153884.305132113</v>
      </c>
      <c r="F30" s="151">
        <f t="shared" ref="F30" si="2">F29*$D$7</f>
        <v>31589634.953529868</v>
      </c>
      <c r="G30" s="151">
        <f t="shared" ref="G30" si="3">G29*$D$7</f>
        <v>32604842.927196965</v>
      </c>
      <c r="H30" s="151">
        <f t="shared" ref="H30" si="4">H29*$D$7</f>
        <v>32923375.854115825</v>
      </c>
    </row>
    <row r="31" spans="2:8" x14ac:dyDescent="0.35">
      <c r="B31" s="3" t="s">
        <v>373</v>
      </c>
      <c r="C31" s="36" t="s">
        <v>233</v>
      </c>
      <c r="D31" s="35">
        <v>14073900.958647121</v>
      </c>
      <c r="E31" s="35">
        <v>15616634.677044183</v>
      </c>
      <c r="F31" s="35">
        <v>17460294.401132848</v>
      </c>
      <c r="G31" s="35">
        <v>19080138.162391923</v>
      </c>
      <c r="H31" s="35">
        <v>19916887.863163032</v>
      </c>
    </row>
    <row r="32" spans="2:8" x14ac:dyDescent="0.35">
      <c r="B32" s="3" t="s">
        <v>367</v>
      </c>
      <c r="C32" s="29" t="s">
        <v>233</v>
      </c>
      <c r="D32" s="35">
        <v>31731878.474621337</v>
      </c>
      <c r="E32" s="35">
        <v>30602150.095462918</v>
      </c>
      <c r="F32" s="35">
        <v>31163910.305249214</v>
      </c>
      <c r="G32" s="35">
        <v>31977190.701462798</v>
      </c>
      <c r="H32" s="35">
        <v>36102228</v>
      </c>
    </row>
    <row r="33" spans="2:8" x14ac:dyDescent="0.35">
      <c r="B33" s="3" t="s">
        <v>368</v>
      </c>
      <c r="C33" s="37" t="s">
        <v>233</v>
      </c>
      <c r="D33" s="152">
        <f>SUM(D30:D32)</f>
        <v>73663253.841747016</v>
      </c>
      <c r="E33" s="152">
        <f>SUM(E30:E32)</f>
        <v>76372669.077639222</v>
      </c>
      <c r="F33" s="152">
        <f>SUM(F30:F32)</f>
        <v>80213839.659911931</v>
      </c>
      <c r="G33" s="152">
        <f>SUM(G30:G32)</f>
        <v>83662171.791051686</v>
      </c>
      <c r="H33" s="152">
        <f>SUM(H30:H32)</f>
        <v>88942491.717278853</v>
      </c>
    </row>
    <row r="34" spans="2:8" x14ac:dyDescent="0.35">
      <c r="B34" s="3" t="s">
        <v>300</v>
      </c>
      <c r="C34" s="37" t="s">
        <v>233</v>
      </c>
      <c r="D34" s="152">
        <f>D33*1/(1+D7)</f>
        <v>67967571.361641452</v>
      </c>
      <c r="E34" s="152">
        <f>E33*(1/(1+E7)*1/(1+D7))</f>
        <v>65018908.610020429</v>
      </c>
      <c r="F34" s="152">
        <f>F33*(1/(1+F7)*(1/(1+E7)*1/(1+D7)))</f>
        <v>63008895.313286118</v>
      </c>
      <c r="G34" s="152">
        <f>G33*(1/(1+G7)*(1/(1+F7)*(1/(1+E7)*1/(1+D7))))</f>
        <v>60636279.696946949</v>
      </c>
      <c r="H34" s="152">
        <f>H33*(1/(1+H7)*(1/(1+G7)*(1/(1+F7)*(1/(1+E7)*1/(1+D7)))))</f>
        <v>59478986.353994489</v>
      </c>
    </row>
    <row r="35" spans="2:8" x14ac:dyDescent="0.35">
      <c r="B35" s="40" t="s">
        <v>369</v>
      </c>
      <c r="C35" s="41" t="s">
        <v>233</v>
      </c>
      <c r="D35" s="153">
        <f>SUM(D34:H34)</f>
        <v>316110641.33588946</v>
      </c>
      <c r="E35" s="39"/>
      <c r="F35" s="39"/>
      <c r="G35" s="39"/>
      <c r="H35" s="39"/>
    </row>
    <row r="36" spans="2:8" x14ac:dyDescent="0.35">
      <c r="B36" s="17" t="s">
        <v>374</v>
      </c>
      <c r="C36" s="43"/>
      <c r="D36" s="44"/>
      <c r="E36" s="39"/>
      <c r="F36" s="39"/>
      <c r="G36" s="39"/>
      <c r="H36" s="39"/>
    </row>
    <row r="37" spans="2:8" x14ac:dyDescent="0.35">
      <c r="B37" s="17" t="s">
        <v>375</v>
      </c>
      <c r="C37" s="33"/>
      <c r="D37" s="33"/>
      <c r="E37" s="33"/>
      <c r="F37" s="33"/>
    </row>
    <row r="38" spans="2:8" x14ac:dyDescent="0.35">
      <c r="C38" s="33"/>
      <c r="D38" s="33"/>
      <c r="E38" s="33"/>
      <c r="F38" s="33"/>
    </row>
    <row r="39" spans="2:8" x14ac:dyDescent="0.35">
      <c r="B39" s="3" t="s">
        <v>370</v>
      </c>
      <c r="C39" s="37" t="s">
        <v>147</v>
      </c>
      <c r="D39" s="152">
        <f>'Πρόγραμμα ανάπτυξης δικτύου'!F102</f>
        <v>4908373.959999999</v>
      </c>
      <c r="E39" s="152">
        <f>'Πρόγραμμα ανάπτυξης δικτύου'!G102</f>
        <v>5105055.9099999983</v>
      </c>
      <c r="F39" s="152">
        <f>'Πρόγραμμα ανάπτυξης δικτύου'!H102</f>
        <v>5308235.5699999994</v>
      </c>
      <c r="G39" s="152">
        <f>'Πρόγραμμα ανάπτυξης δικτύου'!I102</f>
        <v>5527849.3399999989</v>
      </c>
      <c r="H39" s="152">
        <f>'Πρόγραμμα ανάπτυξης δικτύου'!J102</f>
        <v>5731084.3299999991</v>
      </c>
    </row>
    <row r="40" spans="2:8" x14ac:dyDescent="0.35">
      <c r="B40" s="40" t="s">
        <v>371</v>
      </c>
      <c r="C40" s="41" t="s">
        <v>147</v>
      </c>
      <c r="D40" s="153">
        <f>SUM(D39:H39)</f>
        <v>26580599.109999996</v>
      </c>
    </row>
    <row r="41" spans="2:8" x14ac:dyDescent="0.35">
      <c r="B41" s="17"/>
    </row>
    <row r="42" spans="2:8" x14ac:dyDescent="0.35">
      <c r="B42" s="3" t="s">
        <v>283</v>
      </c>
      <c r="C42" s="42" t="s">
        <v>264</v>
      </c>
      <c r="D42" s="154">
        <f>IFERROR(D35/D40,0)</f>
        <v>11.892532595962601</v>
      </c>
    </row>
    <row r="45" spans="2:8" ht="15.5" x14ac:dyDescent="0.35">
      <c r="B45" s="557" t="s">
        <v>376</v>
      </c>
      <c r="C45" s="558"/>
      <c r="D45" s="558"/>
      <c r="E45" s="558"/>
      <c r="F45" s="558"/>
      <c r="G45" s="558"/>
      <c r="H45" s="559"/>
    </row>
    <row r="47" spans="2:8" x14ac:dyDescent="0.35">
      <c r="B47" s="40" t="s">
        <v>377</v>
      </c>
      <c r="C47" s="403">
        <f>IFERROR(D42/D23-1,0)</f>
        <v>6.244676713224262E-2</v>
      </c>
    </row>
  </sheetData>
  <mergeCells count="6">
    <mergeCell ref="B45:H45"/>
    <mergeCell ref="C2:H2"/>
    <mergeCell ref="B9:H9"/>
    <mergeCell ref="B26:H26"/>
    <mergeCell ref="J2:L2"/>
    <mergeCell ref="B5:I5"/>
  </mergeCells>
  <conditionalFormatting sqref="C47">
    <cfRule type="cellIs" dxfId="1" priority="1" operator="greaterThan">
      <formula>0</formula>
    </cfRule>
    <cfRule type="cellIs" dxfId="0" priority="2" operator="lessThanOrEqual">
      <formula>0</formula>
    </cfRule>
  </conditionalFormatting>
  <hyperlinks>
    <hyperlink ref="J2" location="'Αρχική σελίδα'!A1" display="Πίσω στην αρχική σελίδα" xr:uid="{01C4E3ED-FDFD-4EEB-99C1-5897737C5AB6}"/>
  </hyperlinks>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82AA5-0203-4F47-BADC-923A42040B79}">
  <sheetPr codeName="Sheet3" filterMode="1">
    <tabColor theme="4" tint="0.79998168889431442"/>
  </sheetPr>
  <dimension ref="B2:AK66"/>
  <sheetViews>
    <sheetView showGridLines="0" workbookViewId="0">
      <selection activeCell="E11" sqref="E11"/>
    </sheetView>
  </sheetViews>
  <sheetFormatPr defaultColWidth="8.54296875" defaultRowHeight="14.5" x14ac:dyDescent="0.35"/>
  <cols>
    <col min="1" max="1" width="2.54296875" customWidth="1"/>
    <col min="2" max="2" width="28.453125" customWidth="1"/>
    <col min="3" max="3" width="19.453125" customWidth="1"/>
    <col min="4" max="4" width="23" customWidth="1"/>
    <col min="5" max="5" width="48.1796875" bestFit="1" customWidth="1"/>
    <col min="6" max="6" width="37.453125" bestFit="1" customWidth="1"/>
    <col min="7" max="7" width="13.453125" customWidth="1"/>
    <col min="14" max="14" width="8.54296875" style="234"/>
  </cols>
  <sheetData>
    <row r="2" spans="2:37" ht="18.5" x14ac:dyDescent="0.45">
      <c r="B2" s="1" t="s">
        <v>0</v>
      </c>
      <c r="C2" s="420">
        <f>'Αρχική σελίδα'!C3</f>
        <v>0</v>
      </c>
      <c r="D2" s="420"/>
      <c r="E2" s="420"/>
      <c r="F2" s="420"/>
      <c r="G2" s="420"/>
      <c r="H2" s="420"/>
      <c r="J2" s="421" t="s">
        <v>58</v>
      </c>
      <c r="K2" s="421"/>
      <c r="L2" s="421"/>
    </row>
    <row r="3" spans="2:37" ht="18.5" x14ac:dyDescent="0.45">
      <c r="B3" s="2" t="s">
        <v>1</v>
      </c>
      <c r="C3" s="99">
        <f>'Αρχική σελίδα'!C4</f>
        <v>2024</v>
      </c>
      <c r="D3" s="46" t="s">
        <v>2</v>
      </c>
      <c r="E3" s="46">
        <f>C3+4</f>
        <v>2028</v>
      </c>
      <c r="M3" s="125" t="s">
        <v>59</v>
      </c>
      <c r="N3" s="236" t="s">
        <v>60</v>
      </c>
      <c r="O3" s="125"/>
    </row>
    <row r="4" spans="2:37" x14ac:dyDescent="0.35">
      <c r="M4" s="125" t="s">
        <v>61</v>
      </c>
      <c r="N4" s="236" t="s">
        <v>62</v>
      </c>
      <c r="O4" s="125"/>
    </row>
    <row r="5" spans="2:37" ht="32.9" customHeight="1" x14ac:dyDescent="0.35">
      <c r="B5" s="422" t="s">
        <v>63</v>
      </c>
      <c r="C5" s="422"/>
      <c r="D5" s="422"/>
      <c r="E5" s="422"/>
      <c r="F5" s="422"/>
      <c r="G5" s="422"/>
      <c r="H5" s="422"/>
      <c r="N5" s="236" t="s">
        <v>64</v>
      </c>
    </row>
    <row r="6" spans="2:37" x14ac:dyDescent="0.35">
      <c r="M6" s="125"/>
      <c r="N6" s="236" t="s">
        <v>65</v>
      </c>
      <c r="O6" s="125"/>
    </row>
    <row r="7" spans="2:37" ht="18.5" x14ac:dyDescent="0.45">
      <c r="B7" s="100" t="s">
        <v>66</v>
      </c>
      <c r="C7" s="101"/>
      <c r="D7" s="101"/>
      <c r="E7" s="101"/>
      <c r="F7" s="101"/>
      <c r="G7" s="54"/>
      <c r="H7" s="54"/>
      <c r="I7" s="54"/>
      <c r="J7" s="23"/>
      <c r="M7" s="125"/>
      <c r="N7" s="236" t="s">
        <v>67</v>
      </c>
      <c r="O7" s="125"/>
    </row>
    <row r="8" spans="2:37" x14ac:dyDescent="0.35">
      <c r="M8" s="125"/>
      <c r="N8" s="236" t="s">
        <v>68</v>
      </c>
      <c r="O8" s="125"/>
    </row>
    <row r="9" spans="2:37" ht="15.5" x14ac:dyDescent="0.35">
      <c r="B9" s="419" t="s">
        <v>69</v>
      </c>
      <c r="C9" s="419"/>
      <c r="D9" s="419"/>
      <c r="E9" s="419"/>
      <c r="F9" s="419"/>
      <c r="M9" s="125"/>
      <c r="O9" s="125"/>
    </row>
    <row r="10" spans="2:37" ht="5.9" customHeight="1" x14ac:dyDescent="0.35">
      <c r="B10" s="103"/>
      <c r="C10" s="103"/>
      <c r="D10" s="103"/>
      <c r="E10" s="103"/>
      <c r="F10" s="103"/>
      <c r="G10" s="103"/>
      <c r="H10" s="103"/>
      <c r="I10" s="103"/>
      <c r="J10" s="103"/>
      <c r="K10" s="103"/>
      <c r="L10" s="103"/>
      <c r="M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row>
    <row r="11" spans="2:37" ht="29" x14ac:dyDescent="0.35">
      <c r="B11" s="74"/>
      <c r="C11" s="132" t="s">
        <v>70</v>
      </c>
      <c r="D11" s="28" t="s">
        <v>71</v>
      </c>
      <c r="E11" s="47" t="s">
        <v>72</v>
      </c>
      <c r="F11" s="47" t="s">
        <v>73</v>
      </c>
    </row>
    <row r="12" spans="2:37" x14ac:dyDescent="0.35">
      <c r="B12" s="48" t="s">
        <v>74</v>
      </c>
      <c r="C12" s="123" t="s">
        <v>59</v>
      </c>
      <c r="D12" s="123" t="s">
        <v>59</v>
      </c>
      <c r="E12" s="123" t="s">
        <v>62</v>
      </c>
      <c r="F12" s="123"/>
    </row>
    <row r="13" spans="2:37" x14ac:dyDescent="0.35">
      <c r="B13" s="48" t="s">
        <v>75</v>
      </c>
      <c r="C13" s="123" t="s">
        <v>59</v>
      </c>
      <c r="D13" s="123" t="s">
        <v>59</v>
      </c>
      <c r="E13" s="123" t="s">
        <v>62</v>
      </c>
      <c r="F13" s="123"/>
    </row>
    <row r="14" spans="2:37" x14ac:dyDescent="0.35">
      <c r="B14" s="48" t="s">
        <v>76</v>
      </c>
      <c r="C14" s="123" t="s">
        <v>59</v>
      </c>
      <c r="D14" s="123" t="s">
        <v>59</v>
      </c>
      <c r="E14" s="123" t="s">
        <v>62</v>
      </c>
      <c r="F14" s="123"/>
    </row>
    <row r="15" spans="2:37" x14ac:dyDescent="0.35">
      <c r="B15" s="48" t="s">
        <v>77</v>
      </c>
      <c r="C15" s="123" t="s">
        <v>59</v>
      </c>
      <c r="D15" s="123" t="s">
        <v>59</v>
      </c>
      <c r="E15" s="123" t="s">
        <v>62</v>
      </c>
      <c r="F15" s="123"/>
    </row>
    <row r="16" spans="2:37" x14ac:dyDescent="0.35">
      <c r="B16" s="48" t="s">
        <v>78</v>
      </c>
      <c r="C16" s="123" t="s">
        <v>59</v>
      </c>
      <c r="D16" s="123" t="s">
        <v>59</v>
      </c>
      <c r="E16" s="123" t="s">
        <v>62</v>
      </c>
      <c r="F16" s="123"/>
    </row>
    <row r="17" spans="2:6" x14ac:dyDescent="0.35">
      <c r="B17" s="48" t="s">
        <v>79</v>
      </c>
      <c r="C17" s="123" t="s">
        <v>59</v>
      </c>
      <c r="D17" s="123" t="s">
        <v>59</v>
      </c>
      <c r="E17" s="123" t="s">
        <v>62</v>
      </c>
      <c r="F17" s="123"/>
    </row>
    <row r="18" spans="2:6" x14ac:dyDescent="0.35">
      <c r="B18" s="48" t="s">
        <v>80</v>
      </c>
      <c r="C18" s="123" t="s">
        <v>59</v>
      </c>
      <c r="D18" s="123" t="s">
        <v>59</v>
      </c>
      <c r="E18" s="123" t="s">
        <v>62</v>
      </c>
      <c r="F18" s="123"/>
    </row>
    <row r="19" spans="2:6" x14ac:dyDescent="0.35">
      <c r="B19" s="48" t="s">
        <v>81</v>
      </c>
      <c r="C19" s="123" t="s">
        <v>59</v>
      </c>
      <c r="D19" s="123" t="s">
        <v>59</v>
      </c>
      <c r="E19" s="123" t="s">
        <v>62</v>
      </c>
      <c r="F19" s="123"/>
    </row>
    <row r="20" spans="2:6" x14ac:dyDescent="0.35">
      <c r="B20" s="48" t="s">
        <v>82</v>
      </c>
      <c r="C20" s="123" t="s">
        <v>59</v>
      </c>
      <c r="D20" s="123" t="s">
        <v>61</v>
      </c>
      <c r="E20" s="123" t="s">
        <v>62</v>
      </c>
      <c r="F20" s="123"/>
    </row>
    <row r="21" spans="2:6" x14ac:dyDescent="0.35">
      <c r="B21" s="48" t="s">
        <v>83</v>
      </c>
      <c r="C21" s="123" t="s">
        <v>59</v>
      </c>
      <c r="D21" s="123" t="s">
        <v>59</v>
      </c>
      <c r="E21" s="123" t="s">
        <v>62</v>
      </c>
      <c r="F21" s="123"/>
    </row>
    <row r="22" spans="2:6" x14ac:dyDescent="0.35">
      <c r="B22" s="48" t="s">
        <v>84</v>
      </c>
      <c r="C22" s="123" t="s">
        <v>59</v>
      </c>
      <c r="D22" s="123" t="s">
        <v>59</v>
      </c>
      <c r="E22" s="123" t="s">
        <v>62</v>
      </c>
      <c r="F22" s="123"/>
    </row>
    <row r="23" spans="2:6" x14ac:dyDescent="0.35">
      <c r="B23" s="48" t="s">
        <v>85</v>
      </c>
      <c r="C23" s="123" t="s">
        <v>59</v>
      </c>
      <c r="D23" s="123" t="s">
        <v>59</v>
      </c>
      <c r="E23" s="123" t="s">
        <v>62</v>
      </c>
      <c r="F23" s="123"/>
    </row>
    <row r="24" spans="2:6" x14ac:dyDescent="0.35">
      <c r="B24" s="48" t="s">
        <v>86</v>
      </c>
      <c r="C24" s="123" t="s">
        <v>59</v>
      </c>
      <c r="D24" s="123" t="s">
        <v>59</v>
      </c>
      <c r="E24" s="123" t="s">
        <v>62</v>
      </c>
      <c r="F24" s="123"/>
    </row>
    <row r="25" spans="2:6" x14ac:dyDescent="0.35">
      <c r="B25" s="48" t="s">
        <v>87</v>
      </c>
      <c r="C25" s="123" t="s">
        <v>59</v>
      </c>
      <c r="D25" s="123" t="s">
        <v>59</v>
      </c>
      <c r="E25" s="123" t="s">
        <v>62</v>
      </c>
      <c r="F25" s="123"/>
    </row>
    <row r="26" spans="2:6" x14ac:dyDescent="0.35">
      <c r="B26" s="48" t="s">
        <v>88</v>
      </c>
      <c r="C26" s="123" t="s">
        <v>59</v>
      </c>
      <c r="D26" s="123" t="s">
        <v>59</v>
      </c>
      <c r="E26" s="123" t="s">
        <v>62</v>
      </c>
      <c r="F26" s="123"/>
    </row>
    <row r="27" spans="2:6" x14ac:dyDescent="0.35">
      <c r="B27" s="48" t="s">
        <v>89</v>
      </c>
      <c r="C27" s="123" t="s">
        <v>59</v>
      </c>
      <c r="D27" s="123" t="s">
        <v>59</v>
      </c>
      <c r="E27" s="123" t="s">
        <v>62</v>
      </c>
      <c r="F27" s="123"/>
    </row>
    <row r="28" spans="2:6" x14ac:dyDescent="0.35">
      <c r="B28" s="48" t="s">
        <v>90</v>
      </c>
      <c r="C28" s="123" t="s">
        <v>59</v>
      </c>
      <c r="D28" s="123" t="s">
        <v>59</v>
      </c>
      <c r="E28" s="123" t="s">
        <v>62</v>
      </c>
      <c r="F28" s="123"/>
    </row>
    <row r="29" spans="2:6" x14ac:dyDescent="0.35">
      <c r="B29" s="294" t="s">
        <v>91</v>
      </c>
      <c r="C29" s="123" t="s">
        <v>59</v>
      </c>
      <c r="D29" s="123" t="s">
        <v>59</v>
      </c>
      <c r="E29" s="123" t="s">
        <v>62</v>
      </c>
      <c r="F29" s="123"/>
    </row>
    <row r="30" spans="2:6" x14ac:dyDescent="0.35">
      <c r="B30" s="294" t="s">
        <v>92</v>
      </c>
      <c r="C30" s="123" t="s">
        <v>59</v>
      </c>
      <c r="D30" s="123" t="s">
        <v>59</v>
      </c>
      <c r="E30" s="123" t="s">
        <v>62</v>
      </c>
      <c r="F30" s="123"/>
    </row>
    <row r="31" spans="2:6" x14ac:dyDescent="0.35">
      <c r="B31" s="294" t="s">
        <v>93</v>
      </c>
      <c r="C31" s="123" t="s">
        <v>59</v>
      </c>
      <c r="D31" s="123" t="s">
        <v>59</v>
      </c>
      <c r="E31" s="123" t="s">
        <v>62</v>
      </c>
      <c r="F31" s="123"/>
    </row>
    <row r="32" spans="2:6" x14ac:dyDescent="0.35">
      <c r="B32" s="294" t="s">
        <v>94</v>
      </c>
      <c r="C32" s="123" t="s">
        <v>59</v>
      </c>
      <c r="D32" s="123" t="s">
        <v>59</v>
      </c>
      <c r="E32" s="123" t="s">
        <v>62</v>
      </c>
      <c r="F32" s="123"/>
    </row>
    <row r="33" spans="2:6" x14ac:dyDescent="0.35">
      <c r="B33" s="294" t="s">
        <v>95</v>
      </c>
      <c r="C33" s="123" t="s">
        <v>59</v>
      </c>
      <c r="D33" s="123" t="s">
        <v>59</v>
      </c>
      <c r="E33" s="123" t="s">
        <v>62</v>
      </c>
      <c r="F33" s="123"/>
    </row>
    <row r="34" spans="2:6" x14ac:dyDescent="0.35">
      <c r="B34" s="294" t="s">
        <v>96</v>
      </c>
      <c r="C34" s="123" t="s">
        <v>59</v>
      </c>
      <c r="D34" s="123" t="s">
        <v>59</v>
      </c>
      <c r="E34" s="123" t="s">
        <v>62</v>
      </c>
      <c r="F34" s="123"/>
    </row>
    <row r="35" spans="2:6" x14ac:dyDescent="0.35">
      <c r="B35" s="294" t="s">
        <v>97</v>
      </c>
      <c r="C35" s="123" t="s">
        <v>59</v>
      </c>
      <c r="D35" s="123" t="s">
        <v>59</v>
      </c>
      <c r="E35" s="123" t="s">
        <v>62</v>
      </c>
      <c r="F35" s="123"/>
    </row>
    <row r="36" spans="2:6" x14ac:dyDescent="0.35">
      <c r="B36" s="294" t="s">
        <v>98</v>
      </c>
      <c r="C36" s="123" t="s">
        <v>59</v>
      </c>
      <c r="D36" s="123" t="s">
        <v>59</v>
      </c>
      <c r="E36" s="123" t="s">
        <v>62</v>
      </c>
      <c r="F36" s="123"/>
    </row>
    <row r="37" spans="2:6" x14ac:dyDescent="0.35">
      <c r="B37" s="294" t="s">
        <v>99</v>
      </c>
      <c r="C37" s="123" t="s">
        <v>59</v>
      </c>
      <c r="D37" s="123" t="s">
        <v>59</v>
      </c>
      <c r="E37" s="123" t="s">
        <v>62</v>
      </c>
      <c r="F37" s="123"/>
    </row>
    <row r="38" spans="2:6" x14ac:dyDescent="0.35">
      <c r="B38" s="294" t="s">
        <v>100</v>
      </c>
      <c r="C38" s="123" t="s">
        <v>59</v>
      </c>
      <c r="D38" s="123" t="s">
        <v>59</v>
      </c>
      <c r="E38" s="123" t="s">
        <v>62</v>
      </c>
      <c r="F38" s="123"/>
    </row>
    <row r="39" spans="2:6" x14ac:dyDescent="0.35">
      <c r="B39" s="294" t="s">
        <v>101</v>
      </c>
      <c r="C39" s="123" t="s">
        <v>59</v>
      </c>
      <c r="D39" s="123" t="s">
        <v>61</v>
      </c>
      <c r="E39" s="123" t="s">
        <v>62</v>
      </c>
      <c r="F39" s="123"/>
    </row>
    <row r="40" spans="2:6" x14ac:dyDescent="0.35">
      <c r="B40" s="294" t="s">
        <v>102</v>
      </c>
      <c r="C40" s="123" t="s">
        <v>59</v>
      </c>
      <c r="D40" s="123" t="s">
        <v>59</v>
      </c>
      <c r="E40" s="123" t="s">
        <v>62</v>
      </c>
      <c r="F40" s="123"/>
    </row>
    <row r="41" spans="2:6" x14ac:dyDescent="0.35">
      <c r="B41" s="294" t="s">
        <v>103</v>
      </c>
      <c r="C41" s="123" t="s">
        <v>59</v>
      </c>
      <c r="D41" s="123" t="s">
        <v>61</v>
      </c>
      <c r="E41" s="123" t="s">
        <v>62</v>
      </c>
      <c r="F41" s="123"/>
    </row>
    <row r="42" spans="2:6" x14ac:dyDescent="0.35">
      <c r="B42" s="294" t="s">
        <v>104</v>
      </c>
      <c r="C42" s="123" t="s">
        <v>59</v>
      </c>
      <c r="D42" s="123" t="s">
        <v>59</v>
      </c>
      <c r="E42" s="123" t="s">
        <v>62</v>
      </c>
      <c r="F42" s="123"/>
    </row>
    <row r="43" spans="2:6" x14ac:dyDescent="0.35">
      <c r="B43" s="294" t="s">
        <v>105</v>
      </c>
      <c r="C43" s="123" t="s">
        <v>61</v>
      </c>
      <c r="D43" s="123" t="s">
        <v>59</v>
      </c>
      <c r="E43" s="123" t="s">
        <v>62</v>
      </c>
      <c r="F43" s="123"/>
    </row>
    <row r="44" spans="2:6" x14ac:dyDescent="0.35">
      <c r="B44" s="294" t="s">
        <v>106</v>
      </c>
      <c r="C44" s="123" t="s">
        <v>59</v>
      </c>
      <c r="D44" s="123" t="s">
        <v>59</v>
      </c>
      <c r="E44" s="123" t="s">
        <v>62</v>
      </c>
      <c r="F44" s="123"/>
    </row>
    <row r="45" spans="2:6" x14ac:dyDescent="0.35">
      <c r="B45" s="294" t="s">
        <v>107</v>
      </c>
      <c r="C45" s="123" t="s">
        <v>59</v>
      </c>
      <c r="D45" s="123" t="s">
        <v>59</v>
      </c>
      <c r="E45" s="123" t="s">
        <v>62</v>
      </c>
      <c r="F45" s="123"/>
    </row>
    <row r="46" spans="2:6" x14ac:dyDescent="0.35">
      <c r="B46" s="294" t="s">
        <v>108</v>
      </c>
      <c r="C46" s="123" t="s">
        <v>59</v>
      </c>
      <c r="D46" s="123" t="s">
        <v>59</v>
      </c>
      <c r="E46" s="123" t="s">
        <v>62</v>
      </c>
      <c r="F46" s="123"/>
    </row>
    <row r="47" spans="2:6" x14ac:dyDescent="0.35">
      <c r="B47" s="294" t="s">
        <v>109</v>
      </c>
      <c r="C47" s="123" t="s">
        <v>59</v>
      </c>
      <c r="D47" s="123" t="s">
        <v>59</v>
      </c>
      <c r="E47" s="123" t="s">
        <v>62</v>
      </c>
      <c r="F47" s="123"/>
    </row>
    <row r="48" spans="2:6" x14ac:dyDescent="0.35">
      <c r="B48" s="294" t="s">
        <v>110</v>
      </c>
      <c r="C48" s="123" t="s">
        <v>59</v>
      </c>
      <c r="D48" s="123" t="s">
        <v>59</v>
      </c>
      <c r="E48" s="123" t="s">
        <v>62</v>
      </c>
      <c r="F48" s="123"/>
    </row>
    <row r="49" spans="2:14" x14ac:dyDescent="0.35">
      <c r="B49" s="294" t="s">
        <v>111</v>
      </c>
      <c r="C49" s="123" t="s">
        <v>59</v>
      </c>
      <c r="D49" s="123" t="s">
        <v>59</v>
      </c>
      <c r="E49" s="123" t="s">
        <v>62</v>
      </c>
      <c r="F49" s="123"/>
    </row>
    <row r="50" spans="2:14" x14ac:dyDescent="0.35">
      <c r="B50" s="294" t="s">
        <v>112</v>
      </c>
      <c r="C50" s="123" t="s">
        <v>59</v>
      </c>
      <c r="D50" s="123" t="s">
        <v>59</v>
      </c>
      <c r="E50" s="123" t="s">
        <v>62</v>
      </c>
      <c r="F50" s="123"/>
    </row>
    <row r="51" spans="2:14" x14ac:dyDescent="0.35">
      <c r="B51" s="294" t="s">
        <v>113</v>
      </c>
      <c r="C51" s="123" t="s">
        <v>59</v>
      </c>
      <c r="D51" s="123" t="s">
        <v>61</v>
      </c>
      <c r="E51" s="123" t="s">
        <v>62</v>
      </c>
      <c r="F51" s="123"/>
    </row>
    <row r="52" spans="2:14" x14ac:dyDescent="0.35">
      <c r="B52" s="294" t="s">
        <v>114</v>
      </c>
      <c r="C52" s="123" t="s">
        <v>59</v>
      </c>
      <c r="D52" s="123" t="s">
        <v>61</v>
      </c>
      <c r="E52" s="123" t="s">
        <v>62</v>
      </c>
      <c r="F52" s="123"/>
    </row>
    <row r="53" spans="2:14" x14ac:dyDescent="0.35">
      <c r="B53" s="294" t="s">
        <v>115</v>
      </c>
      <c r="C53" s="123" t="s">
        <v>59</v>
      </c>
      <c r="D53" s="123" t="s">
        <v>59</v>
      </c>
      <c r="E53" s="123" t="s">
        <v>62</v>
      </c>
      <c r="F53" s="123"/>
    </row>
    <row r="54" spans="2:14" x14ac:dyDescent="0.35">
      <c r="B54" s="294" t="s">
        <v>116</v>
      </c>
      <c r="C54" s="123" t="s">
        <v>59</v>
      </c>
      <c r="D54" s="123" t="s">
        <v>61</v>
      </c>
      <c r="E54" s="123" t="s">
        <v>62</v>
      </c>
      <c r="F54" s="123"/>
    </row>
    <row r="55" spans="2:14" x14ac:dyDescent="0.35">
      <c r="B55" s="294" t="s">
        <v>117</v>
      </c>
      <c r="C55" s="123" t="s">
        <v>59</v>
      </c>
      <c r="D55" s="123" t="s">
        <v>59</v>
      </c>
      <c r="E55" s="123" t="s">
        <v>62</v>
      </c>
      <c r="F55" s="123"/>
    </row>
    <row r="56" spans="2:14" x14ac:dyDescent="0.35">
      <c r="B56" s="294" t="s">
        <v>118</v>
      </c>
      <c r="C56" s="123" t="s">
        <v>59</v>
      </c>
      <c r="D56" s="123" t="s">
        <v>59</v>
      </c>
      <c r="E56" s="123" t="s">
        <v>62</v>
      </c>
      <c r="F56" s="123"/>
    </row>
    <row r="57" spans="2:14" x14ac:dyDescent="0.35">
      <c r="B57" s="294" t="s">
        <v>119</v>
      </c>
      <c r="C57" s="123" t="s">
        <v>59</v>
      </c>
      <c r="D57" s="123" t="s">
        <v>61</v>
      </c>
      <c r="E57" s="123" t="s">
        <v>62</v>
      </c>
      <c r="F57" s="123"/>
    </row>
    <row r="58" spans="2:14" x14ac:dyDescent="0.35">
      <c r="B58" s="294" t="s">
        <v>120</v>
      </c>
      <c r="C58" s="123" t="s">
        <v>59</v>
      </c>
      <c r="D58" s="123" t="s">
        <v>59</v>
      </c>
      <c r="E58" s="123" t="s">
        <v>62</v>
      </c>
      <c r="F58" s="123"/>
    </row>
    <row r="59" spans="2:14" x14ac:dyDescent="0.35">
      <c r="B59" s="294" t="s">
        <v>121</v>
      </c>
      <c r="C59" s="123" t="s">
        <v>59</v>
      </c>
      <c r="D59" s="123" t="s">
        <v>59</v>
      </c>
      <c r="E59" s="123" t="s">
        <v>62</v>
      </c>
      <c r="F59" s="123"/>
    </row>
    <row r="60" spans="2:14" x14ac:dyDescent="0.35">
      <c r="B60" s="294" t="s">
        <v>122</v>
      </c>
      <c r="C60" s="123" t="s">
        <v>61</v>
      </c>
      <c r="D60" s="123" t="s">
        <v>61</v>
      </c>
      <c r="E60" s="123"/>
      <c r="F60" s="123"/>
    </row>
    <row r="61" spans="2:14" x14ac:dyDescent="0.35">
      <c r="B61" s="294" t="s">
        <v>123</v>
      </c>
      <c r="C61" s="123" t="s">
        <v>59</v>
      </c>
      <c r="D61" s="123" t="s">
        <v>59</v>
      </c>
      <c r="E61" s="123" t="s">
        <v>62</v>
      </c>
      <c r="F61" s="123"/>
    </row>
    <row r="62" spans="2:14" x14ac:dyDescent="0.35">
      <c r="B62" s="294" t="s">
        <v>124</v>
      </c>
      <c r="C62" s="123" t="s">
        <v>59</v>
      </c>
      <c r="D62" s="123" t="s">
        <v>59</v>
      </c>
      <c r="E62" s="123" t="s">
        <v>62</v>
      </c>
      <c r="F62" s="123"/>
    </row>
    <row r="63" spans="2:14" s="52" customFormat="1" x14ac:dyDescent="0.35">
      <c r="B63" s="294" t="s">
        <v>125</v>
      </c>
      <c r="C63" s="123" t="s">
        <v>59</v>
      </c>
      <c r="D63" s="123" t="s">
        <v>59</v>
      </c>
      <c r="E63" s="123" t="s">
        <v>62</v>
      </c>
      <c r="F63" s="124"/>
      <c r="G63"/>
      <c r="N63" s="235"/>
    </row>
    <row r="64" spans="2:14" s="52" customFormat="1" x14ac:dyDescent="0.35">
      <c r="B64" s="294" t="s">
        <v>126</v>
      </c>
      <c r="C64" s="123" t="s">
        <v>59</v>
      </c>
      <c r="D64" s="124" t="s">
        <v>59</v>
      </c>
      <c r="E64" s="123" t="s">
        <v>62</v>
      </c>
      <c r="F64" s="124"/>
      <c r="G64"/>
      <c r="N64" s="235"/>
    </row>
    <row r="65" spans="2:6" x14ac:dyDescent="0.35">
      <c r="B65" s="294" t="s">
        <v>127</v>
      </c>
      <c r="C65" s="123" t="s">
        <v>59</v>
      </c>
      <c r="D65" s="123" t="s">
        <v>59</v>
      </c>
      <c r="E65" s="123" t="s">
        <v>62</v>
      </c>
      <c r="F65" s="123" t="s">
        <v>128</v>
      </c>
    </row>
    <row r="66" spans="2:6" hidden="1" x14ac:dyDescent="0.35">
      <c r="B66" s="17" t="s">
        <v>129</v>
      </c>
    </row>
  </sheetData>
  <autoFilter ref="B11:F66" xr:uid="{8C282AA5-0203-4F47-BADC-923A42040B79}">
    <filterColumn colId="1">
      <customFilters>
        <customFilter operator="notEqual" val=" "/>
      </customFilters>
    </filterColumn>
  </autoFilter>
  <mergeCells count="4">
    <mergeCell ref="B9:F9"/>
    <mergeCell ref="C2:H2"/>
    <mergeCell ref="J2:L2"/>
    <mergeCell ref="B5:H5"/>
  </mergeCells>
  <dataValidations count="2">
    <dataValidation type="list" allowBlank="1" showInputMessage="1" showErrorMessage="1" sqref="C12:D65" xr:uid="{A64E2A34-00E1-4D2D-92A8-78832A48E352}">
      <formula1>$M$3:$M$4</formula1>
    </dataValidation>
    <dataValidation type="list" allowBlank="1" showInputMessage="1" showErrorMessage="1" sqref="E12:E65" xr:uid="{9ABAC8EA-94CC-4B6E-B58F-56A0549892BD}">
      <formula1>$N$3:$N$9</formula1>
    </dataValidation>
  </dataValidations>
  <hyperlinks>
    <hyperlink ref="J2" location="'Αρχική σελίδα'!A1" display="Πίσω στην αρχική σελίδα" xr:uid="{CF1525D8-F5D2-4378-A877-2F32646769FD}"/>
  </hyperlinks>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197B4-DE08-4A3E-BC10-960D12509F77}">
  <sheetPr codeName="Sheet4">
    <tabColor theme="4" tint="0.79998168889431442"/>
  </sheetPr>
  <dimension ref="B2:R314"/>
  <sheetViews>
    <sheetView showGridLines="0" workbookViewId="0">
      <selection activeCell="H250" activeCellId="3" sqref="H67 H129 H192 H250"/>
    </sheetView>
  </sheetViews>
  <sheetFormatPr defaultColWidth="8.54296875" defaultRowHeight="14.5" outlineLevelRow="2" x14ac:dyDescent="0.35"/>
  <cols>
    <col min="1" max="1" width="2.54296875" customWidth="1"/>
    <col min="2" max="2" width="39.453125" customWidth="1"/>
    <col min="3" max="3" width="11.54296875" customWidth="1"/>
    <col min="4" max="4" width="13.453125" style="299" customWidth="1"/>
    <col min="5" max="8" width="13.453125" customWidth="1"/>
    <col min="9" max="9" width="14.54296875" customWidth="1"/>
    <col min="10" max="10" width="13.453125" customWidth="1"/>
    <col min="11" max="11" width="13" customWidth="1"/>
    <col min="12" max="12" width="12.453125" customWidth="1"/>
  </cols>
  <sheetData>
    <row r="2" spans="2:18" ht="18.5" x14ac:dyDescent="0.45">
      <c r="B2" s="1" t="s">
        <v>0</v>
      </c>
      <c r="C2" s="420">
        <f>'[1]Αρχική σελίδα'!C3</f>
        <v>0</v>
      </c>
      <c r="D2" s="420"/>
      <c r="E2" s="420"/>
      <c r="F2" s="420"/>
      <c r="G2" s="420"/>
      <c r="H2" s="420"/>
      <c r="J2" s="421" t="s">
        <v>58</v>
      </c>
      <c r="K2" s="421"/>
      <c r="L2" s="421"/>
    </row>
    <row r="3" spans="2:18" ht="18.5" x14ac:dyDescent="0.45">
      <c r="B3" s="2" t="s">
        <v>1</v>
      </c>
      <c r="C3" s="99">
        <v>2024</v>
      </c>
      <c r="D3" s="46" t="s">
        <v>2</v>
      </c>
      <c r="E3" s="46">
        <f>C3+4</f>
        <v>2028</v>
      </c>
    </row>
    <row r="5" spans="2:18" ht="72.650000000000006" customHeight="1" x14ac:dyDescent="0.35">
      <c r="B5" s="422" t="s">
        <v>130</v>
      </c>
      <c r="C5" s="422"/>
      <c r="D5" s="422"/>
      <c r="E5" s="422"/>
      <c r="F5" s="422"/>
      <c r="G5" s="422"/>
      <c r="H5" s="422"/>
      <c r="I5" s="422"/>
    </row>
    <row r="6" spans="2:18" x14ac:dyDescent="0.35">
      <c r="B6" s="225"/>
      <c r="C6" s="225"/>
      <c r="D6" s="297"/>
      <c r="E6" s="225"/>
      <c r="F6" s="225"/>
      <c r="G6" s="225"/>
      <c r="H6" s="225"/>
    </row>
    <row r="7" spans="2:18" ht="18.5" x14ac:dyDescent="0.45">
      <c r="B7" s="100" t="s">
        <v>131</v>
      </c>
      <c r="C7" s="101"/>
      <c r="D7" s="298"/>
      <c r="E7" s="101"/>
      <c r="F7" s="101"/>
      <c r="G7" s="101"/>
      <c r="H7" s="101"/>
      <c r="I7" s="101"/>
      <c r="J7" s="101"/>
      <c r="K7" s="101"/>
      <c r="L7" s="101"/>
    </row>
    <row r="9" spans="2:18" ht="15.5" x14ac:dyDescent="0.35">
      <c r="B9" s="419" t="s">
        <v>132</v>
      </c>
      <c r="C9" s="419"/>
      <c r="D9" s="419"/>
      <c r="E9" s="419"/>
      <c r="F9" s="419"/>
      <c r="G9" s="419"/>
      <c r="H9" s="419"/>
      <c r="I9" s="419"/>
    </row>
    <row r="10" spans="2:18" ht="6.65" customHeight="1" x14ac:dyDescent="0.35"/>
    <row r="11" spans="2:18" outlineLevel="1" x14ac:dyDescent="0.35">
      <c r="B11" s="311" t="s">
        <v>133</v>
      </c>
      <c r="C11" s="312"/>
      <c r="D11" s="300"/>
      <c r="E11" s="312"/>
      <c r="F11" s="312"/>
      <c r="G11" s="312"/>
      <c r="H11" s="312"/>
      <c r="I11" s="312"/>
      <c r="J11" s="54"/>
      <c r="K11" s="54"/>
      <c r="L11" s="54"/>
      <c r="M11" s="54"/>
      <c r="N11" s="54"/>
      <c r="O11" s="54"/>
      <c r="P11" s="54"/>
      <c r="Q11" s="54"/>
      <c r="R11" s="54"/>
    </row>
    <row r="12" spans="2:18" outlineLevel="2" x14ac:dyDescent="0.35">
      <c r="B12" s="55"/>
      <c r="C12" s="314" t="s">
        <v>134</v>
      </c>
      <c r="D12" s="73">
        <f>$C$3</f>
        <v>2024</v>
      </c>
      <c r="E12" s="73">
        <f>$C$3+1</f>
        <v>2025</v>
      </c>
      <c r="F12" s="73">
        <f>$C$3+2</f>
        <v>2026</v>
      </c>
      <c r="G12" s="73">
        <f>$C$3+3</f>
        <v>2027</v>
      </c>
      <c r="H12" s="73">
        <f>$C$3+4</f>
        <v>2028</v>
      </c>
      <c r="I12" s="47" t="str">
        <f>D12&amp; " - "&amp;H12</f>
        <v>2024 - 2028</v>
      </c>
    </row>
    <row r="13" spans="2:18" outlineLevel="2" x14ac:dyDescent="0.35">
      <c r="B13" s="48" t="s">
        <v>74</v>
      </c>
      <c r="C13" s="49" t="s">
        <v>135</v>
      </c>
      <c r="D13" s="6">
        <v>39</v>
      </c>
      <c r="E13" s="6">
        <v>139</v>
      </c>
      <c r="F13" s="6">
        <v>215</v>
      </c>
      <c r="G13" s="6">
        <v>156</v>
      </c>
      <c r="H13" s="6">
        <v>132</v>
      </c>
      <c r="I13" s="155">
        <f t="shared" ref="I13:I44" si="0">SUM(D13:H13)</f>
        <v>681</v>
      </c>
    </row>
    <row r="14" spans="2:18" outlineLevel="2" x14ac:dyDescent="0.35">
      <c r="B14" s="48" t="s">
        <v>75</v>
      </c>
      <c r="C14" s="49" t="s">
        <v>135</v>
      </c>
      <c r="D14" s="6">
        <v>483</v>
      </c>
      <c r="E14" s="6">
        <v>829</v>
      </c>
      <c r="F14" s="6">
        <v>808</v>
      </c>
      <c r="G14" s="6">
        <v>688</v>
      </c>
      <c r="H14" s="6">
        <v>524</v>
      </c>
      <c r="I14" s="155">
        <f t="shared" si="0"/>
        <v>3332</v>
      </c>
    </row>
    <row r="15" spans="2:18" outlineLevel="2" x14ac:dyDescent="0.35">
      <c r="B15" s="48" t="s">
        <v>76</v>
      </c>
      <c r="C15" s="49" t="s">
        <v>135</v>
      </c>
      <c r="D15" s="6">
        <v>221</v>
      </c>
      <c r="E15" s="6">
        <v>409</v>
      </c>
      <c r="F15" s="6">
        <v>585</v>
      </c>
      <c r="G15" s="6">
        <v>507</v>
      </c>
      <c r="H15" s="6">
        <v>471</v>
      </c>
      <c r="I15" s="155">
        <f t="shared" si="0"/>
        <v>2193</v>
      </c>
    </row>
    <row r="16" spans="2:18" outlineLevel="2" x14ac:dyDescent="0.35">
      <c r="B16" s="48" t="s">
        <v>77</v>
      </c>
      <c r="C16" s="49" t="s">
        <v>135</v>
      </c>
      <c r="D16" s="6">
        <v>44</v>
      </c>
      <c r="E16" s="6">
        <v>63</v>
      </c>
      <c r="F16" s="6">
        <v>88</v>
      </c>
      <c r="G16" s="6">
        <v>79</v>
      </c>
      <c r="H16" s="6">
        <v>57</v>
      </c>
      <c r="I16" s="155">
        <f t="shared" si="0"/>
        <v>331</v>
      </c>
    </row>
    <row r="17" spans="2:9" outlineLevel="2" x14ac:dyDescent="0.35">
      <c r="B17" s="48" t="s">
        <v>78</v>
      </c>
      <c r="C17" s="49" t="s">
        <v>135</v>
      </c>
      <c r="D17" s="6">
        <v>2818</v>
      </c>
      <c r="E17" s="6">
        <v>4460</v>
      </c>
      <c r="F17" s="6">
        <v>4685</v>
      </c>
      <c r="G17" s="6">
        <v>4362</v>
      </c>
      <c r="H17" s="6">
        <v>3670</v>
      </c>
      <c r="I17" s="155">
        <f t="shared" si="0"/>
        <v>19995</v>
      </c>
    </row>
    <row r="18" spans="2:9" outlineLevel="2" x14ac:dyDescent="0.35">
      <c r="B18" s="48" t="s">
        <v>79</v>
      </c>
      <c r="C18" s="49" t="s">
        <v>135</v>
      </c>
      <c r="D18" s="6">
        <v>266</v>
      </c>
      <c r="E18" s="6">
        <v>380</v>
      </c>
      <c r="F18" s="6">
        <v>366</v>
      </c>
      <c r="G18" s="6">
        <v>301</v>
      </c>
      <c r="H18" s="6">
        <v>307</v>
      </c>
      <c r="I18" s="155">
        <f t="shared" si="0"/>
        <v>1620</v>
      </c>
    </row>
    <row r="19" spans="2:9" outlineLevel="2" x14ac:dyDescent="0.35">
      <c r="B19" s="48" t="s">
        <v>80</v>
      </c>
      <c r="C19" s="49" t="s">
        <v>135</v>
      </c>
      <c r="D19" s="6">
        <v>286</v>
      </c>
      <c r="E19" s="6">
        <v>429</v>
      </c>
      <c r="F19" s="6">
        <v>411</v>
      </c>
      <c r="G19" s="6">
        <v>330</v>
      </c>
      <c r="H19" s="6">
        <v>285</v>
      </c>
      <c r="I19" s="155">
        <f t="shared" si="0"/>
        <v>1741</v>
      </c>
    </row>
    <row r="20" spans="2:9" outlineLevel="2" x14ac:dyDescent="0.35">
      <c r="B20" s="48" t="s">
        <v>81</v>
      </c>
      <c r="C20" s="49" t="s">
        <v>135</v>
      </c>
      <c r="D20" s="6">
        <v>453</v>
      </c>
      <c r="E20" s="6">
        <v>659</v>
      </c>
      <c r="F20" s="6">
        <v>638</v>
      </c>
      <c r="G20" s="6">
        <v>519</v>
      </c>
      <c r="H20" s="6">
        <v>404</v>
      </c>
      <c r="I20" s="155">
        <f t="shared" si="0"/>
        <v>2673</v>
      </c>
    </row>
    <row r="21" spans="2:9" outlineLevel="2" x14ac:dyDescent="0.35">
      <c r="B21" s="48" t="s">
        <v>82</v>
      </c>
      <c r="C21" s="49" t="s">
        <v>135</v>
      </c>
      <c r="D21" s="6">
        <v>0</v>
      </c>
      <c r="E21" s="6">
        <v>0</v>
      </c>
      <c r="F21" s="6">
        <v>0</v>
      </c>
      <c r="G21" s="6">
        <v>0</v>
      </c>
      <c r="H21" s="6">
        <v>0</v>
      </c>
      <c r="I21" s="155">
        <f t="shared" si="0"/>
        <v>0</v>
      </c>
    </row>
    <row r="22" spans="2:9" outlineLevel="2" x14ac:dyDescent="0.35">
      <c r="B22" s="48" t="s">
        <v>83</v>
      </c>
      <c r="C22" s="49" t="s">
        <v>135</v>
      </c>
      <c r="D22" s="6">
        <v>52</v>
      </c>
      <c r="E22" s="6">
        <v>152</v>
      </c>
      <c r="F22" s="6">
        <v>149</v>
      </c>
      <c r="G22" s="6">
        <v>164</v>
      </c>
      <c r="H22" s="6">
        <v>142</v>
      </c>
      <c r="I22" s="155">
        <f t="shared" si="0"/>
        <v>659</v>
      </c>
    </row>
    <row r="23" spans="2:9" outlineLevel="2" x14ac:dyDescent="0.35">
      <c r="B23" s="48" t="s">
        <v>84</v>
      </c>
      <c r="C23" s="49" t="s">
        <v>135</v>
      </c>
      <c r="D23" s="6">
        <v>112</v>
      </c>
      <c r="E23" s="6">
        <v>242</v>
      </c>
      <c r="F23" s="6">
        <v>341</v>
      </c>
      <c r="G23" s="6">
        <v>353</v>
      </c>
      <c r="H23" s="6">
        <v>272</v>
      </c>
      <c r="I23" s="155">
        <f t="shared" si="0"/>
        <v>1320</v>
      </c>
    </row>
    <row r="24" spans="2:9" outlineLevel="2" x14ac:dyDescent="0.35">
      <c r="B24" s="48" t="s">
        <v>85</v>
      </c>
      <c r="C24" s="49" t="s">
        <v>135</v>
      </c>
      <c r="D24" s="6">
        <v>224</v>
      </c>
      <c r="E24" s="6">
        <v>366</v>
      </c>
      <c r="F24" s="6">
        <v>342</v>
      </c>
      <c r="G24" s="6">
        <v>279</v>
      </c>
      <c r="H24" s="6">
        <v>221</v>
      </c>
      <c r="I24" s="155">
        <f t="shared" si="0"/>
        <v>1432</v>
      </c>
    </row>
    <row r="25" spans="2:9" outlineLevel="2" x14ac:dyDescent="0.35">
      <c r="B25" s="48" t="s">
        <v>86</v>
      </c>
      <c r="C25" s="49" t="s">
        <v>135</v>
      </c>
      <c r="D25" s="6">
        <v>254</v>
      </c>
      <c r="E25" s="6">
        <v>691</v>
      </c>
      <c r="F25" s="6">
        <v>880</v>
      </c>
      <c r="G25" s="6">
        <v>759</v>
      </c>
      <c r="H25" s="6">
        <v>604</v>
      </c>
      <c r="I25" s="155">
        <f t="shared" si="0"/>
        <v>3188</v>
      </c>
    </row>
    <row r="26" spans="2:9" outlineLevel="2" x14ac:dyDescent="0.35">
      <c r="B26" s="48" t="s">
        <v>87</v>
      </c>
      <c r="C26" s="49" t="s">
        <v>135</v>
      </c>
      <c r="D26" s="6">
        <v>221</v>
      </c>
      <c r="E26" s="6">
        <v>514</v>
      </c>
      <c r="F26" s="6">
        <v>449</v>
      </c>
      <c r="G26" s="6">
        <v>334</v>
      </c>
      <c r="H26" s="6">
        <v>413</v>
      </c>
      <c r="I26" s="155">
        <f t="shared" si="0"/>
        <v>1931</v>
      </c>
    </row>
    <row r="27" spans="2:9" outlineLevel="2" x14ac:dyDescent="0.35">
      <c r="B27" s="48" t="s">
        <v>88</v>
      </c>
      <c r="C27" s="49" t="s">
        <v>135</v>
      </c>
      <c r="D27" s="6">
        <v>397</v>
      </c>
      <c r="E27" s="6">
        <v>735</v>
      </c>
      <c r="F27" s="6">
        <v>849</v>
      </c>
      <c r="G27" s="6">
        <v>649</v>
      </c>
      <c r="H27" s="6">
        <v>669</v>
      </c>
      <c r="I27" s="155">
        <f t="shared" si="0"/>
        <v>3299</v>
      </c>
    </row>
    <row r="28" spans="2:9" outlineLevel="2" x14ac:dyDescent="0.35">
      <c r="B28" s="48" t="s">
        <v>89</v>
      </c>
      <c r="C28" s="49" t="s">
        <v>135</v>
      </c>
      <c r="D28" s="6">
        <v>168</v>
      </c>
      <c r="E28" s="6">
        <v>250</v>
      </c>
      <c r="F28" s="6">
        <v>304</v>
      </c>
      <c r="G28" s="6">
        <v>332</v>
      </c>
      <c r="H28" s="6">
        <v>277</v>
      </c>
      <c r="I28" s="155">
        <f t="shared" si="0"/>
        <v>1331</v>
      </c>
    </row>
    <row r="29" spans="2:9" outlineLevel="2" x14ac:dyDescent="0.35">
      <c r="B29" s="48" t="s">
        <v>90</v>
      </c>
      <c r="C29" s="49" t="s">
        <v>135</v>
      </c>
      <c r="D29" s="6">
        <v>1</v>
      </c>
      <c r="E29" s="6">
        <v>13</v>
      </c>
      <c r="F29" s="6">
        <v>10</v>
      </c>
      <c r="G29" s="6">
        <v>25</v>
      </c>
      <c r="H29" s="6">
        <v>18</v>
      </c>
      <c r="I29" s="155">
        <f t="shared" si="0"/>
        <v>67</v>
      </c>
    </row>
    <row r="30" spans="2:9" outlineLevel="2" x14ac:dyDescent="0.35">
      <c r="B30" s="48" t="s">
        <v>91</v>
      </c>
      <c r="C30" s="49" t="s">
        <v>135</v>
      </c>
      <c r="D30" s="6">
        <v>8</v>
      </c>
      <c r="E30" s="6">
        <v>21</v>
      </c>
      <c r="F30" s="6">
        <v>28</v>
      </c>
      <c r="G30" s="6">
        <v>21</v>
      </c>
      <c r="H30" s="6">
        <v>24</v>
      </c>
      <c r="I30" s="155">
        <f t="shared" si="0"/>
        <v>102</v>
      </c>
    </row>
    <row r="31" spans="2:9" outlineLevel="2" x14ac:dyDescent="0.35">
      <c r="B31" s="48" t="s">
        <v>92</v>
      </c>
      <c r="C31" s="49" t="s">
        <v>135</v>
      </c>
      <c r="D31" s="6">
        <v>280</v>
      </c>
      <c r="E31" s="6">
        <v>480</v>
      </c>
      <c r="F31" s="6">
        <v>530</v>
      </c>
      <c r="G31" s="6">
        <v>414</v>
      </c>
      <c r="H31" s="6">
        <v>328</v>
      </c>
      <c r="I31" s="155">
        <f t="shared" si="0"/>
        <v>2032</v>
      </c>
    </row>
    <row r="32" spans="2:9" outlineLevel="2" x14ac:dyDescent="0.35">
      <c r="B32" s="48" t="s">
        <v>93</v>
      </c>
      <c r="C32" s="49" t="s">
        <v>135</v>
      </c>
      <c r="D32" s="6">
        <v>422</v>
      </c>
      <c r="E32" s="6">
        <v>732</v>
      </c>
      <c r="F32" s="6">
        <v>1261</v>
      </c>
      <c r="G32" s="6">
        <v>1089</v>
      </c>
      <c r="H32" s="6">
        <v>915</v>
      </c>
      <c r="I32" s="155">
        <f t="shared" si="0"/>
        <v>4419</v>
      </c>
    </row>
    <row r="33" spans="2:9" outlineLevel="2" x14ac:dyDescent="0.35">
      <c r="B33" s="48" t="s">
        <v>94</v>
      </c>
      <c r="C33" s="49" t="s">
        <v>135</v>
      </c>
      <c r="D33" s="6">
        <v>288</v>
      </c>
      <c r="E33" s="6">
        <v>540</v>
      </c>
      <c r="F33" s="6">
        <v>582</v>
      </c>
      <c r="G33" s="6">
        <v>538</v>
      </c>
      <c r="H33" s="6">
        <v>469</v>
      </c>
      <c r="I33" s="155">
        <f t="shared" si="0"/>
        <v>2417</v>
      </c>
    </row>
    <row r="34" spans="2:9" outlineLevel="2" x14ac:dyDescent="0.35">
      <c r="B34" s="48" t="s">
        <v>95</v>
      </c>
      <c r="C34" s="49" t="s">
        <v>135</v>
      </c>
      <c r="D34" s="6">
        <v>146</v>
      </c>
      <c r="E34" s="6">
        <v>257</v>
      </c>
      <c r="F34" s="6">
        <v>322</v>
      </c>
      <c r="G34" s="6">
        <v>316</v>
      </c>
      <c r="H34" s="6">
        <v>223</v>
      </c>
      <c r="I34" s="155">
        <f t="shared" si="0"/>
        <v>1264</v>
      </c>
    </row>
    <row r="35" spans="2:9" outlineLevel="2" x14ac:dyDescent="0.35">
      <c r="B35" s="48" t="s">
        <v>96</v>
      </c>
      <c r="C35" s="49" t="s">
        <v>135</v>
      </c>
      <c r="D35" s="6">
        <v>160</v>
      </c>
      <c r="E35" s="6">
        <v>298</v>
      </c>
      <c r="F35" s="6">
        <v>377</v>
      </c>
      <c r="G35" s="6">
        <v>291</v>
      </c>
      <c r="H35" s="6">
        <v>267</v>
      </c>
      <c r="I35" s="155">
        <f t="shared" si="0"/>
        <v>1393</v>
      </c>
    </row>
    <row r="36" spans="2:9" outlineLevel="2" x14ac:dyDescent="0.35">
      <c r="B36" s="48" t="s">
        <v>97</v>
      </c>
      <c r="C36" s="49" t="s">
        <v>135</v>
      </c>
      <c r="D36" s="6">
        <v>366</v>
      </c>
      <c r="E36" s="6">
        <v>876</v>
      </c>
      <c r="F36" s="6">
        <v>811</v>
      </c>
      <c r="G36" s="6">
        <v>602</v>
      </c>
      <c r="H36" s="6">
        <v>755</v>
      </c>
      <c r="I36" s="155">
        <f t="shared" si="0"/>
        <v>3410</v>
      </c>
    </row>
    <row r="37" spans="2:9" outlineLevel="2" x14ac:dyDescent="0.35">
      <c r="B37" s="48" t="s">
        <v>98</v>
      </c>
      <c r="C37" s="49" t="s">
        <v>135</v>
      </c>
      <c r="D37" s="6">
        <v>84</v>
      </c>
      <c r="E37" s="6">
        <v>221</v>
      </c>
      <c r="F37" s="6">
        <v>274</v>
      </c>
      <c r="G37" s="6">
        <v>257</v>
      </c>
      <c r="H37" s="6">
        <v>274</v>
      </c>
      <c r="I37" s="155">
        <f t="shared" si="0"/>
        <v>1110</v>
      </c>
    </row>
    <row r="38" spans="2:9" outlineLevel="2" x14ac:dyDescent="0.35">
      <c r="B38" s="48" t="s">
        <v>99</v>
      </c>
      <c r="C38" s="49" t="s">
        <v>135</v>
      </c>
      <c r="D38" s="6">
        <v>341</v>
      </c>
      <c r="E38" s="6">
        <v>571</v>
      </c>
      <c r="F38" s="6">
        <v>597</v>
      </c>
      <c r="G38" s="6">
        <v>580</v>
      </c>
      <c r="H38" s="6">
        <v>446</v>
      </c>
      <c r="I38" s="155">
        <f t="shared" si="0"/>
        <v>2535</v>
      </c>
    </row>
    <row r="39" spans="2:9" outlineLevel="2" x14ac:dyDescent="0.35">
      <c r="B39" s="48" t="s">
        <v>100</v>
      </c>
      <c r="C39" s="49" t="s">
        <v>135</v>
      </c>
      <c r="D39" s="6">
        <v>108</v>
      </c>
      <c r="E39" s="6">
        <v>310</v>
      </c>
      <c r="F39" s="6">
        <v>359</v>
      </c>
      <c r="G39" s="6">
        <v>318</v>
      </c>
      <c r="H39" s="6">
        <v>502</v>
      </c>
      <c r="I39" s="155">
        <f t="shared" si="0"/>
        <v>1597</v>
      </c>
    </row>
    <row r="40" spans="2:9" outlineLevel="2" x14ac:dyDescent="0.35">
      <c r="B40" s="48" t="s">
        <v>101</v>
      </c>
      <c r="C40" s="49" t="s">
        <v>135</v>
      </c>
      <c r="D40" s="6">
        <v>4</v>
      </c>
      <c r="E40" s="6">
        <v>5</v>
      </c>
      <c r="F40" s="6">
        <v>5</v>
      </c>
      <c r="G40" s="6">
        <v>4</v>
      </c>
      <c r="H40" s="6">
        <v>3</v>
      </c>
      <c r="I40" s="155">
        <f t="shared" si="0"/>
        <v>21</v>
      </c>
    </row>
    <row r="41" spans="2:9" outlineLevel="2" x14ac:dyDescent="0.35">
      <c r="B41" s="48" t="s">
        <v>102</v>
      </c>
      <c r="C41" s="49" t="s">
        <v>135</v>
      </c>
      <c r="D41" s="6">
        <v>147</v>
      </c>
      <c r="E41" s="6">
        <v>206</v>
      </c>
      <c r="F41" s="6">
        <v>216</v>
      </c>
      <c r="G41" s="6">
        <v>176</v>
      </c>
      <c r="H41" s="6">
        <v>131</v>
      </c>
      <c r="I41" s="155">
        <f t="shared" si="0"/>
        <v>876</v>
      </c>
    </row>
    <row r="42" spans="2:9" outlineLevel="2" x14ac:dyDescent="0.35">
      <c r="B42" s="48" t="s">
        <v>103</v>
      </c>
      <c r="C42" s="49" t="s">
        <v>135</v>
      </c>
      <c r="D42" s="6">
        <v>0</v>
      </c>
      <c r="E42" s="6">
        <v>0</v>
      </c>
      <c r="F42" s="6">
        <v>0</v>
      </c>
      <c r="G42" s="6">
        <v>0</v>
      </c>
      <c r="H42" s="6">
        <v>0</v>
      </c>
      <c r="I42" s="155">
        <f t="shared" si="0"/>
        <v>0</v>
      </c>
    </row>
    <row r="43" spans="2:9" outlineLevel="2" x14ac:dyDescent="0.35">
      <c r="B43" s="48" t="s">
        <v>104</v>
      </c>
      <c r="C43" s="49" t="s">
        <v>135</v>
      </c>
      <c r="D43" s="6">
        <v>0</v>
      </c>
      <c r="E43" s="6">
        <v>0</v>
      </c>
      <c r="F43" s="6">
        <v>0</v>
      </c>
      <c r="G43" s="6">
        <v>77</v>
      </c>
      <c r="H43" s="6">
        <v>107</v>
      </c>
      <c r="I43" s="155">
        <f t="shared" si="0"/>
        <v>184</v>
      </c>
    </row>
    <row r="44" spans="2:9" outlineLevel="2" x14ac:dyDescent="0.35">
      <c r="B44" s="48" t="s">
        <v>136</v>
      </c>
      <c r="C44" s="49" t="s">
        <v>135</v>
      </c>
      <c r="D44" s="6">
        <v>0</v>
      </c>
      <c r="E44" s="6">
        <v>0</v>
      </c>
      <c r="F44" s="6">
        <v>0</v>
      </c>
      <c r="G44" s="6">
        <v>77</v>
      </c>
      <c r="H44" s="6">
        <v>97</v>
      </c>
      <c r="I44" s="155">
        <f t="shared" si="0"/>
        <v>174</v>
      </c>
    </row>
    <row r="45" spans="2:9" outlineLevel="2" x14ac:dyDescent="0.35">
      <c r="B45" s="48" t="s">
        <v>106</v>
      </c>
      <c r="C45" s="49" t="s">
        <v>135</v>
      </c>
      <c r="D45" s="6">
        <v>71</v>
      </c>
      <c r="E45" s="6">
        <v>127</v>
      </c>
      <c r="F45" s="6">
        <v>115</v>
      </c>
      <c r="G45" s="6">
        <v>106</v>
      </c>
      <c r="H45" s="6">
        <v>169</v>
      </c>
      <c r="I45" s="155">
        <f t="shared" ref="I45:I67" si="1">SUM(D45:H45)</f>
        <v>588</v>
      </c>
    </row>
    <row r="46" spans="2:9" outlineLevel="2" x14ac:dyDescent="0.35">
      <c r="B46" s="48" t="s">
        <v>107</v>
      </c>
      <c r="C46" s="49" t="s">
        <v>135</v>
      </c>
      <c r="D46" s="6">
        <v>137</v>
      </c>
      <c r="E46" s="6">
        <v>272</v>
      </c>
      <c r="F46" s="6">
        <v>252</v>
      </c>
      <c r="G46" s="6">
        <v>193</v>
      </c>
      <c r="H46" s="6">
        <v>154</v>
      </c>
      <c r="I46" s="155">
        <f t="shared" si="1"/>
        <v>1008</v>
      </c>
    </row>
    <row r="47" spans="2:9" outlineLevel="2" x14ac:dyDescent="0.35">
      <c r="B47" s="48" t="s">
        <v>108</v>
      </c>
      <c r="C47" s="49" t="s">
        <v>135</v>
      </c>
      <c r="D47" s="6">
        <v>289</v>
      </c>
      <c r="E47" s="6">
        <v>349</v>
      </c>
      <c r="F47" s="6">
        <v>621</v>
      </c>
      <c r="G47" s="6">
        <v>701</v>
      </c>
      <c r="H47" s="6">
        <v>562</v>
      </c>
      <c r="I47" s="155">
        <f t="shared" si="1"/>
        <v>2522</v>
      </c>
    </row>
    <row r="48" spans="2:9" outlineLevel="2" x14ac:dyDescent="0.35">
      <c r="B48" s="48" t="s">
        <v>109</v>
      </c>
      <c r="C48" s="49" t="s">
        <v>135</v>
      </c>
      <c r="D48" s="6">
        <v>545</v>
      </c>
      <c r="E48" s="6">
        <v>785</v>
      </c>
      <c r="F48" s="6">
        <v>806</v>
      </c>
      <c r="G48" s="6">
        <v>660</v>
      </c>
      <c r="H48" s="6">
        <v>494</v>
      </c>
      <c r="I48" s="155">
        <f t="shared" si="1"/>
        <v>3290</v>
      </c>
    </row>
    <row r="49" spans="2:9" outlineLevel="2" x14ac:dyDescent="0.35">
      <c r="B49" s="48" t="s">
        <v>110</v>
      </c>
      <c r="C49" s="49" t="s">
        <v>135</v>
      </c>
      <c r="D49" s="6">
        <v>62</v>
      </c>
      <c r="E49" s="6">
        <v>83</v>
      </c>
      <c r="F49" s="6">
        <v>103</v>
      </c>
      <c r="G49" s="6">
        <v>82</v>
      </c>
      <c r="H49" s="6">
        <v>114</v>
      </c>
      <c r="I49" s="155">
        <f t="shared" si="1"/>
        <v>444</v>
      </c>
    </row>
    <row r="50" spans="2:9" outlineLevel="2" x14ac:dyDescent="0.35">
      <c r="B50" s="48" t="s">
        <v>111</v>
      </c>
      <c r="C50" s="49" t="s">
        <v>135</v>
      </c>
      <c r="D50" s="6">
        <v>89</v>
      </c>
      <c r="E50" s="6">
        <v>178</v>
      </c>
      <c r="F50" s="6">
        <v>246</v>
      </c>
      <c r="G50" s="6">
        <v>188</v>
      </c>
      <c r="H50" s="6">
        <v>149</v>
      </c>
      <c r="I50" s="155">
        <f t="shared" si="1"/>
        <v>850</v>
      </c>
    </row>
    <row r="51" spans="2:9" outlineLevel="2" x14ac:dyDescent="0.35">
      <c r="B51" s="48" t="s">
        <v>112</v>
      </c>
      <c r="C51" s="49" t="s">
        <v>135</v>
      </c>
      <c r="D51" s="6">
        <v>164</v>
      </c>
      <c r="E51" s="6">
        <v>319</v>
      </c>
      <c r="F51" s="6">
        <v>368</v>
      </c>
      <c r="G51" s="6">
        <v>343</v>
      </c>
      <c r="H51" s="6">
        <v>357</v>
      </c>
      <c r="I51" s="155">
        <f t="shared" si="1"/>
        <v>1551</v>
      </c>
    </row>
    <row r="52" spans="2:9" outlineLevel="2" x14ac:dyDescent="0.35">
      <c r="B52" s="48" t="s">
        <v>113</v>
      </c>
      <c r="C52" s="49" t="s">
        <v>135</v>
      </c>
      <c r="D52" s="6">
        <v>0</v>
      </c>
      <c r="E52" s="6">
        <v>0</v>
      </c>
      <c r="F52" s="6">
        <v>0</v>
      </c>
      <c r="G52" s="6">
        <v>0</v>
      </c>
      <c r="H52" s="6">
        <v>0</v>
      </c>
      <c r="I52" s="155">
        <f t="shared" si="1"/>
        <v>0</v>
      </c>
    </row>
    <row r="53" spans="2:9" outlineLevel="2" x14ac:dyDescent="0.35">
      <c r="B53" s="48" t="s">
        <v>114</v>
      </c>
      <c r="C53" s="49" t="s">
        <v>135</v>
      </c>
      <c r="D53" s="6">
        <v>537</v>
      </c>
      <c r="E53" s="6">
        <v>774</v>
      </c>
      <c r="F53" s="6">
        <v>749</v>
      </c>
      <c r="G53" s="6">
        <v>616</v>
      </c>
      <c r="H53" s="6">
        <v>467</v>
      </c>
      <c r="I53" s="155">
        <f t="shared" si="1"/>
        <v>3143</v>
      </c>
    </row>
    <row r="54" spans="2:9" outlineLevel="2" x14ac:dyDescent="0.35">
      <c r="B54" s="48" t="s">
        <v>115</v>
      </c>
      <c r="C54" s="49" t="s">
        <v>135</v>
      </c>
      <c r="D54" s="6">
        <v>204</v>
      </c>
      <c r="E54" s="6">
        <v>362</v>
      </c>
      <c r="F54" s="6">
        <v>366</v>
      </c>
      <c r="G54" s="6">
        <v>348</v>
      </c>
      <c r="H54" s="6">
        <v>308</v>
      </c>
      <c r="I54" s="155">
        <f t="shared" si="1"/>
        <v>1588</v>
      </c>
    </row>
    <row r="55" spans="2:9" outlineLevel="2" x14ac:dyDescent="0.35">
      <c r="B55" s="48" t="s">
        <v>116</v>
      </c>
      <c r="C55" s="49" t="s">
        <v>135</v>
      </c>
      <c r="D55" s="6">
        <v>395</v>
      </c>
      <c r="E55" s="6">
        <v>569</v>
      </c>
      <c r="F55" s="6">
        <v>550</v>
      </c>
      <c r="G55" s="6">
        <v>453</v>
      </c>
      <c r="H55" s="6">
        <v>343</v>
      </c>
      <c r="I55" s="155">
        <f t="shared" si="1"/>
        <v>2310</v>
      </c>
    </row>
    <row r="56" spans="2:9" outlineLevel="2" x14ac:dyDescent="0.35">
      <c r="B56" s="48" t="s">
        <v>117</v>
      </c>
      <c r="C56" s="49" t="s">
        <v>135</v>
      </c>
      <c r="D56" s="6">
        <v>496</v>
      </c>
      <c r="E56" s="6">
        <v>966</v>
      </c>
      <c r="F56" s="6">
        <v>1044</v>
      </c>
      <c r="G56" s="6">
        <v>1167</v>
      </c>
      <c r="H56" s="6">
        <v>975</v>
      </c>
      <c r="I56" s="155">
        <f t="shared" si="1"/>
        <v>4648</v>
      </c>
    </row>
    <row r="57" spans="2:9" outlineLevel="2" x14ac:dyDescent="0.35">
      <c r="B57" s="48" t="s">
        <v>118</v>
      </c>
      <c r="C57" s="49" t="s">
        <v>135</v>
      </c>
      <c r="D57" s="6">
        <v>181</v>
      </c>
      <c r="E57" s="6">
        <v>259</v>
      </c>
      <c r="F57" s="6">
        <v>250</v>
      </c>
      <c r="G57" s="6">
        <v>206</v>
      </c>
      <c r="H57" s="6">
        <v>181</v>
      </c>
      <c r="I57" s="155">
        <f t="shared" si="1"/>
        <v>1077</v>
      </c>
    </row>
    <row r="58" spans="2:9" outlineLevel="2" x14ac:dyDescent="0.35">
      <c r="B58" s="48" t="s">
        <v>119</v>
      </c>
      <c r="C58" s="49" t="s">
        <v>135</v>
      </c>
      <c r="D58" s="6">
        <v>0</v>
      </c>
      <c r="E58" s="6">
        <v>0</v>
      </c>
      <c r="F58" s="6">
        <v>0</v>
      </c>
      <c r="G58" s="6">
        <v>0</v>
      </c>
      <c r="H58" s="6">
        <v>0</v>
      </c>
      <c r="I58" s="155">
        <f t="shared" si="1"/>
        <v>0</v>
      </c>
    </row>
    <row r="59" spans="2:9" outlineLevel="2" x14ac:dyDescent="0.35">
      <c r="B59" s="48" t="s">
        <v>120</v>
      </c>
      <c r="C59" s="49" t="s">
        <v>135</v>
      </c>
      <c r="D59" s="6">
        <v>460</v>
      </c>
      <c r="E59" s="6">
        <v>732</v>
      </c>
      <c r="F59" s="6">
        <v>774</v>
      </c>
      <c r="G59" s="6">
        <v>653</v>
      </c>
      <c r="H59" s="6">
        <v>574</v>
      </c>
      <c r="I59" s="155">
        <f t="shared" si="1"/>
        <v>3193</v>
      </c>
    </row>
    <row r="60" spans="2:9" outlineLevel="2" x14ac:dyDescent="0.35">
      <c r="B60" s="48" t="s">
        <v>121</v>
      </c>
      <c r="C60" s="49" t="s">
        <v>135</v>
      </c>
      <c r="D60" s="6">
        <v>154</v>
      </c>
      <c r="E60" s="6">
        <v>273</v>
      </c>
      <c r="F60" s="6">
        <v>328</v>
      </c>
      <c r="G60" s="6">
        <v>299</v>
      </c>
      <c r="H60" s="6">
        <v>351</v>
      </c>
      <c r="I60" s="155">
        <f t="shared" si="1"/>
        <v>1405</v>
      </c>
    </row>
    <row r="61" spans="2:9" outlineLevel="2" x14ac:dyDescent="0.35">
      <c r="B61" s="48" t="s">
        <v>137</v>
      </c>
      <c r="C61" s="49" t="s">
        <v>135</v>
      </c>
      <c r="D61" s="6">
        <v>0</v>
      </c>
      <c r="E61" s="6">
        <v>0</v>
      </c>
      <c r="F61" s="6">
        <v>0</v>
      </c>
      <c r="G61" s="6">
        <v>0</v>
      </c>
      <c r="H61" s="6">
        <v>0</v>
      </c>
      <c r="I61" s="155">
        <f t="shared" si="1"/>
        <v>0</v>
      </c>
    </row>
    <row r="62" spans="2:9" outlineLevel="2" x14ac:dyDescent="0.35">
      <c r="B62" s="48" t="s">
        <v>123</v>
      </c>
      <c r="C62" s="49" t="s">
        <v>135</v>
      </c>
      <c r="D62" s="6">
        <v>219</v>
      </c>
      <c r="E62" s="6">
        <v>338</v>
      </c>
      <c r="F62" s="6">
        <v>382</v>
      </c>
      <c r="G62" s="6">
        <v>306</v>
      </c>
      <c r="H62" s="6">
        <v>275</v>
      </c>
      <c r="I62" s="155">
        <f t="shared" si="1"/>
        <v>1520</v>
      </c>
    </row>
    <row r="63" spans="2:9" outlineLevel="2" x14ac:dyDescent="0.35">
      <c r="B63" s="48" t="s">
        <v>124</v>
      </c>
      <c r="C63" s="49" t="s">
        <v>135</v>
      </c>
      <c r="D63" s="6">
        <v>6</v>
      </c>
      <c r="E63" s="6">
        <v>9</v>
      </c>
      <c r="F63" s="6">
        <v>9</v>
      </c>
      <c r="G63" s="6">
        <v>7</v>
      </c>
      <c r="H63" s="6">
        <v>5</v>
      </c>
      <c r="I63" s="155">
        <f t="shared" si="1"/>
        <v>36</v>
      </c>
    </row>
    <row r="64" spans="2:9" outlineLevel="2" x14ac:dyDescent="0.35">
      <c r="B64" s="48" t="s">
        <v>125</v>
      </c>
      <c r="C64" s="49" t="s">
        <v>135</v>
      </c>
      <c r="D64" s="6">
        <v>92</v>
      </c>
      <c r="E64" s="6">
        <v>139</v>
      </c>
      <c r="F64" s="6">
        <v>137</v>
      </c>
      <c r="G64" s="6">
        <v>117</v>
      </c>
      <c r="H64" s="6">
        <v>87</v>
      </c>
      <c r="I64" s="155">
        <f t="shared" si="1"/>
        <v>572</v>
      </c>
    </row>
    <row r="65" spans="2:18" outlineLevel="2" x14ac:dyDescent="0.35">
      <c r="B65" s="48" t="s">
        <v>126</v>
      </c>
      <c r="C65" s="49" t="s">
        <v>135</v>
      </c>
      <c r="D65" s="6">
        <v>514</v>
      </c>
      <c r="E65" s="6">
        <v>811</v>
      </c>
      <c r="F65" s="6">
        <v>797</v>
      </c>
      <c r="G65" s="6">
        <v>636</v>
      </c>
      <c r="H65" s="6">
        <v>564</v>
      </c>
      <c r="I65" s="155">
        <f t="shared" si="1"/>
        <v>3322</v>
      </c>
    </row>
    <row r="66" spans="2:18" outlineLevel="2" x14ac:dyDescent="0.35">
      <c r="B66" s="48" t="s">
        <v>127</v>
      </c>
      <c r="C66" s="49" t="s">
        <v>135</v>
      </c>
      <c r="D66" s="6">
        <v>0</v>
      </c>
      <c r="E66" s="6">
        <v>0</v>
      </c>
      <c r="F66" s="6">
        <v>0</v>
      </c>
      <c r="G66" s="6">
        <v>0</v>
      </c>
      <c r="H66" s="6">
        <v>0</v>
      </c>
      <c r="I66" s="155">
        <f t="shared" si="1"/>
        <v>0</v>
      </c>
    </row>
    <row r="67" spans="2:18" outlineLevel="2" x14ac:dyDescent="0.35">
      <c r="B67" s="246" t="s">
        <v>138</v>
      </c>
      <c r="C67" s="49" t="s">
        <v>135</v>
      </c>
      <c r="D67" s="301">
        <f>SUM(D13:D66)</f>
        <v>13008</v>
      </c>
      <c r="E67" s="301">
        <f>SUM(E13:E66)</f>
        <v>22193</v>
      </c>
      <c r="F67" s="301">
        <f>SUM(F13:F66)</f>
        <v>24379</v>
      </c>
      <c r="G67" s="301">
        <f>SUM(G13:G66)</f>
        <v>21678</v>
      </c>
      <c r="H67" s="301">
        <f>SUM(H13:H66)</f>
        <v>19136</v>
      </c>
      <c r="I67" s="153">
        <f t="shared" si="1"/>
        <v>100394</v>
      </c>
    </row>
    <row r="68" spans="2:18" outlineLevel="1" x14ac:dyDescent="0.35"/>
    <row r="69" spans="2:18" outlineLevel="1" x14ac:dyDescent="0.35">
      <c r="B69" s="311" t="s">
        <v>139</v>
      </c>
      <c r="C69" s="312"/>
      <c r="D69" s="300"/>
      <c r="E69" s="312"/>
      <c r="F69" s="312"/>
      <c r="G69" s="312"/>
      <c r="H69" s="312"/>
      <c r="I69" s="312"/>
      <c r="J69" s="54"/>
      <c r="K69" s="54"/>
      <c r="L69" s="54"/>
      <c r="M69" s="54"/>
      <c r="N69" s="54"/>
      <c r="O69" s="54"/>
      <c r="P69" s="54"/>
      <c r="Q69" s="54"/>
      <c r="R69" s="54"/>
    </row>
    <row r="70" spans="2:18" hidden="1" outlineLevel="2" x14ac:dyDescent="0.35">
      <c r="B70" s="55"/>
      <c r="C70" s="314" t="s">
        <v>134</v>
      </c>
      <c r="D70" s="73">
        <f>$C$3</f>
        <v>2024</v>
      </c>
      <c r="E70" s="73">
        <f>$C$3+1</f>
        <v>2025</v>
      </c>
      <c r="F70" s="73">
        <f>$C$3+2</f>
        <v>2026</v>
      </c>
      <c r="G70" s="73">
        <f>$C$3+3</f>
        <v>2027</v>
      </c>
      <c r="H70" s="73">
        <f>$C$3+4</f>
        <v>2028</v>
      </c>
      <c r="I70" s="47" t="str">
        <f>D70&amp; "-"&amp;H70</f>
        <v>2024-2028</v>
      </c>
    </row>
    <row r="71" spans="2:18" hidden="1" outlineLevel="2" x14ac:dyDescent="0.35">
      <c r="B71" s="48" t="s">
        <v>140</v>
      </c>
      <c r="C71" s="53" t="s">
        <v>141</v>
      </c>
      <c r="D71" s="4"/>
      <c r="E71" s="4"/>
      <c r="F71" s="4"/>
      <c r="G71" s="4"/>
      <c r="H71" s="4"/>
      <c r="I71" s="155">
        <f>D71+E71+F71+G71+H71</f>
        <v>0</v>
      </c>
    </row>
    <row r="72" spans="2:18" outlineLevel="1" collapsed="1" x14ac:dyDescent="0.35"/>
    <row r="73" spans="2:18" outlineLevel="1" x14ac:dyDescent="0.35">
      <c r="B73" s="311" t="s">
        <v>52</v>
      </c>
      <c r="C73" s="312"/>
      <c r="D73" s="300"/>
      <c r="E73" s="312"/>
      <c r="F73" s="312"/>
      <c r="G73" s="312"/>
      <c r="H73" s="312"/>
      <c r="I73" s="312"/>
      <c r="J73" s="54"/>
      <c r="K73" s="54"/>
      <c r="L73" s="54"/>
      <c r="M73" s="54"/>
      <c r="N73" s="54"/>
      <c r="O73" s="54"/>
      <c r="P73" s="54"/>
      <c r="Q73" s="54"/>
      <c r="R73" s="54"/>
    </row>
    <row r="74" spans="2:18" outlineLevel="2" x14ac:dyDescent="0.35">
      <c r="B74" s="302"/>
      <c r="C74" s="27" t="s">
        <v>134</v>
      </c>
      <c r="D74" s="73">
        <f>$C$3</f>
        <v>2024</v>
      </c>
      <c r="E74" s="73">
        <f>$C$3+1</f>
        <v>2025</v>
      </c>
      <c r="F74" s="73">
        <f>$C$3+2</f>
        <v>2026</v>
      </c>
      <c r="G74" s="73">
        <f>$C$3+3</f>
        <v>2027</v>
      </c>
      <c r="H74" s="73">
        <f>$C$3+4</f>
        <v>2028</v>
      </c>
      <c r="I74" s="47" t="str">
        <f>D74&amp; "-"&amp;H74</f>
        <v>2024-2028</v>
      </c>
    </row>
    <row r="75" spans="2:18" outlineLevel="2" x14ac:dyDescent="0.35">
      <c r="B75" s="48" t="s">
        <v>74</v>
      </c>
      <c r="C75" s="49" t="s">
        <v>135</v>
      </c>
      <c r="D75" s="6">
        <v>0</v>
      </c>
      <c r="E75" s="6">
        <v>2</v>
      </c>
      <c r="F75" s="6">
        <v>4</v>
      </c>
      <c r="G75" s="6">
        <v>3</v>
      </c>
      <c r="H75" s="6">
        <v>3</v>
      </c>
      <c r="I75" s="155">
        <f t="shared" ref="I75:I106" si="2">SUM(D75:H75)</f>
        <v>12</v>
      </c>
    </row>
    <row r="76" spans="2:18" outlineLevel="2" x14ac:dyDescent="0.35">
      <c r="B76" s="48" t="s">
        <v>75</v>
      </c>
      <c r="C76" s="49" t="s">
        <v>135</v>
      </c>
      <c r="D76" s="6">
        <v>2</v>
      </c>
      <c r="E76" s="6">
        <v>4</v>
      </c>
      <c r="F76" s="6">
        <v>4</v>
      </c>
      <c r="G76" s="6">
        <v>4</v>
      </c>
      <c r="H76" s="6">
        <v>3</v>
      </c>
      <c r="I76" s="155">
        <f t="shared" si="2"/>
        <v>17</v>
      </c>
    </row>
    <row r="77" spans="2:18" outlineLevel="2" x14ac:dyDescent="0.35">
      <c r="B77" s="48" t="s">
        <v>76</v>
      </c>
      <c r="C77" s="49" t="s">
        <v>135</v>
      </c>
      <c r="D77" s="6">
        <v>3</v>
      </c>
      <c r="E77" s="6">
        <v>6</v>
      </c>
      <c r="F77" s="6">
        <v>9</v>
      </c>
      <c r="G77" s="6">
        <v>8</v>
      </c>
      <c r="H77" s="6">
        <v>8</v>
      </c>
      <c r="I77" s="155">
        <f t="shared" si="2"/>
        <v>34</v>
      </c>
    </row>
    <row r="78" spans="2:18" outlineLevel="2" x14ac:dyDescent="0.35">
      <c r="B78" s="48" t="s">
        <v>77</v>
      </c>
      <c r="C78" s="49" t="s">
        <v>135</v>
      </c>
      <c r="D78" s="6">
        <v>1</v>
      </c>
      <c r="E78" s="6">
        <v>1</v>
      </c>
      <c r="F78" s="6">
        <v>2</v>
      </c>
      <c r="G78" s="6">
        <v>1</v>
      </c>
      <c r="H78" s="6">
        <v>1</v>
      </c>
      <c r="I78" s="155">
        <f t="shared" si="2"/>
        <v>6</v>
      </c>
    </row>
    <row r="79" spans="2:18" outlineLevel="2" x14ac:dyDescent="0.35">
      <c r="B79" s="48" t="s">
        <v>78</v>
      </c>
      <c r="C79" s="49" t="s">
        <v>135</v>
      </c>
      <c r="D79" s="6">
        <v>85</v>
      </c>
      <c r="E79" s="6">
        <v>108</v>
      </c>
      <c r="F79" s="6">
        <v>91</v>
      </c>
      <c r="G79" s="6">
        <v>83</v>
      </c>
      <c r="H79" s="6">
        <v>73</v>
      </c>
      <c r="I79" s="155">
        <f t="shared" si="2"/>
        <v>440</v>
      </c>
    </row>
    <row r="80" spans="2:18" outlineLevel="2" x14ac:dyDescent="0.35">
      <c r="B80" s="48" t="s">
        <v>79</v>
      </c>
      <c r="C80" s="49" t="s">
        <v>135</v>
      </c>
      <c r="D80" s="6">
        <v>1</v>
      </c>
      <c r="E80" s="6">
        <v>1</v>
      </c>
      <c r="F80" s="6">
        <v>1</v>
      </c>
      <c r="G80" s="6">
        <v>1</v>
      </c>
      <c r="H80" s="6">
        <v>3</v>
      </c>
      <c r="I80" s="155">
        <f t="shared" si="2"/>
        <v>7</v>
      </c>
    </row>
    <row r="81" spans="2:9" outlineLevel="2" x14ac:dyDescent="0.35">
      <c r="B81" s="48" t="s">
        <v>80</v>
      </c>
      <c r="C81" s="49" t="s">
        <v>135</v>
      </c>
      <c r="D81" s="6">
        <v>4</v>
      </c>
      <c r="E81" s="6">
        <v>5</v>
      </c>
      <c r="F81" s="6">
        <v>4</v>
      </c>
      <c r="G81" s="6">
        <v>3</v>
      </c>
      <c r="H81" s="6">
        <v>3</v>
      </c>
      <c r="I81" s="155">
        <f t="shared" si="2"/>
        <v>19</v>
      </c>
    </row>
    <row r="82" spans="2:9" outlineLevel="2" x14ac:dyDescent="0.35">
      <c r="B82" s="48" t="s">
        <v>81</v>
      </c>
      <c r="C82" s="49" t="s">
        <v>135</v>
      </c>
      <c r="D82" s="6">
        <v>4</v>
      </c>
      <c r="E82" s="6">
        <v>5</v>
      </c>
      <c r="F82" s="6">
        <v>4</v>
      </c>
      <c r="G82" s="6">
        <v>3</v>
      </c>
      <c r="H82" s="6">
        <v>2</v>
      </c>
      <c r="I82" s="155">
        <f t="shared" si="2"/>
        <v>18</v>
      </c>
    </row>
    <row r="83" spans="2:9" outlineLevel="2" x14ac:dyDescent="0.35">
      <c r="B83" s="48" t="s">
        <v>82</v>
      </c>
      <c r="C83" s="49" t="s">
        <v>135</v>
      </c>
      <c r="D83" s="6">
        <v>0</v>
      </c>
      <c r="E83" s="6">
        <v>0</v>
      </c>
      <c r="F83" s="6">
        <v>0</v>
      </c>
      <c r="G83" s="6">
        <v>0</v>
      </c>
      <c r="H83" s="6">
        <v>0</v>
      </c>
      <c r="I83" s="155">
        <f t="shared" si="2"/>
        <v>0</v>
      </c>
    </row>
    <row r="84" spans="2:9" outlineLevel="2" x14ac:dyDescent="0.35">
      <c r="B84" s="48" t="s">
        <v>83</v>
      </c>
      <c r="C84" s="49" t="s">
        <v>135</v>
      </c>
      <c r="D84" s="6">
        <v>3</v>
      </c>
      <c r="E84" s="6">
        <v>5</v>
      </c>
      <c r="F84" s="6">
        <v>4</v>
      </c>
      <c r="G84" s="6">
        <v>4</v>
      </c>
      <c r="H84" s="6">
        <v>4</v>
      </c>
      <c r="I84" s="155">
        <f t="shared" si="2"/>
        <v>20</v>
      </c>
    </row>
    <row r="85" spans="2:9" outlineLevel="2" x14ac:dyDescent="0.35">
      <c r="B85" s="48" t="s">
        <v>84</v>
      </c>
      <c r="C85" s="49" t="s">
        <v>135</v>
      </c>
      <c r="D85" s="6">
        <v>2</v>
      </c>
      <c r="E85" s="6">
        <v>3</v>
      </c>
      <c r="F85" s="6">
        <v>5</v>
      </c>
      <c r="G85" s="6">
        <v>6</v>
      </c>
      <c r="H85" s="6">
        <v>5</v>
      </c>
      <c r="I85" s="155">
        <f t="shared" si="2"/>
        <v>21</v>
      </c>
    </row>
    <row r="86" spans="2:9" outlineLevel="2" x14ac:dyDescent="0.35">
      <c r="B86" s="48" t="s">
        <v>85</v>
      </c>
      <c r="C86" s="49" t="s">
        <v>135</v>
      </c>
      <c r="D86" s="6">
        <v>0</v>
      </c>
      <c r="E86" s="6">
        <v>1</v>
      </c>
      <c r="F86" s="6">
        <v>1</v>
      </c>
      <c r="G86" s="6">
        <v>1</v>
      </c>
      <c r="H86" s="6">
        <v>1</v>
      </c>
      <c r="I86" s="155">
        <f t="shared" si="2"/>
        <v>4</v>
      </c>
    </row>
    <row r="87" spans="2:9" outlineLevel="2" x14ac:dyDescent="0.35">
      <c r="B87" s="48" t="s">
        <v>86</v>
      </c>
      <c r="C87" s="49" t="s">
        <v>135</v>
      </c>
      <c r="D87" s="6">
        <v>3</v>
      </c>
      <c r="E87" s="6">
        <v>9</v>
      </c>
      <c r="F87" s="6">
        <v>12</v>
      </c>
      <c r="G87" s="6">
        <v>11</v>
      </c>
      <c r="H87" s="6">
        <v>9</v>
      </c>
      <c r="I87" s="155">
        <f t="shared" si="2"/>
        <v>44</v>
      </c>
    </row>
    <row r="88" spans="2:9" outlineLevel="2" x14ac:dyDescent="0.35">
      <c r="B88" s="48" t="s">
        <v>87</v>
      </c>
      <c r="C88" s="49" t="s">
        <v>135</v>
      </c>
      <c r="D88" s="6">
        <v>3</v>
      </c>
      <c r="E88" s="6">
        <v>7</v>
      </c>
      <c r="F88" s="6">
        <v>5</v>
      </c>
      <c r="G88" s="6">
        <v>4</v>
      </c>
      <c r="H88" s="6">
        <v>6</v>
      </c>
      <c r="I88" s="155">
        <f t="shared" si="2"/>
        <v>25</v>
      </c>
    </row>
    <row r="89" spans="2:9" outlineLevel="2" x14ac:dyDescent="0.35">
      <c r="B89" s="48" t="s">
        <v>88</v>
      </c>
      <c r="C89" s="49" t="s">
        <v>135</v>
      </c>
      <c r="D89" s="6">
        <v>7</v>
      </c>
      <c r="E89" s="6">
        <v>11</v>
      </c>
      <c r="F89" s="6">
        <v>12</v>
      </c>
      <c r="G89" s="6">
        <v>9</v>
      </c>
      <c r="H89" s="6">
        <v>11</v>
      </c>
      <c r="I89" s="155">
        <f t="shared" si="2"/>
        <v>50</v>
      </c>
    </row>
    <row r="90" spans="2:9" outlineLevel="2" x14ac:dyDescent="0.35">
      <c r="B90" s="48" t="s">
        <v>89</v>
      </c>
      <c r="C90" s="49" t="s">
        <v>135</v>
      </c>
      <c r="D90" s="6">
        <v>3</v>
      </c>
      <c r="E90" s="6">
        <v>3</v>
      </c>
      <c r="F90" s="6">
        <v>4</v>
      </c>
      <c r="G90" s="6">
        <v>5</v>
      </c>
      <c r="H90" s="6">
        <v>4</v>
      </c>
      <c r="I90" s="155">
        <f t="shared" si="2"/>
        <v>19</v>
      </c>
    </row>
    <row r="91" spans="2:9" outlineLevel="2" x14ac:dyDescent="0.35">
      <c r="B91" s="48" t="s">
        <v>90</v>
      </c>
      <c r="C91" s="49" t="s">
        <v>135</v>
      </c>
      <c r="D91" s="6">
        <v>0</v>
      </c>
      <c r="E91" s="6">
        <v>0</v>
      </c>
      <c r="F91" s="6">
        <v>0</v>
      </c>
      <c r="G91" s="6">
        <v>1</v>
      </c>
      <c r="H91" s="6">
        <v>0</v>
      </c>
      <c r="I91" s="155">
        <f t="shared" si="2"/>
        <v>1</v>
      </c>
    </row>
    <row r="92" spans="2:9" outlineLevel="2" x14ac:dyDescent="0.35">
      <c r="B92" s="48" t="s">
        <v>91</v>
      </c>
      <c r="C92" s="49" t="s">
        <v>135</v>
      </c>
      <c r="D92" s="6">
        <v>0</v>
      </c>
      <c r="E92" s="6">
        <v>0</v>
      </c>
      <c r="F92" s="6">
        <v>0</v>
      </c>
      <c r="G92" s="6">
        <v>0</v>
      </c>
      <c r="H92" s="6">
        <v>0</v>
      </c>
      <c r="I92" s="155">
        <f t="shared" si="2"/>
        <v>0</v>
      </c>
    </row>
    <row r="93" spans="2:9" outlineLevel="2" x14ac:dyDescent="0.35">
      <c r="B93" s="48" t="s">
        <v>92</v>
      </c>
      <c r="C93" s="49" t="s">
        <v>135</v>
      </c>
      <c r="D93" s="6">
        <v>3</v>
      </c>
      <c r="E93" s="6">
        <v>5</v>
      </c>
      <c r="F93" s="6">
        <v>6</v>
      </c>
      <c r="G93" s="6">
        <v>4</v>
      </c>
      <c r="H93" s="6">
        <v>4</v>
      </c>
      <c r="I93" s="155">
        <f t="shared" si="2"/>
        <v>22</v>
      </c>
    </row>
    <row r="94" spans="2:9" outlineLevel="2" x14ac:dyDescent="0.35">
      <c r="B94" s="48" t="s">
        <v>93</v>
      </c>
      <c r="C94" s="49" t="s">
        <v>135</v>
      </c>
      <c r="D94" s="6">
        <v>5</v>
      </c>
      <c r="E94" s="6">
        <v>8</v>
      </c>
      <c r="F94" s="6">
        <v>17</v>
      </c>
      <c r="G94" s="6">
        <v>15</v>
      </c>
      <c r="H94" s="6">
        <v>14</v>
      </c>
      <c r="I94" s="155">
        <f t="shared" si="2"/>
        <v>59</v>
      </c>
    </row>
    <row r="95" spans="2:9" outlineLevel="2" x14ac:dyDescent="0.35">
      <c r="B95" s="48" t="s">
        <v>94</v>
      </c>
      <c r="C95" s="49" t="s">
        <v>135</v>
      </c>
      <c r="D95" s="6">
        <v>2</v>
      </c>
      <c r="E95" s="6">
        <v>5</v>
      </c>
      <c r="F95" s="6">
        <v>5</v>
      </c>
      <c r="G95" s="6">
        <v>5</v>
      </c>
      <c r="H95" s="6">
        <v>5</v>
      </c>
      <c r="I95" s="155">
        <f t="shared" si="2"/>
        <v>22</v>
      </c>
    </row>
    <row r="96" spans="2:9" outlineLevel="2" x14ac:dyDescent="0.35">
      <c r="B96" s="48" t="s">
        <v>95</v>
      </c>
      <c r="C96" s="49" t="s">
        <v>135</v>
      </c>
      <c r="D96" s="6">
        <v>1</v>
      </c>
      <c r="E96" s="6">
        <v>2</v>
      </c>
      <c r="F96" s="6">
        <v>3</v>
      </c>
      <c r="G96" s="6">
        <v>3</v>
      </c>
      <c r="H96" s="6">
        <v>2</v>
      </c>
      <c r="I96" s="155">
        <f t="shared" si="2"/>
        <v>11</v>
      </c>
    </row>
    <row r="97" spans="2:9" outlineLevel="2" x14ac:dyDescent="0.35">
      <c r="B97" s="48" t="s">
        <v>96</v>
      </c>
      <c r="C97" s="49" t="s">
        <v>135</v>
      </c>
      <c r="D97" s="6">
        <v>1</v>
      </c>
      <c r="E97" s="6">
        <v>2</v>
      </c>
      <c r="F97" s="6">
        <v>4</v>
      </c>
      <c r="G97" s="6">
        <v>3</v>
      </c>
      <c r="H97" s="6">
        <v>3</v>
      </c>
      <c r="I97" s="155">
        <f t="shared" si="2"/>
        <v>13</v>
      </c>
    </row>
    <row r="98" spans="2:9" outlineLevel="2" x14ac:dyDescent="0.35">
      <c r="B98" s="48" t="s">
        <v>97</v>
      </c>
      <c r="C98" s="49" t="s">
        <v>135</v>
      </c>
      <c r="D98" s="6">
        <v>8</v>
      </c>
      <c r="E98" s="6">
        <v>16</v>
      </c>
      <c r="F98" s="6">
        <v>14</v>
      </c>
      <c r="G98" s="6">
        <v>10</v>
      </c>
      <c r="H98" s="6">
        <v>14</v>
      </c>
      <c r="I98" s="155">
        <f t="shared" si="2"/>
        <v>62</v>
      </c>
    </row>
    <row r="99" spans="2:9" outlineLevel="2" x14ac:dyDescent="0.35">
      <c r="B99" s="48" t="s">
        <v>98</v>
      </c>
      <c r="C99" s="49" t="s">
        <v>135</v>
      </c>
      <c r="D99" s="6">
        <v>1</v>
      </c>
      <c r="E99" s="6">
        <v>4</v>
      </c>
      <c r="F99" s="6">
        <v>5</v>
      </c>
      <c r="G99" s="6">
        <v>5</v>
      </c>
      <c r="H99" s="6">
        <v>6</v>
      </c>
      <c r="I99" s="155">
        <f t="shared" si="2"/>
        <v>21</v>
      </c>
    </row>
    <row r="100" spans="2:9" outlineLevel="2" x14ac:dyDescent="0.35">
      <c r="B100" s="48" t="s">
        <v>99</v>
      </c>
      <c r="C100" s="49" t="s">
        <v>135</v>
      </c>
      <c r="D100" s="6">
        <v>9</v>
      </c>
      <c r="E100" s="6">
        <v>12</v>
      </c>
      <c r="F100" s="6">
        <v>10</v>
      </c>
      <c r="G100" s="6">
        <v>10</v>
      </c>
      <c r="H100" s="6">
        <v>8</v>
      </c>
      <c r="I100" s="155">
        <f t="shared" si="2"/>
        <v>49</v>
      </c>
    </row>
    <row r="101" spans="2:9" outlineLevel="2" x14ac:dyDescent="0.35">
      <c r="B101" s="48" t="s">
        <v>100</v>
      </c>
      <c r="C101" s="49" t="s">
        <v>135</v>
      </c>
      <c r="D101" s="6">
        <v>5</v>
      </c>
      <c r="E101" s="6">
        <v>10</v>
      </c>
      <c r="F101" s="6">
        <v>10</v>
      </c>
      <c r="G101" s="6">
        <v>9</v>
      </c>
      <c r="H101" s="6">
        <v>13</v>
      </c>
      <c r="I101" s="155">
        <f t="shared" si="2"/>
        <v>47</v>
      </c>
    </row>
    <row r="102" spans="2:9" outlineLevel="2" x14ac:dyDescent="0.35">
      <c r="B102" s="48" t="s">
        <v>101</v>
      </c>
      <c r="C102" s="49" t="s">
        <v>135</v>
      </c>
      <c r="D102" s="6">
        <v>0</v>
      </c>
      <c r="E102" s="6">
        <v>0</v>
      </c>
      <c r="F102" s="6">
        <v>0</v>
      </c>
      <c r="G102" s="6">
        <v>0</v>
      </c>
      <c r="H102" s="6">
        <v>0</v>
      </c>
      <c r="I102" s="155">
        <f t="shared" si="2"/>
        <v>0</v>
      </c>
    </row>
    <row r="103" spans="2:9" outlineLevel="2" x14ac:dyDescent="0.35">
      <c r="B103" s="48" t="s">
        <v>102</v>
      </c>
      <c r="C103" s="49" t="s">
        <v>135</v>
      </c>
      <c r="D103" s="6">
        <v>2</v>
      </c>
      <c r="E103" s="6">
        <v>2</v>
      </c>
      <c r="F103" s="6">
        <v>2</v>
      </c>
      <c r="G103" s="6">
        <v>2</v>
      </c>
      <c r="H103" s="6">
        <v>1</v>
      </c>
      <c r="I103" s="155">
        <f t="shared" si="2"/>
        <v>9</v>
      </c>
    </row>
    <row r="104" spans="2:9" outlineLevel="2" x14ac:dyDescent="0.35">
      <c r="B104" s="48" t="s">
        <v>103</v>
      </c>
      <c r="C104" s="49" t="s">
        <v>135</v>
      </c>
      <c r="D104" s="6">
        <v>0</v>
      </c>
      <c r="E104" s="6">
        <v>0</v>
      </c>
      <c r="F104" s="6">
        <v>0</v>
      </c>
      <c r="G104" s="6">
        <v>0</v>
      </c>
      <c r="H104" s="6">
        <v>0</v>
      </c>
      <c r="I104" s="155">
        <f t="shared" si="2"/>
        <v>0</v>
      </c>
    </row>
    <row r="105" spans="2:9" outlineLevel="2" x14ac:dyDescent="0.35">
      <c r="B105" s="48" t="s">
        <v>104</v>
      </c>
      <c r="C105" s="49" t="s">
        <v>135</v>
      </c>
      <c r="D105" s="6">
        <v>0</v>
      </c>
      <c r="E105" s="6">
        <v>0</v>
      </c>
      <c r="F105" s="6">
        <v>0</v>
      </c>
      <c r="G105" s="6">
        <v>2</v>
      </c>
      <c r="H105" s="6">
        <v>3</v>
      </c>
      <c r="I105" s="155">
        <f t="shared" si="2"/>
        <v>5</v>
      </c>
    </row>
    <row r="106" spans="2:9" outlineLevel="2" x14ac:dyDescent="0.35">
      <c r="B106" s="48" t="s">
        <v>136</v>
      </c>
      <c r="C106" s="49" t="s">
        <v>135</v>
      </c>
      <c r="D106" s="6">
        <v>0</v>
      </c>
      <c r="E106" s="6">
        <v>0</v>
      </c>
      <c r="F106" s="6">
        <v>0</v>
      </c>
      <c r="G106" s="6">
        <v>2</v>
      </c>
      <c r="H106" s="6">
        <v>1</v>
      </c>
      <c r="I106" s="155">
        <f t="shared" si="2"/>
        <v>3</v>
      </c>
    </row>
    <row r="107" spans="2:9" outlineLevel="2" x14ac:dyDescent="0.35">
      <c r="B107" s="48" t="s">
        <v>106</v>
      </c>
      <c r="C107" s="49" t="s">
        <v>135</v>
      </c>
      <c r="D107" s="6">
        <v>1</v>
      </c>
      <c r="E107" s="6">
        <v>2</v>
      </c>
      <c r="F107" s="6">
        <v>1</v>
      </c>
      <c r="G107" s="6">
        <v>1</v>
      </c>
      <c r="H107" s="6">
        <v>3</v>
      </c>
      <c r="I107" s="155">
        <f t="shared" ref="I107:I128" si="3">SUM(D107:H107)</f>
        <v>8</v>
      </c>
    </row>
    <row r="108" spans="2:9" outlineLevel="2" x14ac:dyDescent="0.35">
      <c r="B108" s="48" t="s">
        <v>107</v>
      </c>
      <c r="C108" s="49" t="s">
        <v>135</v>
      </c>
      <c r="D108" s="6">
        <v>3</v>
      </c>
      <c r="E108" s="6">
        <v>4</v>
      </c>
      <c r="F108" s="6">
        <v>4</v>
      </c>
      <c r="G108" s="6">
        <v>3</v>
      </c>
      <c r="H108" s="6">
        <v>2</v>
      </c>
      <c r="I108" s="155">
        <f t="shared" si="3"/>
        <v>16</v>
      </c>
    </row>
    <row r="109" spans="2:9" outlineLevel="2" x14ac:dyDescent="0.35">
      <c r="B109" s="48" t="s">
        <v>108</v>
      </c>
      <c r="C109" s="49" t="s">
        <v>135</v>
      </c>
      <c r="D109" s="6">
        <v>6</v>
      </c>
      <c r="E109" s="6">
        <v>6</v>
      </c>
      <c r="F109" s="6">
        <v>10</v>
      </c>
      <c r="G109" s="6">
        <v>11</v>
      </c>
      <c r="H109" s="6">
        <v>10</v>
      </c>
      <c r="I109" s="155">
        <f t="shared" si="3"/>
        <v>43</v>
      </c>
    </row>
    <row r="110" spans="2:9" outlineLevel="2" x14ac:dyDescent="0.35">
      <c r="B110" s="48" t="s">
        <v>109</v>
      </c>
      <c r="C110" s="49" t="s">
        <v>135</v>
      </c>
      <c r="D110" s="6">
        <v>3</v>
      </c>
      <c r="E110" s="6">
        <v>4</v>
      </c>
      <c r="F110" s="6">
        <v>4</v>
      </c>
      <c r="G110" s="6">
        <v>3</v>
      </c>
      <c r="H110" s="6">
        <v>2</v>
      </c>
      <c r="I110" s="155">
        <f t="shared" si="3"/>
        <v>16</v>
      </c>
    </row>
    <row r="111" spans="2:9" outlineLevel="2" x14ac:dyDescent="0.35">
      <c r="B111" s="48" t="s">
        <v>110</v>
      </c>
      <c r="C111" s="49" t="s">
        <v>135</v>
      </c>
      <c r="D111" s="6">
        <v>4</v>
      </c>
      <c r="E111" s="6">
        <v>5</v>
      </c>
      <c r="F111" s="6">
        <v>4</v>
      </c>
      <c r="G111" s="6">
        <v>3</v>
      </c>
      <c r="H111" s="6">
        <v>3</v>
      </c>
      <c r="I111" s="155">
        <f t="shared" si="3"/>
        <v>19</v>
      </c>
    </row>
    <row r="112" spans="2:9" outlineLevel="2" x14ac:dyDescent="0.35">
      <c r="B112" s="48" t="s">
        <v>111</v>
      </c>
      <c r="C112" s="49" t="s">
        <v>135</v>
      </c>
      <c r="D112" s="6">
        <v>2</v>
      </c>
      <c r="E112" s="6">
        <v>3</v>
      </c>
      <c r="F112" s="6">
        <v>5</v>
      </c>
      <c r="G112" s="6">
        <v>3</v>
      </c>
      <c r="H112" s="6">
        <v>3</v>
      </c>
      <c r="I112" s="155">
        <f t="shared" si="3"/>
        <v>16</v>
      </c>
    </row>
    <row r="113" spans="2:9" outlineLevel="2" x14ac:dyDescent="0.35">
      <c r="B113" s="48" t="s">
        <v>112</v>
      </c>
      <c r="C113" s="49" t="s">
        <v>135</v>
      </c>
      <c r="D113" s="6">
        <v>4</v>
      </c>
      <c r="E113" s="6">
        <v>6</v>
      </c>
      <c r="F113" s="6">
        <v>7</v>
      </c>
      <c r="G113" s="6">
        <v>7</v>
      </c>
      <c r="H113" s="6">
        <v>8</v>
      </c>
      <c r="I113" s="155">
        <f t="shared" si="3"/>
        <v>32</v>
      </c>
    </row>
    <row r="114" spans="2:9" outlineLevel="2" x14ac:dyDescent="0.35">
      <c r="B114" s="48" t="s">
        <v>113</v>
      </c>
      <c r="C114" s="49" t="s">
        <v>135</v>
      </c>
      <c r="D114" s="6">
        <v>0</v>
      </c>
      <c r="E114" s="6">
        <v>0</v>
      </c>
      <c r="F114" s="6">
        <v>0</v>
      </c>
      <c r="G114" s="6">
        <v>0</v>
      </c>
      <c r="H114" s="6">
        <v>0</v>
      </c>
      <c r="I114" s="155">
        <f t="shared" si="3"/>
        <v>0</v>
      </c>
    </row>
    <row r="115" spans="2:9" outlineLevel="2" x14ac:dyDescent="0.35">
      <c r="B115" s="48" t="s">
        <v>114</v>
      </c>
      <c r="C115" s="49" t="s">
        <v>135</v>
      </c>
      <c r="D115" s="6">
        <v>3</v>
      </c>
      <c r="E115" s="6">
        <v>4</v>
      </c>
      <c r="F115" s="6">
        <v>3</v>
      </c>
      <c r="G115" s="6">
        <v>2</v>
      </c>
      <c r="H115" s="6">
        <v>2</v>
      </c>
      <c r="I115" s="155">
        <f t="shared" si="3"/>
        <v>14</v>
      </c>
    </row>
    <row r="116" spans="2:9" outlineLevel="2" x14ac:dyDescent="0.35">
      <c r="B116" s="48" t="s">
        <v>115</v>
      </c>
      <c r="C116" s="49" t="s">
        <v>135</v>
      </c>
      <c r="D116" s="6">
        <v>2</v>
      </c>
      <c r="E116" s="6">
        <v>3</v>
      </c>
      <c r="F116" s="6">
        <v>3</v>
      </c>
      <c r="G116" s="6">
        <v>4</v>
      </c>
      <c r="H116" s="6">
        <v>4</v>
      </c>
      <c r="I116" s="155">
        <f t="shared" si="3"/>
        <v>16</v>
      </c>
    </row>
    <row r="117" spans="2:9" outlineLevel="2" x14ac:dyDescent="0.35">
      <c r="B117" s="48" t="s">
        <v>116</v>
      </c>
      <c r="C117" s="49" t="s">
        <v>135</v>
      </c>
      <c r="D117" s="6">
        <v>4</v>
      </c>
      <c r="E117" s="6">
        <v>5</v>
      </c>
      <c r="F117" s="6">
        <v>4</v>
      </c>
      <c r="G117" s="6">
        <v>3</v>
      </c>
      <c r="H117" s="6">
        <v>3</v>
      </c>
      <c r="I117" s="155">
        <f t="shared" si="3"/>
        <v>19</v>
      </c>
    </row>
    <row r="118" spans="2:9" outlineLevel="2" x14ac:dyDescent="0.35">
      <c r="B118" s="48" t="s">
        <v>117</v>
      </c>
      <c r="C118" s="49" t="s">
        <v>135</v>
      </c>
      <c r="D118" s="6">
        <v>12</v>
      </c>
      <c r="E118" s="6">
        <v>22</v>
      </c>
      <c r="F118" s="6">
        <v>22</v>
      </c>
      <c r="G118" s="6">
        <v>26</v>
      </c>
      <c r="H118" s="6">
        <v>22</v>
      </c>
      <c r="I118" s="155">
        <f t="shared" si="3"/>
        <v>104</v>
      </c>
    </row>
    <row r="119" spans="2:9" outlineLevel="2" x14ac:dyDescent="0.35">
      <c r="B119" s="48" t="s">
        <v>118</v>
      </c>
      <c r="C119" s="49" t="s">
        <v>135</v>
      </c>
      <c r="D119" s="6">
        <v>1</v>
      </c>
      <c r="E119" s="6">
        <v>2</v>
      </c>
      <c r="F119" s="6">
        <v>1</v>
      </c>
      <c r="G119" s="6">
        <v>1</v>
      </c>
      <c r="H119" s="6">
        <v>1</v>
      </c>
      <c r="I119" s="155">
        <f t="shared" si="3"/>
        <v>6</v>
      </c>
    </row>
    <row r="120" spans="2:9" outlineLevel="2" x14ac:dyDescent="0.35">
      <c r="B120" s="48" t="s">
        <v>119</v>
      </c>
      <c r="C120" s="49" t="s">
        <v>135</v>
      </c>
      <c r="D120" s="6">
        <v>0</v>
      </c>
      <c r="E120" s="6">
        <v>0</v>
      </c>
      <c r="F120" s="6">
        <v>0</v>
      </c>
      <c r="G120" s="6">
        <v>0</v>
      </c>
      <c r="H120" s="6">
        <v>0</v>
      </c>
      <c r="I120" s="155">
        <f t="shared" si="3"/>
        <v>0</v>
      </c>
    </row>
    <row r="121" spans="2:9" outlineLevel="2" x14ac:dyDescent="0.35">
      <c r="B121" s="48" t="s">
        <v>120</v>
      </c>
      <c r="C121" s="49" t="s">
        <v>135</v>
      </c>
      <c r="D121" s="6">
        <v>7</v>
      </c>
      <c r="E121" s="6">
        <v>11</v>
      </c>
      <c r="F121" s="6">
        <v>10</v>
      </c>
      <c r="G121" s="6">
        <v>9</v>
      </c>
      <c r="H121" s="6">
        <v>9</v>
      </c>
      <c r="I121" s="155">
        <f t="shared" si="3"/>
        <v>46</v>
      </c>
    </row>
    <row r="122" spans="2:9" outlineLevel="2" x14ac:dyDescent="0.35">
      <c r="B122" s="48" t="s">
        <v>121</v>
      </c>
      <c r="C122" s="49" t="s">
        <v>135</v>
      </c>
      <c r="D122" s="6">
        <v>0</v>
      </c>
      <c r="E122" s="6">
        <v>2</v>
      </c>
      <c r="F122" s="6">
        <v>3</v>
      </c>
      <c r="G122" s="6">
        <v>4</v>
      </c>
      <c r="H122" s="6">
        <v>6</v>
      </c>
      <c r="I122" s="155">
        <f t="shared" si="3"/>
        <v>15</v>
      </c>
    </row>
    <row r="123" spans="2:9" outlineLevel="2" x14ac:dyDescent="0.35">
      <c r="B123" s="48" t="s">
        <v>137</v>
      </c>
      <c r="C123" s="49" t="s">
        <v>135</v>
      </c>
      <c r="D123" s="6">
        <v>0</v>
      </c>
      <c r="E123" s="6">
        <v>0</v>
      </c>
      <c r="F123" s="6">
        <v>0</v>
      </c>
      <c r="G123" s="6">
        <v>0</v>
      </c>
      <c r="H123" s="6">
        <v>0</v>
      </c>
      <c r="I123" s="155">
        <f t="shared" si="3"/>
        <v>0</v>
      </c>
    </row>
    <row r="124" spans="2:9" outlineLevel="2" x14ac:dyDescent="0.35">
      <c r="B124" s="48" t="s">
        <v>123</v>
      </c>
      <c r="C124" s="49" t="s">
        <v>135</v>
      </c>
      <c r="D124" s="6">
        <v>1</v>
      </c>
      <c r="E124" s="6">
        <v>2</v>
      </c>
      <c r="F124" s="6">
        <v>2</v>
      </c>
      <c r="G124" s="6">
        <v>2</v>
      </c>
      <c r="H124" s="6">
        <v>2</v>
      </c>
      <c r="I124" s="155">
        <f t="shared" si="3"/>
        <v>9</v>
      </c>
    </row>
    <row r="125" spans="2:9" outlineLevel="2" x14ac:dyDescent="0.35">
      <c r="B125" s="48" t="s">
        <v>124</v>
      </c>
      <c r="C125" s="49" t="s">
        <v>135</v>
      </c>
      <c r="D125" s="6">
        <v>1</v>
      </c>
      <c r="E125" s="6">
        <v>2</v>
      </c>
      <c r="F125" s="6">
        <v>1</v>
      </c>
      <c r="G125" s="6">
        <v>1</v>
      </c>
      <c r="H125" s="6">
        <v>1</v>
      </c>
      <c r="I125" s="155">
        <f t="shared" si="3"/>
        <v>6</v>
      </c>
    </row>
    <row r="126" spans="2:9" outlineLevel="2" x14ac:dyDescent="0.35">
      <c r="B126" s="48" t="s">
        <v>125</v>
      </c>
      <c r="C126" s="49" t="s">
        <v>135</v>
      </c>
      <c r="D126" s="6">
        <v>3</v>
      </c>
      <c r="E126" s="6">
        <v>3</v>
      </c>
      <c r="F126" s="6">
        <v>3</v>
      </c>
      <c r="G126" s="6">
        <v>2</v>
      </c>
      <c r="H126" s="6">
        <v>2</v>
      </c>
      <c r="I126" s="155">
        <f t="shared" si="3"/>
        <v>13</v>
      </c>
    </row>
    <row r="127" spans="2:9" outlineLevel="2" x14ac:dyDescent="0.35">
      <c r="B127" s="48" t="s">
        <v>126</v>
      </c>
      <c r="C127" s="49" t="s">
        <v>135</v>
      </c>
      <c r="D127" s="6">
        <v>7</v>
      </c>
      <c r="E127" s="6">
        <v>10</v>
      </c>
      <c r="F127" s="6">
        <v>9</v>
      </c>
      <c r="G127" s="6">
        <v>7</v>
      </c>
      <c r="H127" s="6">
        <v>7</v>
      </c>
      <c r="I127" s="155">
        <f t="shared" si="3"/>
        <v>40</v>
      </c>
    </row>
    <row r="128" spans="2:9" outlineLevel="2" x14ac:dyDescent="0.35">
      <c r="B128" s="48" t="s">
        <v>127</v>
      </c>
      <c r="C128" s="49" t="s">
        <v>135</v>
      </c>
      <c r="D128" s="6">
        <v>0</v>
      </c>
      <c r="E128" s="6">
        <v>0</v>
      </c>
      <c r="F128" s="6">
        <v>0</v>
      </c>
      <c r="G128" s="6">
        <v>0</v>
      </c>
      <c r="H128" s="6">
        <v>0</v>
      </c>
      <c r="I128" s="155">
        <f t="shared" si="3"/>
        <v>0</v>
      </c>
    </row>
    <row r="129" spans="2:18" outlineLevel="2" x14ac:dyDescent="0.35">
      <c r="B129" s="246" t="s">
        <v>138</v>
      </c>
      <c r="C129" s="49" t="s">
        <v>135</v>
      </c>
      <c r="D129" s="301">
        <f t="shared" ref="D129:I129" si="4">SUM(D75:D128)</f>
        <v>222</v>
      </c>
      <c r="E129" s="301">
        <f t="shared" si="4"/>
        <v>333</v>
      </c>
      <c r="F129" s="301">
        <f t="shared" si="4"/>
        <v>334</v>
      </c>
      <c r="G129" s="301">
        <f t="shared" si="4"/>
        <v>309</v>
      </c>
      <c r="H129" s="301">
        <f t="shared" si="4"/>
        <v>300</v>
      </c>
      <c r="I129" s="289">
        <f t="shared" si="4"/>
        <v>1498</v>
      </c>
    </row>
    <row r="130" spans="2:18" outlineLevel="1" x14ac:dyDescent="0.35"/>
    <row r="131" spans="2:18" outlineLevel="1" x14ac:dyDescent="0.35">
      <c r="B131" s="311" t="s">
        <v>142</v>
      </c>
      <c r="C131" s="312"/>
      <c r="D131" s="300"/>
      <c r="E131" s="312"/>
      <c r="F131" s="312"/>
      <c r="G131" s="312"/>
      <c r="H131" s="312"/>
      <c r="I131" s="312"/>
      <c r="J131" s="54"/>
      <c r="K131" s="54"/>
      <c r="L131" s="54"/>
      <c r="M131" s="54"/>
      <c r="N131" s="54"/>
      <c r="O131" s="54"/>
      <c r="P131" s="54"/>
      <c r="Q131" s="54"/>
      <c r="R131" s="54"/>
    </row>
    <row r="132" spans="2:18" hidden="1" outlineLevel="2" x14ac:dyDescent="0.35">
      <c r="B132" s="55"/>
      <c r="C132" s="314" t="s">
        <v>134</v>
      </c>
      <c r="D132" s="73">
        <f>$C$3</f>
        <v>2024</v>
      </c>
      <c r="E132" s="73">
        <f>$C$3+1</f>
        <v>2025</v>
      </c>
      <c r="F132" s="73">
        <f>$C$3+2</f>
        <v>2026</v>
      </c>
      <c r="G132" s="73">
        <f>$C$3+3</f>
        <v>2027</v>
      </c>
      <c r="H132" s="73">
        <f>$C$3+4</f>
        <v>2028</v>
      </c>
      <c r="I132" s="47" t="str">
        <f>D132&amp; "-"&amp;H132</f>
        <v>2024-2028</v>
      </c>
    </row>
    <row r="133" spans="2:18" hidden="1" outlineLevel="2" x14ac:dyDescent="0.35">
      <c r="B133" s="48" t="s">
        <v>143</v>
      </c>
      <c r="C133" s="49" t="s">
        <v>141</v>
      </c>
      <c r="D133" s="6"/>
      <c r="E133" s="6"/>
      <c r="F133" s="6"/>
      <c r="G133" s="6"/>
      <c r="H133" s="6"/>
      <c r="I133" s="155">
        <f t="shared" ref="I133" si="5">D133+E133+F133+G133+H133</f>
        <v>0</v>
      </c>
    </row>
    <row r="134" spans="2:18" hidden="1" outlineLevel="2" x14ac:dyDescent="0.35">
      <c r="B134" s="48" t="s">
        <v>140</v>
      </c>
      <c r="C134" s="53" t="s">
        <v>141</v>
      </c>
      <c r="D134" s="4"/>
      <c r="E134" s="4"/>
      <c r="F134" s="4"/>
      <c r="G134" s="4"/>
      <c r="H134" s="4"/>
      <c r="I134" s="155">
        <f>D134+E134+F134+G134+H134</f>
        <v>0</v>
      </c>
    </row>
    <row r="135" spans="2:18" outlineLevel="1" collapsed="1" x14ac:dyDescent="0.35"/>
    <row r="136" spans="2:18" outlineLevel="1" x14ac:dyDescent="0.35">
      <c r="B136" s="311" t="s">
        <v>144</v>
      </c>
      <c r="C136" s="312"/>
      <c r="D136" s="300"/>
      <c r="E136" s="312"/>
      <c r="F136" s="312"/>
      <c r="G136" s="312"/>
      <c r="H136" s="312"/>
      <c r="I136" s="312"/>
      <c r="J136" s="54"/>
      <c r="K136" s="54"/>
      <c r="L136" s="54"/>
      <c r="M136" s="54"/>
      <c r="N136" s="54"/>
      <c r="O136" s="54"/>
      <c r="P136" s="54"/>
      <c r="Q136" s="54"/>
      <c r="R136" s="54"/>
    </row>
    <row r="137" spans="2:18" outlineLevel="2" x14ac:dyDescent="0.35">
      <c r="B137" s="341"/>
      <c r="C137" s="303" t="s">
        <v>134</v>
      </c>
      <c r="D137" s="73">
        <f>$C$3</f>
        <v>2024</v>
      </c>
      <c r="E137" s="73">
        <f>$C$3+1</f>
        <v>2025</v>
      </c>
      <c r="F137" s="73">
        <f>$C$3+2</f>
        <v>2026</v>
      </c>
      <c r="G137" s="73">
        <f>$C$3+3</f>
        <v>2027</v>
      </c>
      <c r="H137" s="73">
        <f>$C$3+4</f>
        <v>2028</v>
      </c>
      <c r="I137" s="47" t="str">
        <f>D137&amp; "-"&amp;H137</f>
        <v>2024-2028</v>
      </c>
    </row>
    <row r="138" spans="2:18" outlineLevel="2" x14ac:dyDescent="0.35">
      <c r="B138" s="342" t="s">
        <v>74</v>
      </c>
      <c r="C138" s="49" t="s">
        <v>135</v>
      </c>
      <c r="D138" s="6"/>
      <c r="E138" s="6"/>
      <c r="F138" s="6"/>
      <c r="G138" s="6"/>
      <c r="H138" s="6"/>
      <c r="I138" s="155"/>
    </row>
    <row r="139" spans="2:18" outlineLevel="2" x14ac:dyDescent="0.35">
      <c r="B139" s="343" t="s">
        <v>75</v>
      </c>
      <c r="C139" s="49" t="s">
        <v>135</v>
      </c>
      <c r="D139" s="304"/>
      <c r="E139" s="304"/>
      <c r="F139" s="304"/>
      <c r="G139" s="304"/>
      <c r="H139" s="304"/>
      <c r="I139" s="155"/>
    </row>
    <row r="140" spans="2:18" outlineLevel="2" x14ac:dyDescent="0.35">
      <c r="B140" s="343" t="s">
        <v>76</v>
      </c>
      <c r="C140" s="49" t="s">
        <v>135</v>
      </c>
      <c r="D140" s="304"/>
      <c r="E140" s="304"/>
      <c r="F140" s="304"/>
      <c r="G140" s="304"/>
      <c r="H140" s="304"/>
      <c r="I140" s="155"/>
    </row>
    <row r="141" spans="2:18" outlineLevel="2" x14ac:dyDescent="0.35">
      <c r="B141" s="343" t="s">
        <v>77</v>
      </c>
      <c r="C141" s="49" t="s">
        <v>135</v>
      </c>
      <c r="D141" s="304"/>
      <c r="E141" s="304"/>
      <c r="F141" s="304"/>
      <c r="G141" s="304"/>
      <c r="H141" s="304"/>
      <c r="I141" s="155"/>
    </row>
    <row r="142" spans="2:18" outlineLevel="2" x14ac:dyDescent="0.35">
      <c r="B142" s="343" t="s">
        <v>78</v>
      </c>
      <c r="C142" s="49" t="s">
        <v>135</v>
      </c>
      <c r="D142" s="304"/>
      <c r="E142" s="304"/>
      <c r="F142" s="304"/>
      <c r="G142" s="304"/>
      <c r="H142" s="304"/>
      <c r="I142" s="155"/>
    </row>
    <row r="143" spans="2:18" outlineLevel="2" x14ac:dyDescent="0.35">
      <c r="B143" s="343" t="s">
        <v>79</v>
      </c>
      <c r="C143" s="49" t="s">
        <v>135</v>
      </c>
      <c r="D143" s="304"/>
      <c r="E143" s="304"/>
      <c r="F143" s="304"/>
      <c r="G143" s="304"/>
      <c r="H143" s="304"/>
      <c r="I143" s="155"/>
    </row>
    <row r="144" spans="2:18" outlineLevel="2" x14ac:dyDescent="0.35">
      <c r="B144" s="343" t="s">
        <v>80</v>
      </c>
      <c r="C144" s="49" t="s">
        <v>135</v>
      </c>
      <c r="D144" s="304"/>
      <c r="E144" s="304"/>
      <c r="F144" s="304"/>
      <c r="G144" s="304"/>
      <c r="H144" s="304"/>
      <c r="I144" s="155"/>
    </row>
    <row r="145" spans="2:9" outlineLevel="2" x14ac:dyDescent="0.35">
      <c r="B145" s="343" t="s">
        <v>81</v>
      </c>
      <c r="C145" s="49" t="s">
        <v>135</v>
      </c>
      <c r="D145" s="304"/>
      <c r="E145" s="304"/>
      <c r="F145" s="304"/>
      <c r="G145" s="304"/>
      <c r="H145" s="304"/>
      <c r="I145" s="155"/>
    </row>
    <row r="146" spans="2:9" outlineLevel="2" x14ac:dyDescent="0.35">
      <c r="B146" s="343" t="s">
        <v>82</v>
      </c>
      <c r="C146" s="49" t="s">
        <v>135</v>
      </c>
      <c r="D146" s="304"/>
      <c r="E146" s="304"/>
      <c r="F146" s="304"/>
      <c r="G146" s="304"/>
      <c r="H146" s="304"/>
      <c r="I146" s="155"/>
    </row>
    <row r="147" spans="2:9" outlineLevel="2" x14ac:dyDescent="0.35">
      <c r="B147" s="343" t="s">
        <v>83</v>
      </c>
      <c r="C147" s="49" t="s">
        <v>135</v>
      </c>
      <c r="D147" s="304"/>
      <c r="E147" s="304"/>
      <c r="F147" s="304"/>
      <c r="G147" s="304"/>
      <c r="H147" s="304"/>
      <c r="I147" s="155"/>
    </row>
    <row r="148" spans="2:9" outlineLevel="2" x14ac:dyDescent="0.35">
      <c r="B148" s="343" t="s">
        <v>84</v>
      </c>
      <c r="C148" s="49" t="s">
        <v>135</v>
      </c>
      <c r="D148" s="304"/>
      <c r="E148" s="304"/>
      <c r="F148" s="304"/>
      <c r="G148" s="304"/>
      <c r="H148" s="304"/>
      <c r="I148" s="155"/>
    </row>
    <row r="149" spans="2:9" outlineLevel="2" x14ac:dyDescent="0.35">
      <c r="B149" s="343" t="s">
        <v>85</v>
      </c>
      <c r="C149" s="49" t="s">
        <v>135</v>
      </c>
      <c r="D149" s="304"/>
      <c r="E149" s="304"/>
      <c r="F149" s="304"/>
      <c r="G149" s="304"/>
      <c r="H149" s="304"/>
      <c r="I149" s="155"/>
    </row>
    <row r="150" spans="2:9" outlineLevel="2" x14ac:dyDescent="0.35">
      <c r="B150" s="343" t="s">
        <v>86</v>
      </c>
      <c r="C150" s="49" t="s">
        <v>135</v>
      </c>
      <c r="D150" s="304"/>
      <c r="E150" s="304"/>
      <c r="F150" s="304"/>
      <c r="G150" s="304"/>
      <c r="H150" s="304"/>
      <c r="I150" s="155"/>
    </row>
    <row r="151" spans="2:9" outlineLevel="2" x14ac:dyDescent="0.35">
      <c r="B151" s="343" t="s">
        <v>87</v>
      </c>
      <c r="C151" s="49" t="s">
        <v>135</v>
      </c>
      <c r="D151" s="304"/>
      <c r="E151" s="304"/>
      <c r="F151" s="304"/>
      <c r="G151" s="304"/>
      <c r="H151" s="304"/>
      <c r="I151" s="155"/>
    </row>
    <row r="152" spans="2:9" outlineLevel="2" x14ac:dyDescent="0.35">
      <c r="B152" s="343" t="s">
        <v>88</v>
      </c>
      <c r="C152" s="49" t="s">
        <v>135</v>
      </c>
      <c r="D152" s="304"/>
      <c r="E152" s="304"/>
      <c r="F152" s="304"/>
      <c r="G152" s="304"/>
      <c r="H152" s="304"/>
      <c r="I152" s="155"/>
    </row>
    <row r="153" spans="2:9" outlineLevel="2" x14ac:dyDescent="0.35">
      <c r="B153" s="343" t="s">
        <v>89</v>
      </c>
      <c r="C153" s="49" t="s">
        <v>135</v>
      </c>
      <c r="D153" s="304"/>
      <c r="E153" s="304"/>
      <c r="F153" s="304"/>
      <c r="G153" s="304"/>
      <c r="H153" s="304"/>
      <c r="I153" s="155"/>
    </row>
    <row r="154" spans="2:9" outlineLevel="2" x14ac:dyDescent="0.35">
      <c r="B154" s="343" t="s">
        <v>90</v>
      </c>
      <c r="C154" s="49" t="s">
        <v>135</v>
      </c>
      <c r="D154" s="304"/>
      <c r="E154" s="304"/>
      <c r="F154" s="304"/>
      <c r="G154" s="304"/>
      <c r="H154" s="304"/>
      <c r="I154" s="155"/>
    </row>
    <row r="155" spans="2:9" outlineLevel="2" x14ac:dyDescent="0.35">
      <c r="B155" s="343" t="s">
        <v>91</v>
      </c>
      <c r="C155" s="49" t="s">
        <v>135</v>
      </c>
      <c r="D155" s="304"/>
      <c r="E155" s="304"/>
      <c r="F155" s="304"/>
      <c r="G155" s="304"/>
      <c r="H155" s="304"/>
      <c r="I155" s="155"/>
    </row>
    <row r="156" spans="2:9" outlineLevel="2" x14ac:dyDescent="0.35">
      <c r="B156" s="343" t="s">
        <v>92</v>
      </c>
      <c r="C156" s="49" t="s">
        <v>135</v>
      </c>
      <c r="D156" s="304"/>
      <c r="E156" s="304"/>
      <c r="F156" s="304"/>
      <c r="G156" s="304"/>
      <c r="H156" s="304"/>
      <c r="I156" s="155"/>
    </row>
    <row r="157" spans="2:9" outlineLevel="2" x14ac:dyDescent="0.35">
      <c r="B157" s="343" t="s">
        <v>93</v>
      </c>
      <c r="C157" s="49" t="s">
        <v>135</v>
      </c>
      <c r="D157" s="304"/>
      <c r="E157" s="304"/>
      <c r="F157" s="304"/>
      <c r="G157" s="304"/>
      <c r="H157" s="304"/>
      <c r="I157" s="155"/>
    </row>
    <row r="158" spans="2:9" outlineLevel="2" x14ac:dyDescent="0.35">
      <c r="B158" s="343" t="s">
        <v>94</v>
      </c>
      <c r="C158" s="49" t="s">
        <v>135</v>
      </c>
      <c r="D158" s="304"/>
      <c r="E158" s="304"/>
      <c r="F158" s="304"/>
      <c r="G158" s="304"/>
      <c r="H158" s="304"/>
      <c r="I158" s="155"/>
    </row>
    <row r="159" spans="2:9" outlineLevel="2" x14ac:dyDescent="0.35">
      <c r="B159" s="343" t="s">
        <v>95</v>
      </c>
      <c r="C159" s="49" t="s">
        <v>135</v>
      </c>
      <c r="D159" s="304"/>
      <c r="E159" s="304"/>
      <c r="F159" s="304"/>
      <c r="G159" s="304"/>
      <c r="H159" s="304"/>
      <c r="I159" s="155"/>
    </row>
    <row r="160" spans="2:9" outlineLevel="2" x14ac:dyDescent="0.35">
      <c r="B160" s="343" t="s">
        <v>96</v>
      </c>
      <c r="C160" s="49" t="s">
        <v>135</v>
      </c>
      <c r="D160" s="304"/>
      <c r="E160" s="304"/>
      <c r="F160" s="304"/>
      <c r="G160" s="304"/>
      <c r="H160" s="304"/>
      <c r="I160" s="155"/>
    </row>
    <row r="161" spans="2:9" outlineLevel="2" x14ac:dyDescent="0.35">
      <c r="B161" s="343" t="s">
        <v>97</v>
      </c>
      <c r="C161" s="49" t="s">
        <v>135</v>
      </c>
      <c r="D161" s="304"/>
      <c r="E161" s="304"/>
      <c r="F161" s="304"/>
      <c r="G161" s="304"/>
      <c r="H161" s="304"/>
      <c r="I161" s="155"/>
    </row>
    <row r="162" spans="2:9" outlineLevel="2" x14ac:dyDescent="0.35">
      <c r="B162" s="343" t="s">
        <v>98</v>
      </c>
      <c r="C162" s="49" t="s">
        <v>135</v>
      </c>
      <c r="D162" s="304"/>
      <c r="E162" s="304"/>
      <c r="F162" s="304"/>
      <c r="G162" s="304"/>
      <c r="H162" s="304"/>
      <c r="I162" s="155"/>
    </row>
    <row r="163" spans="2:9" outlineLevel="2" x14ac:dyDescent="0.35">
      <c r="B163" s="343" t="s">
        <v>99</v>
      </c>
      <c r="C163" s="49" t="s">
        <v>135</v>
      </c>
      <c r="D163" s="304"/>
      <c r="E163" s="304"/>
      <c r="F163" s="304">
        <v>1</v>
      </c>
      <c r="G163" s="304"/>
      <c r="H163" s="304"/>
      <c r="I163" s="155"/>
    </row>
    <row r="164" spans="2:9" outlineLevel="2" x14ac:dyDescent="0.35">
      <c r="B164" s="343" t="s">
        <v>100</v>
      </c>
      <c r="C164" s="49" t="s">
        <v>135</v>
      </c>
      <c r="D164" s="304"/>
      <c r="E164" s="304"/>
      <c r="F164" s="304"/>
      <c r="G164" s="304"/>
      <c r="H164" s="304"/>
      <c r="I164" s="155"/>
    </row>
    <row r="165" spans="2:9" outlineLevel="2" x14ac:dyDescent="0.35">
      <c r="B165" s="343" t="s">
        <v>101</v>
      </c>
      <c r="C165" s="49" t="s">
        <v>135</v>
      </c>
      <c r="D165" s="304">
        <v>1</v>
      </c>
      <c r="E165" s="304"/>
      <c r="F165" s="304"/>
      <c r="G165" s="304"/>
      <c r="H165" s="304"/>
      <c r="I165" s="155"/>
    </row>
    <row r="166" spans="2:9" outlineLevel="2" x14ac:dyDescent="0.35">
      <c r="B166" s="343" t="s">
        <v>102</v>
      </c>
      <c r="C166" s="49" t="s">
        <v>135</v>
      </c>
      <c r="D166" s="304"/>
      <c r="E166" s="304"/>
      <c r="F166" s="304"/>
      <c r="G166" s="304"/>
      <c r="H166" s="304"/>
      <c r="I166" s="155"/>
    </row>
    <row r="167" spans="2:9" outlineLevel="2" x14ac:dyDescent="0.35">
      <c r="B167" s="343" t="s">
        <v>103</v>
      </c>
      <c r="C167" s="49" t="s">
        <v>135</v>
      </c>
      <c r="D167" s="304"/>
      <c r="E167" s="304"/>
      <c r="F167" s="304"/>
      <c r="G167" s="304"/>
      <c r="H167" s="304"/>
      <c r="I167" s="155"/>
    </row>
    <row r="168" spans="2:9" outlineLevel="2" x14ac:dyDescent="0.35">
      <c r="B168" s="343" t="s">
        <v>104</v>
      </c>
      <c r="C168" s="49" t="s">
        <v>135</v>
      </c>
      <c r="D168" s="304"/>
      <c r="E168" s="304"/>
      <c r="F168" s="304"/>
      <c r="G168" s="304"/>
      <c r="H168" s="304"/>
      <c r="I168" s="155"/>
    </row>
    <row r="169" spans="2:9" outlineLevel="2" x14ac:dyDescent="0.35">
      <c r="B169" s="343" t="s">
        <v>136</v>
      </c>
      <c r="C169" s="49" t="s">
        <v>135</v>
      </c>
      <c r="D169" s="304"/>
      <c r="E169" s="304"/>
      <c r="F169" s="304"/>
      <c r="G169" s="304"/>
      <c r="H169" s="304"/>
      <c r="I169" s="155"/>
    </row>
    <row r="170" spans="2:9" outlineLevel="2" x14ac:dyDescent="0.35">
      <c r="B170" s="343" t="s">
        <v>106</v>
      </c>
      <c r="C170" s="49" t="s">
        <v>135</v>
      </c>
      <c r="D170" s="304"/>
      <c r="E170" s="304">
        <v>1</v>
      </c>
      <c r="F170" s="304"/>
      <c r="G170" s="304"/>
      <c r="H170" s="304"/>
      <c r="I170" s="155"/>
    </row>
    <row r="171" spans="2:9" outlineLevel="2" x14ac:dyDescent="0.35">
      <c r="B171" s="343" t="s">
        <v>107</v>
      </c>
      <c r="C171" s="49" t="s">
        <v>135</v>
      </c>
      <c r="D171" s="304"/>
      <c r="E171" s="304"/>
      <c r="F171" s="304"/>
      <c r="G171" s="304"/>
      <c r="H171" s="304"/>
      <c r="I171" s="155"/>
    </row>
    <row r="172" spans="2:9" outlineLevel="2" x14ac:dyDescent="0.35">
      <c r="B172" s="343" t="s">
        <v>108</v>
      </c>
      <c r="C172" s="49" t="s">
        <v>135</v>
      </c>
      <c r="D172" s="304"/>
      <c r="E172" s="304"/>
      <c r="F172" s="304"/>
      <c r="G172" s="304"/>
      <c r="H172" s="304"/>
      <c r="I172" s="155"/>
    </row>
    <row r="173" spans="2:9" outlineLevel="2" x14ac:dyDescent="0.35">
      <c r="B173" s="343" t="s">
        <v>109</v>
      </c>
      <c r="C173" s="49" t="s">
        <v>135</v>
      </c>
      <c r="D173" s="304"/>
      <c r="E173" s="304"/>
      <c r="F173" s="304"/>
      <c r="G173" s="304"/>
      <c r="H173" s="304"/>
      <c r="I173" s="155"/>
    </row>
    <row r="174" spans="2:9" outlineLevel="2" x14ac:dyDescent="0.35">
      <c r="B174" s="343" t="s">
        <v>110</v>
      </c>
      <c r="C174" s="49" t="s">
        <v>135</v>
      </c>
      <c r="D174" s="304"/>
      <c r="E174" s="304"/>
      <c r="F174" s="304"/>
      <c r="G174" s="304"/>
      <c r="H174" s="304"/>
      <c r="I174" s="155"/>
    </row>
    <row r="175" spans="2:9" outlineLevel="2" x14ac:dyDescent="0.35">
      <c r="B175" s="343" t="s">
        <v>111</v>
      </c>
      <c r="C175" s="49" t="s">
        <v>135</v>
      </c>
      <c r="D175" s="304"/>
      <c r="E175" s="304"/>
      <c r="F175" s="304"/>
      <c r="G175" s="304"/>
      <c r="H175" s="304"/>
      <c r="I175" s="155"/>
    </row>
    <row r="176" spans="2:9" outlineLevel="2" x14ac:dyDescent="0.35">
      <c r="B176" s="343" t="s">
        <v>112</v>
      </c>
      <c r="C176" s="49" t="s">
        <v>135</v>
      </c>
      <c r="D176" s="304"/>
      <c r="E176" s="304"/>
      <c r="F176" s="304"/>
      <c r="G176" s="304"/>
      <c r="H176" s="304"/>
      <c r="I176" s="155"/>
    </row>
    <row r="177" spans="2:9" outlineLevel="2" x14ac:dyDescent="0.35">
      <c r="B177" s="343" t="s">
        <v>113</v>
      </c>
      <c r="C177" s="49" t="s">
        <v>135</v>
      </c>
      <c r="D177" s="304"/>
      <c r="E177" s="304"/>
      <c r="F177" s="304"/>
      <c r="G177" s="304"/>
      <c r="H177" s="304"/>
      <c r="I177" s="155"/>
    </row>
    <row r="178" spans="2:9" outlineLevel="2" x14ac:dyDescent="0.35">
      <c r="B178" s="343" t="s">
        <v>114</v>
      </c>
      <c r="C178" s="49" t="s">
        <v>135</v>
      </c>
      <c r="D178" s="304"/>
      <c r="E178" s="304"/>
      <c r="F178" s="304"/>
      <c r="G178" s="304"/>
      <c r="H178" s="304"/>
      <c r="I178" s="155"/>
    </row>
    <row r="179" spans="2:9" outlineLevel="2" x14ac:dyDescent="0.35">
      <c r="B179" s="343" t="s">
        <v>115</v>
      </c>
      <c r="C179" s="49" t="s">
        <v>135</v>
      </c>
      <c r="D179" s="304"/>
      <c r="E179" s="304"/>
      <c r="F179" s="304"/>
      <c r="G179" s="304"/>
      <c r="H179" s="304"/>
      <c r="I179" s="155"/>
    </row>
    <row r="180" spans="2:9" outlineLevel="2" x14ac:dyDescent="0.35">
      <c r="B180" s="343" t="s">
        <v>116</v>
      </c>
      <c r="C180" s="49" t="s">
        <v>135</v>
      </c>
      <c r="D180" s="304"/>
      <c r="E180" s="304"/>
      <c r="F180" s="304"/>
      <c r="G180" s="304"/>
      <c r="H180" s="304"/>
      <c r="I180" s="155"/>
    </row>
    <row r="181" spans="2:9" outlineLevel="2" x14ac:dyDescent="0.35">
      <c r="B181" s="343" t="s">
        <v>117</v>
      </c>
      <c r="C181" s="49" t="s">
        <v>135</v>
      </c>
      <c r="D181" s="304"/>
      <c r="E181" s="304"/>
      <c r="F181" s="304"/>
      <c r="G181" s="304"/>
      <c r="H181" s="304"/>
      <c r="I181" s="155"/>
    </row>
    <row r="182" spans="2:9" outlineLevel="2" x14ac:dyDescent="0.35">
      <c r="B182" s="343" t="s">
        <v>118</v>
      </c>
      <c r="C182" s="49" t="s">
        <v>135</v>
      </c>
      <c r="D182" s="304"/>
      <c r="E182" s="304"/>
      <c r="F182" s="304"/>
      <c r="G182" s="304"/>
      <c r="H182" s="304"/>
      <c r="I182" s="155"/>
    </row>
    <row r="183" spans="2:9" outlineLevel="2" x14ac:dyDescent="0.35">
      <c r="B183" s="343" t="s">
        <v>119</v>
      </c>
      <c r="C183" s="49" t="s">
        <v>135</v>
      </c>
      <c r="D183" s="304"/>
      <c r="E183" s="304"/>
      <c r="F183" s="304"/>
      <c r="G183" s="304"/>
      <c r="H183" s="304"/>
      <c r="I183" s="155"/>
    </row>
    <row r="184" spans="2:9" outlineLevel="2" x14ac:dyDescent="0.35">
      <c r="B184" s="343" t="s">
        <v>120</v>
      </c>
      <c r="C184" s="49" t="s">
        <v>135</v>
      </c>
      <c r="D184" s="304"/>
      <c r="E184" s="304"/>
      <c r="F184" s="304"/>
      <c r="G184" s="304"/>
      <c r="H184" s="304"/>
      <c r="I184" s="155"/>
    </row>
    <row r="185" spans="2:9" outlineLevel="2" x14ac:dyDescent="0.35">
      <c r="B185" s="343" t="s">
        <v>121</v>
      </c>
      <c r="C185" s="49" t="s">
        <v>135</v>
      </c>
      <c r="D185" s="304"/>
      <c r="E185" s="304"/>
      <c r="F185" s="304"/>
      <c r="G185" s="304"/>
      <c r="H185" s="304"/>
      <c r="I185" s="155"/>
    </row>
    <row r="186" spans="2:9" outlineLevel="2" x14ac:dyDescent="0.35">
      <c r="B186" s="343" t="s">
        <v>137</v>
      </c>
      <c r="C186" s="49" t="s">
        <v>135</v>
      </c>
      <c r="D186" s="304"/>
      <c r="E186" s="304"/>
      <c r="F186" s="304"/>
      <c r="G186" s="304"/>
      <c r="H186" s="304"/>
      <c r="I186" s="155"/>
    </row>
    <row r="187" spans="2:9" outlineLevel="2" x14ac:dyDescent="0.35">
      <c r="B187" s="343" t="s">
        <v>123</v>
      </c>
      <c r="C187" s="49" t="s">
        <v>135</v>
      </c>
      <c r="D187" s="304"/>
      <c r="E187" s="304"/>
      <c r="F187" s="304"/>
      <c r="G187" s="304"/>
      <c r="H187" s="304"/>
      <c r="I187" s="155"/>
    </row>
    <row r="188" spans="2:9" outlineLevel="2" x14ac:dyDescent="0.35">
      <c r="B188" s="343" t="s">
        <v>124</v>
      </c>
      <c r="C188" s="49" t="s">
        <v>135</v>
      </c>
      <c r="D188" s="304"/>
      <c r="E188" s="304"/>
      <c r="F188" s="304"/>
      <c r="G188" s="304"/>
      <c r="H188" s="304"/>
      <c r="I188" s="155"/>
    </row>
    <row r="189" spans="2:9" outlineLevel="2" x14ac:dyDescent="0.35">
      <c r="B189" s="343" t="s">
        <v>125</v>
      </c>
      <c r="C189" s="49" t="s">
        <v>135</v>
      </c>
      <c r="D189" s="304"/>
      <c r="E189" s="304"/>
      <c r="F189" s="304"/>
      <c r="G189" s="304"/>
      <c r="H189" s="304"/>
      <c r="I189" s="155"/>
    </row>
    <row r="190" spans="2:9" outlineLevel="2" x14ac:dyDescent="0.35">
      <c r="B190" s="342" t="s">
        <v>126</v>
      </c>
      <c r="C190" s="49" t="s">
        <v>135</v>
      </c>
      <c r="D190" s="6"/>
      <c r="E190" s="6"/>
      <c r="F190" s="6"/>
      <c r="G190" s="6"/>
      <c r="H190" s="6"/>
      <c r="I190" s="155"/>
    </row>
    <row r="191" spans="2:9" outlineLevel="2" x14ac:dyDescent="0.35">
      <c r="B191" s="342" t="s">
        <v>127</v>
      </c>
      <c r="C191" s="49" t="s">
        <v>135</v>
      </c>
      <c r="D191" s="6"/>
      <c r="E191" s="6"/>
      <c r="F191" s="6"/>
      <c r="G191" s="6"/>
      <c r="H191" s="6"/>
      <c r="I191" s="155"/>
    </row>
    <row r="192" spans="2:9" s="245" customFormat="1" outlineLevel="2" x14ac:dyDescent="0.35">
      <c r="B192" s="246" t="s">
        <v>138</v>
      </c>
      <c r="C192" s="49" t="s">
        <v>135</v>
      </c>
      <c r="D192" s="301">
        <f>SUM(D138:D191)</f>
        <v>1</v>
      </c>
      <c r="E192" s="301">
        <f>SUM(E138:E191)</f>
        <v>1</v>
      </c>
      <c r="F192" s="301">
        <f>SUM(F138:F191)</f>
        <v>1</v>
      </c>
      <c r="G192" s="301">
        <f>SUM(G138:G191)</f>
        <v>0</v>
      </c>
      <c r="H192" s="301">
        <f>SUM(H138:H191)</f>
        <v>0</v>
      </c>
      <c r="I192" s="289"/>
    </row>
    <row r="193" spans="2:18" outlineLevel="1" x14ac:dyDescent="0.35"/>
    <row r="194" spans="2:18" outlineLevel="1" x14ac:dyDescent="0.35">
      <c r="B194" s="311" t="s">
        <v>145</v>
      </c>
      <c r="C194" s="312"/>
      <c r="D194" s="300"/>
      <c r="E194" s="312"/>
      <c r="F194" s="312"/>
      <c r="G194" s="312"/>
      <c r="H194" s="312"/>
      <c r="I194" s="312"/>
      <c r="J194" s="54"/>
      <c r="K194" s="54"/>
      <c r="L194" s="54"/>
      <c r="M194" s="54"/>
      <c r="N194" s="54"/>
      <c r="O194" s="54"/>
      <c r="P194" s="54"/>
      <c r="Q194" s="54"/>
      <c r="R194" s="54"/>
    </row>
    <row r="195" spans="2:18" outlineLevel="2" x14ac:dyDescent="0.35">
      <c r="B195" s="341"/>
      <c r="C195" s="303" t="s">
        <v>134</v>
      </c>
      <c r="D195" s="73">
        <f>$C$3</f>
        <v>2024</v>
      </c>
      <c r="E195" s="73">
        <f>$C$3+1</f>
        <v>2025</v>
      </c>
      <c r="F195" s="73">
        <f>$C$3+2</f>
        <v>2026</v>
      </c>
      <c r="G195" s="73">
        <f>$C$3+3</f>
        <v>2027</v>
      </c>
      <c r="H195" s="73">
        <f>$C$3+4</f>
        <v>2028</v>
      </c>
      <c r="I195" s="47" t="str">
        <f>D195&amp; "-"&amp;H195</f>
        <v>2024-2028</v>
      </c>
    </row>
    <row r="196" spans="2:18" outlineLevel="2" x14ac:dyDescent="0.35">
      <c r="B196" s="342" t="s">
        <v>74</v>
      </c>
      <c r="C196" s="49" t="s">
        <v>135</v>
      </c>
      <c r="D196" s="6"/>
      <c r="E196" s="6"/>
      <c r="F196" s="6"/>
      <c r="G196" s="6"/>
      <c r="H196" s="6"/>
      <c r="I196" s="155">
        <f t="shared" ref="I196" si="6">D196+E196+F196+G196+H196</f>
        <v>0</v>
      </c>
    </row>
    <row r="197" spans="2:18" outlineLevel="2" x14ac:dyDescent="0.35">
      <c r="B197" s="343" t="s">
        <v>75</v>
      </c>
      <c r="C197" s="49" t="s">
        <v>135</v>
      </c>
      <c r="D197" s="6"/>
      <c r="E197" s="6"/>
      <c r="F197" s="6"/>
      <c r="G197" s="6"/>
      <c r="H197" s="6"/>
      <c r="I197" s="155"/>
    </row>
    <row r="198" spans="2:18" outlineLevel="2" x14ac:dyDescent="0.35">
      <c r="B198" s="343" t="s">
        <v>76</v>
      </c>
      <c r="C198" s="49" t="s">
        <v>135</v>
      </c>
      <c r="D198" s="6"/>
      <c r="E198" s="6"/>
      <c r="F198" s="6"/>
      <c r="G198" s="6"/>
      <c r="H198" s="6"/>
      <c r="I198" s="155"/>
    </row>
    <row r="199" spans="2:18" outlineLevel="2" x14ac:dyDescent="0.35">
      <c r="B199" s="343" t="s">
        <v>77</v>
      </c>
      <c r="C199" s="49" t="s">
        <v>135</v>
      </c>
      <c r="D199" s="6"/>
      <c r="E199" s="6"/>
      <c r="F199" s="6"/>
      <c r="G199" s="6"/>
      <c r="H199" s="6"/>
      <c r="I199" s="155"/>
    </row>
    <row r="200" spans="2:18" outlineLevel="2" x14ac:dyDescent="0.35">
      <c r="B200" s="343" t="s">
        <v>78</v>
      </c>
      <c r="C200" s="49" t="s">
        <v>135</v>
      </c>
      <c r="D200" s="6"/>
      <c r="E200" s="6"/>
      <c r="F200" s="6"/>
      <c r="G200" s="6"/>
      <c r="H200" s="6"/>
      <c r="I200" s="155"/>
    </row>
    <row r="201" spans="2:18" outlineLevel="2" x14ac:dyDescent="0.35">
      <c r="B201" s="343" t="s">
        <v>79</v>
      </c>
      <c r="C201" s="49" t="s">
        <v>135</v>
      </c>
      <c r="D201" s="6"/>
      <c r="E201" s="6"/>
      <c r="F201" s="6"/>
      <c r="G201" s="6"/>
      <c r="H201" s="6"/>
      <c r="I201" s="155"/>
    </row>
    <row r="202" spans="2:18" outlineLevel="2" x14ac:dyDescent="0.35">
      <c r="B202" s="343" t="s">
        <v>80</v>
      </c>
      <c r="C202" s="49" t="s">
        <v>135</v>
      </c>
      <c r="D202" s="6"/>
      <c r="E202" s="6"/>
      <c r="F202" s="6"/>
      <c r="G202" s="6"/>
      <c r="H202" s="6"/>
      <c r="I202" s="155"/>
    </row>
    <row r="203" spans="2:18" outlineLevel="2" x14ac:dyDescent="0.35">
      <c r="B203" s="343" t="s">
        <v>81</v>
      </c>
      <c r="C203" s="49" t="s">
        <v>135</v>
      </c>
      <c r="D203" s="6"/>
      <c r="E203" s="6"/>
      <c r="F203" s="6"/>
      <c r="G203" s="6"/>
      <c r="H203" s="6"/>
      <c r="I203" s="155"/>
    </row>
    <row r="204" spans="2:18" outlineLevel="2" x14ac:dyDescent="0.35">
      <c r="B204" s="343" t="s">
        <v>82</v>
      </c>
      <c r="C204" s="49" t="s">
        <v>135</v>
      </c>
      <c r="D204" s="6"/>
      <c r="E204" s="6"/>
      <c r="F204" s="6"/>
      <c r="G204" s="6"/>
      <c r="H204" s="6"/>
      <c r="I204" s="155"/>
    </row>
    <row r="205" spans="2:18" outlineLevel="2" x14ac:dyDescent="0.35">
      <c r="B205" s="343" t="s">
        <v>83</v>
      </c>
      <c r="C205" s="49" t="s">
        <v>135</v>
      </c>
      <c r="D205" s="6"/>
      <c r="E205" s="6"/>
      <c r="F205" s="6"/>
      <c r="G205" s="6"/>
      <c r="H205" s="6"/>
      <c r="I205" s="155"/>
    </row>
    <row r="206" spans="2:18" outlineLevel="2" x14ac:dyDescent="0.35">
      <c r="B206" s="343" t="s">
        <v>84</v>
      </c>
      <c r="C206" s="49" t="s">
        <v>135</v>
      </c>
      <c r="D206" s="6"/>
      <c r="E206" s="6"/>
      <c r="F206" s="6"/>
      <c r="G206" s="6"/>
      <c r="H206" s="6"/>
      <c r="I206" s="155"/>
    </row>
    <row r="207" spans="2:18" outlineLevel="2" x14ac:dyDescent="0.35">
      <c r="B207" s="343" t="s">
        <v>85</v>
      </c>
      <c r="C207" s="49" t="s">
        <v>135</v>
      </c>
      <c r="D207" s="6"/>
      <c r="E207" s="6"/>
      <c r="F207" s="6"/>
      <c r="G207" s="6"/>
      <c r="H207" s="6"/>
      <c r="I207" s="155"/>
    </row>
    <row r="208" spans="2:18" outlineLevel="2" x14ac:dyDescent="0.35">
      <c r="B208" s="343" t="s">
        <v>86</v>
      </c>
      <c r="C208" s="49" t="s">
        <v>135</v>
      </c>
      <c r="D208" s="6"/>
      <c r="E208" s="6"/>
      <c r="F208" s="6"/>
      <c r="G208" s="6"/>
      <c r="H208" s="6"/>
      <c r="I208" s="155"/>
    </row>
    <row r="209" spans="2:9" outlineLevel="2" x14ac:dyDescent="0.35">
      <c r="B209" s="343" t="s">
        <v>87</v>
      </c>
      <c r="C209" s="49" t="s">
        <v>135</v>
      </c>
      <c r="D209" s="6"/>
      <c r="E209" s="6"/>
      <c r="F209" s="6"/>
      <c r="G209" s="6"/>
      <c r="H209" s="6"/>
      <c r="I209" s="155"/>
    </row>
    <row r="210" spans="2:9" outlineLevel="2" x14ac:dyDescent="0.35">
      <c r="B210" s="343" t="s">
        <v>88</v>
      </c>
      <c r="C210" s="49" t="s">
        <v>135</v>
      </c>
      <c r="D210" s="6"/>
      <c r="E210" s="6"/>
      <c r="F210" s="6"/>
      <c r="G210" s="6"/>
      <c r="H210" s="6"/>
      <c r="I210" s="155"/>
    </row>
    <row r="211" spans="2:9" outlineLevel="2" x14ac:dyDescent="0.35">
      <c r="B211" s="343" t="s">
        <v>89</v>
      </c>
      <c r="C211" s="49" t="s">
        <v>135</v>
      </c>
      <c r="D211" s="6"/>
      <c r="E211" s="6"/>
      <c r="F211" s="6"/>
      <c r="G211" s="6"/>
      <c r="H211" s="6"/>
      <c r="I211" s="155"/>
    </row>
    <row r="212" spans="2:9" outlineLevel="2" x14ac:dyDescent="0.35">
      <c r="B212" s="343" t="s">
        <v>90</v>
      </c>
      <c r="C212" s="49" t="s">
        <v>135</v>
      </c>
      <c r="D212" s="6"/>
      <c r="E212" s="6"/>
      <c r="F212" s="6"/>
      <c r="G212" s="6"/>
      <c r="H212" s="6"/>
      <c r="I212" s="155"/>
    </row>
    <row r="213" spans="2:9" outlineLevel="2" x14ac:dyDescent="0.35">
      <c r="B213" s="343" t="s">
        <v>91</v>
      </c>
      <c r="C213" s="49" t="s">
        <v>135</v>
      </c>
      <c r="D213" s="6"/>
      <c r="E213" s="6"/>
      <c r="F213" s="6"/>
      <c r="G213" s="6"/>
      <c r="H213" s="6"/>
      <c r="I213" s="155"/>
    </row>
    <row r="214" spans="2:9" outlineLevel="2" x14ac:dyDescent="0.35">
      <c r="B214" s="343" t="s">
        <v>92</v>
      </c>
      <c r="C214" s="49" t="s">
        <v>135</v>
      </c>
      <c r="D214" s="6"/>
      <c r="E214" s="6"/>
      <c r="F214" s="6"/>
      <c r="G214" s="6"/>
      <c r="H214" s="6"/>
      <c r="I214" s="155"/>
    </row>
    <row r="215" spans="2:9" outlineLevel="2" x14ac:dyDescent="0.35">
      <c r="B215" s="343" t="s">
        <v>93</v>
      </c>
      <c r="C215" s="49" t="s">
        <v>135</v>
      </c>
      <c r="D215" s="6"/>
      <c r="E215" s="6"/>
      <c r="F215" s="6"/>
      <c r="G215" s="6"/>
      <c r="H215" s="6"/>
      <c r="I215" s="155"/>
    </row>
    <row r="216" spans="2:9" outlineLevel="2" x14ac:dyDescent="0.35">
      <c r="B216" s="343" t="s">
        <v>94</v>
      </c>
      <c r="C216" s="49" t="s">
        <v>135</v>
      </c>
      <c r="D216" s="6"/>
      <c r="E216" s="6"/>
      <c r="F216" s="6"/>
      <c r="G216" s="6"/>
      <c r="H216" s="6"/>
      <c r="I216" s="155"/>
    </row>
    <row r="217" spans="2:9" outlineLevel="2" x14ac:dyDescent="0.35">
      <c r="B217" s="343" t="s">
        <v>95</v>
      </c>
      <c r="C217" s="49" t="s">
        <v>135</v>
      </c>
      <c r="D217" s="6"/>
      <c r="E217" s="6"/>
      <c r="F217" s="6"/>
      <c r="G217" s="6"/>
      <c r="H217" s="6"/>
      <c r="I217" s="155"/>
    </row>
    <row r="218" spans="2:9" outlineLevel="2" x14ac:dyDescent="0.35">
      <c r="B218" s="343" t="s">
        <v>96</v>
      </c>
      <c r="C218" s="49" t="s">
        <v>135</v>
      </c>
      <c r="D218" s="6"/>
      <c r="E218" s="6"/>
      <c r="F218" s="6"/>
      <c r="G218" s="6"/>
      <c r="H218" s="6"/>
      <c r="I218" s="155"/>
    </row>
    <row r="219" spans="2:9" outlineLevel="2" x14ac:dyDescent="0.35">
      <c r="B219" s="343" t="s">
        <v>97</v>
      </c>
      <c r="C219" s="49" t="s">
        <v>135</v>
      </c>
      <c r="D219" s="6"/>
      <c r="E219" s="6"/>
      <c r="F219" s="6"/>
      <c r="G219" s="6"/>
      <c r="H219" s="6"/>
      <c r="I219" s="155"/>
    </row>
    <row r="220" spans="2:9" outlineLevel="2" x14ac:dyDescent="0.35">
      <c r="B220" s="343" t="s">
        <v>98</v>
      </c>
      <c r="C220" s="49" t="s">
        <v>135</v>
      </c>
      <c r="D220" s="6"/>
      <c r="E220" s="6"/>
      <c r="F220" s="6"/>
      <c r="G220" s="6"/>
      <c r="H220" s="6"/>
      <c r="I220" s="155"/>
    </row>
    <row r="221" spans="2:9" outlineLevel="2" x14ac:dyDescent="0.35">
      <c r="B221" s="343" t="s">
        <v>99</v>
      </c>
      <c r="C221" s="49" t="s">
        <v>135</v>
      </c>
      <c r="D221" s="6"/>
      <c r="E221" s="6"/>
      <c r="F221" s="6"/>
      <c r="G221" s="6"/>
      <c r="H221" s="6"/>
      <c r="I221" s="155"/>
    </row>
    <row r="222" spans="2:9" outlineLevel="2" x14ac:dyDescent="0.35">
      <c r="B222" s="343" t="s">
        <v>100</v>
      </c>
      <c r="C222" s="49" t="s">
        <v>135</v>
      </c>
      <c r="D222" s="6"/>
      <c r="E222" s="6"/>
      <c r="F222" s="6"/>
      <c r="G222" s="6"/>
      <c r="H222" s="6"/>
      <c r="I222" s="155"/>
    </row>
    <row r="223" spans="2:9" outlineLevel="2" x14ac:dyDescent="0.35">
      <c r="B223" s="343" t="s">
        <v>101</v>
      </c>
      <c r="C223" s="49" t="s">
        <v>135</v>
      </c>
      <c r="D223" s="6"/>
      <c r="E223" s="6"/>
      <c r="F223" s="6"/>
      <c r="G223" s="6"/>
      <c r="H223" s="6"/>
      <c r="I223" s="155"/>
    </row>
    <row r="224" spans="2:9" outlineLevel="2" x14ac:dyDescent="0.35">
      <c r="B224" s="343" t="s">
        <v>102</v>
      </c>
      <c r="C224" s="49" t="s">
        <v>135</v>
      </c>
      <c r="D224" s="6"/>
      <c r="E224" s="6"/>
      <c r="F224" s="6"/>
      <c r="G224" s="6"/>
      <c r="H224" s="6"/>
      <c r="I224" s="155"/>
    </row>
    <row r="225" spans="2:9" outlineLevel="2" x14ac:dyDescent="0.35">
      <c r="B225" s="343" t="s">
        <v>103</v>
      </c>
      <c r="C225" s="49" t="s">
        <v>135</v>
      </c>
      <c r="D225" s="6"/>
      <c r="E225" s="6"/>
      <c r="F225" s="6"/>
      <c r="G225" s="6"/>
      <c r="H225" s="6"/>
      <c r="I225" s="155"/>
    </row>
    <row r="226" spans="2:9" outlineLevel="2" x14ac:dyDescent="0.35">
      <c r="B226" s="343" t="s">
        <v>104</v>
      </c>
      <c r="C226" s="49" t="s">
        <v>135</v>
      </c>
      <c r="D226" s="6"/>
      <c r="E226" s="6"/>
      <c r="F226" s="6"/>
      <c r="G226" s="6"/>
      <c r="H226" s="6"/>
      <c r="I226" s="155"/>
    </row>
    <row r="227" spans="2:9" outlineLevel="2" x14ac:dyDescent="0.35">
      <c r="B227" s="343" t="s">
        <v>136</v>
      </c>
      <c r="C227" s="49" t="s">
        <v>135</v>
      </c>
      <c r="D227" s="6"/>
      <c r="E227" s="6"/>
      <c r="F227" s="6"/>
      <c r="G227" s="6"/>
      <c r="H227" s="6"/>
      <c r="I227" s="155"/>
    </row>
    <row r="228" spans="2:9" outlineLevel="2" x14ac:dyDescent="0.35">
      <c r="B228" s="343" t="s">
        <v>106</v>
      </c>
      <c r="C228" s="49" t="s">
        <v>135</v>
      </c>
      <c r="D228" s="6"/>
      <c r="E228" s="6"/>
      <c r="F228" s="6"/>
      <c r="G228" s="6"/>
      <c r="H228" s="6"/>
      <c r="I228" s="155"/>
    </row>
    <row r="229" spans="2:9" outlineLevel="2" x14ac:dyDescent="0.35">
      <c r="B229" s="343" t="s">
        <v>107</v>
      </c>
      <c r="C229" s="49" t="s">
        <v>135</v>
      </c>
      <c r="D229" s="6"/>
      <c r="E229" s="6"/>
      <c r="F229" s="6"/>
      <c r="G229" s="6"/>
      <c r="H229" s="6"/>
      <c r="I229" s="155"/>
    </row>
    <row r="230" spans="2:9" outlineLevel="2" x14ac:dyDescent="0.35">
      <c r="B230" s="343" t="s">
        <v>108</v>
      </c>
      <c r="C230" s="49" t="s">
        <v>135</v>
      </c>
      <c r="D230" s="6"/>
      <c r="E230" s="6"/>
      <c r="F230" s="6"/>
      <c r="G230" s="6"/>
      <c r="H230" s="6"/>
      <c r="I230" s="155"/>
    </row>
    <row r="231" spans="2:9" outlineLevel="2" x14ac:dyDescent="0.35">
      <c r="B231" s="343" t="s">
        <v>109</v>
      </c>
      <c r="C231" s="49" t="s">
        <v>135</v>
      </c>
      <c r="D231" s="6"/>
      <c r="E231" s="6"/>
      <c r="F231" s="6"/>
      <c r="G231" s="6"/>
      <c r="H231" s="6"/>
      <c r="I231" s="155"/>
    </row>
    <row r="232" spans="2:9" outlineLevel="2" x14ac:dyDescent="0.35">
      <c r="B232" s="343" t="s">
        <v>110</v>
      </c>
      <c r="C232" s="49" t="s">
        <v>135</v>
      </c>
      <c r="D232" s="6"/>
      <c r="E232" s="6"/>
      <c r="F232" s="6"/>
      <c r="G232" s="6"/>
      <c r="H232" s="6"/>
      <c r="I232" s="155"/>
    </row>
    <row r="233" spans="2:9" outlineLevel="2" x14ac:dyDescent="0.35">
      <c r="B233" s="343" t="s">
        <v>111</v>
      </c>
      <c r="C233" s="49" t="s">
        <v>135</v>
      </c>
      <c r="D233" s="6"/>
      <c r="E233" s="6"/>
      <c r="F233" s="6"/>
      <c r="G233" s="6"/>
      <c r="H233" s="6"/>
      <c r="I233" s="155"/>
    </row>
    <row r="234" spans="2:9" outlineLevel="2" x14ac:dyDescent="0.35">
      <c r="B234" s="343" t="s">
        <v>112</v>
      </c>
      <c r="C234" s="49" t="s">
        <v>135</v>
      </c>
      <c r="D234" s="6"/>
      <c r="E234" s="6"/>
      <c r="F234" s="6"/>
      <c r="G234" s="6"/>
      <c r="H234" s="6"/>
      <c r="I234" s="155"/>
    </row>
    <row r="235" spans="2:9" outlineLevel="2" x14ac:dyDescent="0.35">
      <c r="B235" s="343" t="s">
        <v>113</v>
      </c>
      <c r="C235" s="49" t="s">
        <v>135</v>
      </c>
      <c r="D235" s="6"/>
      <c r="E235" s="6">
        <v>1</v>
      </c>
      <c r="F235" s="6"/>
      <c r="G235" s="6"/>
      <c r="H235" s="6"/>
      <c r="I235" s="155"/>
    </row>
    <row r="236" spans="2:9" outlineLevel="2" x14ac:dyDescent="0.35">
      <c r="B236" s="343" t="s">
        <v>114</v>
      </c>
      <c r="C236" s="49" t="s">
        <v>135</v>
      </c>
      <c r="D236" s="6"/>
      <c r="E236" s="6"/>
      <c r="F236" s="6"/>
      <c r="G236" s="6"/>
      <c r="H236" s="6"/>
      <c r="I236" s="155"/>
    </row>
    <row r="237" spans="2:9" outlineLevel="2" x14ac:dyDescent="0.35">
      <c r="B237" s="343" t="s">
        <v>115</v>
      </c>
      <c r="C237" s="49" t="s">
        <v>135</v>
      </c>
      <c r="D237" s="6"/>
      <c r="E237" s="6"/>
      <c r="F237" s="6"/>
      <c r="G237" s="6"/>
      <c r="H237" s="6"/>
      <c r="I237" s="155"/>
    </row>
    <row r="238" spans="2:9" outlineLevel="2" x14ac:dyDescent="0.35">
      <c r="B238" s="343" t="s">
        <v>116</v>
      </c>
      <c r="C238" s="49" t="s">
        <v>135</v>
      </c>
      <c r="D238" s="6"/>
      <c r="E238" s="6"/>
      <c r="F238" s="6"/>
      <c r="G238" s="6"/>
      <c r="H238" s="6"/>
      <c r="I238" s="155"/>
    </row>
    <row r="239" spans="2:9" outlineLevel="2" x14ac:dyDescent="0.35">
      <c r="B239" s="343" t="s">
        <v>117</v>
      </c>
      <c r="C239" s="49" t="s">
        <v>135</v>
      </c>
      <c r="D239" s="6"/>
      <c r="E239" s="6"/>
      <c r="F239" s="6"/>
      <c r="G239" s="6"/>
      <c r="H239" s="6"/>
      <c r="I239" s="155"/>
    </row>
    <row r="240" spans="2:9" outlineLevel="2" x14ac:dyDescent="0.35">
      <c r="B240" s="343" t="s">
        <v>118</v>
      </c>
      <c r="C240" s="49" t="s">
        <v>135</v>
      </c>
      <c r="D240" s="6"/>
      <c r="E240" s="6"/>
      <c r="F240" s="6"/>
      <c r="G240" s="6"/>
      <c r="H240" s="6"/>
      <c r="I240" s="155"/>
    </row>
    <row r="241" spans="2:18" outlineLevel="2" x14ac:dyDescent="0.35">
      <c r="B241" s="343" t="s">
        <v>119</v>
      </c>
      <c r="C241" s="49" t="s">
        <v>135</v>
      </c>
      <c r="D241" s="6"/>
      <c r="E241" s="6"/>
      <c r="F241" s="6"/>
      <c r="G241" s="6"/>
      <c r="H241" s="6"/>
      <c r="I241" s="155"/>
    </row>
    <row r="242" spans="2:18" outlineLevel="2" x14ac:dyDescent="0.35">
      <c r="B242" s="343" t="s">
        <v>120</v>
      </c>
      <c r="C242" s="49" t="s">
        <v>135</v>
      </c>
      <c r="D242" s="6">
        <v>1</v>
      </c>
      <c r="E242" s="6"/>
      <c r="F242" s="6"/>
      <c r="G242" s="6">
        <v>1</v>
      </c>
      <c r="H242" s="6"/>
      <c r="I242" s="155"/>
    </row>
    <row r="243" spans="2:18" outlineLevel="2" x14ac:dyDescent="0.35">
      <c r="B243" s="343" t="s">
        <v>121</v>
      </c>
      <c r="C243" s="49" t="s">
        <v>135</v>
      </c>
      <c r="D243" s="6"/>
      <c r="E243" s="6"/>
      <c r="F243" s="6"/>
      <c r="G243" s="6"/>
      <c r="H243" s="6"/>
      <c r="I243" s="155"/>
    </row>
    <row r="244" spans="2:18" outlineLevel="2" x14ac:dyDescent="0.35">
      <c r="B244" s="343" t="s">
        <v>137</v>
      </c>
      <c r="C244" s="49" t="s">
        <v>135</v>
      </c>
      <c r="D244" s="6"/>
      <c r="E244" s="6"/>
      <c r="F244" s="6"/>
      <c r="G244" s="6"/>
      <c r="H244" s="6"/>
      <c r="I244" s="155"/>
    </row>
    <row r="245" spans="2:18" outlineLevel="2" x14ac:dyDescent="0.35">
      <c r="B245" s="343" t="s">
        <v>123</v>
      </c>
      <c r="C245" s="49" t="s">
        <v>135</v>
      </c>
      <c r="D245" s="6"/>
      <c r="E245" s="6"/>
      <c r="F245" s="6"/>
      <c r="G245" s="6"/>
      <c r="H245" s="6"/>
      <c r="I245" s="155"/>
    </row>
    <row r="246" spans="2:18" outlineLevel="2" x14ac:dyDescent="0.35">
      <c r="B246" s="343" t="s">
        <v>124</v>
      </c>
      <c r="C246" s="49" t="s">
        <v>135</v>
      </c>
      <c r="D246" s="6"/>
      <c r="E246" s="6"/>
      <c r="F246" s="6"/>
      <c r="G246" s="6"/>
      <c r="H246" s="6"/>
      <c r="I246" s="155"/>
    </row>
    <row r="247" spans="2:18" outlineLevel="2" x14ac:dyDescent="0.35">
      <c r="B247" s="343" t="s">
        <v>125</v>
      </c>
      <c r="C247" s="49" t="s">
        <v>135</v>
      </c>
      <c r="D247" s="6"/>
      <c r="E247" s="6"/>
      <c r="F247" s="6"/>
      <c r="G247" s="6"/>
      <c r="H247" s="6"/>
      <c r="I247" s="155"/>
    </row>
    <row r="248" spans="2:18" outlineLevel="2" x14ac:dyDescent="0.35">
      <c r="B248" s="342" t="s">
        <v>126</v>
      </c>
      <c r="C248" s="49" t="s">
        <v>135</v>
      </c>
      <c r="D248" s="6"/>
      <c r="E248" s="6"/>
      <c r="F248" s="6"/>
      <c r="G248" s="6"/>
      <c r="H248" s="6"/>
      <c r="I248" s="155"/>
    </row>
    <row r="249" spans="2:18" outlineLevel="2" x14ac:dyDescent="0.35">
      <c r="B249" s="342" t="s">
        <v>127</v>
      </c>
      <c r="C249" s="49" t="s">
        <v>135</v>
      </c>
      <c r="D249" s="6"/>
      <c r="E249" s="6"/>
      <c r="F249" s="6"/>
      <c r="G249" s="6"/>
      <c r="H249" s="6"/>
      <c r="I249" s="155"/>
    </row>
    <row r="250" spans="2:18" outlineLevel="2" x14ac:dyDescent="0.35">
      <c r="B250" s="246" t="s">
        <v>138</v>
      </c>
      <c r="C250" s="49" t="s">
        <v>135</v>
      </c>
      <c r="D250" s="301">
        <f>SUM(D196:D249)</f>
        <v>1</v>
      </c>
      <c r="E250" s="301">
        <f>SUM(E196:E249)</f>
        <v>1</v>
      </c>
      <c r="F250" s="301">
        <f>SUM(F196:F249)</f>
        <v>0</v>
      </c>
      <c r="G250" s="301">
        <f>SUM(G196:G249)</f>
        <v>1</v>
      </c>
      <c r="H250" s="301">
        <f>SUM(H196:H249)</f>
        <v>0</v>
      </c>
      <c r="I250" s="152"/>
    </row>
    <row r="251" spans="2:18" outlineLevel="1" x14ac:dyDescent="0.35"/>
    <row r="252" spans="2:18" ht="15.5" x14ac:dyDescent="0.35">
      <c r="B252" s="419" t="s">
        <v>146</v>
      </c>
      <c r="C252" s="419"/>
      <c r="D252" s="419"/>
      <c r="E252" s="419"/>
      <c r="F252" s="419"/>
      <c r="G252" s="419"/>
      <c r="H252" s="419"/>
      <c r="I252" s="419"/>
    </row>
    <row r="253" spans="2:18" ht="6.65" customHeight="1" x14ac:dyDescent="0.35"/>
    <row r="254" spans="2:18" outlineLevel="1" x14ac:dyDescent="0.35">
      <c r="B254" s="311" t="s">
        <v>133</v>
      </c>
      <c r="C254" s="312"/>
      <c r="D254" s="300"/>
      <c r="E254" s="312"/>
      <c r="F254" s="312"/>
      <c r="G254" s="312"/>
      <c r="H254" s="312"/>
      <c r="I254" s="312"/>
      <c r="J254" s="54"/>
      <c r="K254" s="54"/>
      <c r="L254" s="54"/>
      <c r="M254" s="54"/>
      <c r="N254" s="54"/>
      <c r="O254" s="54"/>
      <c r="P254" s="54"/>
      <c r="Q254" s="54"/>
      <c r="R254" s="54"/>
    </row>
    <row r="255" spans="2:18" outlineLevel="2" x14ac:dyDescent="0.35">
      <c r="B255" s="55"/>
      <c r="C255" s="314" t="s">
        <v>134</v>
      </c>
      <c r="D255" s="73">
        <f>$C$3</f>
        <v>2024</v>
      </c>
      <c r="E255" s="73">
        <f>$C$3+1</f>
        <v>2025</v>
      </c>
      <c r="F255" s="73">
        <f>$C$3+2</f>
        <v>2026</v>
      </c>
      <c r="G255" s="73">
        <f>$C$3+3</f>
        <v>2027</v>
      </c>
      <c r="H255" s="73">
        <f>$C$3+4</f>
        <v>2028</v>
      </c>
      <c r="I255" s="47" t="str">
        <f>D255&amp; " - "&amp;H255</f>
        <v>2024 - 2028</v>
      </c>
    </row>
    <row r="256" spans="2:18" outlineLevel="2" x14ac:dyDescent="0.35">
      <c r="B256" s="48" t="s">
        <v>143</v>
      </c>
      <c r="C256" s="49" t="s">
        <v>147</v>
      </c>
      <c r="D256" s="6"/>
      <c r="E256" s="6"/>
      <c r="F256" s="6"/>
      <c r="G256" s="6"/>
      <c r="H256" s="6"/>
      <c r="I256" s="155">
        <f t="shared" ref="I256:I259" si="7">D256+E256+F256+G256+H256</f>
        <v>0</v>
      </c>
    </row>
    <row r="257" spans="2:18" outlineLevel="2" x14ac:dyDescent="0.35">
      <c r="B257" s="48" t="s">
        <v>148</v>
      </c>
      <c r="C257" s="49" t="s">
        <v>147</v>
      </c>
      <c r="D257" s="6"/>
      <c r="E257" s="6"/>
      <c r="F257" s="6"/>
      <c r="G257" s="6"/>
      <c r="H257" s="6"/>
      <c r="I257" s="155">
        <f t="shared" si="7"/>
        <v>0</v>
      </c>
    </row>
    <row r="258" spans="2:18" outlineLevel="2" x14ac:dyDescent="0.35">
      <c r="B258" s="48" t="s">
        <v>149</v>
      </c>
      <c r="C258" s="49" t="s">
        <v>147</v>
      </c>
      <c r="D258" s="6"/>
      <c r="E258" s="6"/>
      <c r="F258" s="6"/>
      <c r="G258" s="6"/>
      <c r="H258" s="6"/>
      <c r="I258" s="155">
        <f t="shared" si="7"/>
        <v>0</v>
      </c>
    </row>
    <row r="259" spans="2:18" outlineLevel="2" x14ac:dyDescent="0.35">
      <c r="B259" s="48" t="s">
        <v>150</v>
      </c>
      <c r="C259" s="49" t="s">
        <v>147</v>
      </c>
      <c r="D259" s="6"/>
      <c r="E259" s="6"/>
      <c r="F259" s="6"/>
      <c r="G259" s="6"/>
      <c r="H259" s="6"/>
      <c r="I259" s="155">
        <f t="shared" si="7"/>
        <v>0</v>
      </c>
    </row>
    <row r="260" spans="2:18" ht="15" customHeight="1" outlineLevel="2" x14ac:dyDescent="0.35">
      <c r="B260" s="423" t="s">
        <v>151</v>
      </c>
      <c r="C260" s="423"/>
      <c r="D260" s="423"/>
      <c r="E260" s="423"/>
      <c r="F260" s="423"/>
      <c r="G260" s="423"/>
      <c r="H260" s="423"/>
      <c r="I260" s="423"/>
    </row>
    <row r="261" spans="2:18" outlineLevel="2" x14ac:dyDescent="0.35">
      <c r="B261" s="48" t="s">
        <v>140</v>
      </c>
      <c r="C261" s="53" t="s">
        <v>147</v>
      </c>
      <c r="D261" s="4"/>
      <c r="E261" s="4"/>
      <c r="F261" s="4"/>
      <c r="G261" s="4"/>
      <c r="H261" s="4"/>
      <c r="I261" s="155">
        <f>D261+E261+F261+G261+H261</f>
        <v>0</v>
      </c>
    </row>
    <row r="262" spans="2:18" outlineLevel="1" x14ac:dyDescent="0.35"/>
    <row r="263" spans="2:18" outlineLevel="1" x14ac:dyDescent="0.35">
      <c r="B263" s="311" t="s">
        <v>139</v>
      </c>
      <c r="C263" s="312"/>
      <c r="D263" s="300"/>
      <c r="E263" s="312"/>
      <c r="F263" s="312"/>
      <c r="G263" s="312"/>
      <c r="H263" s="312"/>
      <c r="I263" s="312"/>
      <c r="J263" s="54"/>
      <c r="K263" s="54"/>
      <c r="L263" s="54"/>
      <c r="M263" s="54"/>
      <c r="N263" s="54"/>
      <c r="O263" s="54"/>
      <c r="P263" s="54"/>
      <c r="Q263" s="54"/>
      <c r="R263" s="54"/>
    </row>
    <row r="264" spans="2:18" outlineLevel="2" x14ac:dyDescent="0.35">
      <c r="B264" s="55"/>
      <c r="C264" s="314" t="s">
        <v>134</v>
      </c>
      <c r="D264" s="73">
        <f>$C$3</f>
        <v>2024</v>
      </c>
      <c r="E264" s="73">
        <f>$C$3+1</f>
        <v>2025</v>
      </c>
      <c r="F264" s="73">
        <f>$C$3+2</f>
        <v>2026</v>
      </c>
      <c r="G264" s="73">
        <f>$C$3+3</f>
        <v>2027</v>
      </c>
      <c r="H264" s="73">
        <f>$C$3+4</f>
        <v>2028</v>
      </c>
      <c r="I264" s="47" t="str">
        <f>D264&amp; "-"&amp;H264</f>
        <v>2024-2028</v>
      </c>
    </row>
    <row r="265" spans="2:18" outlineLevel="2" x14ac:dyDescent="0.35">
      <c r="B265" s="48" t="s">
        <v>143</v>
      </c>
      <c r="C265" s="49" t="s">
        <v>147</v>
      </c>
      <c r="D265" s="6"/>
      <c r="E265" s="6"/>
      <c r="F265" s="6"/>
      <c r="G265" s="6"/>
      <c r="H265" s="6"/>
      <c r="I265" s="155">
        <f t="shared" ref="I265:I268" si="8">D265+E265+F265+G265+H265</f>
        <v>0</v>
      </c>
    </row>
    <row r="266" spans="2:18" outlineLevel="2" x14ac:dyDescent="0.35">
      <c r="B266" s="48" t="s">
        <v>148</v>
      </c>
      <c r="C266" s="49" t="s">
        <v>147</v>
      </c>
      <c r="D266" s="6"/>
      <c r="E266" s="6"/>
      <c r="F266" s="6"/>
      <c r="G266" s="6"/>
      <c r="H266" s="6"/>
      <c r="I266" s="155">
        <f t="shared" si="8"/>
        <v>0</v>
      </c>
    </row>
    <row r="267" spans="2:18" outlineLevel="2" x14ac:dyDescent="0.35">
      <c r="B267" s="48" t="s">
        <v>149</v>
      </c>
      <c r="C267" s="49" t="s">
        <v>147</v>
      </c>
      <c r="D267" s="6"/>
      <c r="E267" s="6"/>
      <c r="F267" s="6"/>
      <c r="G267" s="6"/>
      <c r="H267" s="6"/>
      <c r="I267" s="155">
        <f t="shared" si="8"/>
        <v>0</v>
      </c>
    </row>
    <row r="268" spans="2:18" outlineLevel="2" x14ac:dyDescent="0.35">
      <c r="B268" s="48" t="s">
        <v>150</v>
      </c>
      <c r="C268" s="49" t="s">
        <v>147</v>
      </c>
      <c r="D268" s="6"/>
      <c r="E268" s="6"/>
      <c r="F268" s="6"/>
      <c r="G268" s="6"/>
      <c r="H268" s="6"/>
      <c r="I268" s="155">
        <f t="shared" si="8"/>
        <v>0</v>
      </c>
    </row>
    <row r="269" spans="2:18" ht="15" customHeight="1" outlineLevel="2" x14ac:dyDescent="0.35">
      <c r="B269" s="423" t="s">
        <v>151</v>
      </c>
      <c r="C269" s="423"/>
      <c r="D269" s="423"/>
      <c r="E269" s="423"/>
      <c r="F269" s="423"/>
      <c r="G269" s="423"/>
      <c r="H269" s="423"/>
      <c r="I269" s="423"/>
    </row>
    <row r="270" spans="2:18" outlineLevel="2" x14ac:dyDescent="0.35">
      <c r="B270" s="48" t="s">
        <v>140</v>
      </c>
      <c r="C270" s="53" t="s">
        <v>147</v>
      </c>
      <c r="D270" s="4"/>
      <c r="E270" s="4"/>
      <c r="F270" s="4"/>
      <c r="G270" s="4"/>
      <c r="H270" s="4"/>
      <c r="I270" s="155">
        <f>D270+E270+F270+G270+H270</f>
        <v>0</v>
      </c>
    </row>
    <row r="271" spans="2:18" outlineLevel="1" x14ac:dyDescent="0.35"/>
    <row r="272" spans="2:18" outlineLevel="1" x14ac:dyDescent="0.35">
      <c r="B272" s="311" t="s">
        <v>52</v>
      </c>
      <c r="C272" s="312"/>
      <c r="D272" s="300"/>
      <c r="E272" s="312"/>
      <c r="F272" s="312"/>
      <c r="G272" s="312"/>
      <c r="H272" s="312"/>
      <c r="I272" s="312"/>
      <c r="J272" s="54"/>
      <c r="K272" s="54"/>
      <c r="L272" s="54"/>
      <c r="M272" s="54"/>
      <c r="N272" s="54"/>
      <c r="O272" s="54"/>
      <c r="P272" s="54"/>
      <c r="Q272" s="54"/>
      <c r="R272" s="54"/>
    </row>
    <row r="273" spans="2:18" outlineLevel="2" x14ac:dyDescent="0.35">
      <c r="B273" s="55"/>
      <c r="C273" s="314" t="s">
        <v>134</v>
      </c>
      <c r="D273" s="73">
        <f>$C$3</f>
        <v>2024</v>
      </c>
      <c r="E273" s="73">
        <f>$C$3+1</f>
        <v>2025</v>
      </c>
      <c r="F273" s="73">
        <f>$C$3+2</f>
        <v>2026</v>
      </c>
      <c r="G273" s="73">
        <f>$C$3+3</f>
        <v>2027</v>
      </c>
      <c r="H273" s="73">
        <f>$C$3+4</f>
        <v>2028</v>
      </c>
      <c r="I273" s="47" t="str">
        <f>D273&amp; "-"&amp;H273</f>
        <v>2024-2028</v>
      </c>
    </row>
    <row r="274" spans="2:18" outlineLevel="2" x14ac:dyDescent="0.35">
      <c r="B274" s="48" t="s">
        <v>143</v>
      </c>
      <c r="C274" s="49" t="s">
        <v>147</v>
      </c>
      <c r="D274" s="6"/>
      <c r="E274" s="6"/>
      <c r="F274" s="6"/>
      <c r="G274" s="6"/>
      <c r="H274" s="6"/>
      <c r="I274" s="155">
        <f t="shared" ref="I274:I277" si="9">D274+E274+F274+G274+H274</f>
        <v>0</v>
      </c>
    </row>
    <row r="275" spans="2:18" outlineLevel="2" x14ac:dyDescent="0.35">
      <c r="B275" s="48" t="s">
        <v>148</v>
      </c>
      <c r="C275" s="49" t="s">
        <v>147</v>
      </c>
      <c r="D275" s="6"/>
      <c r="E275" s="6"/>
      <c r="F275" s="6"/>
      <c r="G275" s="6"/>
      <c r="H275" s="6"/>
      <c r="I275" s="155">
        <f t="shared" si="9"/>
        <v>0</v>
      </c>
    </row>
    <row r="276" spans="2:18" outlineLevel="2" x14ac:dyDescent="0.35">
      <c r="B276" s="48" t="s">
        <v>149</v>
      </c>
      <c r="C276" s="49" t="s">
        <v>147</v>
      </c>
      <c r="D276" s="6"/>
      <c r="E276" s="6"/>
      <c r="F276" s="6"/>
      <c r="G276" s="6"/>
      <c r="H276" s="6"/>
      <c r="I276" s="155">
        <f t="shared" si="9"/>
        <v>0</v>
      </c>
    </row>
    <row r="277" spans="2:18" outlineLevel="2" x14ac:dyDescent="0.35">
      <c r="B277" s="48" t="s">
        <v>150</v>
      </c>
      <c r="C277" s="49" t="s">
        <v>147</v>
      </c>
      <c r="D277" s="6"/>
      <c r="E277" s="6"/>
      <c r="F277" s="6"/>
      <c r="G277" s="6"/>
      <c r="H277" s="6"/>
      <c r="I277" s="155">
        <f t="shared" si="9"/>
        <v>0</v>
      </c>
    </row>
    <row r="278" spans="2:18" ht="15" customHeight="1" outlineLevel="2" x14ac:dyDescent="0.35">
      <c r="B278" s="423" t="s">
        <v>151</v>
      </c>
      <c r="C278" s="423"/>
      <c r="D278" s="423"/>
      <c r="E278" s="423"/>
      <c r="F278" s="423"/>
      <c r="G278" s="423"/>
      <c r="H278" s="423"/>
      <c r="I278" s="423"/>
    </row>
    <row r="279" spans="2:18" outlineLevel="2" x14ac:dyDescent="0.35">
      <c r="B279" s="48" t="s">
        <v>140</v>
      </c>
      <c r="C279" s="53" t="s">
        <v>147</v>
      </c>
      <c r="D279" s="4"/>
      <c r="E279" s="4"/>
      <c r="F279" s="4"/>
      <c r="G279" s="4"/>
      <c r="H279" s="4"/>
      <c r="I279" s="155">
        <f>D279+E279+F279+G279+H279</f>
        <v>0</v>
      </c>
    </row>
    <row r="280" spans="2:18" outlineLevel="1" x14ac:dyDescent="0.35"/>
    <row r="281" spans="2:18" outlineLevel="1" x14ac:dyDescent="0.35">
      <c r="B281" s="311" t="s">
        <v>152</v>
      </c>
      <c r="C281" s="312"/>
      <c r="D281" s="300"/>
      <c r="E281" s="312"/>
      <c r="F281" s="312"/>
      <c r="G281" s="312"/>
      <c r="H281" s="312"/>
      <c r="I281" s="312"/>
      <c r="J281" s="54"/>
      <c r="K281" s="54"/>
      <c r="L281" s="54"/>
      <c r="M281" s="54"/>
      <c r="N281" s="54"/>
      <c r="O281" s="54"/>
      <c r="P281" s="54"/>
      <c r="Q281" s="54"/>
      <c r="R281" s="54"/>
    </row>
    <row r="282" spans="2:18" hidden="1" outlineLevel="2" x14ac:dyDescent="0.35">
      <c r="B282" s="55"/>
      <c r="C282" s="314" t="s">
        <v>134</v>
      </c>
      <c r="D282" s="73">
        <f>$C$3</f>
        <v>2024</v>
      </c>
      <c r="E282" s="73">
        <f>$C$3+1</f>
        <v>2025</v>
      </c>
      <c r="F282" s="73">
        <f>$C$3+2</f>
        <v>2026</v>
      </c>
      <c r="G282" s="73">
        <f>$C$3+3</f>
        <v>2027</v>
      </c>
      <c r="H282" s="73">
        <f>$C$3+4</f>
        <v>2028</v>
      </c>
      <c r="I282" s="47" t="str">
        <f>D282&amp; "-"&amp;H282</f>
        <v>2024-2028</v>
      </c>
    </row>
    <row r="283" spans="2:18" hidden="1" outlineLevel="2" x14ac:dyDescent="0.35">
      <c r="B283" s="48" t="s">
        <v>143</v>
      </c>
      <c r="C283" s="49" t="s">
        <v>147</v>
      </c>
      <c r="D283" s="6"/>
      <c r="E283" s="6"/>
      <c r="F283" s="6"/>
      <c r="G283" s="6"/>
      <c r="H283" s="6"/>
      <c r="I283" s="155">
        <f t="shared" ref="I283" si="10">D283+E283+F283+G283+H283</f>
        <v>0</v>
      </c>
    </row>
    <row r="284" spans="2:18" hidden="1" outlineLevel="2" x14ac:dyDescent="0.35">
      <c r="B284" s="48" t="s">
        <v>140</v>
      </c>
      <c r="C284" s="53" t="s">
        <v>147</v>
      </c>
      <c r="D284" s="4"/>
      <c r="E284" s="4"/>
      <c r="F284" s="4"/>
      <c r="G284" s="4"/>
      <c r="H284" s="4"/>
      <c r="I284" s="155">
        <f>D284+E284+F284+G284+H284</f>
        <v>0</v>
      </c>
    </row>
    <row r="285" spans="2:18" outlineLevel="1" collapsed="1" x14ac:dyDescent="0.35"/>
    <row r="286" spans="2:18" outlineLevel="1" x14ac:dyDescent="0.35">
      <c r="B286" s="311" t="s">
        <v>144</v>
      </c>
      <c r="C286" s="312"/>
      <c r="D286" s="300"/>
      <c r="E286" s="312"/>
      <c r="F286" s="312"/>
      <c r="G286" s="312"/>
      <c r="H286" s="312"/>
      <c r="I286" s="312"/>
      <c r="J286" s="54"/>
      <c r="K286" s="54"/>
      <c r="L286" s="54"/>
      <c r="M286" s="54"/>
      <c r="N286" s="54"/>
      <c r="O286" s="54"/>
      <c r="P286" s="54"/>
      <c r="Q286" s="54"/>
      <c r="R286" s="54"/>
    </row>
    <row r="287" spans="2:18" outlineLevel="2" x14ac:dyDescent="0.35">
      <c r="B287" s="55"/>
      <c r="C287" s="314" t="s">
        <v>134</v>
      </c>
      <c r="D287" s="73">
        <f>$C$3</f>
        <v>2024</v>
      </c>
      <c r="E287" s="73">
        <f>$C$3+1</f>
        <v>2025</v>
      </c>
      <c r="F287" s="73">
        <f>$C$3+2</f>
        <v>2026</v>
      </c>
      <c r="G287" s="73">
        <f>$C$3+3</f>
        <v>2027</v>
      </c>
      <c r="H287" s="73">
        <f>$C$3+4</f>
        <v>2028</v>
      </c>
      <c r="I287" s="47" t="str">
        <f>D287&amp; "-"&amp;H287</f>
        <v>2024-2028</v>
      </c>
    </row>
    <row r="288" spans="2:18" outlineLevel="2" x14ac:dyDescent="0.35">
      <c r="B288" s="48" t="s">
        <v>143</v>
      </c>
      <c r="C288" s="49" t="s">
        <v>147</v>
      </c>
      <c r="D288" s="6"/>
      <c r="E288" s="6"/>
      <c r="F288" s="6"/>
      <c r="G288" s="6"/>
      <c r="H288" s="6"/>
      <c r="I288" s="155">
        <f t="shared" ref="I288:I291" si="11">D288+E288+F288+G288+H288</f>
        <v>0</v>
      </c>
    </row>
    <row r="289" spans="2:18" outlineLevel="2" x14ac:dyDescent="0.35">
      <c r="B289" s="48" t="s">
        <v>148</v>
      </c>
      <c r="C289" s="49" t="s">
        <v>147</v>
      </c>
      <c r="D289" s="6"/>
      <c r="E289" s="6"/>
      <c r="F289" s="6"/>
      <c r="G289" s="6"/>
      <c r="H289" s="6"/>
      <c r="I289" s="155">
        <f t="shared" si="11"/>
        <v>0</v>
      </c>
    </row>
    <row r="290" spans="2:18" outlineLevel="2" x14ac:dyDescent="0.35">
      <c r="B290" s="48" t="s">
        <v>149</v>
      </c>
      <c r="C290" s="49" t="s">
        <v>147</v>
      </c>
      <c r="D290" s="6"/>
      <c r="E290" s="6"/>
      <c r="F290" s="6"/>
      <c r="G290" s="6"/>
      <c r="H290" s="6"/>
      <c r="I290" s="155">
        <f t="shared" si="11"/>
        <v>0</v>
      </c>
    </row>
    <row r="291" spans="2:18" outlineLevel="2" x14ac:dyDescent="0.35">
      <c r="B291" s="48" t="s">
        <v>150</v>
      </c>
      <c r="C291" s="49" t="s">
        <v>147</v>
      </c>
      <c r="D291" s="6"/>
      <c r="E291" s="6"/>
      <c r="F291" s="6"/>
      <c r="G291" s="6"/>
      <c r="H291" s="6"/>
      <c r="I291" s="155">
        <f t="shared" si="11"/>
        <v>0</v>
      </c>
    </row>
    <row r="292" spans="2:18" ht="15" customHeight="1" outlineLevel="2" x14ac:dyDescent="0.35">
      <c r="B292" s="423" t="s">
        <v>151</v>
      </c>
      <c r="C292" s="423"/>
      <c r="D292" s="423"/>
      <c r="E292" s="423"/>
      <c r="F292" s="423"/>
      <c r="G292" s="423"/>
      <c r="H292" s="423"/>
      <c r="I292" s="423"/>
    </row>
    <row r="293" spans="2:18" outlineLevel="2" x14ac:dyDescent="0.35">
      <c r="B293" s="48" t="s">
        <v>140</v>
      </c>
      <c r="C293" s="53" t="s">
        <v>147</v>
      </c>
      <c r="D293" s="4"/>
      <c r="E293" s="4"/>
      <c r="F293" s="4"/>
      <c r="G293" s="4"/>
      <c r="H293" s="4"/>
      <c r="I293" s="155">
        <f>D293+E293+F293+G293+H293</f>
        <v>0</v>
      </c>
    </row>
    <row r="294" spans="2:18" outlineLevel="1" x14ac:dyDescent="0.35"/>
    <row r="295" spans="2:18" outlineLevel="1" x14ac:dyDescent="0.35">
      <c r="B295" s="311" t="s">
        <v>145</v>
      </c>
      <c r="C295" s="312"/>
      <c r="D295" s="300"/>
      <c r="E295" s="312"/>
      <c r="F295" s="312"/>
      <c r="G295" s="312"/>
      <c r="H295" s="312"/>
      <c r="I295" s="312"/>
      <c r="J295" s="54"/>
      <c r="K295" s="54"/>
      <c r="L295" s="54"/>
      <c r="M295" s="54"/>
      <c r="N295" s="54"/>
      <c r="O295" s="54"/>
      <c r="P295" s="54"/>
      <c r="Q295" s="54"/>
      <c r="R295" s="54"/>
    </row>
    <row r="296" spans="2:18" outlineLevel="2" x14ac:dyDescent="0.35">
      <c r="B296" s="55"/>
      <c r="C296" s="314" t="s">
        <v>134</v>
      </c>
      <c r="D296" s="73">
        <f>$C$3</f>
        <v>2024</v>
      </c>
      <c r="E296" s="73">
        <f>$C$3+1</f>
        <v>2025</v>
      </c>
      <c r="F296" s="73">
        <f>$C$3+2</f>
        <v>2026</v>
      </c>
      <c r="G296" s="73">
        <f>$C$3+3</f>
        <v>2027</v>
      </c>
      <c r="H296" s="73">
        <f>$C$3+4</f>
        <v>2028</v>
      </c>
      <c r="I296" s="47" t="str">
        <f>D296&amp; "-"&amp;H296</f>
        <v>2024-2028</v>
      </c>
    </row>
    <row r="297" spans="2:18" outlineLevel="2" x14ac:dyDescent="0.35">
      <c r="B297" s="48" t="s">
        <v>143</v>
      </c>
      <c r="C297" s="49" t="s">
        <v>147</v>
      </c>
      <c r="D297" s="6"/>
      <c r="E297" s="6"/>
      <c r="F297" s="6"/>
      <c r="G297" s="6"/>
      <c r="H297" s="6"/>
      <c r="I297" s="155">
        <f t="shared" ref="I297:I300" si="12">D297+E297+F297+G297+H297</f>
        <v>0</v>
      </c>
    </row>
    <row r="298" spans="2:18" outlineLevel="2" x14ac:dyDescent="0.35">
      <c r="B298" s="48" t="s">
        <v>148</v>
      </c>
      <c r="C298" s="49" t="s">
        <v>147</v>
      </c>
      <c r="D298" s="6"/>
      <c r="E298" s="6"/>
      <c r="F298" s="6"/>
      <c r="G298" s="6"/>
      <c r="H298" s="6"/>
      <c r="I298" s="155">
        <f t="shared" si="12"/>
        <v>0</v>
      </c>
    </row>
    <row r="299" spans="2:18" outlineLevel="2" x14ac:dyDescent="0.35">
      <c r="B299" s="48" t="s">
        <v>149</v>
      </c>
      <c r="C299" s="49" t="s">
        <v>147</v>
      </c>
      <c r="D299" s="6"/>
      <c r="E299" s="6"/>
      <c r="F299" s="6"/>
      <c r="G299" s="6"/>
      <c r="H299" s="6"/>
      <c r="I299" s="155">
        <f t="shared" si="12"/>
        <v>0</v>
      </c>
    </row>
    <row r="300" spans="2:18" outlineLevel="2" x14ac:dyDescent="0.35">
      <c r="B300" s="48" t="s">
        <v>150</v>
      </c>
      <c r="C300" s="49" t="s">
        <v>147</v>
      </c>
      <c r="D300" s="6"/>
      <c r="E300" s="6"/>
      <c r="F300" s="6"/>
      <c r="G300" s="6"/>
      <c r="H300" s="6"/>
      <c r="I300" s="155">
        <f t="shared" si="12"/>
        <v>0</v>
      </c>
    </row>
    <row r="301" spans="2:18" ht="15" customHeight="1" outlineLevel="2" x14ac:dyDescent="0.35">
      <c r="B301" s="423" t="s">
        <v>151</v>
      </c>
      <c r="C301" s="423"/>
      <c r="D301" s="423"/>
      <c r="E301" s="423"/>
      <c r="F301" s="423"/>
      <c r="G301" s="423"/>
      <c r="H301" s="423"/>
      <c r="I301" s="423"/>
    </row>
    <row r="302" spans="2:18" outlineLevel="2" x14ac:dyDescent="0.35">
      <c r="B302" s="48" t="s">
        <v>140</v>
      </c>
      <c r="C302" s="53" t="s">
        <v>147</v>
      </c>
      <c r="D302" s="4"/>
      <c r="E302" s="4"/>
      <c r="F302" s="4"/>
      <c r="G302" s="4"/>
      <c r="H302" s="4"/>
      <c r="I302" s="155">
        <f>D302+E302+F302+G302+H302</f>
        <v>0</v>
      </c>
    </row>
    <row r="303" spans="2:18" outlineLevel="1" x14ac:dyDescent="0.35"/>
    <row r="304" spans="2:18" ht="15.5" x14ac:dyDescent="0.35">
      <c r="B304" s="419" t="s">
        <v>153</v>
      </c>
      <c r="C304" s="419"/>
      <c r="D304" s="419"/>
      <c r="E304" s="419"/>
      <c r="F304" s="419"/>
      <c r="G304" s="419"/>
      <c r="H304" s="419"/>
      <c r="I304" s="419"/>
      <c r="J304" s="419"/>
      <c r="K304" s="419"/>
      <c r="L304" s="419"/>
    </row>
    <row r="305" spans="2:12" ht="6.65" customHeight="1" x14ac:dyDescent="0.35"/>
    <row r="306" spans="2:12" outlineLevel="1" x14ac:dyDescent="0.35">
      <c r="B306" s="424" t="s">
        <v>154</v>
      </c>
      <c r="C306" s="425"/>
      <c r="D306" s="425"/>
      <c r="E306" s="425"/>
      <c r="F306" s="425"/>
      <c r="G306" s="425"/>
      <c r="H306" s="425"/>
      <c r="I306" s="425"/>
      <c r="J306" s="425"/>
      <c r="K306" s="425"/>
      <c r="L306" s="425"/>
    </row>
    <row r="307" spans="2:12" ht="14.9" customHeight="1" outlineLevel="2" x14ac:dyDescent="0.35">
      <c r="B307" s="55"/>
      <c r="C307" s="314" t="s">
        <v>134</v>
      </c>
      <c r="D307" s="426" t="s">
        <v>155</v>
      </c>
      <c r="E307" s="427"/>
      <c r="F307" s="427"/>
      <c r="G307" s="427"/>
      <c r="H307" s="427"/>
      <c r="I307" s="427"/>
      <c r="J307" s="428"/>
      <c r="K307" s="429" t="s">
        <v>156</v>
      </c>
      <c r="L307" s="429" t="s">
        <v>157</v>
      </c>
    </row>
    <row r="308" spans="2:12" ht="43.5" outlineLevel="2" x14ac:dyDescent="0.35">
      <c r="B308" s="55"/>
      <c r="C308" s="314"/>
      <c r="D308" s="28" t="s">
        <v>158</v>
      </c>
      <c r="E308" s="28" t="s">
        <v>159</v>
      </c>
      <c r="F308" s="28" t="s">
        <v>160</v>
      </c>
      <c r="G308" s="28" t="s">
        <v>161</v>
      </c>
      <c r="H308" s="28" t="s">
        <v>162</v>
      </c>
      <c r="I308" s="28" t="s">
        <v>163</v>
      </c>
      <c r="J308" s="28" t="s">
        <v>164</v>
      </c>
      <c r="K308" s="430"/>
      <c r="L308" s="430"/>
    </row>
    <row r="309" spans="2:12" outlineLevel="2" x14ac:dyDescent="0.35">
      <c r="B309" s="48" t="s">
        <v>143</v>
      </c>
      <c r="C309" s="49" t="s">
        <v>165</v>
      </c>
      <c r="D309" s="6"/>
      <c r="E309" s="6"/>
      <c r="F309" s="6"/>
      <c r="G309" s="6"/>
      <c r="H309" s="6"/>
      <c r="I309" s="6"/>
      <c r="J309" s="155">
        <f>SUM(D309:I309)</f>
        <v>0</v>
      </c>
      <c r="K309" s="6"/>
      <c r="L309" s="6"/>
    </row>
    <row r="310" spans="2:12" outlineLevel="2" x14ac:dyDescent="0.35">
      <c r="B310" s="48" t="s">
        <v>148</v>
      </c>
      <c r="C310" s="49" t="s">
        <v>165</v>
      </c>
      <c r="D310" s="6"/>
      <c r="E310" s="6"/>
      <c r="F310" s="6"/>
      <c r="G310" s="6"/>
      <c r="H310" s="6"/>
      <c r="I310" s="6"/>
      <c r="J310" s="155">
        <f t="shared" ref="J310:J312" si="13">SUM(D310:I310)</f>
        <v>0</v>
      </c>
      <c r="K310" s="6"/>
      <c r="L310" s="6"/>
    </row>
    <row r="311" spans="2:12" outlineLevel="2" x14ac:dyDescent="0.35">
      <c r="B311" s="48" t="s">
        <v>149</v>
      </c>
      <c r="C311" s="49" t="s">
        <v>165</v>
      </c>
      <c r="D311" s="6"/>
      <c r="E311" s="6"/>
      <c r="F311" s="6"/>
      <c r="G311" s="6"/>
      <c r="H311" s="6"/>
      <c r="I311" s="6"/>
      <c r="J311" s="155">
        <f t="shared" si="13"/>
        <v>0</v>
      </c>
      <c r="K311" s="6"/>
      <c r="L311" s="6"/>
    </row>
    <row r="312" spans="2:12" outlineLevel="2" x14ac:dyDescent="0.35">
      <c r="B312" s="294" t="s">
        <v>150</v>
      </c>
      <c r="C312" s="49" t="s">
        <v>165</v>
      </c>
      <c r="D312" s="227"/>
      <c r="E312" s="227"/>
      <c r="F312" s="227"/>
      <c r="G312" s="227"/>
      <c r="H312" s="227"/>
      <c r="I312" s="227"/>
      <c r="J312" s="228">
        <f t="shared" si="13"/>
        <v>0</v>
      </c>
      <c r="K312" s="227"/>
      <c r="L312" s="227"/>
    </row>
    <row r="313" spans="2:12" outlineLevel="2" x14ac:dyDescent="0.35">
      <c r="B313" s="423" t="s">
        <v>166</v>
      </c>
      <c r="C313" s="423"/>
      <c r="D313" s="423"/>
      <c r="E313" s="423"/>
      <c r="F313" s="423"/>
      <c r="G313" s="423"/>
      <c r="H313" s="423"/>
      <c r="I313" s="423"/>
      <c r="J313" s="423"/>
      <c r="K313" s="423"/>
      <c r="L313" s="423"/>
    </row>
    <row r="314" spans="2:12" outlineLevel="1" x14ac:dyDescent="0.35"/>
  </sheetData>
  <mergeCells count="16">
    <mergeCell ref="J2:L2"/>
    <mergeCell ref="B5:I5"/>
    <mergeCell ref="C2:H2"/>
    <mergeCell ref="B9:I9"/>
    <mergeCell ref="B252:I252"/>
    <mergeCell ref="B260:I260"/>
    <mergeCell ref="B269:I269"/>
    <mergeCell ref="B278:I278"/>
    <mergeCell ref="B292:I292"/>
    <mergeCell ref="B313:L313"/>
    <mergeCell ref="B301:I301"/>
    <mergeCell ref="B304:L304"/>
    <mergeCell ref="B306:L306"/>
    <mergeCell ref="D307:J307"/>
    <mergeCell ref="K307:K308"/>
    <mergeCell ref="L307:L308"/>
  </mergeCells>
  <phoneticPr fontId="28" type="noConversion"/>
  <hyperlinks>
    <hyperlink ref="J2" location="'Αρχική σελίδα'!A1" display="Πίσω στην αρχική σελίδα" xr:uid="{2E5CF251-0E5C-4D08-BB42-95237E493D2E}"/>
  </hyperlinks>
  <pageMargins left="0.7" right="0.7" top="0.75" bottom="0.75" header="0.3" footer="0.3"/>
  <customProperties>
    <customPr name="_pios_id" r:id="rId1"/>
  </customPropertie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65C4B-B4C9-49A9-9464-D75A0503D6BE}">
  <sheetPr codeName="Sheet5">
    <tabColor theme="4" tint="0.79998168889431442"/>
  </sheetPr>
  <dimension ref="A2:AK272"/>
  <sheetViews>
    <sheetView showGridLines="0" topLeftCell="A160" zoomScale="125" zoomScaleNormal="70" workbookViewId="0">
      <pane xSplit="2" topLeftCell="C1" activePane="topRight" state="frozen"/>
      <selection pane="topRight" activeCell="A190" sqref="A190:XFD190"/>
    </sheetView>
  </sheetViews>
  <sheetFormatPr defaultColWidth="8.54296875" defaultRowHeight="14.5" outlineLevelRow="1" x14ac:dyDescent="0.35"/>
  <cols>
    <col min="1" max="1" width="2.54296875" customWidth="1"/>
    <col min="2" max="2" width="34.453125" customWidth="1"/>
    <col min="3" max="3" width="27.453125" customWidth="1"/>
    <col min="4" max="18" width="13.453125" customWidth="1"/>
    <col min="19" max="19" width="18.453125" customWidth="1"/>
    <col min="20" max="20" width="2.1796875" customWidth="1"/>
    <col min="21" max="36" width="13.453125" customWidth="1"/>
    <col min="37" max="37" width="18.453125" customWidth="1"/>
  </cols>
  <sheetData>
    <row r="2" spans="2:37" ht="18.5" x14ac:dyDescent="0.45">
      <c r="B2" s="1" t="s">
        <v>0</v>
      </c>
      <c r="C2" s="420">
        <f>'Αρχική σελίδα'!C3</f>
        <v>0</v>
      </c>
      <c r="D2" s="420"/>
      <c r="E2" s="420"/>
      <c r="F2" s="420"/>
      <c r="G2" s="420"/>
      <c r="H2" s="420"/>
      <c r="J2" s="421" t="s">
        <v>58</v>
      </c>
      <c r="K2" s="421"/>
      <c r="L2" s="421"/>
    </row>
    <row r="3" spans="2:37" ht="18.5" x14ac:dyDescent="0.45">
      <c r="B3" s="2" t="s">
        <v>1</v>
      </c>
      <c r="C3" s="99">
        <v>2024</v>
      </c>
      <c r="D3" s="46" t="s">
        <v>2</v>
      </c>
      <c r="E3" s="46">
        <f>C3+4</f>
        <v>2028</v>
      </c>
    </row>
    <row r="5" spans="2:37" ht="56.9" customHeight="1" x14ac:dyDescent="0.35">
      <c r="B5" s="422" t="s">
        <v>167</v>
      </c>
      <c r="C5" s="422"/>
      <c r="D5" s="422"/>
      <c r="E5" s="422"/>
      <c r="F5" s="422"/>
      <c r="G5" s="422"/>
      <c r="H5" s="422"/>
      <c r="I5" s="422"/>
    </row>
    <row r="6" spans="2:37" x14ac:dyDescent="0.35">
      <c r="B6" s="226"/>
      <c r="C6" s="226"/>
      <c r="D6" s="226"/>
      <c r="E6" s="226"/>
      <c r="F6" s="226"/>
      <c r="G6" s="226"/>
      <c r="H6" s="226"/>
    </row>
    <row r="7" spans="2:37" ht="18.5" x14ac:dyDescent="0.45">
      <c r="B7" s="100" t="str">
        <f>"Απολογιστικά στοιχεία ανάπτυξης δικτύου διανομής "&amp;(C3-5)&amp;" - "&amp;(C3-1)&amp;" και ανάπτυξη σύμφωνα με το Πρόγραμμα Ανάπτυξης  "&amp;C3&amp;" - "&amp;E3</f>
        <v>Απολογιστικά στοιχεία ανάπτυξης δικτύου διανομής 2019 - 2023 και ανάπτυξη σύμφωνα με το Πρόγραμμα Ανάπτυξης  2024 - 2028</v>
      </c>
      <c r="C7" s="101"/>
      <c r="D7" s="101"/>
      <c r="E7" s="101"/>
      <c r="F7" s="101"/>
      <c r="G7" s="101"/>
      <c r="H7" s="101"/>
      <c r="I7" s="101"/>
      <c r="J7" s="102"/>
    </row>
    <row r="9" spans="2:37" ht="17.25" customHeight="1" outlineLevel="1" x14ac:dyDescent="0.35">
      <c r="B9" s="419" t="s">
        <v>168</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row>
    <row r="10" spans="2:37" ht="5.9" customHeight="1" outlineLevel="1" x14ac:dyDescent="0.3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row>
    <row r="11" spans="2:37" ht="15" customHeight="1" outlineLevel="1" x14ac:dyDescent="0.35">
      <c r="B11" s="447"/>
      <c r="C11" s="450" t="s">
        <v>134</v>
      </c>
      <c r="D11" s="435" t="s">
        <v>169</v>
      </c>
      <c r="E11" s="436"/>
      <c r="F11" s="436"/>
      <c r="G11" s="436"/>
      <c r="H11" s="436"/>
      <c r="I11" s="436"/>
      <c r="J11" s="436"/>
      <c r="K11" s="436"/>
      <c r="L11" s="436"/>
      <c r="M11" s="436"/>
      <c r="N11" s="436"/>
      <c r="O11" s="435"/>
      <c r="P11" s="436"/>
      <c r="Q11" s="437"/>
      <c r="R11" s="431" t="str">
        <f xml:space="preserve"> D12&amp;" - "&amp;O12</f>
        <v>2019 - 2023</v>
      </c>
      <c r="S11" s="432"/>
      <c r="U11" s="435" t="s">
        <v>170</v>
      </c>
      <c r="V11" s="436"/>
      <c r="W11" s="436"/>
      <c r="X11" s="436"/>
      <c r="Y11" s="436"/>
      <c r="Z11" s="436"/>
      <c r="AA11" s="436"/>
      <c r="AB11" s="436"/>
      <c r="AC11" s="436"/>
      <c r="AD11" s="436"/>
      <c r="AE11" s="436"/>
      <c r="AF11" s="436"/>
      <c r="AG11" s="436"/>
      <c r="AH11" s="436"/>
      <c r="AI11" s="436"/>
      <c r="AJ11" s="436"/>
      <c r="AK11" s="438"/>
    </row>
    <row r="12" spans="2:37" ht="15" customHeight="1" outlineLevel="1" x14ac:dyDescent="0.35">
      <c r="B12" s="448"/>
      <c r="C12" s="451"/>
      <c r="D12" s="435">
        <f>$C$3-5</f>
        <v>2019</v>
      </c>
      <c r="E12" s="437"/>
      <c r="F12" s="435">
        <f>$C$3-4</f>
        <v>2020</v>
      </c>
      <c r="G12" s="436"/>
      <c r="H12" s="437"/>
      <c r="I12" s="435">
        <f>$C$3-3</f>
        <v>2021</v>
      </c>
      <c r="J12" s="436"/>
      <c r="K12" s="437"/>
      <c r="L12" s="435">
        <f>$C$3-2</f>
        <v>2022</v>
      </c>
      <c r="M12" s="436"/>
      <c r="N12" s="437"/>
      <c r="O12" s="435">
        <f>$C$3-1</f>
        <v>2023</v>
      </c>
      <c r="P12" s="436"/>
      <c r="Q12" s="437"/>
      <c r="R12" s="433"/>
      <c r="S12" s="434"/>
      <c r="U12" s="435">
        <f>$C$3</f>
        <v>2024</v>
      </c>
      <c r="V12" s="436"/>
      <c r="W12" s="437"/>
      <c r="X12" s="435">
        <f>$C$3+1</f>
        <v>2025</v>
      </c>
      <c r="Y12" s="436"/>
      <c r="Z12" s="437"/>
      <c r="AA12" s="435">
        <f>$C$3+2</f>
        <v>2026</v>
      </c>
      <c r="AB12" s="436"/>
      <c r="AC12" s="437"/>
      <c r="AD12" s="435">
        <f>$C$3+3</f>
        <v>2027</v>
      </c>
      <c r="AE12" s="436"/>
      <c r="AF12" s="437"/>
      <c r="AG12" s="435">
        <f>$C$3+4</f>
        <v>2028</v>
      </c>
      <c r="AH12" s="436"/>
      <c r="AI12" s="437"/>
      <c r="AJ12" s="439" t="str">
        <f>U12&amp;" - "&amp;AG12</f>
        <v>2024 - 2028</v>
      </c>
      <c r="AK12" s="440"/>
    </row>
    <row r="13" spans="2:37" ht="29" outlineLevel="1" x14ac:dyDescent="0.35">
      <c r="B13" s="449"/>
      <c r="C13" s="452"/>
      <c r="D13" s="66" t="s">
        <v>171</v>
      </c>
      <c r="E13" s="67" t="s">
        <v>172</v>
      </c>
      <c r="F13" s="66" t="s">
        <v>171</v>
      </c>
      <c r="G13" s="9" t="s">
        <v>172</v>
      </c>
      <c r="H13" s="67" t="s">
        <v>173</v>
      </c>
      <c r="I13" s="66" t="s">
        <v>171</v>
      </c>
      <c r="J13" s="9" t="s">
        <v>172</v>
      </c>
      <c r="K13" s="67" t="s">
        <v>173</v>
      </c>
      <c r="L13" s="66" t="s">
        <v>171</v>
      </c>
      <c r="M13" s="9" t="s">
        <v>172</v>
      </c>
      <c r="N13" s="67" t="s">
        <v>173</v>
      </c>
      <c r="O13" s="66" t="s">
        <v>171</v>
      </c>
      <c r="P13" s="9" t="s">
        <v>172</v>
      </c>
      <c r="Q13" s="67" t="s">
        <v>173</v>
      </c>
      <c r="R13" s="9" t="s">
        <v>164</v>
      </c>
      <c r="S13" s="57" t="s">
        <v>174</v>
      </c>
      <c r="U13" s="66" t="s">
        <v>171</v>
      </c>
      <c r="V13" s="9" t="s">
        <v>172</v>
      </c>
      <c r="W13" s="67" t="s">
        <v>173</v>
      </c>
      <c r="X13" s="66" t="s">
        <v>171</v>
      </c>
      <c r="Y13" s="9" t="s">
        <v>172</v>
      </c>
      <c r="Z13" s="67" t="s">
        <v>173</v>
      </c>
      <c r="AA13" s="66" t="s">
        <v>171</v>
      </c>
      <c r="AB13" s="9" t="s">
        <v>172</v>
      </c>
      <c r="AC13" s="67" t="s">
        <v>173</v>
      </c>
      <c r="AD13" s="66" t="s">
        <v>171</v>
      </c>
      <c r="AE13" s="9" t="s">
        <v>172</v>
      </c>
      <c r="AF13" s="67" t="s">
        <v>173</v>
      </c>
      <c r="AG13" s="66" t="s">
        <v>171</v>
      </c>
      <c r="AH13" s="9" t="s">
        <v>172</v>
      </c>
      <c r="AI13" s="67" t="s">
        <v>173</v>
      </c>
      <c r="AJ13" s="9" t="s">
        <v>164</v>
      </c>
      <c r="AK13" s="57" t="s">
        <v>174</v>
      </c>
    </row>
    <row r="14" spans="2:37" outlineLevel="1" x14ac:dyDescent="0.35">
      <c r="B14" s="237"/>
      <c r="C14" s="238"/>
      <c r="D14" s="240"/>
      <c r="E14" s="239"/>
      <c r="F14" s="240"/>
      <c r="G14" s="241"/>
      <c r="H14" s="239"/>
      <c r="I14" s="240"/>
      <c r="J14" s="241"/>
      <c r="K14" s="239"/>
      <c r="L14" s="240"/>
      <c r="M14" s="241"/>
      <c r="N14" s="239"/>
      <c r="O14" s="240"/>
      <c r="P14" s="241"/>
      <c r="Q14" s="239"/>
      <c r="R14" s="9"/>
      <c r="S14" s="57"/>
      <c r="U14" s="240"/>
      <c r="V14" s="241"/>
      <c r="W14" s="239"/>
      <c r="X14" s="240"/>
      <c r="Y14" s="241"/>
      <c r="Z14" s="239"/>
      <c r="AA14" s="240"/>
      <c r="AB14" s="241"/>
      <c r="AC14" s="239"/>
      <c r="AD14" s="240"/>
      <c r="AE14" s="241"/>
      <c r="AF14" s="239"/>
      <c r="AG14" s="240"/>
      <c r="AH14" s="241"/>
      <c r="AI14" s="239"/>
      <c r="AJ14" s="9"/>
      <c r="AK14" s="57"/>
    </row>
    <row r="15" spans="2:37" outlineLevel="1" x14ac:dyDescent="0.35">
      <c r="B15" s="48" t="s">
        <v>74</v>
      </c>
      <c r="C15" s="62" t="s">
        <v>175</v>
      </c>
      <c r="D15" s="76"/>
      <c r="E15" s="77">
        <v>3300</v>
      </c>
      <c r="F15" s="76"/>
      <c r="G15" s="156">
        <f t="shared" ref="G15:G46" si="0">E15+F15</f>
        <v>3300</v>
      </c>
      <c r="H15" s="160">
        <f t="shared" ref="H15:H46" si="1">IFERROR((G15-E15)/E15,0)</f>
        <v>0</v>
      </c>
      <c r="I15" s="76"/>
      <c r="J15" s="156">
        <f t="shared" ref="J15:J46" si="2">G15+I15</f>
        <v>3300</v>
      </c>
      <c r="K15" s="160">
        <f t="shared" ref="K15:K46" si="3">IFERROR((J15-G15)/G15,0)</f>
        <v>0</v>
      </c>
      <c r="L15" s="76"/>
      <c r="M15" s="156">
        <f t="shared" ref="M15:M46" si="4">J15+L15</f>
        <v>3300</v>
      </c>
      <c r="N15" s="160">
        <f t="shared" ref="N15:N46" si="5">IFERROR((M15-J15)/J15,0)</f>
        <v>0</v>
      </c>
      <c r="O15" s="76"/>
      <c r="P15" s="156">
        <f t="shared" ref="P15:P46" si="6">M15+O15</f>
        <v>3300</v>
      </c>
      <c r="Q15" s="160">
        <f t="shared" ref="Q15:Q46" si="7">IFERROR((P15-M15)/M15,0)</f>
        <v>0</v>
      </c>
      <c r="R15" s="152">
        <f t="shared" ref="R15:R44" si="8">D15+F15+I15+L15+O15</f>
        <v>0</v>
      </c>
      <c r="S15" s="162">
        <f t="shared" ref="S15:S44" si="9">IFERROR((P15/E15)^(1/4)-1,0)</f>
        <v>0</v>
      </c>
      <c r="U15" s="76"/>
      <c r="V15" s="156">
        <f>P15+U15</f>
        <v>3300</v>
      </c>
      <c r="W15" s="160">
        <f>IFERROR((V15-P15)/P15,0)</f>
        <v>0</v>
      </c>
      <c r="X15" s="76"/>
      <c r="Y15" s="156">
        <f t="shared" ref="Y15:Y68" si="10">V15+X15</f>
        <v>3300</v>
      </c>
      <c r="Z15" s="160">
        <f t="shared" ref="Z15:Z68" si="11">IFERROR((Y15-V15)/V15,0)</f>
        <v>0</v>
      </c>
      <c r="AA15" s="76"/>
      <c r="AB15" s="156">
        <f t="shared" ref="AB15:AB68" si="12">Y15+AA15</f>
        <v>3300</v>
      </c>
      <c r="AC15" s="160">
        <f t="shared" ref="AC15:AC68" si="13">IFERROR((AB15-Y15)/Y15,0)</f>
        <v>0</v>
      </c>
      <c r="AD15" s="76"/>
      <c r="AE15" s="156">
        <f t="shared" ref="AE15:AE68" si="14">AB15+AD15</f>
        <v>3300</v>
      </c>
      <c r="AF15" s="160">
        <f t="shared" ref="AF15:AF68" si="15">IFERROR((AE15-AB15)/AB15,0)</f>
        <v>0</v>
      </c>
      <c r="AG15" s="76"/>
      <c r="AH15" s="156">
        <f t="shared" ref="AH15:AH68" si="16">AE15+AG15</f>
        <v>3300</v>
      </c>
      <c r="AI15" s="160">
        <f t="shared" ref="AI15:AI68" si="17">IFERROR((AH15-AE15)/AE15,0)</f>
        <v>0</v>
      </c>
      <c r="AJ15" s="163">
        <f>U15+X15+AA15+AD15+AG15</f>
        <v>0</v>
      </c>
      <c r="AK15" s="162">
        <f>IFERROR((AH15/V15)^(1/4)-1,0)</f>
        <v>0</v>
      </c>
    </row>
    <row r="16" spans="2:37" outlineLevel="1" x14ac:dyDescent="0.35">
      <c r="B16" s="48" t="s">
        <v>75</v>
      </c>
      <c r="C16" s="62" t="s">
        <v>175</v>
      </c>
      <c r="D16" s="76">
        <v>59</v>
      </c>
      <c r="E16" s="77">
        <v>5190.6000000000004</v>
      </c>
      <c r="F16" s="76"/>
      <c r="G16" s="156">
        <f t="shared" si="0"/>
        <v>5190.6000000000004</v>
      </c>
      <c r="H16" s="160">
        <f t="shared" si="1"/>
        <v>0</v>
      </c>
      <c r="I16" s="76">
        <v>9</v>
      </c>
      <c r="J16" s="156">
        <f t="shared" si="2"/>
        <v>5199.6000000000004</v>
      </c>
      <c r="K16" s="160">
        <f t="shared" si="3"/>
        <v>1.7339035949601202E-3</v>
      </c>
      <c r="L16" s="76"/>
      <c r="M16" s="156">
        <f t="shared" si="4"/>
        <v>5199.6000000000004</v>
      </c>
      <c r="N16" s="160">
        <f t="shared" si="5"/>
        <v>0</v>
      </c>
      <c r="O16" s="76"/>
      <c r="P16" s="156">
        <f t="shared" si="6"/>
        <v>5199.6000000000004</v>
      </c>
      <c r="Q16" s="160">
        <f t="shared" si="7"/>
        <v>0</v>
      </c>
      <c r="R16" s="152">
        <f t="shared" si="8"/>
        <v>68</v>
      </c>
      <c r="S16" s="162">
        <f t="shared" si="9"/>
        <v>4.3319433144595187E-4</v>
      </c>
      <c r="U16" s="76"/>
      <c r="V16" s="156">
        <f t="shared" ref="V16:V68" si="18">P16+U16</f>
        <v>5199.6000000000004</v>
      </c>
      <c r="W16" s="160">
        <f t="shared" ref="W16:W68" si="19">IFERROR((V16-P16)/P16,0)</f>
        <v>0</v>
      </c>
      <c r="X16" s="76"/>
      <c r="Y16" s="156">
        <f t="shared" si="10"/>
        <v>5199.6000000000004</v>
      </c>
      <c r="Z16" s="160">
        <f t="shared" si="11"/>
        <v>0</v>
      </c>
      <c r="AA16" s="76">
        <v>130</v>
      </c>
      <c r="AB16" s="156">
        <f t="shared" si="12"/>
        <v>5329.6</v>
      </c>
      <c r="AC16" s="160">
        <f t="shared" si="13"/>
        <v>2.500192322486345E-2</v>
      </c>
      <c r="AD16" s="76"/>
      <c r="AE16" s="156">
        <f t="shared" si="14"/>
        <v>5329.6</v>
      </c>
      <c r="AF16" s="160">
        <f t="shared" si="15"/>
        <v>0</v>
      </c>
      <c r="AG16" s="76"/>
      <c r="AH16" s="156">
        <f t="shared" si="16"/>
        <v>5329.6</v>
      </c>
      <c r="AI16" s="160">
        <f t="shared" si="17"/>
        <v>0</v>
      </c>
      <c r="AJ16" s="163">
        <f t="shared" ref="AJ16:AJ68" si="20">U16+X16+AA16+AD16+AG16</f>
        <v>130</v>
      </c>
      <c r="AK16" s="162">
        <f t="shared" ref="AK16:AK68" si="21">IFERROR((AH16/V16)^(1/4)-1,0)</f>
        <v>6.1927183091929905E-3</v>
      </c>
    </row>
    <row r="17" spans="2:37" outlineLevel="1" x14ac:dyDescent="0.35">
      <c r="B17" s="48" t="s">
        <v>76</v>
      </c>
      <c r="C17" s="62" t="s">
        <v>175</v>
      </c>
      <c r="D17" s="76"/>
      <c r="E17" s="77">
        <v>546.73</v>
      </c>
      <c r="F17" s="76"/>
      <c r="G17" s="156">
        <f t="shared" si="0"/>
        <v>546.73</v>
      </c>
      <c r="H17" s="160">
        <f t="shared" si="1"/>
        <v>0</v>
      </c>
      <c r="I17" s="76">
        <v>653.27</v>
      </c>
      <c r="J17" s="156">
        <f t="shared" si="2"/>
        <v>1200</v>
      </c>
      <c r="K17" s="160">
        <f t="shared" si="3"/>
        <v>1.1948676677701973</v>
      </c>
      <c r="L17" s="76"/>
      <c r="M17" s="156">
        <f t="shared" si="4"/>
        <v>1200</v>
      </c>
      <c r="N17" s="160">
        <f t="shared" si="5"/>
        <v>0</v>
      </c>
      <c r="O17" s="76">
        <v>38.82</v>
      </c>
      <c r="P17" s="156">
        <f t="shared" si="6"/>
        <v>1238.82</v>
      </c>
      <c r="Q17" s="160">
        <f t="shared" si="7"/>
        <v>3.2349999999999948E-2</v>
      </c>
      <c r="R17" s="152">
        <f t="shared" si="8"/>
        <v>692.09</v>
      </c>
      <c r="S17" s="162">
        <f t="shared" si="9"/>
        <v>0.22689903757912733</v>
      </c>
      <c r="U17" s="76"/>
      <c r="V17" s="156">
        <f t="shared" si="18"/>
        <v>1238.82</v>
      </c>
      <c r="W17" s="160">
        <f t="shared" si="19"/>
        <v>0</v>
      </c>
      <c r="X17" s="76"/>
      <c r="Y17" s="156">
        <f t="shared" si="10"/>
        <v>1238.82</v>
      </c>
      <c r="Z17" s="160">
        <f t="shared" si="11"/>
        <v>0</v>
      </c>
      <c r="AA17" s="76"/>
      <c r="AB17" s="156">
        <f t="shared" si="12"/>
        <v>1238.82</v>
      </c>
      <c r="AC17" s="160">
        <f t="shared" si="13"/>
        <v>0</v>
      </c>
      <c r="AD17" s="76"/>
      <c r="AE17" s="156">
        <f t="shared" si="14"/>
        <v>1238.82</v>
      </c>
      <c r="AF17" s="160">
        <f t="shared" si="15"/>
        <v>0</v>
      </c>
      <c r="AG17" s="76"/>
      <c r="AH17" s="156">
        <f t="shared" si="16"/>
        <v>1238.82</v>
      </c>
      <c r="AI17" s="160">
        <f t="shared" si="17"/>
        <v>0</v>
      </c>
      <c r="AJ17" s="163">
        <f t="shared" si="20"/>
        <v>0</v>
      </c>
      <c r="AK17" s="162">
        <f t="shared" si="21"/>
        <v>0</v>
      </c>
    </row>
    <row r="18" spans="2:37" outlineLevel="1" x14ac:dyDescent="0.35">
      <c r="B18" s="48" t="s">
        <v>77</v>
      </c>
      <c r="C18" s="62" t="s">
        <v>175</v>
      </c>
      <c r="D18" s="76"/>
      <c r="E18" s="77">
        <v>4600</v>
      </c>
      <c r="F18" s="76"/>
      <c r="G18" s="156">
        <f t="shared" si="0"/>
        <v>4600</v>
      </c>
      <c r="H18" s="160">
        <f t="shared" si="1"/>
        <v>0</v>
      </c>
      <c r="I18" s="76"/>
      <c r="J18" s="156">
        <f t="shared" si="2"/>
        <v>4600</v>
      </c>
      <c r="K18" s="160">
        <f t="shared" si="3"/>
        <v>0</v>
      </c>
      <c r="L18" s="76"/>
      <c r="M18" s="156">
        <f t="shared" si="4"/>
        <v>4600</v>
      </c>
      <c r="N18" s="160">
        <f t="shared" si="5"/>
        <v>0</v>
      </c>
      <c r="O18" s="76">
        <v>372.59999999999997</v>
      </c>
      <c r="P18" s="156">
        <f t="shared" si="6"/>
        <v>4972.6000000000004</v>
      </c>
      <c r="Q18" s="160">
        <f t="shared" si="7"/>
        <v>8.1000000000000086E-2</v>
      </c>
      <c r="R18" s="152">
        <f t="shared" si="8"/>
        <v>372.59999999999997</v>
      </c>
      <c r="S18" s="162">
        <f t="shared" si="9"/>
        <v>1.9662443382908235E-2</v>
      </c>
      <c r="U18" s="76"/>
      <c r="V18" s="156">
        <f t="shared" si="18"/>
        <v>4972.6000000000004</v>
      </c>
      <c r="W18" s="160">
        <f t="shared" si="19"/>
        <v>0</v>
      </c>
      <c r="X18" s="76"/>
      <c r="Y18" s="156">
        <f t="shared" si="10"/>
        <v>4972.6000000000004</v>
      </c>
      <c r="Z18" s="160">
        <f t="shared" si="11"/>
        <v>0</v>
      </c>
      <c r="AA18" s="76"/>
      <c r="AB18" s="156">
        <f t="shared" si="12"/>
        <v>4972.6000000000004</v>
      </c>
      <c r="AC18" s="160">
        <f t="shared" si="13"/>
        <v>0</v>
      </c>
      <c r="AD18" s="76"/>
      <c r="AE18" s="156">
        <f t="shared" si="14"/>
        <v>4972.6000000000004</v>
      </c>
      <c r="AF18" s="160">
        <f t="shared" si="15"/>
        <v>0</v>
      </c>
      <c r="AG18" s="76"/>
      <c r="AH18" s="156">
        <f t="shared" si="16"/>
        <v>4972.6000000000004</v>
      </c>
      <c r="AI18" s="160">
        <f t="shared" si="17"/>
        <v>0</v>
      </c>
      <c r="AJ18" s="163">
        <f t="shared" si="20"/>
        <v>0</v>
      </c>
      <c r="AK18" s="162">
        <f t="shared" si="21"/>
        <v>0</v>
      </c>
    </row>
    <row r="19" spans="2:37" outlineLevel="1" x14ac:dyDescent="0.35">
      <c r="B19" s="48" t="s">
        <v>78</v>
      </c>
      <c r="C19" s="62" t="s">
        <v>175</v>
      </c>
      <c r="D19" s="76">
        <v>280.8</v>
      </c>
      <c r="E19" s="77">
        <v>36953</v>
      </c>
      <c r="F19" s="76"/>
      <c r="G19" s="156">
        <f t="shared" si="0"/>
        <v>36953</v>
      </c>
      <c r="H19" s="160">
        <f t="shared" si="1"/>
        <v>0</v>
      </c>
      <c r="I19" s="76">
        <v>47</v>
      </c>
      <c r="J19" s="156">
        <f t="shared" si="2"/>
        <v>37000</v>
      </c>
      <c r="K19" s="160">
        <f t="shared" si="3"/>
        <v>1.271885909127811E-3</v>
      </c>
      <c r="L19" s="76">
        <v>489.44</v>
      </c>
      <c r="M19" s="156">
        <f t="shared" si="4"/>
        <v>37489.440000000002</v>
      </c>
      <c r="N19" s="160">
        <f t="shared" si="5"/>
        <v>1.3228108108108171E-2</v>
      </c>
      <c r="O19" s="76"/>
      <c r="P19" s="156">
        <f t="shared" si="6"/>
        <v>37489.440000000002</v>
      </c>
      <c r="Q19" s="160">
        <f t="shared" si="7"/>
        <v>0</v>
      </c>
      <c r="R19" s="152">
        <f t="shared" si="8"/>
        <v>817.24</v>
      </c>
      <c r="S19" s="162">
        <f t="shared" si="9"/>
        <v>3.6096136263708001E-3</v>
      </c>
      <c r="U19" s="76"/>
      <c r="V19" s="156">
        <f t="shared" si="18"/>
        <v>37489.440000000002</v>
      </c>
      <c r="W19" s="160">
        <f t="shared" si="19"/>
        <v>0</v>
      </c>
      <c r="X19" s="76"/>
      <c r="Y19" s="156">
        <f t="shared" si="10"/>
        <v>37489.440000000002</v>
      </c>
      <c r="Z19" s="160">
        <f t="shared" si="11"/>
        <v>0</v>
      </c>
      <c r="AA19" s="76"/>
      <c r="AB19" s="156">
        <f t="shared" si="12"/>
        <v>37489.440000000002</v>
      </c>
      <c r="AC19" s="160">
        <f t="shared" si="13"/>
        <v>0</v>
      </c>
      <c r="AD19" s="76">
        <v>1082</v>
      </c>
      <c r="AE19" s="156">
        <f t="shared" si="14"/>
        <v>38571.440000000002</v>
      </c>
      <c r="AF19" s="160">
        <f t="shared" si="15"/>
        <v>2.8861460720672274E-2</v>
      </c>
      <c r="AG19" s="76"/>
      <c r="AH19" s="156">
        <f t="shared" si="16"/>
        <v>38571.440000000002</v>
      </c>
      <c r="AI19" s="160">
        <f t="shared" si="17"/>
        <v>0</v>
      </c>
      <c r="AJ19" s="163">
        <f t="shared" si="20"/>
        <v>1082</v>
      </c>
      <c r="AK19" s="162">
        <f t="shared" si="21"/>
        <v>7.1385621520771991E-3</v>
      </c>
    </row>
    <row r="20" spans="2:37" outlineLevel="1" x14ac:dyDescent="0.35">
      <c r="B20" s="48" t="s">
        <v>79</v>
      </c>
      <c r="C20" s="62" t="s">
        <v>175</v>
      </c>
      <c r="D20" s="76"/>
      <c r="E20" s="77">
        <v>11600</v>
      </c>
      <c r="F20" s="76"/>
      <c r="G20" s="156">
        <f t="shared" si="0"/>
        <v>11600</v>
      </c>
      <c r="H20" s="160">
        <f t="shared" si="1"/>
        <v>0</v>
      </c>
      <c r="I20" s="76"/>
      <c r="J20" s="156">
        <f t="shared" si="2"/>
        <v>11600</v>
      </c>
      <c r="K20" s="160">
        <f t="shared" si="3"/>
        <v>0</v>
      </c>
      <c r="L20" s="76"/>
      <c r="M20" s="156">
        <f t="shared" si="4"/>
        <v>11600</v>
      </c>
      <c r="N20" s="160">
        <f t="shared" si="5"/>
        <v>0</v>
      </c>
      <c r="O20" s="76"/>
      <c r="P20" s="156">
        <f t="shared" si="6"/>
        <v>11600</v>
      </c>
      <c r="Q20" s="160">
        <f t="shared" si="7"/>
        <v>0</v>
      </c>
      <c r="R20" s="152">
        <f t="shared" si="8"/>
        <v>0</v>
      </c>
      <c r="S20" s="162">
        <f t="shared" si="9"/>
        <v>0</v>
      </c>
      <c r="U20" s="76"/>
      <c r="V20" s="156">
        <f t="shared" si="18"/>
        <v>11600</v>
      </c>
      <c r="W20" s="160">
        <f t="shared" si="19"/>
        <v>0</v>
      </c>
      <c r="X20" s="76"/>
      <c r="Y20" s="156">
        <f t="shared" si="10"/>
        <v>11600</v>
      </c>
      <c r="Z20" s="160">
        <f t="shared" si="11"/>
        <v>0</v>
      </c>
      <c r="AA20" s="76"/>
      <c r="AB20" s="156">
        <f t="shared" si="12"/>
        <v>11600</v>
      </c>
      <c r="AC20" s="160">
        <f t="shared" si="13"/>
        <v>0</v>
      </c>
      <c r="AD20" s="76">
        <v>683</v>
      </c>
      <c r="AE20" s="156">
        <f t="shared" si="14"/>
        <v>12283</v>
      </c>
      <c r="AF20" s="160">
        <f t="shared" si="15"/>
        <v>5.8879310344827587E-2</v>
      </c>
      <c r="AG20" s="76"/>
      <c r="AH20" s="156">
        <f t="shared" si="16"/>
        <v>12283</v>
      </c>
      <c r="AI20" s="160">
        <f t="shared" si="17"/>
        <v>0</v>
      </c>
      <c r="AJ20" s="163">
        <f t="shared" si="20"/>
        <v>683</v>
      </c>
      <c r="AK20" s="162">
        <f t="shared" si="21"/>
        <v>1.4405547677813768E-2</v>
      </c>
    </row>
    <row r="21" spans="2:37" outlineLevel="1" x14ac:dyDescent="0.35">
      <c r="B21" s="48" t="s">
        <v>80</v>
      </c>
      <c r="C21" s="62" t="s">
        <v>175</v>
      </c>
      <c r="D21" s="76"/>
      <c r="E21" s="77">
        <v>3200</v>
      </c>
      <c r="F21" s="76"/>
      <c r="G21" s="156">
        <f t="shared" si="0"/>
        <v>3200</v>
      </c>
      <c r="H21" s="160">
        <f t="shared" si="1"/>
        <v>0</v>
      </c>
      <c r="I21" s="76"/>
      <c r="J21" s="156">
        <f t="shared" si="2"/>
        <v>3200</v>
      </c>
      <c r="K21" s="160">
        <f t="shared" si="3"/>
        <v>0</v>
      </c>
      <c r="L21" s="76"/>
      <c r="M21" s="156">
        <f t="shared" si="4"/>
        <v>3200</v>
      </c>
      <c r="N21" s="160">
        <f t="shared" si="5"/>
        <v>0</v>
      </c>
      <c r="O21" s="76"/>
      <c r="P21" s="156">
        <f t="shared" si="6"/>
        <v>3200</v>
      </c>
      <c r="Q21" s="160">
        <f t="shared" si="7"/>
        <v>0</v>
      </c>
      <c r="R21" s="152">
        <f t="shared" si="8"/>
        <v>0</v>
      </c>
      <c r="S21" s="162">
        <f t="shared" si="9"/>
        <v>0</v>
      </c>
      <c r="U21" s="76"/>
      <c r="V21" s="156">
        <f t="shared" si="18"/>
        <v>3200</v>
      </c>
      <c r="W21" s="160">
        <f t="shared" si="19"/>
        <v>0</v>
      </c>
      <c r="X21" s="76"/>
      <c r="Y21" s="156">
        <f t="shared" si="10"/>
        <v>3200</v>
      </c>
      <c r="Z21" s="160">
        <f t="shared" si="11"/>
        <v>0</v>
      </c>
      <c r="AA21" s="76"/>
      <c r="AB21" s="156">
        <f t="shared" si="12"/>
        <v>3200</v>
      </c>
      <c r="AC21" s="160">
        <f t="shared" si="13"/>
        <v>0</v>
      </c>
      <c r="AD21" s="76"/>
      <c r="AE21" s="156">
        <f t="shared" si="14"/>
        <v>3200</v>
      </c>
      <c r="AF21" s="160">
        <f t="shared" si="15"/>
        <v>0</v>
      </c>
      <c r="AG21" s="76"/>
      <c r="AH21" s="156">
        <f t="shared" si="16"/>
        <v>3200</v>
      </c>
      <c r="AI21" s="160">
        <f t="shared" si="17"/>
        <v>0</v>
      </c>
      <c r="AJ21" s="163">
        <f t="shared" si="20"/>
        <v>0</v>
      </c>
      <c r="AK21" s="162">
        <f t="shared" si="21"/>
        <v>0</v>
      </c>
    </row>
    <row r="22" spans="2:37" outlineLevel="1" x14ac:dyDescent="0.35">
      <c r="B22" s="48" t="s">
        <v>81</v>
      </c>
      <c r="C22" s="62" t="s">
        <v>175</v>
      </c>
      <c r="D22" s="76"/>
      <c r="E22" s="77">
        <v>9100</v>
      </c>
      <c r="F22" s="76"/>
      <c r="G22" s="156">
        <f t="shared" si="0"/>
        <v>9100</v>
      </c>
      <c r="H22" s="160">
        <f t="shared" si="1"/>
        <v>0</v>
      </c>
      <c r="I22" s="76"/>
      <c r="J22" s="156">
        <f t="shared" si="2"/>
        <v>9100</v>
      </c>
      <c r="K22" s="160">
        <f t="shared" si="3"/>
        <v>0</v>
      </c>
      <c r="L22" s="76"/>
      <c r="M22" s="156">
        <f t="shared" si="4"/>
        <v>9100</v>
      </c>
      <c r="N22" s="160">
        <f t="shared" si="5"/>
        <v>0</v>
      </c>
      <c r="O22" s="76"/>
      <c r="P22" s="156">
        <f t="shared" si="6"/>
        <v>9100</v>
      </c>
      <c r="Q22" s="160">
        <f t="shared" si="7"/>
        <v>0</v>
      </c>
      <c r="R22" s="152">
        <f t="shared" si="8"/>
        <v>0</v>
      </c>
      <c r="S22" s="162">
        <f t="shared" si="9"/>
        <v>0</v>
      </c>
      <c r="U22" s="76"/>
      <c r="V22" s="156">
        <f t="shared" si="18"/>
        <v>9100</v>
      </c>
      <c r="W22" s="160">
        <f t="shared" si="19"/>
        <v>0</v>
      </c>
      <c r="X22" s="76"/>
      <c r="Y22" s="156">
        <f t="shared" si="10"/>
        <v>9100</v>
      </c>
      <c r="Z22" s="160">
        <f t="shared" si="11"/>
        <v>0</v>
      </c>
      <c r="AA22" s="76"/>
      <c r="AB22" s="156">
        <f t="shared" si="12"/>
        <v>9100</v>
      </c>
      <c r="AC22" s="160">
        <f t="shared" si="13"/>
        <v>0</v>
      </c>
      <c r="AD22" s="76"/>
      <c r="AE22" s="156">
        <f t="shared" si="14"/>
        <v>9100</v>
      </c>
      <c r="AF22" s="160">
        <f t="shared" si="15"/>
        <v>0</v>
      </c>
      <c r="AG22" s="76"/>
      <c r="AH22" s="156">
        <f t="shared" si="16"/>
        <v>9100</v>
      </c>
      <c r="AI22" s="160">
        <f t="shared" si="17"/>
        <v>0</v>
      </c>
      <c r="AJ22" s="163">
        <f t="shared" si="20"/>
        <v>0</v>
      </c>
      <c r="AK22" s="162">
        <f t="shared" si="21"/>
        <v>0</v>
      </c>
    </row>
    <row r="23" spans="2:37" outlineLevel="1" x14ac:dyDescent="0.35">
      <c r="B23" s="48" t="s">
        <v>82</v>
      </c>
      <c r="C23" s="62" t="s">
        <v>175</v>
      </c>
      <c r="D23" s="76"/>
      <c r="E23" s="77">
        <v>23899.56</v>
      </c>
      <c r="F23" s="76"/>
      <c r="G23" s="156">
        <f t="shared" si="0"/>
        <v>23899.56</v>
      </c>
      <c r="H23" s="160">
        <f t="shared" si="1"/>
        <v>0</v>
      </c>
      <c r="I23" s="76"/>
      <c r="J23" s="156">
        <f t="shared" si="2"/>
        <v>23899.56</v>
      </c>
      <c r="K23" s="160">
        <f t="shared" si="3"/>
        <v>0</v>
      </c>
      <c r="L23" s="76"/>
      <c r="M23" s="156">
        <f t="shared" si="4"/>
        <v>23899.56</v>
      </c>
      <c r="N23" s="160">
        <f t="shared" si="5"/>
        <v>0</v>
      </c>
      <c r="O23" s="76"/>
      <c r="P23" s="156">
        <f t="shared" si="6"/>
        <v>23899.56</v>
      </c>
      <c r="Q23" s="160">
        <f t="shared" si="7"/>
        <v>0</v>
      </c>
      <c r="R23" s="152">
        <f t="shared" si="8"/>
        <v>0</v>
      </c>
      <c r="S23" s="162">
        <f t="shared" si="9"/>
        <v>0</v>
      </c>
      <c r="U23" s="76"/>
      <c r="V23" s="156">
        <f t="shared" si="18"/>
        <v>23899.56</v>
      </c>
      <c r="W23" s="160">
        <f t="shared" si="19"/>
        <v>0</v>
      </c>
      <c r="X23" s="76"/>
      <c r="Y23" s="156">
        <f t="shared" si="10"/>
        <v>23899.56</v>
      </c>
      <c r="Z23" s="160">
        <f t="shared" si="11"/>
        <v>0</v>
      </c>
      <c r="AA23" s="76"/>
      <c r="AB23" s="156">
        <f t="shared" si="12"/>
        <v>23899.56</v>
      </c>
      <c r="AC23" s="160">
        <f t="shared" si="13"/>
        <v>0</v>
      </c>
      <c r="AD23" s="76"/>
      <c r="AE23" s="156">
        <f t="shared" si="14"/>
        <v>23899.56</v>
      </c>
      <c r="AF23" s="160">
        <f t="shared" si="15"/>
        <v>0</v>
      </c>
      <c r="AG23" s="76"/>
      <c r="AH23" s="156">
        <f t="shared" si="16"/>
        <v>23899.56</v>
      </c>
      <c r="AI23" s="160">
        <f t="shared" si="17"/>
        <v>0</v>
      </c>
      <c r="AJ23" s="163">
        <f t="shared" si="20"/>
        <v>0</v>
      </c>
      <c r="AK23" s="162">
        <f t="shared" si="21"/>
        <v>0</v>
      </c>
    </row>
    <row r="24" spans="2:37" outlineLevel="1" x14ac:dyDescent="0.35">
      <c r="B24" s="48" t="s">
        <v>83</v>
      </c>
      <c r="C24" s="62" t="s">
        <v>175</v>
      </c>
      <c r="D24" s="76"/>
      <c r="E24" s="77">
        <v>15000</v>
      </c>
      <c r="F24" s="76"/>
      <c r="G24" s="156">
        <f t="shared" si="0"/>
        <v>15000</v>
      </c>
      <c r="H24" s="160">
        <f t="shared" si="1"/>
        <v>0</v>
      </c>
      <c r="I24" s="76"/>
      <c r="J24" s="156">
        <f t="shared" si="2"/>
        <v>15000</v>
      </c>
      <c r="K24" s="160">
        <f t="shared" si="3"/>
        <v>0</v>
      </c>
      <c r="L24" s="76"/>
      <c r="M24" s="156">
        <f t="shared" si="4"/>
        <v>15000</v>
      </c>
      <c r="N24" s="160">
        <f t="shared" si="5"/>
        <v>0</v>
      </c>
      <c r="O24" s="76">
        <v>12.1</v>
      </c>
      <c r="P24" s="156">
        <f t="shared" si="6"/>
        <v>15012.1</v>
      </c>
      <c r="Q24" s="160">
        <f t="shared" si="7"/>
        <v>8.0666666666669097E-4</v>
      </c>
      <c r="R24" s="152">
        <f t="shared" si="8"/>
        <v>12.1</v>
      </c>
      <c r="S24" s="162">
        <f t="shared" si="9"/>
        <v>2.0160569118998772E-4</v>
      </c>
      <c r="U24" s="76"/>
      <c r="V24" s="156">
        <f t="shared" si="18"/>
        <v>15012.1</v>
      </c>
      <c r="W24" s="160">
        <f t="shared" si="19"/>
        <v>0</v>
      </c>
      <c r="X24" s="76"/>
      <c r="Y24" s="156">
        <f t="shared" si="10"/>
        <v>15012.1</v>
      </c>
      <c r="Z24" s="160">
        <f t="shared" si="11"/>
        <v>0</v>
      </c>
      <c r="AA24" s="76"/>
      <c r="AB24" s="156">
        <f t="shared" si="12"/>
        <v>15012.1</v>
      </c>
      <c r="AC24" s="160">
        <f t="shared" si="13"/>
        <v>0</v>
      </c>
      <c r="AD24" s="76"/>
      <c r="AE24" s="156">
        <f t="shared" si="14"/>
        <v>15012.1</v>
      </c>
      <c r="AF24" s="160">
        <f t="shared" si="15"/>
        <v>0</v>
      </c>
      <c r="AG24" s="76"/>
      <c r="AH24" s="156">
        <f t="shared" si="16"/>
        <v>15012.1</v>
      </c>
      <c r="AI24" s="160">
        <f t="shared" si="17"/>
        <v>0</v>
      </c>
      <c r="AJ24" s="163">
        <f t="shared" si="20"/>
        <v>0</v>
      </c>
      <c r="AK24" s="162">
        <f t="shared" si="21"/>
        <v>0</v>
      </c>
    </row>
    <row r="25" spans="2:37" outlineLevel="1" x14ac:dyDescent="0.35">
      <c r="B25" s="48" t="s">
        <v>84</v>
      </c>
      <c r="C25" s="62" t="s">
        <v>175</v>
      </c>
      <c r="D25" s="76"/>
      <c r="E25" s="77">
        <v>1599.5</v>
      </c>
      <c r="F25" s="76"/>
      <c r="G25" s="156">
        <f t="shared" si="0"/>
        <v>1599.5</v>
      </c>
      <c r="H25" s="160">
        <f t="shared" si="1"/>
        <v>0</v>
      </c>
      <c r="I25" s="76">
        <v>1400.5</v>
      </c>
      <c r="J25" s="156">
        <f t="shared" si="2"/>
        <v>3000</v>
      </c>
      <c r="K25" s="160">
        <f t="shared" si="3"/>
        <v>0.87558612066270713</v>
      </c>
      <c r="L25" s="76"/>
      <c r="M25" s="156">
        <f t="shared" si="4"/>
        <v>3000</v>
      </c>
      <c r="N25" s="160">
        <f t="shared" si="5"/>
        <v>0</v>
      </c>
      <c r="O25" s="76"/>
      <c r="P25" s="156">
        <f t="shared" si="6"/>
        <v>3000</v>
      </c>
      <c r="Q25" s="160">
        <f t="shared" si="7"/>
        <v>0</v>
      </c>
      <c r="R25" s="152">
        <f t="shared" si="8"/>
        <v>1400.5</v>
      </c>
      <c r="S25" s="162">
        <f t="shared" si="9"/>
        <v>0.17026509733713802</v>
      </c>
      <c r="U25" s="76"/>
      <c r="V25" s="156">
        <f t="shared" si="18"/>
        <v>3000</v>
      </c>
      <c r="W25" s="160">
        <f t="shared" si="19"/>
        <v>0</v>
      </c>
      <c r="X25" s="76"/>
      <c r="Y25" s="156">
        <f t="shared" si="10"/>
        <v>3000</v>
      </c>
      <c r="Z25" s="160">
        <f t="shared" si="11"/>
        <v>0</v>
      </c>
      <c r="AA25" s="76">
        <v>356</v>
      </c>
      <c r="AB25" s="156">
        <f t="shared" si="12"/>
        <v>3356</v>
      </c>
      <c r="AC25" s="160">
        <f t="shared" si="13"/>
        <v>0.11866666666666667</v>
      </c>
      <c r="AD25" s="76"/>
      <c r="AE25" s="156">
        <f t="shared" si="14"/>
        <v>3356</v>
      </c>
      <c r="AF25" s="160">
        <f t="shared" si="15"/>
        <v>0</v>
      </c>
      <c r="AG25" s="76"/>
      <c r="AH25" s="156">
        <f t="shared" si="16"/>
        <v>3356</v>
      </c>
      <c r="AI25" s="160">
        <f t="shared" si="17"/>
        <v>0</v>
      </c>
      <c r="AJ25" s="163">
        <f t="shared" si="20"/>
        <v>356</v>
      </c>
      <c r="AK25" s="162">
        <f t="shared" si="21"/>
        <v>2.8431036114444641E-2</v>
      </c>
    </row>
    <row r="26" spans="2:37" outlineLevel="1" x14ac:dyDescent="0.35">
      <c r="B26" s="48" t="s">
        <v>85</v>
      </c>
      <c r="C26" s="62" t="s">
        <v>175</v>
      </c>
      <c r="D26" s="76"/>
      <c r="E26" s="77">
        <v>3800</v>
      </c>
      <c r="F26" s="76"/>
      <c r="G26" s="156">
        <f t="shared" si="0"/>
        <v>3800</v>
      </c>
      <c r="H26" s="160">
        <f t="shared" si="1"/>
        <v>0</v>
      </c>
      <c r="I26" s="76"/>
      <c r="J26" s="156">
        <f t="shared" si="2"/>
        <v>3800</v>
      </c>
      <c r="K26" s="160">
        <f t="shared" si="3"/>
        <v>0</v>
      </c>
      <c r="L26" s="76"/>
      <c r="M26" s="156">
        <f t="shared" si="4"/>
        <v>3800</v>
      </c>
      <c r="N26" s="160">
        <f t="shared" si="5"/>
        <v>0</v>
      </c>
      <c r="O26" s="76"/>
      <c r="P26" s="156">
        <f t="shared" si="6"/>
        <v>3800</v>
      </c>
      <c r="Q26" s="160">
        <f t="shared" si="7"/>
        <v>0</v>
      </c>
      <c r="R26" s="152">
        <f t="shared" si="8"/>
        <v>0</v>
      </c>
      <c r="S26" s="162">
        <f t="shared" si="9"/>
        <v>0</v>
      </c>
      <c r="U26" s="76"/>
      <c r="V26" s="156">
        <f t="shared" si="18"/>
        <v>3800</v>
      </c>
      <c r="W26" s="160">
        <f t="shared" si="19"/>
        <v>0</v>
      </c>
      <c r="X26" s="76"/>
      <c r="Y26" s="156">
        <f t="shared" si="10"/>
        <v>3800</v>
      </c>
      <c r="Z26" s="160">
        <f t="shared" si="11"/>
        <v>0</v>
      </c>
      <c r="AA26" s="76"/>
      <c r="AB26" s="156">
        <f t="shared" si="12"/>
        <v>3800</v>
      </c>
      <c r="AC26" s="160">
        <f t="shared" si="13"/>
        <v>0</v>
      </c>
      <c r="AD26" s="76"/>
      <c r="AE26" s="156">
        <f t="shared" si="14"/>
        <v>3800</v>
      </c>
      <c r="AF26" s="160">
        <f t="shared" si="15"/>
        <v>0</v>
      </c>
      <c r="AG26" s="76"/>
      <c r="AH26" s="156">
        <f t="shared" si="16"/>
        <v>3800</v>
      </c>
      <c r="AI26" s="160">
        <f t="shared" si="17"/>
        <v>0</v>
      </c>
      <c r="AJ26" s="163">
        <f t="shared" si="20"/>
        <v>0</v>
      </c>
      <c r="AK26" s="162">
        <f t="shared" si="21"/>
        <v>0</v>
      </c>
    </row>
    <row r="27" spans="2:37" outlineLevel="1" x14ac:dyDescent="0.35">
      <c r="B27" s="48" t="s">
        <v>86</v>
      </c>
      <c r="C27" s="62" t="s">
        <v>175</v>
      </c>
      <c r="D27" s="76"/>
      <c r="E27" s="77">
        <v>2600</v>
      </c>
      <c r="F27" s="76"/>
      <c r="G27" s="156">
        <f t="shared" si="0"/>
        <v>2600</v>
      </c>
      <c r="H27" s="160">
        <f t="shared" si="1"/>
        <v>0</v>
      </c>
      <c r="I27" s="76"/>
      <c r="J27" s="156">
        <f t="shared" si="2"/>
        <v>2600</v>
      </c>
      <c r="K27" s="160">
        <f t="shared" si="3"/>
        <v>0</v>
      </c>
      <c r="L27" s="76"/>
      <c r="M27" s="156">
        <f t="shared" si="4"/>
        <v>2600</v>
      </c>
      <c r="N27" s="160">
        <f t="shared" si="5"/>
        <v>0</v>
      </c>
      <c r="O27" s="76"/>
      <c r="P27" s="156">
        <f t="shared" si="6"/>
        <v>2600</v>
      </c>
      <c r="Q27" s="160">
        <f t="shared" si="7"/>
        <v>0</v>
      </c>
      <c r="R27" s="152">
        <f t="shared" si="8"/>
        <v>0</v>
      </c>
      <c r="S27" s="162">
        <f t="shared" si="9"/>
        <v>0</v>
      </c>
      <c r="U27" s="76">
        <v>810</v>
      </c>
      <c r="V27" s="156">
        <f t="shared" si="18"/>
        <v>3410</v>
      </c>
      <c r="W27" s="160">
        <f t="shared" si="19"/>
        <v>0.31153846153846154</v>
      </c>
      <c r="X27" s="76"/>
      <c r="Y27" s="156">
        <f t="shared" si="10"/>
        <v>3410</v>
      </c>
      <c r="Z27" s="160">
        <f t="shared" si="11"/>
        <v>0</v>
      </c>
      <c r="AA27" s="76"/>
      <c r="AB27" s="156">
        <f t="shared" si="12"/>
        <v>3410</v>
      </c>
      <c r="AC27" s="160">
        <f t="shared" si="13"/>
        <v>0</v>
      </c>
      <c r="AD27" s="76"/>
      <c r="AE27" s="156">
        <f t="shared" si="14"/>
        <v>3410</v>
      </c>
      <c r="AF27" s="160">
        <f t="shared" si="15"/>
        <v>0</v>
      </c>
      <c r="AG27" s="76"/>
      <c r="AH27" s="156">
        <f t="shared" si="16"/>
        <v>3410</v>
      </c>
      <c r="AI27" s="160">
        <f t="shared" si="17"/>
        <v>0</v>
      </c>
      <c r="AJ27" s="163">
        <f t="shared" si="20"/>
        <v>810</v>
      </c>
      <c r="AK27" s="162">
        <f t="shared" si="21"/>
        <v>0</v>
      </c>
    </row>
    <row r="28" spans="2:37" outlineLevel="1" x14ac:dyDescent="0.35">
      <c r="B28" s="48" t="s">
        <v>87</v>
      </c>
      <c r="C28" s="62" t="s">
        <v>175</v>
      </c>
      <c r="D28" s="76"/>
      <c r="E28" s="77">
        <v>6000</v>
      </c>
      <c r="F28" s="76"/>
      <c r="G28" s="156">
        <f t="shared" si="0"/>
        <v>6000</v>
      </c>
      <c r="H28" s="160">
        <f t="shared" si="1"/>
        <v>0</v>
      </c>
      <c r="I28" s="76"/>
      <c r="J28" s="156">
        <f t="shared" si="2"/>
        <v>6000</v>
      </c>
      <c r="K28" s="160">
        <f t="shared" si="3"/>
        <v>0</v>
      </c>
      <c r="L28" s="76"/>
      <c r="M28" s="156">
        <f t="shared" si="4"/>
        <v>6000</v>
      </c>
      <c r="N28" s="160">
        <f t="shared" si="5"/>
        <v>0</v>
      </c>
      <c r="O28" s="76"/>
      <c r="P28" s="156">
        <f t="shared" si="6"/>
        <v>6000</v>
      </c>
      <c r="Q28" s="160">
        <f t="shared" si="7"/>
        <v>0</v>
      </c>
      <c r="R28" s="152">
        <f t="shared" si="8"/>
        <v>0</v>
      </c>
      <c r="S28" s="162">
        <f t="shared" si="9"/>
        <v>0</v>
      </c>
      <c r="U28" s="76"/>
      <c r="V28" s="156">
        <f t="shared" si="18"/>
        <v>6000</v>
      </c>
      <c r="W28" s="160">
        <f t="shared" si="19"/>
        <v>0</v>
      </c>
      <c r="X28" s="76"/>
      <c r="Y28" s="156">
        <f t="shared" si="10"/>
        <v>6000</v>
      </c>
      <c r="Z28" s="160">
        <f t="shared" si="11"/>
        <v>0</v>
      </c>
      <c r="AA28" s="76"/>
      <c r="AB28" s="156">
        <f t="shared" si="12"/>
        <v>6000</v>
      </c>
      <c r="AC28" s="160">
        <f t="shared" si="13"/>
        <v>0</v>
      </c>
      <c r="AD28" s="76"/>
      <c r="AE28" s="156">
        <f t="shared" si="14"/>
        <v>6000</v>
      </c>
      <c r="AF28" s="160">
        <f t="shared" si="15"/>
        <v>0</v>
      </c>
      <c r="AG28" s="76"/>
      <c r="AH28" s="156">
        <f t="shared" si="16"/>
        <v>6000</v>
      </c>
      <c r="AI28" s="160">
        <f t="shared" si="17"/>
        <v>0</v>
      </c>
      <c r="AJ28" s="163">
        <f t="shared" si="20"/>
        <v>0</v>
      </c>
      <c r="AK28" s="162">
        <f t="shared" si="21"/>
        <v>0</v>
      </c>
    </row>
    <row r="29" spans="2:37" outlineLevel="1" x14ac:dyDescent="0.35">
      <c r="B29" s="48" t="s">
        <v>88</v>
      </c>
      <c r="C29" s="62" t="s">
        <v>175</v>
      </c>
      <c r="D29" s="76"/>
      <c r="E29" s="77">
        <v>5600</v>
      </c>
      <c r="F29" s="76"/>
      <c r="G29" s="156">
        <f t="shared" si="0"/>
        <v>5600</v>
      </c>
      <c r="H29" s="160">
        <f t="shared" si="1"/>
        <v>0</v>
      </c>
      <c r="I29" s="76"/>
      <c r="J29" s="156">
        <f t="shared" si="2"/>
        <v>5600</v>
      </c>
      <c r="K29" s="160">
        <f t="shared" si="3"/>
        <v>0</v>
      </c>
      <c r="L29" s="76"/>
      <c r="M29" s="156">
        <f t="shared" si="4"/>
        <v>5600</v>
      </c>
      <c r="N29" s="160">
        <f t="shared" si="5"/>
        <v>0</v>
      </c>
      <c r="O29" s="76"/>
      <c r="P29" s="156">
        <f t="shared" si="6"/>
        <v>5600</v>
      </c>
      <c r="Q29" s="160">
        <f t="shared" si="7"/>
        <v>0</v>
      </c>
      <c r="R29" s="152">
        <f t="shared" si="8"/>
        <v>0</v>
      </c>
      <c r="S29" s="162">
        <f t="shared" si="9"/>
        <v>0</v>
      </c>
      <c r="U29" s="76"/>
      <c r="V29" s="156">
        <f t="shared" si="18"/>
        <v>5600</v>
      </c>
      <c r="W29" s="160">
        <f t="shared" si="19"/>
        <v>0</v>
      </c>
      <c r="X29" s="70">
        <v>307</v>
      </c>
      <c r="Y29" s="156">
        <f t="shared" si="10"/>
        <v>5907</v>
      </c>
      <c r="Z29" s="160">
        <f t="shared" si="11"/>
        <v>5.482142857142857E-2</v>
      </c>
      <c r="AA29" s="76"/>
      <c r="AB29" s="156">
        <f t="shared" si="12"/>
        <v>5907</v>
      </c>
      <c r="AC29" s="160">
        <f t="shared" si="13"/>
        <v>0</v>
      </c>
      <c r="AD29" s="76"/>
      <c r="AE29" s="156">
        <f t="shared" si="14"/>
        <v>5907</v>
      </c>
      <c r="AF29" s="160">
        <f t="shared" si="15"/>
        <v>0</v>
      </c>
      <c r="AG29" s="76"/>
      <c r="AH29" s="156">
        <f t="shared" si="16"/>
        <v>5907</v>
      </c>
      <c r="AI29" s="160">
        <f t="shared" si="17"/>
        <v>0</v>
      </c>
      <c r="AJ29" s="163">
        <f t="shared" si="20"/>
        <v>307</v>
      </c>
      <c r="AK29" s="162">
        <f t="shared" si="21"/>
        <v>1.3432286005673699E-2</v>
      </c>
    </row>
    <row r="30" spans="2:37" outlineLevel="1" x14ac:dyDescent="0.35">
      <c r="B30" s="48" t="s">
        <v>89</v>
      </c>
      <c r="C30" s="62" t="s">
        <v>175</v>
      </c>
      <c r="D30" s="76"/>
      <c r="E30" s="77">
        <v>0</v>
      </c>
      <c r="F30" s="76"/>
      <c r="G30" s="156">
        <f t="shared" si="0"/>
        <v>0</v>
      </c>
      <c r="H30" s="160">
        <f t="shared" si="1"/>
        <v>0</v>
      </c>
      <c r="I30" s="76"/>
      <c r="J30" s="156">
        <f t="shared" si="2"/>
        <v>0</v>
      </c>
      <c r="K30" s="160">
        <f t="shared" si="3"/>
        <v>0</v>
      </c>
      <c r="L30" s="76"/>
      <c r="M30" s="156">
        <f t="shared" si="4"/>
        <v>0</v>
      </c>
      <c r="N30" s="160">
        <f t="shared" si="5"/>
        <v>0</v>
      </c>
      <c r="O30" s="76"/>
      <c r="P30" s="156">
        <f t="shared" si="6"/>
        <v>0</v>
      </c>
      <c r="Q30" s="160">
        <f t="shared" si="7"/>
        <v>0</v>
      </c>
      <c r="R30" s="152">
        <f t="shared" si="8"/>
        <v>0</v>
      </c>
      <c r="S30" s="162">
        <f t="shared" si="9"/>
        <v>0</v>
      </c>
      <c r="U30" s="76"/>
      <c r="V30" s="156">
        <f t="shared" si="18"/>
        <v>0</v>
      </c>
      <c r="W30" s="160">
        <f t="shared" si="19"/>
        <v>0</v>
      </c>
      <c r="X30" s="76"/>
      <c r="Y30" s="156">
        <f t="shared" si="10"/>
        <v>0</v>
      </c>
      <c r="Z30" s="160">
        <f t="shared" si="11"/>
        <v>0</v>
      </c>
      <c r="AA30" s="76"/>
      <c r="AB30" s="156">
        <f t="shared" si="12"/>
        <v>0</v>
      </c>
      <c r="AC30" s="160">
        <f t="shared" si="13"/>
        <v>0</v>
      </c>
      <c r="AD30" s="76"/>
      <c r="AE30" s="156">
        <f t="shared" si="14"/>
        <v>0</v>
      </c>
      <c r="AF30" s="160">
        <f t="shared" si="15"/>
        <v>0</v>
      </c>
      <c r="AG30" s="76"/>
      <c r="AH30" s="156">
        <f t="shared" si="16"/>
        <v>0</v>
      </c>
      <c r="AI30" s="160">
        <f t="shared" si="17"/>
        <v>0</v>
      </c>
      <c r="AJ30" s="163">
        <f t="shared" si="20"/>
        <v>0</v>
      </c>
      <c r="AK30" s="162">
        <f t="shared" si="21"/>
        <v>0</v>
      </c>
    </row>
    <row r="31" spans="2:37" outlineLevel="1" x14ac:dyDescent="0.35">
      <c r="B31" s="48" t="s">
        <v>90</v>
      </c>
      <c r="C31" s="62" t="s">
        <v>175</v>
      </c>
      <c r="D31" s="76"/>
      <c r="E31" s="77">
        <v>4900</v>
      </c>
      <c r="F31" s="76"/>
      <c r="G31" s="156">
        <f t="shared" si="0"/>
        <v>4900</v>
      </c>
      <c r="H31" s="160">
        <f t="shared" si="1"/>
        <v>0</v>
      </c>
      <c r="I31" s="76"/>
      <c r="J31" s="156">
        <f t="shared" si="2"/>
        <v>4900</v>
      </c>
      <c r="K31" s="160">
        <f t="shared" si="3"/>
        <v>0</v>
      </c>
      <c r="L31" s="76"/>
      <c r="M31" s="156">
        <f t="shared" si="4"/>
        <v>4900</v>
      </c>
      <c r="N31" s="160">
        <f t="shared" si="5"/>
        <v>0</v>
      </c>
      <c r="O31" s="76"/>
      <c r="P31" s="156">
        <f t="shared" si="6"/>
        <v>4900</v>
      </c>
      <c r="Q31" s="160">
        <f t="shared" si="7"/>
        <v>0</v>
      </c>
      <c r="R31" s="152">
        <f t="shared" si="8"/>
        <v>0</v>
      </c>
      <c r="S31" s="162">
        <f t="shared" si="9"/>
        <v>0</v>
      </c>
      <c r="U31" s="76"/>
      <c r="V31" s="156">
        <f t="shared" si="18"/>
        <v>4900</v>
      </c>
      <c r="W31" s="160">
        <f t="shared" si="19"/>
        <v>0</v>
      </c>
      <c r="X31" s="76">
        <v>1015</v>
      </c>
      <c r="Y31" s="156">
        <f t="shared" si="10"/>
        <v>5915</v>
      </c>
      <c r="Z31" s="160">
        <f t="shared" si="11"/>
        <v>0.20714285714285716</v>
      </c>
      <c r="AA31" s="76"/>
      <c r="AB31" s="156">
        <f t="shared" si="12"/>
        <v>5915</v>
      </c>
      <c r="AC31" s="160">
        <f t="shared" si="13"/>
        <v>0</v>
      </c>
      <c r="AD31" s="76"/>
      <c r="AE31" s="156">
        <f t="shared" si="14"/>
        <v>5915</v>
      </c>
      <c r="AF31" s="160">
        <f t="shared" si="15"/>
        <v>0</v>
      </c>
      <c r="AG31" s="76"/>
      <c r="AH31" s="156">
        <f t="shared" si="16"/>
        <v>5915</v>
      </c>
      <c r="AI31" s="160">
        <f t="shared" si="17"/>
        <v>0</v>
      </c>
      <c r="AJ31" s="163">
        <f t="shared" si="20"/>
        <v>1015</v>
      </c>
      <c r="AK31" s="162">
        <f t="shared" si="21"/>
        <v>4.8189167634865138E-2</v>
      </c>
    </row>
    <row r="32" spans="2:37" outlineLevel="1" x14ac:dyDescent="0.35">
      <c r="B32" s="48" t="s">
        <v>91</v>
      </c>
      <c r="C32" s="62" t="s">
        <v>175</v>
      </c>
      <c r="D32" s="76"/>
      <c r="E32" s="77">
        <v>8100</v>
      </c>
      <c r="F32" s="76"/>
      <c r="G32" s="156">
        <f t="shared" si="0"/>
        <v>8100</v>
      </c>
      <c r="H32" s="160">
        <f t="shared" si="1"/>
        <v>0</v>
      </c>
      <c r="I32" s="76"/>
      <c r="J32" s="156">
        <f t="shared" si="2"/>
        <v>8100</v>
      </c>
      <c r="K32" s="160">
        <f t="shared" si="3"/>
        <v>0</v>
      </c>
      <c r="L32" s="76"/>
      <c r="M32" s="156">
        <f t="shared" si="4"/>
        <v>8100</v>
      </c>
      <c r="N32" s="160">
        <f t="shared" si="5"/>
        <v>0</v>
      </c>
      <c r="O32" s="76"/>
      <c r="P32" s="156">
        <f t="shared" si="6"/>
        <v>8100</v>
      </c>
      <c r="Q32" s="160">
        <f t="shared" si="7"/>
        <v>0</v>
      </c>
      <c r="R32" s="152">
        <f t="shared" si="8"/>
        <v>0</v>
      </c>
      <c r="S32" s="162">
        <f t="shared" si="9"/>
        <v>0</v>
      </c>
      <c r="U32" s="76"/>
      <c r="V32" s="156">
        <f t="shared" si="18"/>
        <v>8100</v>
      </c>
      <c r="W32" s="160">
        <f t="shared" si="19"/>
        <v>0</v>
      </c>
      <c r="X32" s="76"/>
      <c r="Y32" s="156">
        <f t="shared" si="10"/>
        <v>8100</v>
      </c>
      <c r="Z32" s="160">
        <f t="shared" si="11"/>
        <v>0</v>
      </c>
      <c r="AA32" s="76"/>
      <c r="AB32" s="156">
        <f t="shared" si="12"/>
        <v>8100</v>
      </c>
      <c r="AC32" s="160">
        <f t="shared" si="13"/>
        <v>0</v>
      </c>
      <c r="AD32" s="76"/>
      <c r="AE32" s="156">
        <f t="shared" si="14"/>
        <v>8100</v>
      </c>
      <c r="AF32" s="160">
        <f t="shared" si="15"/>
        <v>0</v>
      </c>
      <c r="AG32" s="76"/>
      <c r="AH32" s="156">
        <f t="shared" si="16"/>
        <v>8100</v>
      </c>
      <c r="AI32" s="160">
        <f t="shared" si="17"/>
        <v>0</v>
      </c>
      <c r="AJ32" s="163">
        <f t="shared" si="20"/>
        <v>0</v>
      </c>
      <c r="AK32" s="162">
        <f t="shared" si="21"/>
        <v>0</v>
      </c>
    </row>
    <row r="33" spans="2:37" outlineLevel="1" x14ac:dyDescent="0.35">
      <c r="B33" s="48" t="s">
        <v>92</v>
      </c>
      <c r="C33" s="62" t="s">
        <v>175</v>
      </c>
      <c r="D33" s="76"/>
      <c r="E33" s="77">
        <v>4400</v>
      </c>
      <c r="F33" s="76"/>
      <c r="G33" s="156">
        <f t="shared" si="0"/>
        <v>4400</v>
      </c>
      <c r="H33" s="160">
        <f t="shared" si="1"/>
        <v>0</v>
      </c>
      <c r="I33" s="76"/>
      <c r="J33" s="156">
        <f t="shared" si="2"/>
        <v>4400</v>
      </c>
      <c r="K33" s="160">
        <f t="shared" si="3"/>
        <v>0</v>
      </c>
      <c r="L33" s="76"/>
      <c r="M33" s="156">
        <f t="shared" si="4"/>
        <v>4400</v>
      </c>
      <c r="N33" s="160">
        <f t="shared" si="5"/>
        <v>0</v>
      </c>
      <c r="O33" s="76"/>
      <c r="P33" s="156">
        <f t="shared" si="6"/>
        <v>4400</v>
      </c>
      <c r="Q33" s="160">
        <f t="shared" si="7"/>
        <v>0</v>
      </c>
      <c r="R33" s="152">
        <f t="shared" si="8"/>
        <v>0</v>
      </c>
      <c r="S33" s="162">
        <f t="shared" si="9"/>
        <v>0</v>
      </c>
      <c r="U33" s="76"/>
      <c r="V33" s="156">
        <f t="shared" si="18"/>
        <v>4400</v>
      </c>
      <c r="W33" s="160">
        <f t="shared" si="19"/>
        <v>0</v>
      </c>
      <c r="X33" s="76"/>
      <c r="Y33" s="156">
        <f t="shared" si="10"/>
        <v>4400</v>
      </c>
      <c r="Z33" s="160">
        <f t="shared" si="11"/>
        <v>0</v>
      </c>
      <c r="AA33" s="76"/>
      <c r="AB33" s="156">
        <f t="shared" si="12"/>
        <v>4400</v>
      </c>
      <c r="AC33" s="160">
        <f t="shared" si="13"/>
        <v>0</v>
      </c>
      <c r="AD33" s="76"/>
      <c r="AE33" s="156">
        <f t="shared" si="14"/>
        <v>4400</v>
      </c>
      <c r="AF33" s="160">
        <f t="shared" si="15"/>
        <v>0</v>
      </c>
      <c r="AG33" s="76"/>
      <c r="AH33" s="156">
        <f t="shared" si="16"/>
        <v>4400</v>
      </c>
      <c r="AI33" s="160">
        <f t="shared" si="17"/>
        <v>0</v>
      </c>
      <c r="AJ33" s="163">
        <f t="shared" si="20"/>
        <v>0</v>
      </c>
      <c r="AK33" s="162">
        <f t="shared" si="21"/>
        <v>0</v>
      </c>
    </row>
    <row r="34" spans="2:37" outlineLevel="1" x14ac:dyDescent="0.35">
      <c r="B34" s="48" t="s">
        <v>93</v>
      </c>
      <c r="C34" s="62" t="s">
        <v>175</v>
      </c>
      <c r="D34" s="76">
        <v>926.53</v>
      </c>
      <c r="E34" s="77">
        <v>5598.63</v>
      </c>
      <c r="F34" s="76">
        <v>501.37</v>
      </c>
      <c r="G34" s="156">
        <f t="shared" si="0"/>
        <v>6100</v>
      </c>
      <c r="H34" s="160">
        <f t="shared" si="1"/>
        <v>8.9552265464944075E-2</v>
      </c>
      <c r="I34" s="76"/>
      <c r="J34" s="156">
        <f t="shared" si="2"/>
        <v>6100</v>
      </c>
      <c r="K34" s="160">
        <f t="shared" si="3"/>
        <v>0</v>
      </c>
      <c r="L34" s="76"/>
      <c r="M34" s="156">
        <f t="shared" si="4"/>
        <v>6100</v>
      </c>
      <c r="N34" s="160">
        <f t="shared" si="5"/>
        <v>0</v>
      </c>
      <c r="O34" s="76"/>
      <c r="P34" s="156">
        <f t="shared" si="6"/>
        <v>6100</v>
      </c>
      <c r="Q34" s="160">
        <f t="shared" si="7"/>
        <v>0</v>
      </c>
      <c r="R34" s="152">
        <f t="shared" si="8"/>
        <v>1427.9</v>
      </c>
      <c r="S34" s="162">
        <f t="shared" si="9"/>
        <v>2.1673236858825495E-2</v>
      </c>
      <c r="U34" s="76"/>
      <c r="V34" s="156">
        <f t="shared" si="18"/>
        <v>6100</v>
      </c>
      <c r="W34" s="160">
        <f t="shared" si="19"/>
        <v>0</v>
      </c>
      <c r="X34" s="76"/>
      <c r="Y34" s="156">
        <f t="shared" si="10"/>
        <v>6100</v>
      </c>
      <c r="Z34" s="160">
        <f t="shared" si="11"/>
        <v>0</v>
      </c>
      <c r="AA34" s="76"/>
      <c r="AB34" s="156">
        <f t="shared" si="12"/>
        <v>6100</v>
      </c>
      <c r="AC34" s="160">
        <f t="shared" si="13"/>
        <v>0</v>
      </c>
      <c r="AD34" s="76"/>
      <c r="AE34" s="156">
        <f t="shared" si="14"/>
        <v>6100</v>
      </c>
      <c r="AF34" s="160">
        <f t="shared" si="15"/>
        <v>0</v>
      </c>
      <c r="AG34" s="76"/>
      <c r="AH34" s="156">
        <f t="shared" si="16"/>
        <v>6100</v>
      </c>
      <c r="AI34" s="160">
        <f t="shared" si="17"/>
        <v>0</v>
      </c>
      <c r="AJ34" s="163">
        <f t="shared" si="20"/>
        <v>0</v>
      </c>
      <c r="AK34" s="162">
        <f t="shared" si="21"/>
        <v>0</v>
      </c>
    </row>
    <row r="35" spans="2:37" outlineLevel="1" x14ac:dyDescent="0.35">
      <c r="B35" s="48" t="s">
        <v>94</v>
      </c>
      <c r="C35" s="62" t="s">
        <v>175</v>
      </c>
      <c r="D35" s="76"/>
      <c r="E35" s="77">
        <v>4400</v>
      </c>
      <c r="F35" s="76"/>
      <c r="G35" s="156">
        <f t="shared" si="0"/>
        <v>4400</v>
      </c>
      <c r="H35" s="160">
        <f t="shared" si="1"/>
        <v>0</v>
      </c>
      <c r="I35" s="76"/>
      <c r="J35" s="156">
        <f t="shared" si="2"/>
        <v>4400</v>
      </c>
      <c r="K35" s="160">
        <f t="shared" si="3"/>
        <v>0</v>
      </c>
      <c r="L35" s="76"/>
      <c r="M35" s="156">
        <f t="shared" si="4"/>
        <v>4400</v>
      </c>
      <c r="N35" s="160">
        <f t="shared" si="5"/>
        <v>0</v>
      </c>
      <c r="O35" s="76"/>
      <c r="P35" s="156">
        <f t="shared" si="6"/>
        <v>4400</v>
      </c>
      <c r="Q35" s="160">
        <f t="shared" si="7"/>
        <v>0</v>
      </c>
      <c r="R35" s="152">
        <f t="shared" si="8"/>
        <v>0</v>
      </c>
      <c r="S35" s="162">
        <f t="shared" si="9"/>
        <v>0</v>
      </c>
      <c r="U35" s="76"/>
      <c r="V35" s="156">
        <f t="shared" si="18"/>
        <v>4400</v>
      </c>
      <c r="W35" s="160">
        <f t="shared" si="19"/>
        <v>0</v>
      </c>
      <c r="X35" s="76"/>
      <c r="Y35" s="156">
        <f t="shared" si="10"/>
        <v>4400</v>
      </c>
      <c r="Z35" s="160">
        <f t="shared" si="11"/>
        <v>0</v>
      </c>
      <c r="AA35" s="76"/>
      <c r="AB35" s="156">
        <f t="shared" si="12"/>
        <v>4400</v>
      </c>
      <c r="AC35" s="160">
        <f t="shared" si="13"/>
        <v>0</v>
      </c>
      <c r="AD35" s="76">
        <v>84</v>
      </c>
      <c r="AE35" s="156">
        <f t="shared" si="14"/>
        <v>4484</v>
      </c>
      <c r="AF35" s="160">
        <f t="shared" si="15"/>
        <v>1.9090909090909092E-2</v>
      </c>
      <c r="AG35" s="76"/>
      <c r="AH35" s="156">
        <f t="shared" si="16"/>
        <v>4484</v>
      </c>
      <c r="AI35" s="160">
        <f t="shared" si="17"/>
        <v>0</v>
      </c>
      <c r="AJ35" s="163">
        <f t="shared" si="20"/>
        <v>84</v>
      </c>
      <c r="AK35" s="162">
        <f t="shared" si="21"/>
        <v>4.7389344721251447E-3</v>
      </c>
    </row>
    <row r="36" spans="2:37" outlineLevel="1" x14ac:dyDescent="0.35">
      <c r="B36" s="48" t="s">
        <v>95</v>
      </c>
      <c r="C36" s="62" t="s">
        <v>175</v>
      </c>
      <c r="D36" s="76"/>
      <c r="E36" s="77">
        <v>1700</v>
      </c>
      <c r="F36" s="76"/>
      <c r="G36" s="156">
        <f t="shared" si="0"/>
        <v>1700</v>
      </c>
      <c r="H36" s="160">
        <f t="shared" si="1"/>
        <v>0</v>
      </c>
      <c r="I36" s="76"/>
      <c r="J36" s="156">
        <f t="shared" si="2"/>
        <v>1700</v>
      </c>
      <c r="K36" s="160">
        <f t="shared" si="3"/>
        <v>0</v>
      </c>
      <c r="L36" s="76"/>
      <c r="M36" s="156">
        <f t="shared" si="4"/>
        <v>1700</v>
      </c>
      <c r="N36" s="160">
        <f t="shared" si="5"/>
        <v>0</v>
      </c>
      <c r="O36" s="76"/>
      <c r="P36" s="156">
        <f t="shared" si="6"/>
        <v>1700</v>
      </c>
      <c r="Q36" s="160">
        <f t="shared" si="7"/>
        <v>0</v>
      </c>
      <c r="R36" s="152">
        <f t="shared" si="8"/>
        <v>0</v>
      </c>
      <c r="S36" s="162">
        <f t="shared" si="9"/>
        <v>0</v>
      </c>
      <c r="U36" s="76">
        <v>73</v>
      </c>
      <c r="V36" s="156">
        <f t="shared" si="18"/>
        <v>1773</v>
      </c>
      <c r="W36" s="160">
        <f t="shared" si="19"/>
        <v>4.2941176470588233E-2</v>
      </c>
      <c r="X36" s="76"/>
      <c r="Y36" s="156">
        <f t="shared" si="10"/>
        <v>1773</v>
      </c>
      <c r="Z36" s="160">
        <f t="shared" si="11"/>
        <v>0</v>
      </c>
      <c r="AA36" s="76"/>
      <c r="AB36" s="156">
        <f t="shared" si="12"/>
        <v>1773</v>
      </c>
      <c r="AC36" s="160">
        <f t="shared" si="13"/>
        <v>0</v>
      </c>
      <c r="AD36" s="76"/>
      <c r="AE36" s="156">
        <f t="shared" si="14"/>
        <v>1773</v>
      </c>
      <c r="AF36" s="160">
        <f t="shared" si="15"/>
        <v>0</v>
      </c>
      <c r="AG36" s="76"/>
      <c r="AH36" s="156">
        <f t="shared" si="16"/>
        <v>1773</v>
      </c>
      <c r="AI36" s="160">
        <f t="shared" si="17"/>
        <v>0</v>
      </c>
      <c r="AJ36" s="163">
        <f t="shared" si="20"/>
        <v>73</v>
      </c>
      <c r="AK36" s="162">
        <f t="shared" si="21"/>
        <v>0</v>
      </c>
    </row>
    <row r="37" spans="2:37" outlineLevel="1" x14ac:dyDescent="0.35">
      <c r="B37" s="48" t="s">
        <v>96</v>
      </c>
      <c r="C37" s="62" t="s">
        <v>175</v>
      </c>
      <c r="D37" s="76"/>
      <c r="E37" s="77">
        <v>3500</v>
      </c>
      <c r="F37" s="76"/>
      <c r="G37" s="156">
        <f t="shared" si="0"/>
        <v>3500</v>
      </c>
      <c r="H37" s="160">
        <f t="shared" si="1"/>
        <v>0</v>
      </c>
      <c r="I37" s="76"/>
      <c r="J37" s="156">
        <f t="shared" si="2"/>
        <v>3500</v>
      </c>
      <c r="K37" s="160">
        <f t="shared" si="3"/>
        <v>0</v>
      </c>
      <c r="L37" s="76"/>
      <c r="M37" s="156">
        <f t="shared" si="4"/>
        <v>3500</v>
      </c>
      <c r="N37" s="160">
        <f t="shared" si="5"/>
        <v>0</v>
      </c>
      <c r="O37" s="76"/>
      <c r="P37" s="156">
        <f t="shared" si="6"/>
        <v>3500</v>
      </c>
      <c r="Q37" s="160">
        <f t="shared" si="7"/>
        <v>0</v>
      </c>
      <c r="R37" s="152">
        <f t="shared" si="8"/>
        <v>0</v>
      </c>
      <c r="S37" s="162">
        <f t="shared" si="9"/>
        <v>0</v>
      </c>
      <c r="U37" s="76"/>
      <c r="V37" s="156">
        <f t="shared" si="18"/>
        <v>3500</v>
      </c>
      <c r="W37" s="160">
        <f t="shared" si="19"/>
        <v>0</v>
      </c>
      <c r="X37" s="76"/>
      <c r="Y37" s="156">
        <f t="shared" si="10"/>
        <v>3500</v>
      </c>
      <c r="Z37" s="160">
        <f t="shared" si="11"/>
        <v>0</v>
      </c>
      <c r="AA37" s="76"/>
      <c r="AB37" s="156">
        <f t="shared" si="12"/>
        <v>3500</v>
      </c>
      <c r="AC37" s="160">
        <f t="shared" si="13"/>
        <v>0</v>
      </c>
      <c r="AD37" s="76"/>
      <c r="AE37" s="156">
        <f t="shared" si="14"/>
        <v>3500</v>
      </c>
      <c r="AF37" s="160">
        <f t="shared" si="15"/>
        <v>0</v>
      </c>
      <c r="AG37" s="76"/>
      <c r="AH37" s="156">
        <f t="shared" si="16"/>
        <v>3500</v>
      </c>
      <c r="AI37" s="160">
        <f t="shared" si="17"/>
        <v>0</v>
      </c>
      <c r="AJ37" s="163">
        <f t="shared" si="20"/>
        <v>0</v>
      </c>
      <c r="AK37" s="162">
        <f t="shared" si="21"/>
        <v>0</v>
      </c>
    </row>
    <row r="38" spans="2:37" outlineLevel="1" x14ac:dyDescent="0.35">
      <c r="B38" s="48" t="s">
        <v>97</v>
      </c>
      <c r="C38" s="62" t="s">
        <v>175</v>
      </c>
      <c r="D38" s="76"/>
      <c r="E38" s="77">
        <v>9429.7000000000007</v>
      </c>
      <c r="F38" s="76"/>
      <c r="G38" s="156">
        <f t="shared" si="0"/>
        <v>9429.7000000000007</v>
      </c>
      <c r="H38" s="160">
        <f t="shared" si="1"/>
        <v>0</v>
      </c>
      <c r="I38" s="76">
        <v>670.3</v>
      </c>
      <c r="J38" s="156">
        <f t="shared" si="2"/>
        <v>10100</v>
      </c>
      <c r="K38" s="160">
        <f t="shared" si="3"/>
        <v>7.1083915713119103E-2</v>
      </c>
      <c r="L38" s="76"/>
      <c r="M38" s="156">
        <f t="shared" si="4"/>
        <v>10100</v>
      </c>
      <c r="N38" s="160">
        <f t="shared" si="5"/>
        <v>0</v>
      </c>
      <c r="O38" s="76">
        <v>183.59999999999997</v>
      </c>
      <c r="P38" s="156">
        <f t="shared" si="6"/>
        <v>10283.6</v>
      </c>
      <c r="Q38" s="160">
        <f t="shared" si="7"/>
        <v>1.8178217821782215E-2</v>
      </c>
      <c r="R38" s="152">
        <f t="shared" si="8"/>
        <v>853.89999999999986</v>
      </c>
      <c r="S38" s="162">
        <f t="shared" si="9"/>
        <v>2.190806076722529E-2</v>
      </c>
      <c r="U38" s="76"/>
      <c r="V38" s="156">
        <f t="shared" si="18"/>
        <v>10283.6</v>
      </c>
      <c r="W38" s="160">
        <f t="shared" si="19"/>
        <v>0</v>
      </c>
      <c r="X38" s="76"/>
      <c r="Y38" s="156">
        <f t="shared" si="10"/>
        <v>10283.6</v>
      </c>
      <c r="Z38" s="160">
        <f t="shared" si="11"/>
        <v>0</v>
      </c>
      <c r="AA38" s="76"/>
      <c r="AB38" s="156">
        <f t="shared" si="12"/>
        <v>10283.6</v>
      </c>
      <c r="AC38" s="160">
        <f t="shared" si="13"/>
        <v>0</v>
      </c>
      <c r="AD38" s="76"/>
      <c r="AE38" s="156">
        <f t="shared" si="14"/>
        <v>10283.6</v>
      </c>
      <c r="AF38" s="160">
        <f t="shared" si="15"/>
        <v>0</v>
      </c>
      <c r="AG38" s="76"/>
      <c r="AH38" s="156">
        <f t="shared" si="16"/>
        <v>10283.6</v>
      </c>
      <c r="AI38" s="160">
        <f t="shared" si="17"/>
        <v>0</v>
      </c>
      <c r="AJ38" s="163">
        <f t="shared" si="20"/>
        <v>0</v>
      </c>
      <c r="AK38" s="162">
        <f t="shared" si="21"/>
        <v>0</v>
      </c>
    </row>
    <row r="39" spans="2:37" outlineLevel="1" x14ac:dyDescent="0.35">
      <c r="B39" s="48" t="s">
        <v>98</v>
      </c>
      <c r="C39" s="62" t="s">
        <v>175</v>
      </c>
      <c r="D39" s="76"/>
      <c r="E39" s="77">
        <v>8200</v>
      </c>
      <c r="F39" s="76"/>
      <c r="G39" s="156">
        <f t="shared" si="0"/>
        <v>8200</v>
      </c>
      <c r="H39" s="160">
        <f t="shared" si="1"/>
        <v>0</v>
      </c>
      <c r="I39" s="76"/>
      <c r="J39" s="156">
        <f t="shared" si="2"/>
        <v>8200</v>
      </c>
      <c r="K39" s="160">
        <f t="shared" si="3"/>
        <v>0</v>
      </c>
      <c r="L39" s="76"/>
      <c r="M39" s="156">
        <f t="shared" si="4"/>
        <v>8200</v>
      </c>
      <c r="N39" s="160">
        <f t="shared" si="5"/>
        <v>0</v>
      </c>
      <c r="O39" s="76"/>
      <c r="P39" s="156">
        <f t="shared" si="6"/>
        <v>8200</v>
      </c>
      <c r="Q39" s="160">
        <f t="shared" si="7"/>
        <v>0</v>
      </c>
      <c r="R39" s="152">
        <f t="shared" si="8"/>
        <v>0</v>
      </c>
      <c r="S39" s="162">
        <f t="shared" si="9"/>
        <v>0</v>
      </c>
      <c r="U39" s="76"/>
      <c r="V39" s="156">
        <f t="shared" si="18"/>
        <v>8200</v>
      </c>
      <c r="W39" s="160">
        <f t="shared" si="19"/>
        <v>0</v>
      </c>
      <c r="X39" s="76"/>
      <c r="Y39" s="156">
        <f t="shared" si="10"/>
        <v>8200</v>
      </c>
      <c r="Z39" s="160">
        <f t="shared" si="11"/>
        <v>0</v>
      </c>
      <c r="AA39" s="76"/>
      <c r="AB39" s="156">
        <f t="shared" si="12"/>
        <v>8200</v>
      </c>
      <c r="AC39" s="160">
        <f t="shared" si="13"/>
        <v>0</v>
      </c>
      <c r="AD39" s="76"/>
      <c r="AE39" s="156">
        <f t="shared" si="14"/>
        <v>8200</v>
      </c>
      <c r="AF39" s="160">
        <f t="shared" si="15"/>
        <v>0</v>
      </c>
      <c r="AG39" s="76"/>
      <c r="AH39" s="156">
        <f t="shared" si="16"/>
        <v>8200</v>
      </c>
      <c r="AI39" s="160">
        <f t="shared" si="17"/>
        <v>0</v>
      </c>
      <c r="AJ39" s="163">
        <f t="shared" si="20"/>
        <v>0</v>
      </c>
      <c r="AK39" s="162">
        <f t="shared" si="21"/>
        <v>0</v>
      </c>
    </row>
    <row r="40" spans="2:37" outlineLevel="1" x14ac:dyDescent="0.35">
      <c r="B40" s="48" t="s">
        <v>99</v>
      </c>
      <c r="C40" s="62" t="s">
        <v>175</v>
      </c>
      <c r="D40" s="76"/>
      <c r="E40" s="77">
        <v>11010</v>
      </c>
      <c r="F40" s="76"/>
      <c r="G40" s="156">
        <f t="shared" si="0"/>
        <v>11010</v>
      </c>
      <c r="H40" s="160">
        <f t="shared" si="1"/>
        <v>0</v>
      </c>
      <c r="I40" s="76">
        <v>5567.62</v>
      </c>
      <c r="J40" s="156">
        <f t="shared" si="2"/>
        <v>16577.62</v>
      </c>
      <c r="K40" s="160">
        <f t="shared" si="3"/>
        <v>0.50568755676657573</v>
      </c>
      <c r="L40" s="76">
        <v>57.15</v>
      </c>
      <c r="M40" s="156">
        <f t="shared" si="4"/>
        <v>16634.77</v>
      </c>
      <c r="N40" s="160">
        <f t="shared" si="5"/>
        <v>3.4474188695362458E-3</v>
      </c>
      <c r="O40" s="76">
        <v>532</v>
      </c>
      <c r="P40" s="156">
        <f t="shared" si="6"/>
        <v>17166.77</v>
      </c>
      <c r="Q40" s="160">
        <f t="shared" si="7"/>
        <v>3.1981205631337252E-2</v>
      </c>
      <c r="R40" s="152">
        <f t="shared" si="8"/>
        <v>6156.7699999999995</v>
      </c>
      <c r="S40" s="162">
        <f t="shared" si="9"/>
        <v>0.1174428406786725</v>
      </c>
      <c r="U40" s="76"/>
      <c r="V40" s="156">
        <f t="shared" si="18"/>
        <v>17166.77</v>
      </c>
      <c r="W40" s="160">
        <f t="shared" si="19"/>
        <v>0</v>
      </c>
      <c r="X40" s="76">
        <v>2012</v>
      </c>
      <c r="Y40" s="156">
        <f t="shared" si="10"/>
        <v>19178.77</v>
      </c>
      <c r="Z40" s="160">
        <f t="shared" si="11"/>
        <v>0.11720317800028776</v>
      </c>
      <c r="AA40" s="76"/>
      <c r="AB40" s="156">
        <f t="shared" si="12"/>
        <v>19178.77</v>
      </c>
      <c r="AC40" s="160">
        <f t="shared" si="13"/>
        <v>0</v>
      </c>
      <c r="AD40" s="76"/>
      <c r="AE40" s="156">
        <f t="shared" si="14"/>
        <v>19178.77</v>
      </c>
      <c r="AF40" s="160">
        <f t="shared" si="15"/>
        <v>0</v>
      </c>
      <c r="AG40" s="76">
        <v>231</v>
      </c>
      <c r="AH40" s="156">
        <f t="shared" si="16"/>
        <v>19409.77</v>
      </c>
      <c r="AI40" s="160">
        <f t="shared" si="17"/>
        <v>1.2044568030170861E-2</v>
      </c>
      <c r="AJ40" s="163">
        <f t="shared" si="20"/>
        <v>2243</v>
      </c>
      <c r="AK40" s="162">
        <f t="shared" si="21"/>
        <v>3.1176364799842204E-2</v>
      </c>
    </row>
    <row r="41" spans="2:37" outlineLevel="1" x14ac:dyDescent="0.35">
      <c r="B41" s="48" t="s">
        <v>100</v>
      </c>
      <c r="C41" s="62" t="s">
        <v>175</v>
      </c>
      <c r="D41" s="76"/>
      <c r="E41" s="77">
        <v>3400</v>
      </c>
      <c r="F41" s="76"/>
      <c r="G41" s="156">
        <f t="shared" si="0"/>
        <v>3400</v>
      </c>
      <c r="H41" s="160">
        <f t="shared" si="1"/>
        <v>0</v>
      </c>
      <c r="I41" s="76"/>
      <c r="J41" s="156">
        <f t="shared" si="2"/>
        <v>3400</v>
      </c>
      <c r="K41" s="160">
        <f t="shared" si="3"/>
        <v>0</v>
      </c>
      <c r="L41" s="76"/>
      <c r="M41" s="156">
        <f t="shared" si="4"/>
        <v>3400</v>
      </c>
      <c r="N41" s="160">
        <f t="shared" si="5"/>
        <v>0</v>
      </c>
      <c r="O41" s="76"/>
      <c r="P41" s="156">
        <f t="shared" si="6"/>
        <v>3400</v>
      </c>
      <c r="Q41" s="160">
        <f t="shared" si="7"/>
        <v>0</v>
      </c>
      <c r="R41" s="152">
        <f t="shared" si="8"/>
        <v>0</v>
      </c>
      <c r="S41" s="162">
        <f t="shared" si="9"/>
        <v>0</v>
      </c>
      <c r="U41" s="76"/>
      <c r="V41" s="156">
        <f t="shared" si="18"/>
        <v>3400</v>
      </c>
      <c r="W41" s="160">
        <f t="shared" si="19"/>
        <v>0</v>
      </c>
      <c r="X41" s="76"/>
      <c r="Y41" s="156">
        <f t="shared" si="10"/>
        <v>3400</v>
      </c>
      <c r="Z41" s="160">
        <f t="shared" si="11"/>
        <v>0</v>
      </c>
      <c r="AA41" s="76">
        <v>827</v>
      </c>
      <c r="AB41" s="156">
        <f t="shared" si="12"/>
        <v>4227</v>
      </c>
      <c r="AC41" s="160">
        <f t="shared" si="13"/>
        <v>0.24323529411764705</v>
      </c>
      <c r="AD41" s="76"/>
      <c r="AE41" s="156">
        <f t="shared" si="14"/>
        <v>4227</v>
      </c>
      <c r="AF41" s="160">
        <f t="shared" si="15"/>
        <v>0</v>
      </c>
      <c r="AG41" s="76"/>
      <c r="AH41" s="156">
        <f t="shared" si="16"/>
        <v>4227</v>
      </c>
      <c r="AI41" s="160">
        <f t="shared" si="17"/>
        <v>0</v>
      </c>
      <c r="AJ41" s="163">
        <f t="shared" si="20"/>
        <v>827</v>
      </c>
      <c r="AK41" s="162">
        <f t="shared" si="21"/>
        <v>5.5937789922634762E-2</v>
      </c>
    </row>
    <row r="42" spans="2:37" outlineLevel="1" x14ac:dyDescent="0.35">
      <c r="B42" s="48" t="s">
        <v>176</v>
      </c>
      <c r="C42" s="62" t="s">
        <v>175</v>
      </c>
      <c r="D42" s="76"/>
      <c r="E42" s="77">
        <v>13900</v>
      </c>
      <c r="F42" s="76"/>
      <c r="G42" s="156">
        <f t="shared" si="0"/>
        <v>13900</v>
      </c>
      <c r="H42" s="160">
        <f t="shared" si="1"/>
        <v>0</v>
      </c>
      <c r="I42" s="76"/>
      <c r="J42" s="156">
        <f t="shared" si="2"/>
        <v>13900</v>
      </c>
      <c r="K42" s="160">
        <f t="shared" si="3"/>
        <v>0</v>
      </c>
      <c r="L42" s="76"/>
      <c r="M42" s="156">
        <f t="shared" si="4"/>
        <v>13900</v>
      </c>
      <c r="N42" s="160">
        <f t="shared" si="5"/>
        <v>0</v>
      </c>
      <c r="O42" s="76"/>
      <c r="P42" s="156">
        <f t="shared" si="6"/>
        <v>13900</v>
      </c>
      <c r="Q42" s="160">
        <f t="shared" si="7"/>
        <v>0</v>
      </c>
      <c r="R42" s="152">
        <f t="shared" si="8"/>
        <v>0</v>
      </c>
      <c r="S42" s="162">
        <f t="shared" si="9"/>
        <v>0</v>
      </c>
      <c r="U42" s="76"/>
      <c r="V42" s="156">
        <f t="shared" si="18"/>
        <v>13900</v>
      </c>
      <c r="W42" s="160">
        <f t="shared" si="19"/>
        <v>0</v>
      </c>
      <c r="X42" s="76"/>
      <c r="Y42" s="156">
        <f t="shared" si="10"/>
        <v>13900</v>
      </c>
      <c r="Z42" s="160">
        <f t="shared" si="11"/>
        <v>0</v>
      </c>
      <c r="AA42" s="76"/>
      <c r="AB42" s="156">
        <f t="shared" si="12"/>
        <v>13900</v>
      </c>
      <c r="AC42" s="160">
        <f t="shared" si="13"/>
        <v>0</v>
      </c>
      <c r="AD42" s="76"/>
      <c r="AE42" s="156">
        <f t="shared" si="14"/>
        <v>13900</v>
      </c>
      <c r="AF42" s="160">
        <f t="shared" si="15"/>
        <v>0</v>
      </c>
      <c r="AG42" s="76"/>
      <c r="AH42" s="156">
        <f t="shared" si="16"/>
        <v>13900</v>
      </c>
      <c r="AI42" s="160">
        <f t="shared" si="17"/>
        <v>0</v>
      </c>
      <c r="AJ42" s="163">
        <f t="shared" si="20"/>
        <v>0</v>
      </c>
      <c r="AK42" s="162">
        <f t="shared" si="21"/>
        <v>0</v>
      </c>
    </row>
    <row r="43" spans="2:37" outlineLevel="1" x14ac:dyDescent="0.35">
      <c r="B43" s="48" t="s">
        <v>102</v>
      </c>
      <c r="C43" s="62" t="s">
        <v>175</v>
      </c>
      <c r="D43" s="76"/>
      <c r="E43" s="77">
        <v>2100</v>
      </c>
      <c r="F43" s="76"/>
      <c r="G43" s="156">
        <f t="shared" si="0"/>
        <v>2100</v>
      </c>
      <c r="H43" s="160">
        <f t="shared" si="1"/>
        <v>0</v>
      </c>
      <c r="I43" s="76"/>
      <c r="J43" s="156">
        <f t="shared" si="2"/>
        <v>2100</v>
      </c>
      <c r="K43" s="160">
        <f t="shared" si="3"/>
        <v>0</v>
      </c>
      <c r="L43" s="76"/>
      <c r="M43" s="156">
        <f t="shared" si="4"/>
        <v>2100</v>
      </c>
      <c r="N43" s="160">
        <f t="shared" si="5"/>
        <v>0</v>
      </c>
      <c r="O43" s="76"/>
      <c r="P43" s="156">
        <f t="shared" si="6"/>
        <v>2100</v>
      </c>
      <c r="Q43" s="160">
        <f t="shared" si="7"/>
        <v>0</v>
      </c>
      <c r="R43" s="152">
        <f t="shared" si="8"/>
        <v>0</v>
      </c>
      <c r="S43" s="162">
        <f t="shared" si="9"/>
        <v>0</v>
      </c>
      <c r="U43" s="76"/>
      <c r="V43" s="156">
        <f t="shared" si="18"/>
        <v>2100</v>
      </c>
      <c r="W43" s="160">
        <f t="shared" si="19"/>
        <v>0</v>
      </c>
      <c r="X43" s="76"/>
      <c r="Y43" s="156">
        <f t="shared" si="10"/>
        <v>2100</v>
      </c>
      <c r="Z43" s="160">
        <f t="shared" si="11"/>
        <v>0</v>
      </c>
      <c r="AA43" s="76"/>
      <c r="AB43" s="156">
        <f t="shared" si="12"/>
        <v>2100</v>
      </c>
      <c r="AC43" s="160">
        <f t="shared" si="13"/>
        <v>0</v>
      </c>
      <c r="AD43" s="76"/>
      <c r="AE43" s="156">
        <f t="shared" si="14"/>
        <v>2100</v>
      </c>
      <c r="AF43" s="160">
        <f t="shared" si="15"/>
        <v>0</v>
      </c>
      <c r="AG43" s="76"/>
      <c r="AH43" s="156">
        <f t="shared" si="16"/>
        <v>2100</v>
      </c>
      <c r="AI43" s="160">
        <f t="shared" si="17"/>
        <v>0</v>
      </c>
      <c r="AJ43" s="163">
        <f t="shared" si="20"/>
        <v>0</v>
      </c>
      <c r="AK43" s="162">
        <f t="shared" si="21"/>
        <v>0</v>
      </c>
    </row>
    <row r="44" spans="2:37" outlineLevel="1" x14ac:dyDescent="0.35">
      <c r="B44" s="48" t="s">
        <v>103</v>
      </c>
      <c r="C44" s="62" t="s">
        <v>175</v>
      </c>
      <c r="D44" s="76"/>
      <c r="E44" s="77">
        <v>3100</v>
      </c>
      <c r="F44" s="76"/>
      <c r="G44" s="156">
        <f t="shared" si="0"/>
        <v>3100</v>
      </c>
      <c r="H44" s="160">
        <f t="shared" si="1"/>
        <v>0</v>
      </c>
      <c r="I44" s="76"/>
      <c r="J44" s="156">
        <f t="shared" si="2"/>
        <v>3100</v>
      </c>
      <c r="K44" s="160">
        <f t="shared" si="3"/>
        <v>0</v>
      </c>
      <c r="L44" s="76"/>
      <c r="M44" s="156">
        <f t="shared" si="4"/>
        <v>3100</v>
      </c>
      <c r="N44" s="160">
        <f t="shared" si="5"/>
        <v>0</v>
      </c>
      <c r="O44" s="76"/>
      <c r="P44" s="156">
        <f t="shared" si="6"/>
        <v>3100</v>
      </c>
      <c r="Q44" s="160">
        <f t="shared" si="7"/>
        <v>0</v>
      </c>
      <c r="R44" s="152">
        <f t="shared" si="8"/>
        <v>0</v>
      </c>
      <c r="S44" s="162">
        <f t="shared" si="9"/>
        <v>0</v>
      </c>
      <c r="U44" s="76"/>
      <c r="V44" s="156">
        <f t="shared" si="18"/>
        <v>3100</v>
      </c>
      <c r="W44" s="160">
        <f t="shared" si="19"/>
        <v>0</v>
      </c>
      <c r="X44" s="76"/>
      <c r="Y44" s="156">
        <f t="shared" si="10"/>
        <v>3100</v>
      </c>
      <c r="Z44" s="160">
        <f t="shared" si="11"/>
        <v>0</v>
      </c>
      <c r="AA44" s="76"/>
      <c r="AB44" s="156">
        <f t="shared" si="12"/>
        <v>3100</v>
      </c>
      <c r="AC44" s="160">
        <f t="shared" si="13"/>
        <v>0</v>
      </c>
      <c r="AD44" s="76"/>
      <c r="AE44" s="156">
        <f t="shared" si="14"/>
        <v>3100</v>
      </c>
      <c r="AF44" s="160">
        <f t="shared" si="15"/>
        <v>0</v>
      </c>
      <c r="AG44" s="76"/>
      <c r="AH44" s="156">
        <f t="shared" si="16"/>
        <v>3100</v>
      </c>
      <c r="AI44" s="160">
        <f t="shared" si="17"/>
        <v>0</v>
      </c>
      <c r="AJ44" s="163">
        <f t="shared" si="20"/>
        <v>0</v>
      </c>
      <c r="AK44" s="162">
        <f t="shared" si="21"/>
        <v>0</v>
      </c>
    </row>
    <row r="45" spans="2:37" outlineLevel="1" x14ac:dyDescent="0.35">
      <c r="B45" s="48" t="s">
        <v>177</v>
      </c>
      <c r="C45" s="62" t="s">
        <v>175</v>
      </c>
      <c r="D45" s="76"/>
      <c r="E45" s="77">
        <v>7200</v>
      </c>
      <c r="F45" s="76"/>
      <c r="G45" s="156">
        <f t="shared" si="0"/>
        <v>7200</v>
      </c>
      <c r="H45" s="160">
        <f t="shared" si="1"/>
        <v>0</v>
      </c>
      <c r="I45" s="76"/>
      <c r="J45" s="156">
        <f t="shared" si="2"/>
        <v>7200</v>
      </c>
      <c r="K45" s="160">
        <f t="shared" si="3"/>
        <v>0</v>
      </c>
      <c r="L45" s="76"/>
      <c r="M45" s="156">
        <f t="shared" si="4"/>
        <v>7200</v>
      </c>
      <c r="N45" s="160">
        <f t="shared" si="5"/>
        <v>0</v>
      </c>
      <c r="O45" s="76"/>
      <c r="P45" s="156">
        <f t="shared" si="6"/>
        <v>7200</v>
      </c>
      <c r="Q45" s="160">
        <f t="shared" si="7"/>
        <v>0</v>
      </c>
      <c r="R45" s="152"/>
      <c r="S45" s="162"/>
      <c r="U45" s="76"/>
      <c r="V45" s="156">
        <f t="shared" si="18"/>
        <v>7200</v>
      </c>
      <c r="W45" s="160">
        <f t="shared" si="19"/>
        <v>0</v>
      </c>
      <c r="X45" s="76"/>
      <c r="Y45" s="156">
        <f t="shared" si="10"/>
        <v>7200</v>
      </c>
      <c r="Z45" s="160">
        <f t="shared" si="11"/>
        <v>0</v>
      </c>
      <c r="AA45" s="76"/>
      <c r="AB45" s="156">
        <f t="shared" si="12"/>
        <v>7200</v>
      </c>
      <c r="AC45" s="160">
        <f t="shared" si="13"/>
        <v>0</v>
      </c>
      <c r="AD45" s="76"/>
      <c r="AE45" s="156">
        <f t="shared" si="14"/>
        <v>7200</v>
      </c>
      <c r="AF45" s="160">
        <f t="shared" si="15"/>
        <v>0</v>
      </c>
      <c r="AG45" s="76"/>
      <c r="AH45" s="156">
        <f t="shared" si="16"/>
        <v>7200</v>
      </c>
      <c r="AI45" s="160">
        <f t="shared" si="17"/>
        <v>0</v>
      </c>
      <c r="AJ45" s="163">
        <f t="shared" si="20"/>
        <v>0</v>
      </c>
      <c r="AK45" s="162">
        <f t="shared" si="21"/>
        <v>0</v>
      </c>
    </row>
    <row r="46" spans="2:37" outlineLevel="1" x14ac:dyDescent="0.35">
      <c r="B46" s="48" t="s">
        <v>136</v>
      </c>
      <c r="C46" s="62" t="s">
        <v>175</v>
      </c>
      <c r="D46" s="76"/>
      <c r="E46" s="77">
        <v>0</v>
      </c>
      <c r="F46" s="76"/>
      <c r="G46" s="156">
        <f t="shared" si="0"/>
        <v>0</v>
      </c>
      <c r="H46" s="160">
        <f t="shared" si="1"/>
        <v>0</v>
      </c>
      <c r="I46" s="76"/>
      <c r="J46" s="156">
        <f t="shared" si="2"/>
        <v>0</v>
      </c>
      <c r="K46" s="160">
        <f t="shared" si="3"/>
        <v>0</v>
      </c>
      <c r="L46" s="76"/>
      <c r="M46" s="156">
        <f t="shared" si="4"/>
        <v>0</v>
      </c>
      <c r="N46" s="160">
        <f t="shared" si="5"/>
        <v>0</v>
      </c>
      <c r="O46" s="76"/>
      <c r="P46" s="156">
        <f t="shared" si="6"/>
        <v>0</v>
      </c>
      <c r="Q46" s="160">
        <f t="shared" si="7"/>
        <v>0</v>
      </c>
      <c r="R46" s="152">
        <f t="shared" ref="R46:R52" si="22">D46+F46+I46+L46+O46</f>
        <v>0</v>
      </c>
      <c r="S46" s="162">
        <f t="shared" ref="S46:S52" si="23">IFERROR((P46/E46)^(1/4)-1,0)</f>
        <v>0</v>
      </c>
      <c r="U46" s="76"/>
      <c r="V46" s="156">
        <f t="shared" si="18"/>
        <v>0</v>
      </c>
      <c r="W46" s="160">
        <f t="shared" si="19"/>
        <v>0</v>
      </c>
      <c r="X46" s="76"/>
      <c r="Y46" s="156">
        <f t="shared" si="10"/>
        <v>0</v>
      </c>
      <c r="Z46" s="160">
        <f t="shared" si="11"/>
        <v>0</v>
      </c>
      <c r="AA46" s="76"/>
      <c r="AB46" s="156">
        <f t="shared" si="12"/>
        <v>0</v>
      </c>
      <c r="AC46" s="160">
        <f t="shared" si="13"/>
        <v>0</v>
      </c>
      <c r="AD46" s="76"/>
      <c r="AE46" s="156">
        <f t="shared" si="14"/>
        <v>0</v>
      </c>
      <c r="AF46" s="160">
        <f t="shared" si="15"/>
        <v>0</v>
      </c>
      <c r="AG46" s="76"/>
      <c r="AH46" s="156">
        <f t="shared" si="16"/>
        <v>0</v>
      </c>
      <c r="AI46" s="160">
        <f t="shared" si="17"/>
        <v>0</v>
      </c>
      <c r="AJ46" s="163">
        <f t="shared" si="20"/>
        <v>0</v>
      </c>
      <c r="AK46" s="162">
        <f t="shared" si="21"/>
        <v>0</v>
      </c>
    </row>
    <row r="47" spans="2:37" outlineLevel="1" x14ac:dyDescent="0.35">
      <c r="B47" s="48" t="s">
        <v>106</v>
      </c>
      <c r="C47" s="62" t="s">
        <v>175</v>
      </c>
      <c r="D47" s="76"/>
      <c r="E47" s="77">
        <v>6000</v>
      </c>
      <c r="F47" s="76"/>
      <c r="G47" s="156">
        <f t="shared" ref="G47:G68" si="24">E47+F47</f>
        <v>6000</v>
      </c>
      <c r="H47" s="160">
        <f t="shared" ref="H47:H68" si="25">IFERROR((G47-E47)/E47,0)</f>
        <v>0</v>
      </c>
      <c r="I47" s="76"/>
      <c r="J47" s="156">
        <f t="shared" ref="J47:J68" si="26">G47+I47</f>
        <v>6000</v>
      </c>
      <c r="K47" s="160">
        <f t="shared" ref="K47:K68" si="27">IFERROR((J47-G47)/G47,0)</f>
        <v>0</v>
      </c>
      <c r="L47" s="76"/>
      <c r="M47" s="156">
        <f t="shared" ref="M47:M68" si="28">J47+L47</f>
        <v>6000</v>
      </c>
      <c r="N47" s="160">
        <f t="shared" ref="N47:N68" si="29">IFERROR((M47-J47)/J47,0)</f>
        <v>0</v>
      </c>
      <c r="O47" s="76"/>
      <c r="P47" s="156">
        <f t="shared" ref="P47:P68" si="30">M47+O47</f>
        <v>6000</v>
      </c>
      <c r="Q47" s="160">
        <f t="shared" ref="Q47:Q68" si="31">IFERROR((P47-M47)/M47,0)</f>
        <v>0</v>
      </c>
      <c r="R47" s="152">
        <f t="shared" si="22"/>
        <v>0</v>
      </c>
      <c r="S47" s="162">
        <f t="shared" si="23"/>
        <v>0</v>
      </c>
      <c r="U47" s="76"/>
      <c r="V47" s="156">
        <f t="shared" si="18"/>
        <v>6000</v>
      </c>
      <c r="W47" s="160">
        <f t="shared" si="19"/>
        <v>0</v>
      </c>
      <c r="X47" s="76"/>
      <c r="Y47" s="156">
        <f t="shared" si="10"/>
        <v>6000</v>
      </c>
      <c r="Z47" s="160">
        <f t="shared" si="11"/>
        <v>0</v>
      </c>
      <c r="AA47" s="76"/>
      <c r="AB47" s="156">
        <f t="shared" si="12"/>
        <v>6000</v>
      </c>
      <c r="AC47" s="160">
        <f t="shared" si="13"/>
        <v>0</v>
      </c>
      <c r="AD47" s="76"/>
      <c r="AE47" s="156">
        <f t="shared" si="14"/>
        <v>6000</v>
      </c>
      <c r="AF47" s="160">
        <f t="shared" si="15"/>
        <v>0</v>
      </c>
      <c r="AG47" s="76"/>
      <c r="AH47" s="156">
        <f t="shared" si="16"/>
        <v>6000</v>
      </c>
      <c r="AI47" s="160">
        <f t="shared" si="17"/>
        <v>0</v>
      </c>
      <c r="AJ47" s="163">
        <f t="shared" si="20"/>
        <v>0</v>
      </c>
      <c r="AK47" s="162">
        <f t="shared" si="21"/>
        <v>0</v>
      </c>
    </row>
    <row r="48" spans="2:37" outlineLevel="1" x14ac:dyDescent="0.35">
      <c r="B48" s="48" t="s">
        <v>107</v>
      </c>
      <c r="C48" s="62" t="s">
        <v>175</v>
      </c>
      <c r="D48" s="76"/>
      <c r="E48" s="77">
        <v>6293</v>
      </c>
      <c r="F48" s="76">
        <v>107</v>
      </c>
      <c r="G48" s="156">
        <f t="shared" si="24"/>
        <v>6400</v>
      </c>
      <c r="H48" s="160">
        <f t="shared" si="25"/>
        <v>1.7003019227713332E-2</v>
      </c>
      <c r="I48" s="76"/>
      <c r="J48" s="156">
        <f t="shared" si="26"/>
        <v>6400</v>
      </c>
      <c r="K48" s="160">
        <f t="shared" si="27"/>
        <v>0</v>
      </c>
      <c r="L48" s="76"/>
      <c r="M48" s="156">
        <f t="shared" si="28"/>
        <v>6400</v>
      </c>
      <c r="N48" s="160">
        <f t="shared" si="29"/>
        <v>0</v>
      </c>
      <c r="O48" s="76"/>
      <c r="P48" s="156">
        <f t="shared" si="30"/>
        <v>6400</v>
      </c>
      <c r="Q48" s="160">
        <f t="shared" si="31"/>
        <v>0</v>
      </c>
      <c r="R48" s="152">
        <f t="shared" si="22"/>
        <v>107</v>
      </c>
      <c r="S48" s="162">
        <f t="shared" si="23"/>
        <v>4.2239171522679975E-3</v>
      </c>
      <c r="U48" s="76"/>
      <c r="V48" s="156">
        <f t="shared" si="18"/>
        <v>6400</v>
      </c>
      <c r="W48" s="160">
        <f t="shared" si="19"/>
        <v>0</v>
      </c>
      <c r="X48" s="76"/>
      <c r="Y48" s="156">
        <f t="shared" si="10"/>
        <v>6400</v>
      </c>
      <c r="Z48" s="160">
        <f t="shared" si="11"/>
        <v>0</v>
      </c>
      <c r="AA48" s="76"/>
      <c r="AB48" s="156">
        <f t="shared" si="12"/>
        <v>6400</v>
      </c>
      <c r="AC48" s="160">
        <f t="shared" si="13"/>
        <v>0</v>
      </c>
      <c r="AD48" s="76"/>
      <c r="AE48" s="156">
        <f t="shared" si="14"/>
        <v>6400</v>
      </c>
      <c r="AF48" s="160">
        <f t="shared" si="15"/>
        <v>0</v>
      </c>
      <c r="AG48" s="76"/>
      <c r="AH48" s="156">
        <f t="shared" si="16"/>
        <v>6400</v>
      </c>
      <c r="AI48" s="160">
        <f t="shared" si="17"/>
        <v>0</v>
      </c>
      <c r="AJ48" s="163">
        <f t="shared" si="20"/>
        <v>0</v>
      </c>
      <c r="AK48" s="162">
        <f t="shared" si="21"/>
        <v>0</v>
      </c>
    </row>
    <row r="49" spans="1:37" outlineLevel="1" x14ac:dyDescent="0.35">
      <c r="B49" s="48" t="s">
        <v>108</v>
      </c>
      <c r="C49" s="62" t="s">
        <v>175</v>
      </c>
      <c r="D49" s="76"/>
      <c r="E49" s="77">
        <v>5200</v>
      </c>
      <c r="F49" s="76"/>
      <c r="G49" s="156">
        <f t="shared" si="24"/>
        <v>5200</v>
      </c>
      <c r="H49" s="160">
        <f t="shared" si="25"/>
        <v>0</v>
      </c>
      <c r="I49" s="76"/>
      <c r="J49" s="156">
        <f t="shared" si="26"/>
        <v>5200</v>
      </c>
      <c r="K49" s="160">
        <f t="shared" si="27"/>
        <v>0</v>
      </c>
      <c r="L49" s="76"/>
      <c r="M49" s="156">
        <f t="shared" si="28"/>
        <v>5200</v>
      </c>
      <c r="N49" s="160">
        <f t="shared" si="29"/>
        <v>0</v>
      </c>
      <c r="O49" s="76"/>
      <c r="P49" s="156">
        <f t="shared" si="30"/>
        <v>5200</v>
      </c>
      <c r="Q49" s="160">
        <f t="shared" si="31"/>
        <v>0</v>
      </c>
      <c r="R49" s="152">
        <f t="shared" si="22"/>
        <v>0</v>
      </c>
      <c r="S49" s="162">
        <f t="shared" si="23"/>
        <v>0</v>
      </c>
      <c r="U49" s="76"/>
      <c r="V49" s="156">
        <f t="shared" si="18"/>
        <v>5200</v>
      </c>
      <c r="W49" s="160">
        <f t="shared" si="19"/>
        <v>0</v>
      </c>
      <c r="X49" s="76"/>
      <c r="Y49" s="156">
        <f t="shared" si="10"/>
        <v>5200</v>
      </c>
      <c r="Z49" s="160">
        <f t="shared" si="11"/>
        <v>0</v>
      </c>
      <c r="AA49" s="76">
        <v>896</v>
      </c>
      <c r="AB49" s="156">
        <f t="shared" si="12"/>
        <v>6096</v>
      </c>
      <c r="AC49" s="160">
        <f t="shared" si="13"/>
        <v>0.1723076923076923</v>
      </c>
      <c r="AD49" s="76"/>
      <c r="AE49" s="156">
        <f t="shared" si="14"/>
        <v>6096</v>
      </c>
      <c r="AF49" s="160">
        <f t="shared" si="15"/>
        <v>0</v>
      </c>
      <c r="AG49" s="76"/>
      <c r="AH49" s="156">
        <f t="shared" si="16"/>
        <v>6096</v>
      </c>
      <c r="AI49" s="160">
        <f t="shared" si="17"/>
        <v>0</v>
      </c>
      <c r="AJ49" s="163">
        <f t="shared" si="20"/>
        <v>896</v>
      </c>
      <c r="AK49" s="162">
        <f t="shared" si="21"/>
        <v>4.0543890617946499E-2</v>
      </c>
    </row>
    <row r="50" spans="1:37" outlineLevel="1" x14ac:dyDescent="0.35">
      <c r="B50" s="48" t="s">
        <v>109</v>
      </c>
      <c r="C50" s="62" t="s">
        <v>175</v>
      </c>
      <c r="D50" s="76"/>
      <c r="E50" s="77">
        <v>4400</v>
      </c>
      <c r="F50" s="76"/>
      <c r="G50" s="156">
        <f t="shared" si="24"/>
        <v>4400</v>
      </c>
      <c r="H50" s="160">
        <f t="shared" si="25"/>
        <v>0</v>
      </c>
      <c r="I50" s="76"/>
      <c r="J50" s="156">
        <f t="shared" si="26"/>
        <v>4400</v>
      </c>
      <c r="K50" s="160">
        <f t="shared" si="27"/>
        <v>0</v>
      </c>
      <c r="L50" s="76"/>
      <c r="M50" s="156">
        <f t="shared" si="28"/>
        <v>4400</v>
      </c>
      <c r="N50" s="160">
        <f t="shared" si="29"/>
        <v>0</v>
      </c>
      <c r="O50" s="76"/>
      <c r="P50" s="156">
        <f t="shared" si="30"/>
        <v>4400</v>
      </c>
      <c r="Q50" s="160">
        <f t="shared" si="31"/>
        <v>0</v>
      </c>
      <c r="R50" s="152">
        <f t="shared" si="22"/>
        <v>0</v>
      </c>
      <c r="S50" s="162">
        <f t="shared" si="23"/>
        <v>0</v>
      </c>
      <c r="U50" s="76"/>
      <c r="V50" s="156">
        <f t="shared" si="18"/>
        <v>4400</v>
      </c>
      <c r="W50" s="160">
        <f t="shared" si="19"/>
        <v>0</v>
      </c>
      <c r="X50" s="76">
        <v>50</v>
      </c>
      <c r="Y50" s="156">
        <f t="shared" si="10"/>
        <v>4450</v>
      </c>
      <c r="Z50" s="160">
        <f t="shared" si="11"/>
        <v>1.1363636363636364E-2</v>
      </c>
      <c r="AA50" s="76"/>
      <c r="AB50" s="156">
        <f t="shared" si="12"/>
        <v>4450</v>
      </c>
      <c r="AC50" s="160">
        <f t="shared" si="13"/>
        <v>0</v>
      </c>
      <c r="AD50" s="76"/>
      <c r="AE50" s="156">
        <f t="shared" si="14"/>
        <v>4450</v>
      </c>
      <c r="AF50" s="160">
        <f t="shared" si="15"/>
        <v>0</v>
      </c>
      <c r="AG50" s="76"/>
      <c r="AH50" s="156">
        <f t="shared" si="16"/>
        <v>4450</v>
      </c>
      <c r="AI50" s="160">
        <f t="shared" si="17"/>
        <v>0</v>
      </c>
      <c r="AJ50" s="163">
        <f t="shared" si="20"/>
        <v>50</v>
      </c>
      <c r="AK50" s="162">
        <f t="shared" si="21"/>
        <v>2.8288825716431543E-3</v>
      </c>
    </row>
    <row r="51" spans="1:37" outlineLevel="1" x14ac:dyDescent="0.35">
      <c r="B51" s="48" t="s">
        <v>178</v>
      </c>
      <c r="C51" s="62" t="s">
        <v>175</v>
      </c>
      <c r="D51" s="76"/>
      <c r="E51" s="77">
        <v>2628</v>
      </c>
      <c r="F51" s="76"/>
      <c r="G51" s="156">
        <f t="shared" si="24"/>
        <v>2628</v>
      </c>
      <c r="H51" s="160">
        <f t="shared" si="25"/>
        <v>0</v>
      </c>
      <c r="I51" s="76">
        <v>172</v>
      </c>
      <c r="J51" s="156">
        <f t="shared" si="26"/>
        <v>2800</v>
      </c>
      <c r="K51" s="160">
        <f t="shared" si="27"/>
        <v>6.5449010654490103E-2</v>
      </c>
      <c r="L51" s="76"/>
      <c r="M51" s="156">
        <f t="shared" si="28"/>
        <v>2800</v>
      </c>
      <c r="N51" s="160">
        <f t="shared" si="29"/>
        <v>0</v>
      </c>
      <c r="O51" s="76">
        <v>670</v>
      </c>
      <c r="P51" s="156">
        <f t="shared" si="30"/>
        <v>3470</v>
      </c>
      <c r="Q51" s="160">
        <f t="shared" si="31"/>
        <v>0.2392857142857143</v>
      </c>
      <c r="R51" s="152">
        <f t="shared" si="22"/>
        <v>842</v>
      </c>
      <c r="S51" s="162">
        <f t="shared" si="23"/>
        <v>7.1953702054641466E-2</v>
      </c>
      <c r="U51" s="76">
        <v>430</v>
      </c>
      <c r="V51" s="156">
        <f t="shared" si="18"/>
        <v>3900</v>
      </c>
      <c r="W51" s="160">
        <f t="shared" si="19"/>
        <v>0.1239193083573487</v>
      </c>
      <c r="X51" s="76"/>
      <c r="Y51" s="156">
        <f t="shared" si="10"/>
        <v>3900</v>
      </c>
      <c r="Z51" s="160">
        <f t="shared" si="11"/>
        <v>0</v>
      </c>
      <c r="AA51" s="76"/>
      <c r="AB51" s="156">
        <f t="shared" si="12"/>
        <v>3900</v>
      </c>
      <c r="AC51" s="160">
        <f t="shared" si="13"/>
        <v>0</v>
      </c>
      <c r="AD51" s="76"/>
      <c r="AE51" s="156">
        <f t="shared" si="14"/>
        <v>3900</v>
      </c>
      <c r="AF51" s="160">
        <f t="shared" si="15"/>
        <v>0</v>
      </c>
      <c r="AG51" s="76"/>
      <c r="AH51" s="156">
        <f t="shared" si="16"/>
        <v>3900</v>
      </c>
      <c r="AI51" s="160">
        <f t="shared" si="17"/>
        <v>0</v>
      </c>
      <c r="AJ51" s="163">
        <f t="shared" si="20"/>
        <v>430</v>
      </c>
      <c r="AK51" s="162">
        <f t="shared" si="21"/>
        <v>0</v>
      </c>
    </row>
    <row r="52" spans="1:37" outlineLevel="1" x14ac:dyDescent="0.35">
      <c r="B52" s="48" t="s">
        <v>111</v>
      </c>
      <c r="C52" s="62" t="s">
        <v>175</v>
      </c>
      <c r="D52" s="76"/>
      <c r="E52" s="77">
        <v>1900</v>
      </c>
      <c r="F52" s="76"/>
      <c r="G52" s="156">
        <f t="shared" si="24"/>
        <v>1900</v>
      </c>
      <c r="H52" s="160">
        <f t="shared" si="25"/>
        <v>0</v>
      </c>
      <c r="I52" s="76"/>
      <c r="J52" s="156">
        <f t="shared" si="26"/>
        <v>1900</v>
      </c>
      <c r="K52" s="160">
        <f t="shared" si="27"/>
        <v>0</v>
      </c>
      <c r="L52" s="76"/>
      <c r="M52" s="156">
        <f t="shared" si="28"/>
        <v>1900</v>
      </c>
      <c r="N52" s="160">
        <f t="shared" si="29"/>
        <v>0</v>
      </c>
      <c r="O52" s="76"/>
      <c r="P52" s="156">
        <f t="shared" si="30"/>
        <v>1900</v>
      </c>
      <c r="Q52" s="160">
        <f t="shared" si="31"/>
        <v>0</v>
      </c>
      <c r="R52" s="152">
        <f t="shared" si="22"/>
        <v>0</v>
      </c>
      <c r="S52" s="162">
        <f t="shared" si="23"/>
        <v>0</v>
      </c>
      <c r="U52" s="76"/>
      <c r="V52" s="156">
        <f t="shared" si="18"/>
        <v>1900</v>
      </c>
      <c r="W52" s="160">
        <f t="shared" si="19"/>
        <v>0</v>
      </c>
      <c r="X52" s="76"/>
      <c r="Y52" s="156">
        <f t="shared" si="10"/>
        <v>1900</v>
      </c>
      <c r="Z52" s="160">
        <f t="shared" si="11"/>
        <v>0</v>
      </c>
      <c r="AA52" s="76"/>
      <c r="AB52" s="156">
        <f t="shared" si="12"/>
        <v>1900</v>
      </c>
      <c r="AC52" s="160">
        <f t="shared" si="13"/>
        <v>0</v>
      </c>
      <c r="AD52" s="76"/>
      <c r="AE52" s="156">
        <f t="shared" si="14"/>
        <v>1900</v>
      </c>
      <c r="AF52" s="160">
        <f t="shared" si="15"/>
        <v>0</v>
      </c>
      <c r="AG52" s="76"/>
      <c r="AH52" s="156">
        <f t="shared" si="16"/>
        <v>1900</v>
      </c>
      <c r="AI52" s="160">
        <f t="shared" si="17"/>
        <v>0</v>
      </c>
      <c r="AJ52" s="163">
        <f t="shared" si="20"/>
        <v>0</v>
      </c>
      <c r="AK52" s="162">
        <f t="shared" si="21"/>
        <v>0</v>
      </c>
    </row>
    <row r="53" spans="1:37" outlineLevel="1" x14ac:dyDescent="0.35">
      <c r="B53" s="48" t="s">
        <v>179</v>
      </c>
      <c r="C53" s="62" t="s">
        <v>175</v>
      </c>
      <c r="D53" s="76"/>
      <c r="E53" s="77">
        <v>9500</v>
      </c>
      <c r="F53" s="76"/>
      <c r="G53" s="156">
        <f t="shared" si="24"/>
        <v>9500</v>
      </c>
      <c r="H53" s="160">
        <f t="shared" si="25"/>
        <v>0</v>
      </c>
      <c r="I53" s="76"/>
      <c r="J53" s="156">
        <f t="shared" si="26"/>
        <v>9500</v>
      </c>
      <c r="K53" s="160">
        <f t="shared" si="27"/>
        <v>0</v>
      </c>
      <c r="L53" s="76"/>
      <c r="M53" s="156">
        <f t="shared" si="28"/>
        <v>9500</v>
      </c>
      <c r="N53" s="160">
        <f t="shared" si="29"/>
        <v>0</v>
      </c>
      <c r="O53" s="76"/>
      <c r="P53" s="156">
        <f t="shared" si="30"/>
        <v>9500</v>
      </c>
      <c r="Q53" s="160">
        <f t="shared" si="31"/>
        <v>0</v>
      </c>
      <c r="R53" s="152"/>
      <c r="S53" s="162"/>
      <c r="U53" s="76"/>
      <c r="V53" s="156">
        <f t="shared" si="18"/>
        <v>9500</v>
      </c>
      <c r="W53" s="160">
        <f t="shared" si="19"/>
        <v>0</v>
      </c>
      <c r="X53" s="76"/>
      <c r="Y53" s="156">
        <f t="shared" si="10"/>
        <v>9500</v>
      </c>
      <c r="Z53" s="160">
        <f t="shared" si="11"/>
        <v>0</v>
      </c>
      <c r="AA53" s="76"/>
      <c r="AB53" s="156">
        <f t="shared" si="12"/>
        <v>9500</v>
      </c>
      <c r="AC53" s="160">
        <f t="shared" si="13"/>
        <v>0</v>
      </c>
      <c r="AD53" s="76"/>
      <c r="AE53" s="156">
        <f t="shared" si="14"/>
        <v>9500</v>
      </c>
      <c r="AF53" s="160">
        <f t="shared" si="15"/>
        <v>0</v>
      </c>
      <c r="AG53" s="76">
        <v>769</v>
      </c>
      <c r="AH53" s="156">
        <f t="shared" si="16"/>
        <v>10269</v>
      </c>
      <c r="AI53" s="160">
        <f t="shared" si="17"/>
        <v>8.0947368421052629E-2</v>
      </c>
      <c r="AJ53" s="163">
        <f t="shared" si="20"/>
        <v>769</v>
      </c>
      <c r="AK53" s="162">
        <f t="shared" si="21"/>
        <v>1.965003186018488E-2</v>
      </c>
    </row>
    <row r="54" spans="1:37" outlineLevel="1" x14ac:dyDescent="0.35">
      <c r="B54" s="48" t="s">
        <v>113</v>
      </c>
      <c r="C54" s="62" t="s">
        <v>175</v>
      </c>
      <c r="D54" s="76"/>
      <c r="E54" s="77">
        <v>2200</v>
      </c>
      <c r="F54" s="76"/>
      <c r="G54" s="156">
        <f t="shared" si="24"/>
        <v>2200</v>
      </c>
      <c r="H54" s="160">
        <f t="shared" si="25"/>
        <v>0</v>
      </c>
      <c r="I54" s="76"/>
      <c r="J54" s="156">
        <f t="shared" si="26"/>
        <v>2200</v>
      </c>
      <c r="K54" s="160">
        <f t="shared" si="27"/>
        <v>0</v>
      </c>
      <c r="L54" s="76"/>
      <c r="M54" s="156">
        <f t="shared" si="28"/>
        <v>2200</v>
      </c>
      <c r="N54" s="160">
        <f t="shared" si="29"/>
        <v>0</v>
      </c>
      <c r="O54" s="76"/>
      <c r="P54" s="156">
        <f t="shared" si="30"/>
        <v>2200</v>
      </c>
      <c r="Q54" s="160">
        <f t="shared" si="31"/>
        <v>0</v>
      </c>
      <c r="R54" s="152"/>
      <c r="S54" s="162"/>
      <c r="U54" s="76"/>
      <c r="V54" s="156">
        <f t="shared" si="18"/>
        <v>2200</v>
      </c>
      <c r="W54" s="160">
        <f t="shared" si="19"/>
        <v>0</v>
      </c>
      <c r="X54" s="76"/>
      <c r="Y54" s="156">
        <f t="shared" si="10"/>
        <v>2200</v>
      </c>
      <c r="Z54" s="160">
        <f t="shared" si="11"/>
        <v>0</v>
      </c>
      <c r="AA54" s="76"/>
      <c r="AB54" s="156">
        <f t="shared" si="12"/>
        <v>2200</v>
      </c>
      <c r="AC54" s="160">
        <f t="shared" si="13"/>
        <v>0</v>
      </c>
      <c r="AD54" s="76"/>
      <c r="AE54" s="156">
        <f t="shared" si="14"/>
        <v>2200</v>
      </c>
      <c r="AF54" s="160">
        <f t="shared" si="15"/>
        <v>0</v>
      </c>
      <c r="AG54" s="76"/>
      <c r="AH54" s="156">
        <f t="shared" si="16"/>
        <v>2200</v>
      </c>
      <c r="AI54" s="160">
        <f t="shared" si="17"/>
        <v>0</v>
      </c>
      <c r="AJ54" s="163">
        <f t="shared" si="20"/>
        <v>0</v>
      </c>
      <c r="AK54" s="162">
        <f t="shared" si="21"/>
        <v>0</v>
      </c>
    </row>
    <row r="55" spans="1:37" outlineLevel="1" x14ac:dyDescent="0.35">
      <c r="B55" s="48" t="s">
        <v>114</v>
      </c>
      <c r="C55" s="62" t="s">
        <v>175</v>
      </c>
      <c r="D55" s="76"/>
      <c r="E55" s="77">
        <v>3098.85</v>
      </c>
      <c r="F55" s="76">
        <v>201.15</v>
      </c>
      <c r="G55" s="156">
        <f t="shared" si="24"/>
        <v>3300</v>
      </c>
      <c r="H55" s="160">
        <f t="shared" si="25"/>
        <v>6.4911176726850317E-2</v>
      </c>
      <c r="I55" s="76"/>
      <c r="J55" s="156">
        <f t="shared" si="26"/>
        <v>3300</v>
      </c>
      <c r="K55" s="160">
        <f t="shared" si="27"/>
        <v>0</v>
      </c>
      <c r="L55" s="76">
        <v>95.05</v>
      </c>
      <c r="M55" s="156">
        <f t="shared" si="28"/>
        <v>3395.05</v>
      </c>
      <c r="N55" s="160">
        <f t="shared" si="29"/>
        <v>2.8803030303030358E-2</v>
      </c>
      <c r="O55" s="76">
        <v>410.08</v>
      </c>
      <c r="P55" s="156">
        <f t="shared" si="30"/>
        <v>3805.13</v>
      </c>
      <c r="Q55" s="160">
        <f t="shared" si="31"/>
        <v>0.12078761726631417</v>
      </c>
      <c r="R55" s="152"/>
      <c r="S55" s="162"/>
      <c r="U55" s="76"/>
      <c r="V55" s="156">
        <f t="shared" si="18"/>
        <v>3805.13</v>
      </c>
      <c r="W55" s="160">
        <f t="shared" si="19"/>
        <v>0</v>
      </c>
      <c r="X55" s="76"/>
      <c r="Y55" s="156">
        <f t="shared" si="10"/>
        <v>3805.13</v>
      </c>
      <c r="Z55" s="160">
        <f t="shared" si="11"/>
        <v>0</v>
      </c>
      <c r="AA55" s="76"/>
      <c r="AB55" s="156">
        <f t="shared" si="12"/>
        <v>3805.13</v>
      </c>
      <c r="AC55" s="160">
        <f t="shared" si="13"/>
        <v>0</v>
      </c>
      <c r="AD55" s="76"/>
      <c r="AE55" s="156">
        <f t="shared" si="14"/>
        <v>3805.13</v>
      </c>
      <c r="AF55" s="160">
        <f t="shared" si="15"/>
        <v>0</v>
      </c>
      <c r="AG55" s="76"/>
      <c r="AH55" s="156">
        <f t="shared" si="16"/>
        <v>3805.13</v>
      </c>
      <c r="AI55" s="160">
        <f t="shared" si="17"/>
        <v>0</v>
      </c>
      <c r="AJ55" s="163">
        <f t="shared" si="20"/>
        <v>0</v>
      </c>
      <c r="AK55" s="162">
        <f t="shared" si="21"/>
        <v>0</v>
      </c>
    </row>
    <row r="56" spans="1:37" outlineLevel="1" x14ac:dyDescent="0.35">
      <c r="B56" s="48" t="s">
        <v>115</v>
      </c>
      <c r="C56" s="62" t="s">
        <v>175</v>
      </c>
      <c r="D56" s="76">
        <v>123</v>
      </c>
      <c r="E56" s="77">
        <v>7562</v>
      </c>
      <c r="F56" s="76">
        <v>723</v>
      </c>
      <c r="G56" s="156">
        <f t="shared" si="24"/>
        <v>8285</v>
      </c>
      <c r="H56" s="160">
        <f t="shared" si="25"/>
        <v>9.5609627082782339E-2</v>
      </c>
      <c r="I56" s="76">
        <v>15</v>
      </c>
      <c r="J56" s="156">
        <f t="shared" si="26"/>
        <v>8300</v>
      </c>
      <c r="K56" s="160">
        <f t="shared" si="27"/>
        <v>1.8105009052504525E-3</v>
      </c>
      <c r="L56" s="76">
        <v>39</v>
      </c>
      <c r="M56" s="156">
        <f t="shared" si="28"/>
        <v>8339</v>
      </c>
      <c r="N56" s="160">
        <f t="shared" si="29"/>
        <v>4.6987951807228919E-3</v>
      </c>
      <c r="O56" s="76">
        <v>41.2</v>
      </c>
      <c r="P56" s="156">
        <f t="shared" si="30"/>
        <v>8380.2000000000007</v>
      </c>
      <c r="Q56" s="160">
        <f t="shared" si="31"/>
        <v>4.9406403645521919E-3</v>
      </c>
      <c r="R56" s="152"/>
      <c r="S56" s="162"/>
      <c r="U56" s="76"/>
      <c r="V56" s="156">
        <f t="shared" si="18"/>
        <v>8380.2000000000007</v>
      </c>
      <c r="W56" s="160">
        <f t="shared" si="19"/>
        <v>0</v>
      </c>
      <c r="X56" s="76"/>
      <c r="Y56" s="156">
        <f t="shared" si="10"/>
        <v>8380.2000000000007</v>
      </c>
      <c r="Z56" s="160">
        <f t="shared" si="11"/>
        <v>0</v>
      </c>
      <c r="AA56" s="76"/>
      <c r="AB56" s="156">
        <f t="shared" si="12"/>
        <v>8380.2000000000007</v>
      </c>
      <c r="AC56" s="160">
        <f t="shared" si="13"/>
        <v>0</v>
      </c>
      <c r="AD56" s="76"/>
      <c r="AE56" s="156">
        <f t="shared" si="14"/>
        <v>8380.2000000000007</v>
      </c>
      <c r="AF56" s="160">
        <f t="shared" si="15"/>
        <v>0</v>
      </c>
      <c r="AG56" s="76"/>
      <c r="AH56" s="156">
        <f t="shared" si="16"/>
        <v>8380.2000000000007</v>
      </c>
      <c r="AI56" s="160">
        <f t="shared" si="17"/>
        <v>0</v>
      </c>
      <c r="AJ56" s="163">
        <f t="shared" si="20"/>
        <v>0</v>
      </c>
      <c r="AK56" s="162">
        <f t="shared" si="21"/>
        <v>0</v>
      </c>
    </row>
    <row r="57" spans="1:37" outlineLevel="1" x14ac:dyDescent="0.35">
      <c r="B57" s="48" t="s">
        <v>180</v>
      </c>
      <c r="C57" s="62" t="s">
        <v>175</v>
      </c>
      <c r="D57" s="76"/>
      <c r="E57" s="77">
        <v>8200</v>
      </c>
      <c r="F57" s="76"/>
      <c r="G57" s="156">
        <f t="shared" si="24"/>
        <v>8200</v>
      </c>
      <c r="H57" s="160">
        <f t="shared" si="25"/>
        <v>0</v>
      </c>
      <c r="I57" s="76"/>
      <c r="J57" s="156">
        <f t="shared" si="26"/>
        <v>8200</v>
      </c>
      <c r="K57" s="160">
        <f t="shared" si="27"/>
        <v>0</v>
      </c>
      <c r="L57" s="76"/>
      <c r="M57" s="156">
        <f t="shared" si="28"/>
        <v>8200</v>
      </c>
      <c r="N57" s="160">
        <f t="shared" si="29"/>
        <v>0</v>
      </c>
      <c r="O57" s="76"/>
      <c r="P57" s="156">
        <f t="shared" si="30"/>
        <v>8200</v>
      </c>
      <c r="Q57" s="160">
        <f t="shared" si="31"/>
        <v>0</v>
      </c>
      <c r="R57" s="152"/>
      <c r="S57" s="162"/>
      <c r="U57" s="76"/>
      <c r="V57" s="156">
        <f t="shared" si="18"/>
        <v>8200</v>
      </c>
      <c r="W57" s="160">
        <f t="shared" si="19"/>
        <v>0</v>
      </c>
      <c r="X57" s="76"/>
      <c r="Y57" s="156">
        <f t="shared" si="10"/>
        <v>8200</v>
      </c>
      <c r="Z57" s="160">
        <f t="shared" si="11"/>
        <v>0</v>
      </c>
      <c r="AA57" s="76"/>
      <c r="AB57" s="156">
        <f t="shared" si="12"/>
        <v>8200</v>
      </c>
      <c r="AC57" s="160">
        <f t="shared" si="13"/>
        <v>0</v>
      </c>
      <c r="AD57" s="76"/>
      <c r="AE57" s="156">
        <f t="shared" si="14"/>
        <v>8200</v>
      </c>
      <c r="AF57" s="160">
        <f t="shared" si="15"/>
        <v>0</v>
      </c>
      <c r="AG57" s="76"/>
      <c r="AH57" s="156">
        <f t="shared" si="16"/>
        <v>8200</v>
      </c>
      <c r="AI57" s="160">
        <f t="shared" si="17"/>
        <v>0</v>
      </c>
      <c r="AJ57" s="163">
        <f t="shared" si="20"/>
        <v>0</v>
      </c>
      <c r="AK57" s="162">
        <f t="shared" si="21"/>
        <v>0</v>
      </c>
    </row>
    <row r="58" spans="1:37" outlineLevel="1" x14ac:dyDescent="0.35">
      <c r="B58" s="48" t="s">
        <v>117</v>
      </c>
      <c r="C58" s="62" t="s">
        <v>175</v>
      </c>
      <c r="D58" s="76"/>
      <c r="E58" s="77">
        <v>7900</v>
      </c>
      <c r="F58" s="76"/>
      <c r="G58" s="156">
        <f t="shared" si="24"/>
        <v>7900</v>
      </c>
      <c r="H58" s="160">
        <f t="shared" si="25"/>
        <v>0</v>
      </c>
      <c r="I58" s="76"/>
      <c r="J58" s="156">
        <f t="shared" si="26"/>
        <v>7900</v>
      </c>
      <c r="K58" s="160">
        <f t="shared" si="27"/>
        <v>0</v>
      </c>
      <c r="L58" s="76"/>
      <c r="M58" s="156">
        <f t="shared" si="28"/>
        <v>7900</v>
      </c>
      <c r="N58" s="160">
        <f t="shared" si="29"/>
        <v>0</v>
      </c>
      <c r="O58" s="76"/>
      <c r="P58" s="156">
        <f t="shared" si="30"/>
        <v>7900</v>
      </c>
      <c r="Q58" s="160">
        <f t="shared" si="31"/>
        <v>0</v>
      </c>
      <c r="R58" s="152"/>
      <c r="S58" s="162"/>
      <c r="U58" s="76"/>
      <c r="V58" s="156">
        <f t="shared" si="18"/>
        <v>7900</v>
      </c>
      <c r="W58" s="160">
        <f t="shared" si="19"/>
        <v>0</v>
      </c>
      <c r="X58" s="76"/>
      <c r="Y58" s="156">
        <f t="shared" si="10"/>
        <v>7900</v>
      </c>
      <c r="Z58" s="160">
        <f t="shared" si="11"/>
        <v>0</v>
      </c>
      <c r="AA58" s="76"/>
      <c r="AB58" s="156">
        <f t="shared" si="12"/>
        <v>7900</v>
      </c>
      <c r="AC58" s="160">
        <f t="shared" si="13"/>
        <v>0</v>
      </c>
      <c r="AD58" s="76"/>
      <c r="AE58" s="156">
        <f t="shared" si="14"/>
        <v>7900</v>
      </c>
      <c r="AF58" s="160">
        <f t="shared" si="15"/>
        <v>0</v>
      </c>
      <c r="AG58" s="76"/>
      <c r="AH58" s="156">
        <f t="shared" si="16"/>
        <v>7900</v>
      </c>
      <c r="AI58" s="160">
        <f t="shared" si="17"/>
        <v>0</v>
      </c>
      <c r="AJ58" s="163">
        <f t="shared" si="20"/>
        <v>0</v>
      </c>
      <c r="AK58" s="162">
        <f t="shared" si="21"/>
        <v>0</v>
      </c>
    </row>
    <row r="59" spans="1:37" outlineLevel="1" x14ac:dyDescent="0.35">
      <c r="B59" s="48" t="s">
        <v>118</v>
      </c>
      <c r="C59" s="62" t="s">
        <v>175</v>
      </c>
      <c r="D59" s="76"/>
      <c r="E59" s="77">
        <v>3300</v>
      </c>
      <c r="F59" s="76"/>
      <c r="G59" s="156">
        <f t="shared" si="24"/>
        <v>3300</v>
      </c>
      <c r="H59" s="160">
        <f t="shared" si="25"/>
        <v>0</v>
      </c>
      <c r="I59" s="76"/>
      <c r="J59" s="156">
        <f t="shared" si="26"/>
        <v>3300</v>
      </c>
      <c r="K59" s="160">
        <f t="shared" si="27"/>
        <v>0</v>
      </c>
      <c r="L59" s="76"/>
      <c r="M59" s="156">
        <f t="shared" si="28"/>
        <v>3300</v>
      </c>
      <c r="N59" s="160">
        <f t="shared" si="29"/>
        <v>0</v>
      </c>
      <c r="O59" s="76"/>
      <c r="P59" s="156">
        <f t="shared" si="30"/>
        <v>3300</v>
      </c>
      <c r="Q59" s="160">
        <f t="shared" si="31"/>
        <v>0</v>
      </c>
      <c r="R59" s="152"/>
      <c r="S59" s="162"/>
      <c r="U59" s="76"/>
      <c r="V59" s="156">
        <f t="shared" si="18"/>
        <v>3300</v>
      </c>
      <c r="W59" s="160">
        <f t="shared" si="19"/>
        <v>0</v>
      </c>
      <c r="X59" s="76"/>
      <c r="Y59" s="156">
        <f t="shared" si="10"/>
        <v>3300</v>
      </c>
      <c r="Z59" s="160">
        <f t="shared" si="11"/>
        <v>0</v>
      </c>
      <c r="AA59" s="76">
        <v>342</v>
      </c>
      <c r="AB59" s="156">
        <f t="shared" si="12"/>
        <v>3642</v>
      </c>
      <c r="AC59" s="160">
        <f t="shared" si="13"/>
        <v>0.10363636363636364</v>
      </c>
      <c r="AD59" s="76">
        <v>1151</v>
      </c>
      <c r="AE59" s="156">
        <f t="shared" si="14"/>
        <v>4793</v>
      </c>
      <c r="AF59" s="160">
        <f t="shared" si="15"/>
        <v>0.31603514552443712</v>
      </c>
      <c r="AG59" s="76"/>
      <c r="AH59" s="156">
        <f t="shared" si="16"/>
        <v>4793</v>
      </c>
      <c r="AI59" s="160">
        <f t="shared" si="17"/>
        <v>0</v>
      </c>
      <c r="AJ59" s="163">
        <f t="shared" si="20"/>
        <v>1493</v>
      </c>
      <c r="AK59" s="162">
        <f t="shared" si="21"/>
        <v>9.7800368633192525E-2</v>
      </c>
    </row>
    <row r="60" spans="1:37" outlineLevel="1" x14ac:dyDescent="0.35">
      <c r="B60" s="48" t="s">
        <v>119</v>
      </c>
      <c r="C60" s="62" t="s">
        <v>175</v>
      </c>
      <c r="D60" s="76"/>
      <c r="E60" s="77">
        <v>3200</v>
      </c>
      <c r="F60" s="76"/>
      <c r="G60" s="156">
        <f t="shared" si="24"/>
        <v>3200</v>
      </c>
      <c r="H60" s="160">
        <f t="shared" si="25"/>
        <v>0</v>
      </c>
      <c r="I60" s="76"/>
      <c r="J60" s="156">
        <f t="shared" si="26"/>
        <v>3200</v>
      </c>
      <c r="K60" s="160">
        <f t="shared" si="27"/>
        <v>0</v>
      </c>
      <c r="L60" s="76"/>
      <c r="M60" s="156">
        <f t="shared" si="28"/>
        <v>3200</v>
      </c>
      <c r="N60" s="160">
        <f t="shared" si="29"/>
        <v>0</v>
      </c>
      <c r="O60" s="76"/>
      <c r="P60" s="156">
        <f t="shared" si="30"/>
        <v>3200</v>
      </c>
      <c r="Q60" s="160">
        <f t="shared" si="31"/>
        <v>0</v>
      </c>
      <c r="R60" s="152"/>
      <c r="S60" s="162"/>
      <c r="U60" s="76"/>
      <c r="V60" s="156">
        <f t="shared" si="18"/>
        <v>3200</v>
      </c>
      <c r="W60" s="160">
        <f t="shared" si="19"/>
        <v>0</v>
      </c>
      <c r="X60" s="76"/>
      <c r="Y60" s="156">
        <f t="shared" si="10"/>
        <v>3200</v>
      </c>
      <c r="Z60" s="160">
        <f t="shared" si="11"/>
        <v>0</v>
      </c>
      <c r="AA60" s="76"/>
      <c r="AB60" s="156">
        <f t="shared" si="12"/>
        <v>3200</v>
      </c>
      <c r="AC60" s="160">
        <f t="shared" si="13"/>
        <v>0</v>
      </c>
      <c r="AD60" s="76"/>
      <c r="AE60" s="156">
        <f t="shared" si="14"/>
        <v>3200</v>
      </c>
      <c r="AF60" s="160">
        <f t="shared" si="15"/>
        <v>0</v>
      </c>
      <c r="AG60" s="76"/>
      <c r="AH60" s="156">
        <f t="shared" si="16"/>
        <v>3200</v>
      </c>
      <c r="AI60" s="160">
        <f t="shared" si="17"/>
        <v>0</v>
      </c>
      <c r="AJ60" s="163">
        <f t="shared" si="20"/>
        <v>0</v>
      </c>
      <c r="AK60" s="162">
        <f t="shared" si="21"/>
        <v>0</v>
      </c>
    </row>
    <row r="61" spans="1:37" s="52" customFormat="1" outlineLevel="1" x14ac:dyDescent="0.35">
      <c r="A61"/>
      <c r="B61" s="48" t="s">
        <v>120</v>
      </c>
      <c r="C61" s="62" t="s">
        <v>175</v>
      </c>
      <c r="D61" s="72"/>
      <c r="E61" s="77">
        <v>6100</v>
      </c>
      <c r="F61" s="72"/>
      <c r="G61" s="156">
        <f t="shared" si="24"/>
        <v>6100</v>
      </c>
      <c r="H61" s="160">
        <f t="shared" si="25"/>
        <v>0</v>
      </c>
      <c r="I61" s="72"/>
      <c r="J61" s="156">
        <f t="shared" si="26"/>
        <v>6100</v>
      </c>
      <c r="K61" s="160">
        <f t="shared" si="27"/>
        <v>0</v>
      </c>
      <c r="L61" s="76"/>
      <c r="M61" s="156">
        <f t="shared" si="28"/>
        <v>6100</v>
      </c>
      <c r="N61" s="160">
        <f t="shared" si="29"/>
        <v>0</v>
      </c>
      <c r="O61" s="76"/>
      <c r="P61" s="156">
        <f t="shared" si="30"/>
        <v>6100</v>
      </c>
      <c r="Q61" s="160">
        <f t="shared" si="31"/>
        <v>0</v>
      </c>
      <c r="R61" s="152">
        <f>D61+F61+I61+L61+O61</f>
        <v>0</v>
      </c>
      <c r="S61" s="162">
        <f>IFERROR((P61/E61)^(1/4)-1,0)</f>
        <v>0</v>
      </c>
      <c r="T61"/>
      <c r="U61" s="76"/>
      <c r="V61" s="156">
        <f t="shared" si="18"/>
        <v>6100</v>
      </c>
      <c r="W61" s="160">
        <f t="shared" si="19"/>
        <v>0</v>
      </c>
      <c r="X61" s="70">
        <v>616</v>
      </c>
      <c r="Y61" s="156">
        <f t="shared" si="10"/>
        <v>6716</v>
      </c>
      <c r="Z61" s="160">
        <f t="shared" si="11"/>
        <v>0.10098360655737705</v>
      </c>
      <c r="AA61" s="72"/>
      <c r="AB61" s="156">
        <f t="shared" si="12"/>
        <v>6716</v>
      </c>
      <c r="AC61" s="160">
        <f t="shared" si="13"/>
        <v>0</v>
      </c>
      <c r="AD61" s="72"/>
      <c r="AE61" s="156">
        <f t="shared" si="14"/>
        <v>6716</v>
      </c>
      <c r="AF61" s="160">
        <f t="shared" si="15"/>
        <v>0</v>
      </c>
      <c r="AG61" s="72"/>
      <c r="AH61" s="156">
        <f t="shared" si="16"/>
        <v>6716</v>
      </c>
      <c r="AI61" s="160">
        <f t="shared" si="17"/>
        <v>0</v>
      </c>
      <c r="AJ61" s="163">
        <f t="shared" si="20"/>
        <v>616</v>
      </c>
      <c r="AK61" s="162">
        <f t="shared" si="21"/>
        <v>2.4342549843432204E-2</v>
      </c>
    </row>
    <row r="62" spans="1:37" s="52" customFormat="1" outlineLevel="1" x14ac:dyDescent="0.35">
      <c r="A62"/>
      <c r="B62" s="48" t="s">
        <v>121</v>
      </c>
      <c r="C62" s="62" t="s">
        <v>175</v>
      </c>
      <c r="D62" s="72"/>
      <c r="E62" s="77">
        <v>1800</v>
      </c>
      <c r="F62" s="72"/>
      <c r="G62" s="156">
        <f t="shared" si="24"/>
        <v>1800</v>
      </c>
      <c r="H62" s="160">
        <f t="shared" si="25"/>
        <v>0</v>
      </c>
      <c r="I62" s="72"/>
      <c r="J62" s="156">
        <f t="shared" si="26"/>
        <v>1800</v>
      </c>
      <c r="K62" s="160">
        <f t="shared" si="27"/>
        <v>0</v>
      </c>
      <c r="L62" s="76"/>
      <c r="M62" s="156">
        <f t="shared" si="28"/>
        <v>1800</v>
      </c>
      <c r="N62" s="160">
        <f t="shared" si="29"/>
        <v>0</v>
      </c>
      <c r="O62" s="76"/>
      <c r="P62" s="156">
        <f t="shared" si="30"/>
        <v>1800</v>
      </c>
      <c r="Q62" s="160">
        <f t="shared" si="31"/>
        <v>0</v>
      </c>
      <c r="R62" s="152"/>
      <c r="S62" s="162"/>
      <c r="T62"/>
      <c r="U62" s="76"/>
      <c r="V62" s="156">
        <f t="shared" si="18"/>
        <v>1800</v>
      </c>
      <c r="W62" s="160">
        <f t="shared" si="19"/>
        <v>0</v>
      </c>
      <c r="X62" s="70"/>
      <c r="Y62" s="156">
        <f t="shared" si="10"/>
        <v>1800</v>
      </c>
      <c r="Z62" s="160">
        <f t="shared" si="11"/>
        <v>0</v>
      </c>
      <c r="AA62" s="72"/>
      <c r="AB62" s="156">
        <f t="shared" si="12"/>
        <v>1800</v>
      </c>
      <c r="AC62" s="160">
        <f t="shared" si="13"/>
        <v>0</v>
      </c>
      <c r="AD62" s="72"/>
      <c r="AE62" s="156">
        <f t="shared" si="14"/>
        <v>1800</v>
      </c>
      <c r="AF62" s="160">
        <f t="shared" si="15"/>
        <v>0</v>
      </c>
      <c r="AG62" s="72"/>
      <c r="AH62" s="156">
        <f t="shared" si="16"/>
        <v>1800</v>
      </c>
      <c r="AI62" s="160">
        <f t="shared" si="17"/>
        <v>0</v>
      </c>
      <c r="AJ62" s="163">
        <f t="shared" si="20"/>
        <v>0</v>
      </c>
      <c r="AK62" s="162">
        <f t="shared" si="21"/>
        <v>0</v>
      </c>
    </row>
    <row r="63" spans="1:37" s="52" customFormat="1" outlineLevel="1" x14ac:dyDescent="0.35">
      <c r="A63"/>
      <c r="B63" s="48" t="s">
        <v>137</v>
      </c>
      <c r="C63" s="62" t="s">
        <v>175</v>
      </c>
      <c r="D63" s="72"/>
      <c r="E63" s="77">
        <v>0</v>
      </c>
      <c r="F63" s="72"/>
      <c r="G63" s="156">
        <f t="shared" si="24"/>
        <v>0</v>
      </c>
      <c r="H63" s="160">
        <f t="shared" si="25"/>
        <v>0</v>
      </c>
      <c r="I63" s="72"/>
      <c r="J63" s="156">
        <f t="shared" si="26"/>
        <v>0</v>
      </c>
      <c r="K63" s="160">
        <f t="shared" si="27"/>
        <v>0</v>
      </c>
      <c r="L63" s="76"/>
      <c r="M63" s="156">
        <f t="shared" si="28"/>
        <v>0</v>
      </c>
      <c r="N63" s="160">
        <f t="shared" si="29"/>
        <v>0</v>
      </c>
      <c r="O63" s="76"/>
      <c r="P63" s="156">
        <f t="shared" si="30"/>
        <v>0</v>
      </c>
      <c r="Q63" s="160">
        <f t="shared" si="31"/>
        <v>0</v>
      </c>
      <c r="R63" s="152"/>
      <c r="S63" s="162"/>
      <c r="T63"/>
      <c r="U63" s="76"/>
      <c r="V63" s="156">
        <f t="shared" si="18"/>
        <v>0</v>
      </c>
      <c r="W63" s="160">
        <f t="shared" si="19"/>
        <v>0</v>
      </c>
      <c r="X63" s="70"/>
      <c r="Y63" s="156">
        <f t="shared" si="10"/>
        <v>0</v>
      </c>
      <c r="Z63" s="160">
        <f t="shared" si="11"/>
        <v>0</v>
      </c>
      <c r="AA63" s="72"/>
      <c r="AB63" s="156">
        <f t="shared" si="12"/>
        <v>0</v>
      </c>
      <c r="AC63" s="160">
        <f t="shared" si="13"/>
        <v>0</v>
      </c>
      <c r="AD63" s="72"/>
      <c r="AE63" s="156">
        <f t="shared" si="14"/>
        <v>0</v>
      </c>
      <c r="AF63" s="160">
        <f t="shared" si="15"/>
        <v>0</v>
      </c>
      <c r="AG63" s="72"/>
      <c r="AH63" s="156">
        <f t="shared" si="16"/>
        <v>0</v>
      </c>
      <c r="AI63" s="160">
        <f t="shared" si="17"/>
        <v>0</v>
      </c>
      <c r="AJ63" s="163">
        <f t="shared" si="20"/>
        <v>0</v>
      </c>
      <c r="AK63" s="162">
        <f t="shared" si="21"/>
        <v>0</v>
      </c>
    </row>
    <row r="64" spans="1:37" s="52" customFormat="1" outlineLevel="1" x14ac:dyDescent="0.35">
      <c r="A64"/>
      <c r="B64" s="48" t="s">
        <v>123</v>
      </c>
      <c r="C64" s="62" t="s">
        <v>175</v>
      </c>
      <c r="D64" s="72"/>
      <c r="E64" s="77">
        <v>4300</v>
      </c>
      <c r="F64" s="72"/>
      <c r="G64" s="156">
        <f t="shared" si="24"/>
        <v>4300</v>
      </c>
      <c r="H64" s="160">
        <f t="shared" si="25"/>
        <v>0</v>
      </c>
      <c r="I64" s="72"/>
      <c r="J64" s="156">
        <f t="shared" si="26"/>
        <v>4300</v>
      </c>
      <c r="K64" s="160">
        <f t="shared" si="27"/>
        <v>0</v>
      </c>
      <c r="L64" s="76"/>
      <c r="M64" s="156">
        <f t="shared" si="28"/>
        <v>4300</v>
      </c>
      <c r="N64" s="160">
        <f t="shared" si="29"/>
        <v>0</v>
      </c>
      <c r="O64" s="76"/>
      <c r="P64" s="156">
        <f t="shared" si="30"/>
        <v>4300</v>
      </c>
      <c r="Q64" s="160">
        <f t="shared" si="31"/>
        <v>0</v>
      </c>
      <c r="R64" s="152"/>
      <c r="S64" s="162"/>
      <c r="T64"/>
      <c r="U64" s="76"/>
      <c r="V64" s="156">
        <f t="shared" si="18"/>
        <v>4300</v>
      </c>
      <c r="W64" s="160">
        <f t="shared" si="19"/>
        <v>0</v>
      </c>
      <c r="X64" s="70"/>
      <c r="Y64" s="156">
        <f t="shared" si="10"/>
        <v>4300</v>
      </c>
      <c r="Z64" s="160">
        <f t="shared" si="11"/>
        <v>0</v>
      </c>
      <c r="AA64" s="72"/>
      <c r="AB64" s="156">
        <f t="shared" si="12"/>
        <v>4300</v>
      </c>
      <c r="AC64" s="160">
        <f t="shared" si="13"/>
        <v>0</v>
      </c>
      <c r="AD64" s="72"/>
      <c r="AE64" s="156">
        <f t="shared" si="14"/>
        <v>4300</v>
      </c>
      <c r="AF64" s="160">
        <f t="shared" si="15"/>
        <v>0</v>
      </c>
      <c r="AG64" s="72"/>
      <c r="AH64" s="156">
        <f t="shared" si="16"/>
        <v>4300</v>
      </c>
      <c r="AI64" s="160">
        <f t="shared" si="17"/>
        <v>0</v>
      </c>
      <c r="AJ64" s="163">
        <f t="shared" si="20"/>
        <v>0</v>
      </c>
      <c r="AK64" s="162">
        <f t="shared" si="21"/>
        <v>0</v>
      </c>
    </row>
    <row r="65" spans="1:37" s="52" customFormat="1" outlineLevel="1" x14ac:dyDescent="0.35">
      <c r="B65" s="48" t="s">
        <v>181</v>
      </c>
      <c r="C65" s="62" t="s">
        <v>175</v>
      </c>
      <c r="D65" s="72"/>
      <c r="E65" s="77">
        <v>23600</v>
      </c>
      <c r="F65" s="72"/>
      <c r="G65" s="156">
        <f>E65+F65</f>
        <v>23600</v>
      </c>
      <c r="H65" s="160">
        <f>IFERROR((G65-E65)/E65,0)</f>
        <v>0</v>
      </c>
      <c r="I65" s="72"/>
      <c r="J65" s="156">
        <f>G65+I65</f>
        <v>23600</v>
      </c>
      <c r="K65" s="160">
        <f>IFERROR((J65-G65)/G65,0)</f>
        <v>0</v>
      </c>
      <c r="L65" s="76"/>
      <c r="M65" s="156">
        <f>J65+L65</f>
        <v>23600</v>
      </c>
      <c r="N65" s="160">
        <f>IFERROR((M65-J65)/J65,0)</f>
        <v>0</v>
      </c>
      <c r="O65" s="76"/>
      <c r="P65" s="156">
        <f>M65+O65</f>
        <v>23600</v>
      </c>
      <c r="Q65" s="160">
        <f>IFERROR((P65-M65)/M65,0)</f>
        <v>0</v>
      </c>
      <c r="R65" s="152">
        <f>D65+F65+I65+L65+O65</f>
        <v>0</v>
      </c>
      <c r="S65" s="162">
        <f>IFERROR((P65/E65)^(1/4)-1,0)</f>
        <v>0</v>
      </c>
      <c r="U65" s="76"/>
      <c r="V65" s="156">
        <f>P65+U65</f>
        <v>23600</v>
      </c>
      <c r="W65" s="160">
        <f>IFERROR((V65-P65)/P65,0)</f>
        <v>0</v>
      </c>
      <c r="X65" s="70"/>
      <c r="Y65" s="156">
        <f>V65+X65</f>
        <v>23600</v>
      </c>
      <c r="Z65" s="160">
        <f>IFERROR((Y65-V65)/V65,0)</f>
        <v>0</v>
      </c>
      <c r="AA65" s="72"/>
      <c r="AB65" s="156">
        <f>Y65+AA65</f>
        <v>23600</v>
      </c>
      <c r="AC65" s="160">
        <f>IFERROR((AB65-Y65)/Y65,0)</f>
        <v>0</v>
      </c>
      <c r="AD65" s="72"/>
      <c r="AE65" s="156">
        <f>AB65+AD65</f>
        <v>23600</v>
      </c>
      <c r="AF65" s="160">
        <f>IFERROR((AE65-AB65)/AB65,0)</f>
        <v>0</v>
      </c>
      <c r="AG65" s="72"/>
      <c r="AH65" s="156">
        <f>AE65+AG65</f>
        <v>23600</v>
      </c>
      <c r="AI65" s="160">
        <f>IFERROR((AH65-AE65)/AE65,0)</f>
        <v>0</v>
      </c>
      <c r="AJ65" s="163">
        <f>U65+X65+AA65+AD65+AG65</f>
        <v>0</v>
      </c>
      <c r="AK65" s="162">
        <f>IFERROR((AH65/V65)^(1/4)-1,0)</f>
        <v>0</v>
      </c>
    </row>
    <row r="66" spans="1:37" s="52" customFormat="1" outlineLevel="1" x14ac:dyDescent="0.35">
      <c r="A66"/>
      <c r="B66" s="48" t="s">
        <v>182</v>
      </c>
      <c r="C66" s="62" t="s">
        <v>175</v>
      </c>
      <c r="D66" s="72"/>
      <c r="E66" s="77">
        <v>200</v>
      </c>
      <c r="F66" s="72"/>
      <c r="G66" s="156">
        <f t="shared" si="24"/>
        <v>200</v>
      </c>
      <c r="H66" s="160">
        <f t="shared" si="25"/>
        <v>0</v>
      </c>
      <c r="I66" s="72"/>
      <c r="J66" s="156">
        <f t="shared" si="26"/>
        <v>200</v>
      </c>
      <c r="K66" s="160">
        <f t="shared" si="27"/>
        <v>0</v>
      </c>
      <c r="L66" s="76"/>
      <c r="M66" s="156">
        <f t="shared" si="28"/>
        <v>200</v>
      </c>
      <c r="N66" s="160">
        <f t="shared" si="29"/>
        <v>0</v>
      </c>
      <c r="O66" s="76"/>
      <c r="P66" s="156">
        <f t="shared" si="30"/>
        <v>200</v>
      </c>
      <c r="Q66" s="160">
        <f t="shared" si="31"/>
        <v>0</v>
      </c>
      <c r="R66" s="152">
        <f>D66+F66+I66+L66+O66</f>
        <v>0</v>
      </c>
      <c r="S66" s="162">
        <f>IFERROR((P66/E66)^(1/4)-1,0)</f>
        <v>0</v>
      </c>
      <c r="T66"/>
      <c r="U66" s="76"/>
      <c r="V66" s="156">
        <f t="shared" si="18"/>
        <v>200</v>
      </c>
      <c r="W66" s="160">
        <f t="shared" si="19"/>
        <v>0</v>
      </c>
      <c r="X66" s="70"/>
      <c r="Y66" s="156">
        <f t="shared" si="10"/>
        <v>200</v>
      </c>
      <c r="Z66" s="160">
        <f t="shared" si="11"/>
        <v>0</v>
      </c>
      <c r="AA66" s="72"/>
      <c r="AB66" s="156">
        <f t="shared" si="12"/>
        <v>200</v>
      </c>
      <c r="AC66" s="160">
        <f t="shared" si="13"/>
        <v>0</v>
      </c>
      <c r="AD66" s="72"/>
      <c r="AE66" s="156">
        <f t="shared" si="14"/>
        <v>200</v>
      </c>
      <c r="AF66" s="160">
        <f t="shared" si="15"/>
        <v>0</v>
      </c>
      <c r="AG66" s="72"/>
      <c r="AH66" s="156">
        <f t="shared" si="16"/>
        <v>200</v>
      </c>
      <c r="AI66" s="160">
        <f t="shared" si="17"/>
        <v>0</v>
      </c>
      <c r="AJ66" s="163">
        <f t="shared" si="20"/>
        <v>0</v>
      </c>
      <c r="AK66" s="162">
        <f t="shared" si="21"/>
        <v>0</v>
      </c>
    </row>
    <row r="67" spans="1:37" outlineLevel="1" x14ac:dyDescent="0.35">
      <c r="B67" s="48" t="s">
        <v>126</v>
      </c>
      <c r="C67" s="62" t="s">
        <v>175</v>
      </c>
      <c r="D67" s="76"/>
      <c r="E67" s="77">
        <v>1200</v>
      </c>
      <c r="F67" s="76"/>
      <c r="G67" s="156">
        <f t="shared" si="24"/>
        <v>1200</v>
      </c>
      <c r="H67" s="160">
        <f t="shared" si="25"/>
        <v>0</v>
      </c>
      <c r="I67" s="76"/>
      <c r="J67" s="156">
        <f t="shared" si="26"/>
        <v>1200</v>
      </c>
      <c r="K67" s="160">
        <f t="shared" si="27"/>
        <v>0</v>
      </c>
      <c r="L67" s="76"/>
      <c r="M67" s="156">
        <f t="shared" si="28"/>
        <v>1200</v>
      </c>
      <c r="N67" s="160">
        <f t="shared" si="29"/>
        <v>0</v>
      </c>
      <c r="O67" s="76"/>
      <c r="P67" s="156">
        <f t="shared" si="30"/>
        <v>1200</v>
      </c>
      <c r="Q67" s="160">
        <f t="shared" si="31"/>
        <v>0</v>
      </c>
      <c r="R67" s="152">
        <f>D67+F67+I67+L67+O67</f>
        <v>0</v>
      </c>
      <c r="S67" s="162">
        <f>IFERROR((P67/E67)^(1/4)-1,0)</f>
        <v>0</v>
      </c>
      <c r="U67" s="76"/>
      <c r="V67" s="156">
        <f t="shared" si="18"/>
        <v>1200</v>
      </c>
      <c r="W67" s="160">
        <f t="shared" si="19"/>
        <v>0</v>
      </c>
      <c r="X67" s="76"/>
      <c r="Y67" s="156">
        <f t="shared" si="10"/>
        <v>1200</v>
      </c>
      <c r="Z67" s="160">
        <f t="shared" si="11"/>
        <v>0</v>
      </c>
      <c r="AA67" s="76"/>
      <c r="AB67" s="156">
        <f t="shared" si="12"/>
        <v>1200</v>
      </c>
      <c r="AC67" s="160">
        <f t="shared" si="13"/>
        <v>0</v>
      </c>
      <c r="AD67" s="76"/>
      <c r="AE67" s="156">
        <f t="shared" si="14"/>
        <v>1200</v>
      </c>
      <c r="AF67" s="160">
        <f t="shared" si="15"/>
        <v>0</v>
      </c>
      <c r="AG67" s="76"/>
      <c r="AH67" s="156">
        <f t="shared" si="16"/>
        <v>1200</v>
      </c>
      <c r="AI67" s="160">
        <f t="shared" si="17"/>
        <v>0</v>
      </c>
      <c r="AJ67" s="163">
        <f t="shared" si="20"/>
        <v>0</v>
      </c>
      <c r="AK67" s="162">
        <f t="shared" si="21"/>
        <v>0</v>
      </c>
    </row>
    <row r="68" spans="1:37" outlineLevel="1" x14ac:dyDescent="0.35">
      <c r="B68" s="48" t="s">
        <v>127</v>
      </c>
      <c r="C68" s="62" t="s">
        <v>175</v>
      </c>
      <c r="D68" s="76"/>
      <c r="E68" s="77">
        <v>0</v>
      </c>
      <c r="F68" s="76"/>
      <c r="G68" s="156">
        <f t="shared" si="24"/>
        <v>0</v>
      </c>
      <c r="H68" s="160">
        <f t="shared" si="25"/>
        <v>0</v>
      </c>
      <c r="I68" s="76"/>
      <c r="J68" s="156">
        <f t="shared" si="26"/>
        <v>0</v>
      </c>
      <c r="K68" s="160">
        <f t="shared" si="27"/>
        <v>0</v>
      </c>
      <c r="L68" s="76"/>
      <c r="M68" s="156">
        <f t="shared" si="28"/>
        <v>0</v>
      </c>
      <c r="N68" s="160">
        <f t="shared" si="29"/>
        <v>0</v>
      </c>
      <c r="O68" s="76"/>
      <c r="P68" s="156">
        <f t="shared" si="30"/>
        <v>0</v>
      </c>
      <c r="Q68" s="160">
        <f t="shared" si="31"/>
        <v>0</v>
      </c>
      <c r="R68" s="152">
        <f>D68+F68+I68+L68+O68</f>
        <v>0</v>
      </c>
      <c r="S68" s="162">
        <f>IFERROR((P68/E68)^(1/4)-1,0)</f>
        <v>0</v>
      </c>
      <c r="U68" s="76"/>
      <c r="V68" s="156">
        <f t="shared" si="18"/>
        <v>0</v>
      </c>
      <c r="W68" s="160">
        <f t="shared" si="19"/>
        <v>0</v>
      </c>
      <c r="X68" s="76"/>
      <c r="Y68" s="156">
        <f t="shared" si="10"/>
        <v>0</v>
      </c>
      <c r="Z68" s="160">
        <f t="shared" si="11"/>
        <v>0</v>
      </c>
      <c r="AA68" s="76"/>
      <c r="AB68" s="156">
        <f t="shared" si="12"/>
        <v>0</v>
      </c>
      <c r="AC68" s="160">
        <f t="shared" si="13"/>
        <v>0</v>
      </c>
      <c r="AD68" s="76"/>
      <c r="AE68" s="156">
        <f t="shared" si="14"/>
        <v>0</v>
      </c>
      <c r="AF68" s="160">
        <f t="shared" si="15"/>
        <v>0</v>
      </c>
      <c r="AG68" s="76"/>
      <c r="AH68" s="156">
        <f t="shared" si="16"/>
        <v>0</v>
      </c>
      <c r="AI68" s="160">
        <f t="shared" si="17"/>
        <v>0</v>
      </c>
      <c r="AJ68" s="163">
        <f t="shared" si="20"/>
        <v>0</v>
      </c>
      <c r="AK68" s="162">
        <f t="shared" si="21"/>
        <v>0</v>
      </c>
    </row>
    <row r="69" spans="1:37" outlineLevel="1" x14ac:dyDescent="0.35">
      <c r="B69" s="48" t="s">
        <v>138</v>
      </c>
      <c r="C69" s="59" t="s">
        <v>175</v>
      </c>
      <c r="D69" s="158">
        <f>SUM(D15:D68)</f>
        <v>1389.33</v>
      </c>
      <c r="E69" s="158">
        <f>SUM(E15:E68)</f>
        <v>332509.57</v>
      </c>
      <c r="F69" s="158">
        <f>SUM(F15:F68)</f>
        <v>1532.52</v>
      </c>
      <c r="G69" s="158">
        <f>SUM(G15:G68)</f>
        <v>334042.09000000003</v>
      </c>
      <c r="H69" s="161">
        <f>IFERROR((G69-E69)/E69,0)</f>
        <v>4.6089500521744944E-3</v>
      </c>
      <c r="I69" s="158">
        <f>SUM(I15:I68)</f>
        <v>8534.6899999999987</v>
      </c>
      <c r="J69" s="158">
        <f>SUM(J15:J68)</f>
        <v>342576.78</v>
      </c>
      <c r="K69" s="244">
        <f>IFERROR((J69-G69)/G69,0)</f>
        <v>2.5549744345091368E-2</v>
      </c>
      <c r="L69" s="158">
        <f>SUM(L15:L68)</f>
        <v>680.64</v>
      </c>
      <c r="M69" s="158">
        <f>SUM(M15:M68)</f>
        <v>343257.42</v>
      </c>
      <c r="N69" s="244">
        <f>IFERROR((M69-J69)/J69,0)</f>
        <v>1.986824676208223E-3</v>
      </c>
      <c r="O69" s="158">
        <f>SUM(O15:O68)</f>
        <v>2260.3999999999996</v>
      </c>
      <c r="P69" s="157">
        <f>M69+O69</f>
        <v>345517.82</v>
      </c>
      <c r="Q69" s="161">
        <f>IFERROR((P69-M69)/M69,0)</f>
        <v>6.5851453407766783E-3</v>
      </c>
      <c r="R69" s="152">
        <f>D69+F69+I69+L69+O69</f>
        <v>14397.579999999998</v>
      </c>
      <c r="S69" s="162">
        <f>IFERROR((P69/E69)^(1/4)-1,0)</f>
        <v>9.6400633498108235E-3</v>
      </c>
      <c r="U69" s="158">
        <f>SUM(U15:U68)</f>
        <v>1313</v>
      </c>
      <c r="V69" s="158">
        <f>SUM(V15:V68)</f>
        <v>346830.82</v>
      </c>
      <c r="W69" s="161">
        <f>IFERROR((V69-P69)/P69,0)</f>
        <v>3.8000934365700731E-3</v>
      </c>
      <c r="X69" s="158">
        <f>SUM(X15:X68)</f>
        <v>4000</v>
      </c>
      <c r="Y69" s="158">
        <f>SUM(Y15:Y68)</f>
        <v>350830.82</v>
      </c>
      <c r="Z69" s="161">
        <f t="shared" ref="Z69" si="32">IFERROR((Y69-V69)/V69,0)</f>
        <v>1.1533000440964272E-2</v>
      </c>
      <c r="AA69" s="158">
        <f>SUM(AA15:AA68)</f>
        <v>2551</v>
      </c>
      <c r="AB69" s="158">
        <f>SUM(AB15:AB68)</f>
        <v>353381.82</v>
      </c>
      <c r="AC69" s="161">
        <f t="shared" ref="AC69" si="33">IFERROR((AB69-Y69)/Y69,0)</f>
        <v>7.2713109982754653E-3</v>
      </c>
      <c r="AD69" s="158">
        <f>SUM(AD15:AD68)</f>
        <v>3000</v>
      </c>
      <c r="AE69" s="158">
        <f>SUM(AE15:AE68)</f>
        <v>356381.82</v>
      </c>
      <c r="AF69" s="161">
        <f t="shared" ref="AF69" si="34">IFERROR((AE69-AB69)/AB69,0)</f>
        <v>8.4894010676610353E-3</v>
      </c>
      <c r="AG69" s="158">
        <f>SUM(AG15:AG68)</f>
        <v>1000</v>
      </c>
      <c r="AH69" s="158">
        <f>SUM(AH15:AH68)</f>
        <v>357381.82</v>
      </c>
      <c r="AI69" s="161">
        <f t="shared" ref="AI69" si="35">IFERROR((AH69-AE69)/AE69,0)</f>
        <v>2.8059792724555925E-3</v>
      </c>
      <c r="AJ69" s="158">
        <f>SUM(AJ15:AJ68)</f>
        <v>11864</v>
      </c>
      <c r="AK69" s="162">
        <f t="shared" ref="AK69" si="36">IFERROR((AH69/V69)^(1/4)-1,0)</f>
        <v>7.520040401462591E-3</v>
      </c>
    </row>
    <row r="70" spans="1:37" outlineLevel="1" x14ac:dyDescent="0.35">
      <c r="O70" s="52"/>
    </row>
    <row r="71" spans="1:37" outlineLevel="1" x14ac:dyDescent="0.35"/>
    <row r="72" spans="1:37" ht="17.25" customHeight="1" x14ac:dyDescent="0.35">
      <c r="B72" s="419" t="s">
        <v>183</v>
      </c>
      <c r="C72" s="419"/>
      <c r="D72" s="419"/>
      <c r="E72" s="419"/>
      <c r="F72" s="419"/>
      <c r="G72" s="419"/>
      <c r="H72" s="419"/>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c r="AJ72" s="419"/>
      <c r="AK72" s="442"/>
    </row>
    <row r="73" spans="1:37" ht="5.9" customHeight="1" outlineLevel="1" x14ac:dyDescent="0.35">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row>
    <row r="74" spans="1:37" ht="15" customHeight="1" outlineLevel="1" x14ac:dyDescent="0.35">
      <c r="B74" s="443"/>
      <c r="C74" s="444" t="s">
        <v>134</v>
      </c>
      <c r="D74" s="435" t="s">
        <v>169</v>
      </c>
      <c r="E74" s="436"/>
      <c r="F74" s="436"/>
      <c r="G74" s="436"/>
      <c r="H74" s="436"/>
      <c r="I74" s="436"/>
      <c r="J74" s="436"/>
      <c r="K74" s="436"/>
      <c r="L74" s="436"/>
      <c r="M74" s="436"/>
      <c r="N74" s="436"/>
      <c r="O74" s="435"/>
      <c r="P74" s="436"/>
      <c r="Q74" s="437"/>
      <c r="R74" s="431" t="str">
        <f xml:space="preserve"> D75&amp;" - "&amp;O75</f>
        <v>2019 - 2023</v>
      </c>
      <c r="S74" s="432"/>
      <c r="U74" s="435" t="s">
        <v>170</v>
      </c>
      <c r="V74" s="436"/>
      <c r="W74" s="436"/>
      <c r="X74" s="436"/>
      <c r="Y74" s="436"/>
      <c r="Z74" s="436"/>
      <c r="AA74" s="436"/>
      <c r="AB74" s="436"/>
      <c r="AC74" s="436"/>
      <c r="AD74" s="436"/>
      <c r="AE74" s="436"/>
      <c r="AF74" s="436"/>
      <c r="AG74" s="436"/>
      <c r="AH74" s="436"/>
      <c r="AI74" s="436"/>
      <c r="AJ74" s="436"/>
      <c r="AK74" s="438"/>
    </row>
    <row r="75" spans="1:37" ht="15" customHeight="1" outlineLevel="1" x14ac:dyDescent="0.35">
      <c r="B75" s="443"/>
      <c r="C75" s="445"/>
      <c r="D75" s="435">
        <f>$C$3-5</f>
        <v>2019</v>
      </c>
      <c r="E75" s="437"/>
      <c r="F75" s="435">
        <f>$C$3-4</f>
        <v>2020</v>
      </c>
      <c r="G75" s="436"/>
      <c r="H75" s="437"/>
      <c r="I75" s="435">
        <f>$C$3-3</f>
        <v>2021</v>
      </c>
      <c r="J75" s="436"/>
      <c r="K75" s="437"/>
      <c r="L75" s="435">
        <f>$C$3-2</f>
        <v>2022</v>
      </c>
      <c r="M75" s="436"/>
      <c r="N75" s="437"/>
      <c r="O75" s="435">
        <f>$C$3-1</f>
        <v>2023</v>
      </c>
      <c r="P75" s="436"/>
      <c r="Q75" s="437"/>
      <c r="R75" s="433"/>
      <c r="S75" s="434"/>
      <c r="U75" s="435">
        <f>$C$3</f>
        <v>2024</v>
      </c>
      <c r="V75" s="436"/>
      <c r="W75" s="437"/>
      <c r="X75" s="435">
        <f>$C$3+1</f>
        <v>2025</v>
      </c>
      <c r="Y75" s="436"/>
      <c r="Z75" s="437"/>
      <c r="AA75" s="435">
        <f>$C$3+2</f>
        <v>2026</v>
      </c>
      <c r="AB75" s="436"/>
      <c r="AC75" s="437"/>
      <c r="AD75" s="435">
        <f>$C$3+3</f>
        <v>2027</v>
      </c>
      <c r="AE75" s="436"/>
      <c r="AF75" s="437"/>
      <c r="AG75" s="435">
        <f>$C$3+4</f>
        <v>2028</v>
      </c>
      <c r="AH75" s="436"/>
      <c r="AI75" s="437"/>
      <c r="AJ75" s="439" t="str">
        <f>U75&amp;" - "&amp;AG75</f>
        <v>2024 - 2028</v>
      </c>
      <c r="AK75" s="440"/>
    </row>
    <row r="76" spans="1:37" ht="29" outlineLevel="1" x14ac:dyDescent="0.35">
      <c r="B76" s="443"/>
      <c r="C76" s="446"/>
      <c r="D76" s="66" t="s">
        <v>171</v>
      </c>
      <c r="E76" s="67" t="s">
        <v>172</v>
      </c>
      <c r="F76" s="66" t="s">
        <v>171</v>
      </c>
      <c r="G76" s="9" t="s">
        <v>172</v>
      </c>
      <c r="H76" s="67" t="s">
        <v>173</v>
      </c>
      <c r="I76" s="66" t="s">
        <v>171</v>
      </c>
      <c r="J76" s="9" t="s">
        <v>172</v>
      </c>
      <c r="K76" s="67" t="s">
        <v>173</v>
      </c>
      <c r="L76" s="66" t="s">
        <v>171</v>
      </c>
      <c r="M76" s="9" t="s">
        <v>172</v>
      </c>
      <c r="N76" s="67" t="s">
        <v>173</v>
      </c>
      <c r="O76" s="66" t="s">
        <v>171</v>
      </c>
      <c r="P76" s="9" t="s">
        <v>172</v>
      </c>
      <c r="Q76" s="67" t="s">
        <v>173</v>
      </c>
      <c r="R76" s="9" t="s">
        <v>164</v>
      </c>
      <c r="S76" s="57" t="s">
        <v>174</v>
      </c>
      <c r="U76" s="66" t="s">
        <v>171</v>
      </c>
      <c r="V76" s="9" t="s">
        <v>172</v>
      </c>
      <c r="W76" s="67" t="s">
        <v>173</v>
      </c>
      <c r="X76" s="66" t="s">
        <v>171</v>
      </c>
      <c r="Y76" s="9" t="s">
        <v>172</v>
      </c>
      <c r="Z76" s="67" t="s">
        <v>173</v>
      </c>
      <c r="AA76" s="66" t="s">
        <v>171</v>
      </c>
      <c r="AB76" s="9" t="s">
        <v>172</v>
      </c>
      <c r="AC76" s="67" t="s">
        <v>173</v>
      </c>
      <c r="AD76" s="66" t="s">
        <v>171</v>
      </c>
      <c r="AE76" s="9" t="s">
        <v>172</v>
      </c>
      <c r="AF76" s="67" t="s">
        <v>173</v>
      </c>
      <c r="AG76" s="66" t="s">
        <v>171</v>
      </c>
      <c r="AH76" s="9" t="s">
        <v>172</v>
      </c>
      <c r="AI76" s="67" t="s">
        <v>173</v>
      </c>
      <c r="AJ76" s="9" t="s">
        <v>164</v>
      </c>
      <c r="AK76" s="57" t="s">
        <v>174</v>
      </c>
    </row>
    <row r="77" spans="1:37" ht="14.25" customHeight="1" outlineLevel="1" x14ac:dyDescent="0.35">
      <c r="B77" s="48" t="s">
        <v>74</v>
      </c>
      <c r="C77" s="62" t="s">
        <v>175</v>
      </c>
      <c r="D77" s="76">
        <v>326.5</v>
      </c>
      <c r="E77" s="77">
        <v>20823.014999999999</v>
      </c>
      <c r="F77" s="76"/>
      <c r="G77" s="156">
        <f t="shared" ref="G77:G106" si="37">E77+F77</f>
        <v>20823.014999999999</v>
      </c>
      <c r="H77" s="160">
        <f t="shared" ref="H77:H106" si="38">IFERROR((G77-E77)/E77,0)</f>
        <v>0</v>
      </c>
      <c r="I77" s="76"/>
      <c r="J77" s="156">
        <f t="shared" ref="J77:J106" si="39">G77+I77</f>
        <v>20823.014999999999</v>
      </c>
      <c r="K77" s="160">
        <f t="shared" ref="K77:K106" si="40">IFERROR((J77-G77)/G77,0)</f>
        <v>0</v>
      </c>
      <c r="L77" s="76">
        <v>2113.1999999999998</v>
      </c>
      <c r="M77" s="156">
        <f t="shared" ref="M77:M106" si="41">J77+L77</f>
        <v>22936.215</v>
      </c>
      <c r="N77" s="160">
        <f t="shared" ref="N77:N106" si="42">IFERROR((M77-J77)/J77,0)</f>
        <v>0.10148386292763084</v>
      </c>
      <c r="O77" s="76">
        <v>1164.5999999999999</v>
      </c>
      <c r="P77" s="156">
        <f t="shared" ref="P77:P106" si="43">M77+O77</f>
        <v>24100.814999999999</v>
      </c>
      <c r="Q77" s="160">
        <f t="shared" ref="Q77:Q84" si="44">IFERROR((P77-M77)/M77,0)</f>
        <v>5.0775596583830351E-2</v>
      </c>
      <c r="R77" s="152">
        <f t="shared" ref="R77:R106" si="45">D77+F77+I77+L77+O77</f>
        <v>3604.2999999999997</v>
      </c>
      <c r="S77" s="162">
        <f t="shared" ref="S77:S106" si="46">IFERROR((P77/E77)^(1/4)-1,0)</f>
        <v>3.7222739106419267E-2</v>
      </c>
      <c r="U77" s="76">
        <v>0</v>
      </c>
      <c r="V77" s="156">
        <f t="shared" ref="V77:V131" si="47">P77+U77</f>
        <v>24100.814999999999</v>
      </c>
      <c r="W77" s="160">
        <f t="shared" ref="W77:W131" si="48">IFERROR((V77-P77)/P77,0)</f>
        <v>0</v>
      </c>
      <c r="X77" s="76">
        <v>2968</v>
      </c>
      <c r="Y77" s="156">
        <f t="shared" ref="Y77:Y131" si="49">V77+X77</f>
        <v>27068.814999999999</v>
      </c>
      <c r="Z77" s="160">
        <f t="shared" ref="Z77:Z132" si="50">IFERROR((Y77-V77)/V77,0)</f>
        <v>0.12314936237633459</v>
      </c>
      <c r="AA77" s="76">
        <v>3567</v>
      </c>
      <c r="AB77" s="156">
        <f t="shared" ref="AB77:AB131" si="51">Y77+AA77</f>
        <v>30635.814999999999</v>
      </c>
      <c r="AC77" s="160">
        <f t="shared" ref="AC77:AC131" si="52">IFERROR((AB77-Y77)/Y77,0)</f>
        <v>0.13177525503055823</v>
      </c>
      <c r="AD77" s="76">
        <v>0</v>
      </c>
      <c r="AE77" s="156">
        <f t="shared" ref="AE77:AE131" si="53">AB77+AD77</f>
        <v>30635.814999999999</v>
      </c>
      <c r="AF77" s="160">
        <f t="shared" ref="AF77:AF131" si="54">IFERROR((AE77-AB77)/AB77,0)</f>
        <v>0</v>
      </c>
      <c r="AG77" s="76">
        <v>1186</v>
      </c>
      <c r="AH77" s="156">
        <f t="shared" ref="AH77:AH131" si="55">AE77+AG77</f>
        <v>31821.814999999999</v>
      </c>
      <c r="AI77" s="160">
        <f t="shared" ref="AI77:AI131" si="56">IFERROR((AH77-AE77)/AE77,0)</f>
        <v>3.8712859442453222E-2</v>
      </c>
      <c r="AJ77" s="152">
        <f t="shared" ref="AJ77:AJ108" si="57">U77+X77+AA77+AD77+AG77</f>
        <v>7721</v>
      </c>
      <c r="AK77" s="162">
        <f>IFERROR((AH77/V77)^(1/4)-1,0)</f>
        <v>7.1946978297607656E-2</v>
      </c>
    </row>
    <row r="78" spans="1:37" ht="14.25" customHeight="1" outlineLevel="1" x14ac:dyDescent="0.35">
      <c r="B78" s="48" t="s">
        <v>75</v>
      </c>
      <c r="C78" s="62" t="s">
        <v>175</v>
      </c>
      <c r="D78" s="76">
        <v>6961.1500000000005</v>
      </c>
      <c r="E78" s="77">
        <v>66006.58</v>
      </c>
      <c r="F78" s="76">
        <v>6315.5</v>
      </c>
      <c r="G78" s="156">
        <f t="shared" si="37"/>
        <v>72322.080000000002</v>
      </c>
      <c r="H78" s="160">
        <f t="shared" si="38"/>
        <v>9.5679854947794601E-2</v>
      </c>
      <c r="I78" s="76">
        <v>8686</v>
      </c>
      <c r="J78" s="156">
        <f t="shared" si="39"/>
        <v>81008.08</v>
      </c>
      <c r="K78" s="160">
        <f t="shared" si="40"/>
        <v>0.12010163424503277</v>
      </c>
      <c r="L78" s="76">
        <v>2809</v>
      </c>
      <c r="M78" s="156">
        <f t="shared" si="41"/>
        <v>83817.08</v>
      </c>
      <c r="N78" s="160">
        <f t="shared" si="42"/>
        <v>3.4675553352208816E-2</v>
      </c>
      <c r="O78" s="76">
        <v>2191</v>
      </c>
      <c r="P78" s="156">
        <f t="shared" si="43"/>
        <v>86008.08</v>
      </c>
      <c r="Q78" s="160">
        <f t="shared" si="44"/>
        <v>2.6140256854569499E-2</v>
      </c>
      <c r="R78" s="152">
        <f t="shared" si="45"/>
        <v>26962.65</v>
      </c>
      <c r="S78" s="162">
        <f t="shared" si="46"/>
        <v>6.841015045911325E-2</v>
      </c>
      <c r="U78" s="76">
        <v>65</v>
      </c>
      <c r="V78" s="156">
        <f t="shared" si="47"/>
        <v>86073.08</v>
      </c>
      <c r="W78" s="160">
        <f t="shared" si="48"/>
        <v>7.5574294880201948E-4</v>
      </c>
      <c r="X78" s="76">
        <v>3210</v>
      </c>
      <c r="Y78" s="156">
        <f t="shared" si="49"/>
        <v>89283.08</v>
      </c>
      <c r="Z78" s="160">
        <f t="shared" si="50"/>
        <v>3.7293890261624191E-2</v>
      </c>
      <c r="AA78" s="76">
        <v>867</v>
      </c>
      <c r="AB78" s="156">
        <f t="shared" si="51"/>
        <v>90150.080000000002</v>
      </c>
      <c r="AC78" s="160">
        <f t="shared" si="52"/>
        <v>9.7106865040946164E-3</v>
      </c>
      <c r="AD78" s="76">
        <v>1645</v>
      </c>
      <c r="AE78" s="156">
        <f t="shared" si="53"/>
        <v>91795.08</v>
      </c>
      <c r="AF78" s="160">
        <f t="shared" si="54"/>
        <v>1.8247349309063285E-2</v>
      </c>
      <c r="AG78" s="76">
        <v>486</v>
      </c>
      <c r="AH78" s="156">
        <f t="shared" si="55"/>
        <v>92281.08</v>
      </c>
      <c r="AI78" s="160">
        <f t="shared" si="56"/>
        <v>5.294401399290681E-3</v>
      </c>
      <c r="AJ78" s="152">
        <f t="shared" si="57"/>
        <v>6273</v>
      </c>
      <c r="AK78" s="162">
        <f t="shared" ref="AK78:AK131" si="58">IFERROR((AH78/V78)^(1/4)-1,0)</f>
        <v>1.7563056571812785E-2</v>
      </c>
    </row>
    <row r="79" spans="1:37" ht="14.25" customHeight="1" outlineLevel="1" x14ac:dyDescent="0.35">
      <c r="B79" s="48" t="s">
        <v>76</v>
      </c>
      <c r="C79" s="62" t="s">
        <v>175</v>
      </c>
      <c r="D79" s="76">
        <v>1546.9</v>
      </c>
      <c r="E79" s="77">
        <v>43721.07</v>
      </c>
      <c r="F79" s="76">
        <v>3719.2000000000003</v>
      </c>
      <c r="G79" s="156">
        <f t="shared" si="37"/>
        <v>47440.27</v>
      </c>
      <c r="H79" s="160">
        <f t="shared" si="38"/>
        <v>8.5066536569210163E-2</v>
      </c>
      <c r="I79" s="76">
        <v>5985.8</v>
      </c>
      <c r="J79" s="156">
        <f t="shared" si="39"/>
        <v>53426.07</v>
      </c>
      <c r="K79" s="160">
        <f t="shared" si="40"/>
        <v>0.126175504481741</v>
      </c>
      <c r="L79" s="76">
        <v>652.5</v>
      </c>
      <c r="M79" s="156">
        <f t="shared" si="41"/>
        <v>54078.57</v>
      </c>
      <c r="N79" s="160">
        <f t="shared" si="42"/>
        <v>1.2213138641865292E-2</v>
      </c>
      <c r="O79" s="76">
        <v>3972.15</v>
      </c>
      <c r="P79" s="156">
        <f t="shared" si="43"/>
        <v>58050.720000000001</v>
      </c>
      <c r="Q79" s="160">
        <f t="shared" si="44"/>
        <v>7.3451461456913558E-2</v>
      </c>
      <c r="R79" s="152">
        <f t="shared" si="45"/>
        <v>15876.550000000001</v>
      </c>
      <c r="S79" s="162">
        <f t="shared" si="46"/>
        <v>7.3443540990321132E-2</v>
      </c>
      <c r="U79" s="76">
        <v>434</v>
      </c>
      <c r="V79" s="156">
        <f t="shared" si="47"/>
        <v>58484.72</v>
      </c>
      <c r="W79" s="160">
        <f t="shared" si="48"/>
        <v>7.476220794505219E-3</v>
      </c>
      <c r="X79" s="76">
        <v>3303</v>
      </c>
      <c r="Y79" s="156">
        <f t="shared" si="49"/>
        <v>61787.72</v>
      </c>
      <c r="Z79" s="160">
        <f t="shared" si="50"/>
        <v>5.6476289875372572E-2</v>
      </c>
      <c r="AA79" s="76">
        <v>7034</v>
      </c>
      <c r="AB79" s="156">
        <f t="shared" si="51"/>
        <v>68821.72</v>
      </c>
      <c r="AC79" s="160">
        <f t="shared" si="52"/>
        <v>0.11384139113726804</v>
      </c>
      <c r="AD79" s="76">
        <v>2801</v>
      </c>
      <c r="AE79" s="156">
        <f t="shared" si="53"/>
        <v>71622.720000000001</v>
      </c>
      <c r="AF79" s="160">
        <f t="shared" si="54"/>
        <v>4.0699360608831052E-2</v>
      </c>
      <c r="AG79" s="76">
        <v>4160</v>
      </c>
      <c r="AH79" s="156">
        <f t="shared" si="55"/>
        <v>75782.720000000001</v>
      </c>
      <c r="AI79" s="160">
        <f t="shared" si="56"/>
        <v>5.8082128129174654E-2</v>
      </c>
      <c r="AJ79" s="152">
        <f t="shared" si="57"/>
        <v>17732</v>
      </c>
      <c r="AK79" s="162">
        <f t="shared" si="58"/>
        <v>6.6920214191513061E-2</v>
      </c>
    </row>
    <row r="80" spans="1:37" ht="14.25" customHeight="1" outlineLevel="1" x14ac:dyDescent="0.35">
      <c r="B80" s="48" t="s">
        <v>77</v>
      </c>
      <c r="C80" s="62" t="s">
        <v>175</v>
      </c>
      <c r="D80" s="76">
        <v>452.5</v>
      </c>
      <c r="E80" s="77">
        <v>17454.77</v>
      </c>
      <c r="F80" s="76">
        <v>654.5</v>
      </c>
      <c r="G80" s="156">
        <f t="shared" si="37"/>
        <v>18109.27</v>
      </c>
      <c r="H80" s="160">
        <f t="shared" si="38"/>
        <v>3.7496913451165494E-2</v>
      </c>
      <c r="I80" s="76">
        <v>2310.75</v>
      </c>
      <c r="J80" s="156">
        <f t="shared" si="39"/>
        <v>20420.02</v>
      </c>
      <c r="K80" s="160">
        <f t="shared" si="40"/>
        <v>0.12760039471497195</v>
      </c>
      <c r="L80" s="76">
        <v>1189.5</v>
      </c>
      <c r="M80" s="156">
        <f t="shared" si="41"/>
        <v>21609.52</v>
      </c>
      <c r="N80" s="160">
        <f t="shared" si="42"/>
        <v>5.8251656952343828E-2</v>
      </c>
      <c r="O80" s="76">
        <v>0</v>
      </c>
      <c r="P80" s="156">
        <f t="shared" si="43"/>
        <v>21609.52</v>
      </c>
      <c r="Q80" s="160">
        <f t="shared" si="44"/>
        <v>0</v>
      </c>
      <c r="R80" s="152">
        <f t="shared" si="45"/>
        <v>4607.25</v>
      </c>
      <c r="S80" s="162">
        <f t="shared" si="46"/>
        <v>5.4830666808420192E-2</v>
      </c>
      <c r="U80" s="76">
        <v>0</v>
      </c>
      <c r="V80" s="156">
        <f t="shared" si="47"/>
        <v>21609.52</v>
      </c>
      <c r="W80" s="160">
        <f t="shared" si="48"/>
        <v>0</v>
      </c>
      <c r="X80" s="76">
        <v>0</v>
      </c>
      <c r="Y80" s="156">
        <f t="shared" si="49"/>
        <v>21609.52</v>
      </c>
      <c r="Z80" s="160">
        <f t="shared" si="50"/>
        <v>0</v>
      </c>
      <c r="AA80" s="76">
        <v>1534</v>
      </c>
      <c r="AB80" s="156">
        <f t="shared" si="51"/>
        <v>23143.52</v>
      </c>
      <c r="AC80" s="160">
        <f t="shared" si="52"/>
        <v>7.0987231553500493E-2</v>
      </c>
      <c r="AD80" s="76">
        <v>757</v>
      </c>
      <c r="AE80" s="156">
        <f t="shared" si="53"/>
        <v>23900.52</v>
      </c>
      <c r="AF80" s="160">
        <f t="shared" si="54"/>
        <v>3.2708939694566772E-2</v>
      </c>
      <c r="AG80" s="76">
        <v>0</v>
      </c>
      <c r="AH80" s="156">
        <f t="shared" si="55"/>
        <v>23900.52</v>
      </c>
      <c r="AI80" s="160">
        <f t="shared" si="56"/>
        <v>0</v>
      </c>
      <c r="AJ80" s="152">
        <f t="shared" si="57"/>
        <v>2291</v>
      </c>
      <c r="AK80" s="162">
        <f t="shared" si="58"/>
        <v>2.5511553237471229E-2</v>
      </c>
    </row>
    <row r="81" spans="2:37" ht="14.25" customHeight="1" outlineLevel="1" x14ac:dyDescent="0.35">
      <c r="B81" s="48" t="s">
        <v>78</v>
      </c>
      <c r="C81" s="62" t="s">
        <v>175</v>
      </c>
      <c r="D81" s="76">
        <v>5210.55</v>
      </c>
      <c r="E81" s="77">
        <v>744405.86499999999</v>
      </c>
      <c r="F81" s="76">
        <v>6701.3899999999994</v>
      </c>
      <c r="G81" s="156">
        <f t="shared" si="37"/>
        <v>751107.255</v>
      </c>
      <c r="H81" s="160">
        <f t="shared" si="38"/>
        <v>9.0023336933273811E-3</v>
      </c>
      <c r="I81" s="76">
        <v>9577.57</v>
      </c>
      <c r="J81" s="156">
        <f t="shared" si="39"/>
        <v>760684.82499999995</v>
      </c>
      <c r="K81" s="160">
        <f t="shared" si="40"/>
        <v>1.2751268126147908E-2</v>
      </c>
      <c r="L81" s="76">
        <v>4066.0600000000004</v>
      </c>
      <c r="M81" s="156">
        <f t="shared" si="41"/>
        <v>764750.88500000001</v>
      </c>
      <c r="N81" s="160">
        <f t="shared" si="42"/>
        <v>5.3452624087775855E-3</v>
      </c>
      <c r="O81" s="76">
        <v>11970.24</v>
      </c>
      <c r="P81" s="156">
        <f t="shared" si="43"/>
        <v>776721.125</v>
      </c>
      <c r="Q81" s="160">
        <f t="shared" si="44"/>
        <v>1.5652469627413363E-2</v>
      </c>
      <c r="R81" s="152">
        <f t="shared" si="45"/>
        <v>37525.81</v>
      </c>
      <c r="S81" s="162">
        <f t="shared" si="46"/>
        <v>1.068037479686712E-2</v>
      </c>
      <c r="U81" s="76">
        <v>4379</v>
      </c>
      <c r="V81" s="156">
        <f t="shared" si="47"/>
        <v>781100.125</v>
      </c>
      <c r="W81" s="160">
        <f t="shared" si="48"/>
        <v>5.6378021133389414E-3</v>
      </c>
      <c r="X81" s="76">
        <v>8915</v>
      </c>
      <c r="Y81" s="156">
        <f t="shared" si="49"/>
        <v>790015.125</v>
      </c>
      <c r="Z81" s="160">
        <f t="shared" si="50"/>
        <v>1.1413389544650246E-2</v>
      </c>
      <c r="AA81" s="76">
        <v>8940</v>
      </c>
      <c r="AB81" s="156">
        <f t="shared" si="51"/>
        <v>798955.125</v>
      </c>
      <c r="AC81" s="160">
        <f t="shared" si="52"/>
        <v>1.1316239040360145E-2</v>
      </c>
      <c r="AD81" s="76">
        <v>15399</v>
      </c>
      <c r="AE81" s="156">
        <f t="shared" si="53"/>
        <v>814354.125</v>
      </c>
      <c r="AF81" s="160">
        <f t="shared" si="54"/>
        <v>1.9273923551088055E-2</v>
      </c>
      <c r="AG81" s="76">
        <v>8331</v>
      </c>
      <c r="AH81" s="156">
        <f t="shared" si="55"/>
        <v>822685.125</v>
      </c>
      <c r="AI81" s="160">
        <f t="shared" si="56"/>
        <v>1.0230193160745639E-2</v>
      </c>
      <c r="AJ81" s="152">
        <f t="shared" si="57"/>
        <v>45964</v>
      </c>
      <c r="AK81" s="162">
        <f t="shared" si="58"/>
        <v>1.3051990922404944E-2</v>
      </c>
    </row>
    <row r="82" spans="2:37" ht="14.25" customHeight="1" outlineLevel="1" x14ac:dyDescent="0.35">
      <c r="B82" s="48" t="s">
        <v>79</v>
      </c>
      <c r="C82" s="62" t="s">
        <v>175</v>
      </c>
      <c r="D82" s="76">
        <v>2784.5</v>
      </c>
      <c r="E82" s="77">
        <v>105492.87</v>
      </c>
      <c r="F82" s="76">
        <v>3356.6</v>
      </c>
      <c r="G82" s="156">
        <f t="shared" si="37"/>
        <v>108849.47</v>
      </c>
      <c r="H82" s="160">
        <f t="shared" si="38"/>
        <v>3.1818264115859259E-2</v>
      </c>
      <c r="I82" s="76">
        <v>595</v>
      </c>
      <c r="J82" s="156">
        <f t="shared" si="39"/>
        <v>109444.47</v>
      </c>
      <c r="K82" s="160">
        <f t="shared" si="40"/>
        <v>5.46626455783386E-3</v>
      </c>
      <c r="L82" s="76">
        <v>2029</v>
      </c>
      <c r="M82" s="156">
        <f t="shared" si="41"/>
        <v>111473.47</v>
      </c>
      <c r="N82" s="160">
        <f t="shared" si="42"/>
        <v>1.8539081965493552E-2</v>
      </c>
      <c r="O82" s="76">
        <v>2085.2600000000002</v>
      </c>
      <c r="P82" s="156">
        <f t="shared" si="43"/>
        <v>113558.73</v>
      </c>
      <c r="Q82" s="160">
        <f t="shared" si="44"/>
        <v>1.8706334341256219E-2</v>
      </c>
      <c r="R82" s="152">
        <f t="shared" si="45"/>
        <v>10850.36</v>
      </c>
      <c r="S82" s="162">
        <f t="shared" si="46"/>
        <v>1.8589874774046278E-2</v>
      </c>
      <c r="U82" s="76">
        <v>156</v>
      </c>
      <c r="V82" s="156">
        <f t="shared" si="47"/>
        <v>113714.73</v>
      </c>
      <c r="W82" s="160">
        <f t="shared" si="48"/>
        <v>1.3737385051770129E-3</v>
      </c>
      <c r="X82" s="76">
        <v>0</v>
      </c>
      <c r="Y82" s="156">
        <f t="shared" si="49"/>
        <v>113714.73</v>
      </c>
      <c r="Z82" s="160">
        <f t="shared" si="50"/>
        <v>0</v>
      </c>
      <c r="AA82" s="76">
        <v>0</v>
      </c>
      <c r="AB82" s="156">
        <f t="shared" si="51"/>
        <v>113714.73</v>
      </c>
      <c r="AC82" s="160">
        <f t="shared" si="52"/>
        <v>0</v>
      </c>
      <c r="AD82" s="76">
        <v>0</v>
      </c>
      <c r="AE82" s="156">
        <f t="shared" si="53"/>
        <v>113714.73</v>
      </c>
      <c r="AF82" s="160">
        <f t="shared" si="54"/>
        <v>0</v>
      </c>
      <c r="AG82" s="76">
        <v>2968</v>
      </c>
      <c r="AH82" s="156">
        <f t="shared" si="55"/>
        <v>116682.73</v>
      </c>
      <c r="AI82" s="160">
        <f t="shared" si="56"/>
        <v>2.610040053737981E-2</v>
      </c>
      <c r="AJ82" s="152">
        <f t="shared" si="57"/>
        <v>3124</v>
      </c>
      <c r="AK82" s="162">
        <f t="shared" si="58"/>
        <v>6.4621899887915557E-3</v>
      </c>
    </row>
    <row r="83" spans="2:37" ht="14.25" customHeight="1" outlineLevel="1" x14ac:dyDescent="0.35">
      <c r="B83" s="48" t="s">
        <v>80</v>
      </c>
      <c r="C83" s="62" t="s">
        <v>175</v>
      </c>
      <c r="D83" s="76">
        <v>2274.6999999999998</v>
      </c>
      <c r="E83" s="77">
        <v>45656.444999999992</v>
      </c>
      <c r="F83" s="76">
        <v>7916.2</v>
      </c>
      <c r="G83" s="156">
        <f t="shared" si="37"/>
        <v>53572.64499999999</v>
      </c>
      <c r="H83" s="160">
        <f t="shared" si="38"/>
        <v>0.17338625466787871</v>
      </c>
      <c r="I83" s="76">
        <v>8179.5</v>
      </c>
      <c r="J83" s="156">
        <f t="shared" si="39"/>
        <v>61752.14499999999</v>
      </c>
      <c r="K83" s="160">
        <f t="shared" si="40"/>
        <v>0.15268053313402766</v>
      </c>
      <c r="L83" s="76">
        <v>679.5</v>
      </c>
      <c r="M83" s="156">
        <f t="shared" si="41"/>
        <v>62431.64499999999</v>
      </c>
      <c r="N83" s="160">
        <f t="shared" si="42"/>
        <v>1.1003666350375361E-2</v>
      </c>
      <c r="O83" s="76">
        <v>7931.07</v>
      </c>
      <c r="P83" s="156">
        <f t="shared" si="43"/>
        <v>70362.714999999997</v>
      </c>
      <c r="Q83" s="160">
        <f t="shared" si="44"/>
        <v>0.12703605679459526</v>
      </c>
      <c r="R83" s="152">
        <f t="shared" si="45"/>
        <v>26980.97</v>
      </c>
      <c r="S83" s="162">
        <f t="shared" si="46"/>
        <v>0.11419222624898007</v>
      </c>
      <c r="U83" s="76">
        <v>637</v>
      </c>
      <c r="V83" s="156">
        <f t="shared" si="47"/>
        <v>70999.714999999997</v>
      </c>
      <c r="W83" s="160">
        <f t="shared" si="48"/>
        <v>9.0530901202433706E-3</v>
      </c>
      <c r="X83" s="76">
        <v>1205</v>
      </c>
      <c r="Y83" s="156">
        <f t="shared" si="49"/>
        <v>72204.714999999997</v>
      </c>
      <c r="Z83" s="160">
        <f t="shared" si="50"/>
        <v>1.6971899112552778E-2</v>
      </c>
      <c r="AA83" s="76">
        <v>315</v>
      </c>
      <c r="AB83" s="156">
        <f t="shared" si="51"/>
        <v>72519.714999999997</v>
      </c>
      <c r="AC83" s="160">
        <f t="shared" si="52"/>
        <v>4.3625959883644722E-3</v>
      </c>
      <c r="AD83" s="76">
        <v>0</v>
      </c>
      <c r="AE83" s="156">
        <f t="shared" si="53"/>
        <v>72519.714999999997</v>
      </c>
      <c r="AF83" s="160">
        <f t="shared" si="54"/>
        <v>0</v>
      </c>
      <c r="AG83" s="76">
        <v>1577</v>
      </c>
      <c r="AH83" s="156">
        <f t="shared" si="55"/>
        <v>74096.714999999997</v>
      </c>
      <c r="AI83" s="160">
        <f t="shared" si="56"/>
        <v>2.1745810777110748E-2</v>
      </c>
      <c r="AJ83" s="152">
        <f t="shared" si="57"/>
        <v>3734</v>
      </c>
      <c r="AK83" s="162">
        <f t="shared" si="58"/>
        <v>1.073100268548477E-2</v>
      </c>
    </row>
    <row r="84" spans="2:37" ht="14.25" customHeight="1" outlineLevel="1" x14ac:dyDescent="0.35">
      <c r="B84" s="48" t="s">
        <v>81</v>
      </c>
      <c r="C84" s="62" t="s">
        <v>175</v>
      </c>
      <c r="D84" s="76">
        <v>1855.7</v>
      </c>
      <c r="E84" s="77">
        <v>137003.09500000003</v>
      </c>
      <c r="F84" s="76">
        <v>2301</v>
      </c>
      <c r="G84" s="156">
        <f t="shared" si="37"/>
        <v>139304.09500000003</v>
      </c>
      <c r="H84" s="160">
        <f t="shared" si="38"/>
        <v>1.6795241012620917E-2</v>
      </c>
      <c r="I84" s="76">
        <v>3005</v>
      </c>
      <c r="J84" s="156">
        <f t="shared" si="39"/>
        <v>142309.09500000003</v>
      </c>
      <c r="K84" s="160">
        <f t="shared" si="40"/>
        <v>2.1571512309096149E-2</v>
      </c>
      <c r="L84" s="76">
        <v>1626.3</v>
      </c>
      <c r="M84" s="156">
        <f t="shared" si="41"/>
        <v>143935.39500000002</v>
      </c>
      <c r="N84" s="160">
        <f t="shared" si="42"/>
        <v>1.1427941411615246E-2</v>
      </c>
      <c r="O84" s="76">
        <v>2731</v>
      </c>
      <c r="P84" s="156">
        <f>M84+O84</f>
        <v>146666.39500000002</v>
      </c>
      <c r="Q84" s="160">
        <f t="shared" si="44"/>
        <v>1.8973790289733804E-2</v>
      </c>
      <c r="R84" s="152">
        <f>D84+F84+I84+L84+O84</f>
        <v>11519</v>
      </c>
      <c r="S84" s="162">
        <f t="shared" si="46"/>
        <v>1.7185263648738847E-2</v>
      </c>
      <c r="U84" s="76">
        <v>1678</v>
      </c>
      <c r="V84" s="156">
        <f t="shared" si="47"/>
        <v>148344.39500000002</v>
      </c>
      <c r="W84" s="160">
        <f t="shared" si="48"/>
        <v>1.1440930282632227E-2</v>
      </c>
      <c r="X84" s="76">
        <v>602</v>
      </c>
      <c r="Y84" s="156">
        <f t="shared" si="49"/>
        <v>148946.39500000002</v>
      </c>
      <c r="Z84" s="160">
        <f t="shared" si="50"/>
        <v>4.0581243396489632E-3</v>
      </c>
      <c r="AA84" s="76">
        <v>315</v>
      </c>
      <c r="AB84" s="156">
        <f t="shared" si="51"/>
        <v>149261.39500000002</v>
      </c>
      <c r="AC84" s="160">
        <f t="shared" si="52"/>
        <v>2.1148548106854144E-3</v>
      </c>
      <c r="AD84" s="76">
        <v>0</v>
      </c>
      <c r="AE84" s="156">
        <f t="shared" si="53"/>
        <v>149261.39500000002</v>
      </c>
      <c r="AF84" s="160">
        <f t="shared" si="54"/>
        <v>0</v>
      </c>
      <c r="AG84" s="76">
        <v>486</v>
      </c>
      <c r="AH84" s="156">
        <f t="shared" si="55"/>
        <v>149747.39500000002</v>
      </c>
      <c r="AI84" s="160">
        <f t="shared" si="56"/>
        <v>3.25603281411111E-3</v>
      </c>
      <c r="AJ84" s="152">
        <f t="shared" si="57"/>
        <v>3081</v>
      </c>
      <c r="AK84" s="162">
        <f t="shared" si="58"/>
        <v>2.3560905877904048E-3</v>
      </c>
    </row>
    <row r="85" spans="2:37" ht="14.25" customHeight="1" outlineLevel="1" x14ac:dyDescent="0.35">
      <c r="B85" s="48" t="s">
        <v>82</v>
      </c>
      <c r="C85" s="62" t="s">
        <v>175</v>
      </c>
      <c r="D85" s="76"/>
      <c r="E85" s="77">
        <v>7668.5250000000005</v>
      </c>
      <c r="F85" s="76"/>
      <c r="G85" s="156">
        <f t="shared" si="37"/>
        <v>7668.5250000000005</v>
      </c>
      <c r="H85" s="160">
        <f t="shared" si="38"/>
        <v>0</v>
      </c>
      <c r="I85" s="76"/>
      <c r="J85" s="156">
        <f t="shared" si="39"/>
        <v>7668.5250000000005</v>
      </c>
      <c r="K85" s="160">
        <f t="shared" si="40"/>
        <v>0</v>
      </c>
      <c r="L85" s="76">
        <v>0</v>
      </c>
      <c r="M85" s="156">
        <f t="shared" si="41"/>
        <v>7668.5250000000005</v>
      </c>
      <c r="N85" s="160">
        <f t="shared" si="42"/>
        <v>0</v>
      </c>
      <c r="O85" s="76">
        <v>0</v>
      </c>
      <c r="P85" s="156">
        <f>M85+O85</f>
        <v>7668.5250000000005</v>
      </c>
      <c r="Q85" s="160"/>
      <c r="R85" s="152">
        <f>D85+F85+I85+L85+O85</f>
        <v>0</v>
      </c>
      <c r="S85" s="162">
        <f t="shared" si="46"/>
        <v>0</v>
      </c>
      <c r="U85" s="76">
        <v>0</v>
      </c>
      <c r="V85" s="156">
        <f t="shared" si="47"/>
        <v>7668.5250000000005</v>
      </c>
      <c r="W85" s="160">
        <f t="shared" si="48"/>
        <v>0</v>
      </c>
      <c r="X85" s="76">
        <v>0</v>
      </c>
      <c r="Y85" s="156">
        <f t="shared" si="49"/>
        <v>7668.5250000000005</v>
      </c>
      <c r="Z85" s="160">
        <f t="shared" si="50"/>
        <v>0</v>
      </c>
      <c r="AA85" s="76">
        <v>0</v>
      </c>
      <c r="AB85" s="156">
        <f t="shared" si="51"/>
        <v>7668.5250000000005</v>
      </c>
      <c r="AC85" s="160">
        <f t="shared" si="52"/>
        <v>0</v>
      </c>
      <c r="AD85" s="76">
        <v>0</v>
      </c>
      <c r="AE85" s="156">
        <f t="shared" si="53"/>
        <v>7668.5250000000005</v>
      </c>
      <c r="AF85" s="160">
        <f t="shared" si="54"/>
        <v>0</v>
      </c>
      <c r="AG85" s="76">
        <v>0</v>
      </c>
      <c r="AH85" s="156">
        <f t="shared" si="55"/>
        <v>7668.5250000000005</v>
      </c>
      <c r="AI85" s="160">
        <f t="shared" si="56"/>
        <v>0</v>
      </c>
      <c r="AJ85" s="152">
        <f t="shared" si="57"/>
        <v>0</v>
      </c>
      <c r="AK85" s="162">
        <f t="shared" si="58"/>
        <v>0</v>
      </c>
    </row>
    <row r="86" spans="2:37" ht="14.25" customHeight="1" outlineLevel="1" x14ac:dyDescent="0.35">
      <c r="B86" s="48" t="s">
        <v>83</v>
      </c>
      <c r="C86" s="62" t="s">
        <v>175</v>
      </c>
      <c r="D86" s="76">
        <v>1324</v>
      </c>
      <c r="E86" s="77">
        <v>68843.445000000007</v>
      </c>
      <c r="F86" s="76">
        <v>159.5</v>
      </c>
      <c r="G86" s="156">
        <f t="shared" si="37"/>
        <v>69002.945000000007</v>
      </c>
      <c r="H86" s="160">
        <f t="shared" si="38"/>
        <v>2.3168509362075066E-3</v>
      </c>
      <c r="I86" s="76">
        <v>1212.5</v>
      </c>
      <c r="J86" s="156">
        <f t="shared" si="39"/>
        <v>70215.445000000007</v>
      </c>
      <c r="K86" s="160">
        <f t="shared" si="40"/>
        <v>1.7571713786998511E-2</v>
      </c>
      <c r="L86" s="76">
        <v>250</v>
      </c>
      <c r="M86" s="156">
        <f t="shared" si="41"/>
        <v>70465.445000000007</v>
      </c>
      <c r="N86" s="160">
        <f t="shared" si="42"/>
        <v>3.5604702070890525E-3</v>
      </c>
      <c r="O86" s="76">
        <v>7208.84</v>
      </c>
      <c r="P86" s="156">
        <f t="shared" si="43"/>
        <v>77674.285000000003</v>
      </c>
      <c r="Q86" s="160">
        <f t="shared" ref="Q86:Q103" si="59">IFERROR((P86-M86)/M86,0)</f>
        <v>0.10230319272091443</v>
      </c>
      <c r="R86" s="152">
        <f t="shared" si="45"/>
        <v>10154.84</v>
      </c>
      <c r="S86" s="162">
        <f t="shared" si="46"/>
        <v>3.0632105982489E-2</v>
      </c>
      <c r="U86" s="76">
        <v>0</v>
      </c>
      <c r="V86" s="156">
        <f t="shared" si="47"/>
        <v>77674.285000000003</v>
      </c>
      <c r="W86" s="160">
        <f t="shared" si="48"/>
        <v>0</v>
      </c>
      <c r="X86" s="76">
        <v>7594</v>
      </c>
      <c r="Y86" s="156">
        <f t="shared" si="49"/>
        <v>85268.285000000003</v>
      </c>
      <c r="Z86" s="160">
        <f t="shared" si="50"/>
        <v>9.7767234033760336E-2</v>
      </c>
      <c r="AA86" s="76">
        <v>1913</v>
      </c>
      <c r="AB86" s="156">
        <f t="shared" si="51"/>
        <v>87181.285000000003</v>
      </c>
      <c r="AC86" s="160">
        <f t="shared" si="52"/>
        <v>2.2435070671352191E-2</v>
      </c>
      <c r="AD86" s="76">
        <v>7784</v>
      </c>
      <c r="AE86" s="156">
        <f t="shared" si="53"/>
        <v>94965.285000000003</v>
      </c>
      <c r="AF86" s="160">
        <f t="shared" si="54"/>
        <v>8.9285217578520426E-2</v>
      </c>
      <c r="AG86" s="76">
        <v>2892</v>
      </c>
      <c r="AH86" s="156">
        <f t="shared" si="55"/>
        <v>97857.285000000003</v>
      </c>
      <c r="AI86" s="160">
        <f t="shared" si="56"/>
        <v>3.0453233515805273E-2</v>
      </c>
      <c r="AJ86" s="152">
        <f t="shared" si="57"/>
        <v>20183</v>
      </c>
      <c r="AK86" s="162">
        <f t="shared" si="58"/>
        <v>5.9446363280209802E-2</v>
      </c>
    </row>
    <row r="87" spans="2:37" ht="14.25" customHeight="1" outlineLevel="1" x14ac:dyDescent="0.35">
      <c r="B87" s="48" t="s">
        <v>84</v>
      </c>
      <c r="C87" s="62" t="s">
        <v>175</v>
      </c>
      <c r="D87" s="76">
        <v>246</v>
      </c>
      <c r="E87" s="77">
        <v>42895.08</v>
      </c>
      <c r="F87" s="76">
        <v>162</v>
      </c>
      <c r="G87" s="156">
        <f t="shared" si="37"/>
        <v>43057.08</v>
      </c>
      <c r="H87" s="160">
        <f t="shared" si="38"/>
        <v>3.7766569033091907E-3</v>
      </c>
      <c r="I87" s="76">
        <v>5036.8</v>
      </c>
      <c r="J87" s="156">
        <f t="shared" si="39"/>
        <v>48093.880000000005</v>
      </c>
      <c r="K87" s="160">
        <f t="shared" si="40"/>
        <v>0.11697960010293319</v>
      </c>
      <c r="L87" s="76">
        <v>1619</v>
      </c>
      <c r="M87" s="156">
        <f t="shared" si="41"/>
        <v>49712.880000000005</v>
      </c>
      <c r="N87" s="160">
        <f t="shared" si="42"/>
        <v>3.3663326809980812E-2</v>
      </c>
      <c r="O87" s="76">
        <v>938</v>
      </c>
      <c r="P87" s="156">
        <f t="shared" si="43"/>
        <v>50650.880000000005</v>
      </c>
      <c r="Q87" s="160">
        <f t="shared" si="59"/>
        <v>1.8868349610805087E-2</v>
      </c>
      <c r="R87" s="152">
        <f t="shared" si="45"/>
        <v>8001.8</v>
      </c>
      <c r="S87" s="162">
        <f t="shared" si="46"/>
        <v>4.2425143857368397E-2</v>
      </c>
      <c r="U87" s="76">
        <v>3497</v>
      </c>
      <c r="V87" s="156">
        <f t="shared" si="47"/>
        <v>54147.880000000005</v>
      </c>
      <c r="W87" s="160">
        <f t="shared" si="48"/>
        <v>6.904124864168204E-2</v>
      </c>
      <c r="X87" s="76">
        <v>4239</v>
      </c>
      <c r="Y87" s="156">
        <f t="shared" si="49"/>
        <v>58386.880000000005</v>
      </c>
      <c r="Z87" s="160">
        <f t="shared" si="50"/>
        <v>7.8285613397976059E-2</v>
      </c>
      <c r="AA87" s="76">
        <v>6460</v>
      </c>
      <c r="AB87" s="156">
        <f t="shared" si="51"/>
        <v>64846.880000000005</v>
      </c>
      <c r="AC87" s="160">
        <f t="shared" si="52"/>
        <v>0.11064129475663025</v>
      </c>
      <c r="AD87" s="76">
        <v>6943</v>
      </c>
      <c r="AE87" s="156">
        <f t="shared" si="53"/>
        <v>71789.88</v>
      </c>
      <c r="AF87" s="160">
        <f t="shared" si="54"/>
        <v>0.10706760294404294</v>
      </c>
      <c r="AG87" s="76">
        <v>1461</v>
      </c>
      <c r="AH87" s="156">
        <f t="shared" si="55"/>
        <v>73250.880000000005</v>
      </c>
      <c r="AI87" s="160">
        <f t="shared" si="56"/>
        <v>2.0351057837121329E-2</v>
      </c>
      <c r="AJ87" s="152">
        <f t="shared" si="57"/>
        <v>22600</v>
      </c>
      <c r="AK87" s="162">
        <f t="shared" si="58"/>
        <v>7.8469449740510511E-2</v>
      </c>
    </row>
    <row r="88" spans="2:37" ht="14.25" customHeight="1" outlineLevel="1" x14ac:dyDescent="0.35">
      <c r="B88" s="48" t="s">
        <v>85</v>
      </c>
      <c r="C88" s="62" t="s">
        <v>175</v>
      </c>
      <c r="D88" s="76">
        <v>11062.07</v>
      </c>
      <c r="E88" s="77">
        <v>43877.23</v>
      </c>
      <c r="F88" s="76">
        <v>12462.55</v>
      </c>
      <c r="G88" s="156">
        <f t="shared" si="37"/>
        <v>56339.78</v>
      </c>
      <c r="H88" s="160">
        <f t="shared" si="38"/>
        <v>0.28403228736180464</v>
      </c>
      <c r="I88" s="76">
        <v>231</v>
      </c>
      <c r="J88" s="156">
        <f t="shared" si="39"/>
        <v>56570.78</v>
      </c>
      <c r="K88" s="160">
        <f t="shared" si="40"/>
        <v>4.1001225066906542E-3</v>
      </c>
      <c r="L88" s="76">
        <v>81.150000000000006</v>
      </c>
      <c r="M88" s="156">
        <f t="shared" si="41"/>
        <v>56651.93</v>
      </c>
      <c r="N88" s="160">
        <f t="shared" si="42"/>
        <v>1.4344861428462088E-3</v>
      </c>
      <c r="O88" s="76">
        <v>961.5</v>
      </c>
      <c r="P88" s="156">
        <f t="shared" si="43"/>
        <v>57613.43</v>
      </c>
      <c r="Q88" s="160">
        <f t="shared" si="59"/>
        <v>1.6972060792986222E-2</v>
      </c>
      <c r="R88" s="152">
        <f t="shared" si="45"/>
        <v>24798.27</v>
      </c>
      <c r="S88" s="162">
        <f t="shared" si="46"/>
        <v>7.0461697486287278E-2</v>
      </c>
      <c r="U88" s="76">
        <v>192</v>
      </c>
      <c r="V88" s="156">
        <f t="shared" si="47"/>
        <v>57805.43</v>
      </c>
      <c r="W88" s="160">
        <f t="shared" si="48"/>
        <v>3.3325563154285383E-3</v>
      </c>
      <c r="X88" s="76">
        <v>1551</v>
      </c>
      <c r="Y88" s="156">
        <f t="shared" si="49"/>
        <v>59356.43</v>
      </c>
      <c r="Z88" s="160">
        <f t="shared" si="50"/>
        <v>2.683138936947619E-2</v>
      </c>
      <c r="AA88" s="76">
        <v>0</v>
      </c>
      <c r="AB88" s="156">
        <f t="shared" si="51"/>
        <v>59356.43</v>
      </c>
      <c r="AC88" s="160">
        <f t="shared" si="52"/>
        <v>0</v>
      </c>
      <c r="AD88" s="76">
        <v>303</v>
      </c>
      <c r="AE88" s="156">
        <f t="shared" si="53"/>
        <v>59659.43</v>
      </c>
      <c r="AF88" s="160">
        <f t="shared" si="54"/>
        <v>5.104754446990831E-3</v>
      </c>
      <c r="AG88" s="76">
        <v>486</v>
      </c>
      <c r="AH88" s="156">
        <f t="shared" si="55"/>
        <v>60145.43</v>
      </c>
      <c r="AI88" s="160">
        <f t="shared" si="56"/>
        <v>8.1462394126125583E-3</v>
      </c>
      <c r="AJ88" s="152">
        <f t="shared" si="57"/>
        <v>2532</v>
      </c>
      <c r="AK88" s="162">
        <f t="shared" si="58"/>
        <v>9.9700598760859016E-3</v>
      </c>
    </row>
    <row r="89" spans="2:37" ht="14.25" customHeight="1" outlineLevel="1" x14ac:dyDescent="0.35">
      <c r="B89" s="48" t="s">
        <v>86</v>
      </c>
      <c r="C89" s="62" t="s">
        <v>175</v>
      </c>
      <c r="D89" s="76">
        <v>629</v>
      </c>
      <c r="E89" s="77">
        <v>22150.204999999998</v>
      </c>
      <c r="F89" s="76">
        <v>2041.4999999999998</v>
      </c>
      <c r="G89" s="156">
        <f t="shared" si="37"/>
        <v>24191.704999999998</v>
      </c>
      <c r="H89" s="160">
        <f t="shared" si="38"/>
        <v>9.2166189884021393E-2</v>
      </c>
      <c r="I89" s="76">
        <v>8965</v>
      </c>
      <c r="J89" s="156">
        <f t="shared" si="39"/>
        <v>33156.705000000002</v>
      </c>
      <c r="K89" s="160">
        <f t="shared" si="40"/>
        <v>0.3705815691783611</v>
      </c>
      <c r="L89" s="76">
        <v>2508.5</v>
      </c>
      <c r="M89" s="156">
        <f t="shared" si="41"/>
        <v>35665.205000000002</v>
      </c>
      <c r="N89" s="160">
        <f t="shared" si="42"/>
        <v>7.5655889208532626E-2</v>
      </c>
      <c r="O89" s="76">
        <v>985</v>
      </c>
      <c r="P89" s="156">
        <f t="shared" si="43"/>
        <v>36650.205000000002</v>
      </c>
      <c r="Q89" s="160">
        <f t="shared" si="59"/>
        <v>2.7617954249807338E-2</v>
      </c>
      <c r="R89" s="152">
        <f t="shared" si="45"/>
        <v>15129</v>
      </c>
      <c r="S89" s="162">
        <f t="shared" si="46"/>
        <v>0.13416088320825015</v>
      </c>
      <c r="U89" s="76">
        <v>378</v>
      </c>
      <c r="V89" s="156">
        <f t="shared" si="47"/>
        <v>37028.205000000002</v>
      </c>
      <c r="W89" s="160">
        <f t="shared" si="48"/>
        <v>1.0313721301149612E-2</v>
      </c>
      <c r="X89" s="76">
        <v>4695</v>
      </c>
      <c r="Y89" s="156">
        <f t="shared" si="49"/>
        <v>41723.205000000002</v>
      </c>
      <c r="Z89" s="160">
        <f t="shared" si="50"/>
        <v>0.12679523622600664</v>
      </c>
      <c r="AA89" s="76">
        <v>4025</v>
      </c>
      <c r="AB89" s="156">
        <f t="shared" si="51"/>
        <v>45748.205000000002</v>
      </c>
      <c r="AC89" s="160">
        <f t="shared" si="52"/>
        <v>9.6469099149981405E-2</v>
      </c>
      <c r="AD89" s="76">
        <v>2289</v>
      </c>
      <c r="AE89" s="156">
        <f t="shared" si="53"/>
        <v>48037.205000000002</v>
      </c>
      <c r="AF89" s="160">
        <f t="shared" si="54"/>
        <v>5.0034749997294972E-2</v>
      </c>
      <c r="AG89" s="76">
        <v>1368</v>
      </c>
      <c r="AH89" s="156">
        <f t="shared" si="55"/>
        <v>49405.205000000002</v>
      </c>
      <c r="AI89" s="160">
        <f t="shared" si="56"/>
        <v>2.8477926640402995E-2</v>
      </c>
      <c r="AJ89" s="152">
        <f t="shared" si="57"/>
        <v>12755</v>
      </c>
      <c r="AK89" s="162">
        <f t="shared" si="58"/>
        <v>7.4756329731462179E-2</v>
      </c>
    </row>
    <row r="90" spans="2:37" ht="14.25" customHeight="1" outlineLevel="1" x14ac:dyDescent="0.35">
      <c r="B90" s="48" t="s">
        <v>87</v>
      </c>
      <c r="C90" s="62" t="s">
        <v>175</v>
      </c>
      <c r="D90" s="76">
        <v>59</v>
      </c>
      <c r="E90" s="77">
        <v>51870.104999999996</v>
      </c>
      <c r="F90" s="76">
        <v>35</v>
      </c>
      <c r="G90" s="156">
        <f t="shared" si="37"/>
        <v>51905.104999999996</v>
      </c>
      <c r="H90" s="160">
        <f t="shared" si="38"/>
        <v>6.7476246674264494E-4</v>
      </c>
      <c r="I90" s="76">
        <v>64</v>
      </c>
      <c r="J90" s="156">
        <f t="shared" si="39"/>
        <v>51969.104999999996</v>
      </c>
      <c r="K90" s="160">
        <f t="shared" si="40"/>
        <v>1.2330193725646062E-3</v>
      </c>
      <c r="L90" s="76">
        <v>0</v>
      </c>
      <c r="M90" s="156">
        <f t="shared" si="41"/>
        <v>51969.104999999996</v>
      </c>
      <c r="N90" s="160">
        <f t="shared" si="42"/>
        <v>0</v>
      </c>
      <c r="O90" s="76">
        <v>632.1</v>
      </c>
      <c r="P90" s="156">
        <f t="shared" si="43"/>
        <v>52601.204999999994</v>
      </c>
      <c r="Q90" s="160">
        <f t="shared" si="59"/>
        <v>1.2162995687533941E-2</v>
      </c>
      <c r="R90" s="152">
        <f t="shared" si="45"/>
        <v>790.1</v>
      </c>
      <c r="S90" s="162">
        <f t="shared" si="46"/>
        <v>3.505232904063238E-3</v>
      </c>
      <c r="U90" s="76">
        <v>189</v>
      </c>
      <c r="V90" s="156">
        <f t="shared" si="47"/>
        <v>52790.204999999994</v>
      </c>
      <c r="W90" s="160">
        <f t="shared" si="48"/>
        <v>3.5930735807288071E-3</v>
      </c>
      <c r="X90" s="76">
        <v>3168</v>
      </c>
      <c r="Y90" s="156">
        <f t="shared" si="49"/>
        <v>55958.204999999994</v>
      </c>
      <c r="Z90" s="160">
        <f t="shared" si="50"/>
        <v>6.0011132747069276E-2</v>
      </c>
      <c r="AA90" s="76">
        <v>0</v>
      </c>
      <c r="AB90" s="156">
        <f t="shared" si="51"/>
        <v>55958.204999999994</v>
      </c>
      <c r="AC90" s="160">
        <f t="shared" si="52"/>
        <v>0</v>
      </c>
      <c r="AD90" s="76">
        <v>0</v>
      </c>
      <c r="AE90" s="156">
        <f t="shared" si="53"/>
        <v>55958.204999999994</v>
      </c>
      <c r="AF90" s="160">
        <f t="shared" si="54"/>
        <v>0</v>
      </c>
      <c r="AG90" s="76">
        <v>2898</v>
      </c>
      <c r="AH90" s="156">
        <f t="shared" si="55"/>
        <v>58856.204999999994</v>
      </c>
      <c r="AI90" s="160">
        <f t="shared" si="56"/>
        <v>5.1788651905471238E-2</v>
      </c>
      <c r="AJ90" s="152">
        <f t="shared" si="57"/>
        <v>6255</v>
      </c>
      <c r="AK90" s="162">
        <f t="shared" si="58"/>
        <v>2.7566002043313054E-2</v>
      </c>
    </row>
    <row r="91" spans="2:37" ht="14.25" customHeight="1" outlineLevel="1" x14ac:dyDescent="0.35">
      <c r="B91" s="48" t="s">
        <v>88</v>
      </c>
      <c r="C91" s="62" t="s">
        <v>175</v>
      </c>
      <c r="D91" s="76">
        <v>3846.5</v>
      </c>
      <c r="E91" s="77">
        <v>94862.14</v>
      </c>
      <c r="F91" s="76">
        <v>2056.2799999999997</v>
      </c>
      <c r="G91" s="156">
        <f t="shared" si="37"/>
        <v>96918.42</v>
      </c>
      <c r="H91" s="160">
        <f t="shared" si="38"/>
        <v>2.1676508668263216E-2</v>
      </c>
      <c r="I91" s="76">
        <v>2858.5499999999997</v>
      </c>
      <c r="J91" s="156">
        <f t="shared" si="39"/>
        <v>99776.97</v>
      </c>
      <c r="K91" s="160">
        <f t="shared" si="40"/>
        <v>2.9494393325850781E-2</v>
      </c>
      <c r="L91" s="76">
        <v>5403</v>
      </c>
      <c r="M91" s="156">
        <f t="shared" si="41"/>
        <v>105179.97</v>
      </c>
      <c r="N91" s="160">
        <f t="shared" si="42"/>
        <v>5.4150772467835014E-2</v>
      </c>
      <c r="O91" s="76">
        <v>7345.5</v>
      </c>
      <c r="P91" s="156">
        <f t="shared" si="43"/>
        <v>112525.47</v>
      </c>
      <c r="Q91" s="160">
        <f t="shared" si="59"/>
        <v>6.9837441482441948E-2</v>
      </c>
      <c r="R91" s="152">
        <f t="shared" si="45"/>
        <v>21509.83</v>
      </c>
      <c r="S91" s="162">
        <f t="shared" si="46"/>
        <v>4.3612997895008609E-2</v>
      </c>
      <c r="U91" s="76">
        <v>1292</v>
      </c>
      <c r="V91" s="156">
        <f t="shared" si="47"/>
        <v>113817.47</v>
      </c>
      <c r="W91" s="160">
        <f t="shared" si="48"/>
        <v>1.1481844954746689E-2</v>
      </c>
      <c r="X91" s="76">
        <v>7807</v>
      </c>
      <c r="Y91" s="156">
        <f t="shared" si="49"/>
        <v>121624.47</v>
      </c>
      <c r="Z91" s="160">
        <f t="shared" si="50"/>
        <v>6.8592282010837169E-2</v>
      </c>
      <c r="AA91" s="76">
        <v>7838</v>
      </c>
      <c r="AB91" s="156">
        <f t="shared" si="51"/>
        <v>129462.47</v>
      </c>
      <c r="AC91" s="160">
        <f t="shared" si="52"/>
        <v>6.4444268493009674E-2</v>
      </c>
      <c r="AD91" s="76">
        <v>0</v>
      </c>
      <c r="AE91" s="156">
        <f t="shared" si="53"/>
        <v>129462.47</v>
      </c>
      <c r="AF91" s="160">
        <f t="shared" si="54"/>
        <v>0</v>
      </c>
      <c r="AG91" s="76">
        <v>9391</v>
      </c>
      <c r="AH91" s="156">
        <f t="shared" si="55"/>
        <v>138853.47</v>
      </c>
      <c r="AI91" s="160">
        <f t="shared" si="56"/>
        <v>7.2538396648851214E-2</v>
      </c>
      <c r="AJ91" s="152">
        <f t="shared" si="57"/>
        <v>26328</v>
      </c>
      <c r="AK91" s="162">
        <f t="shared" si="58"/>
        <v>5.0961852548017772E-2</v>
      </c>
    </row>
    <row r="92" spans="2:37" ht="14.25" customHeight="1" outlineLevel="1" x14ac:dyDescent="0.35">
      <c r="B92" s="48" t="s">
        <v>89</v>
      </c>
      <c r="C92" s="62" t="s">
        <v>175</v>
      </c>
      <c r="D92" s="76">
        <v>302</v>
      </c>
      <c r="E92" s="77">
        <v>41512.735000000001</v>
      </c>
      <c r="F92" s="76">
        <v>66.5</v>
      </c>
      <c r="G92" s="156">
        <f t="shared" si="37"/>
        <v>41579.235000000001</v>
      </c>
      <c r="H92" s="160">
        <f t="shared" si="38"/>
        <v>1.6019180620115731E-3</v>
      </c>
      <c r="I92" s="76">
        <v>91</v>
      </c>
      <c r="J92" s="156">
        <f t="shared" si="39"/>
        <v>41670.235000000001</v>
      </c>
      <c r="K92" s="160">
        <f t="shared" si="40"/>
        <v>2.1885924548635874E-3</v>
      </c>
      <c r="L92" s="76">
        <v>487</v>
      </c>
      <c r="M92" s="156">
        <f t="shared" si="41"/>
        <v>42157.235000000001</v>
      </c>
      <c r="N92" s="160">
        <f t="shared" si="42"/>
        <v>1.1686999125394901E-2</v>
      </c>
      <c r="O92" s="76">
        <v>412.5</v>
      </c>
      <c r="P92" s="156">
        <f t="shared" si="43"/>
        <v>42569.735000000001</v>
      </c>
      <c r="Q92" s="160">
        <f t="shared" si="59"/>
        <v>9.7847973188943723E-3</v>
      </c>
      <c r="R92" s="152">
        <f t="shared" si="45"/>
        <v>1359</v>
      </c>
      <c r="S92" s="162">
        <f t="shared" si="46"/>
        <v>6.3056240550014575E-3</v>
      </c>
      <c r="U92" s="76">
        <v>744</v>
      </c>
      <c r="V92" s="156">
        <f t="shared" si="47"/>
        <v>43313.735000000001</v>
      </c>
      <c r="W92" s="160">
        <f t="shared" si="48"/>
        <v>1.7477205343185715E-2</v>
      </c>
      <c r="X92" s="76">
        <v>804</v>
      </c>
      <c r="Y92" s="156">
        <f t="shared" si="49"/>
        <v>44117.735000000001</v>
      </c>
      <c r="Z92" s="160">
        <f t="shared" si="50"/>
        <v>1.8562241284433217E-2</v>
      </c>
      <c r="AA92" s="76">
        <v>1891</v>
      </c>
      <c r="AB92" s="156">
        <f t="shared" si="51"/>
        <v>46008.735000000001</v>
      </c>
      <c r="AC92" s="160">
        <f t="shared" si="52"/>
        <v>4.2862581227254754E-2</v>
      </c>
      <c r="AD92" s="76">
        <v>3316</v>
      </c>
      <c r="AE92" s="156">
        <f t="shared" si="53"/>
        <v>49324.735000000001</v>
      </c>
      <c r="AF92" s="160">
        <f t="shared" si="54"/>
        <v>7.2073270434407727E-2</v>
      </c>
      <c r="AG92" s="76">
        <v>973</v>
      </c>
      <c r="AH92" s="156">
        <f t="shared" si="55"/>
        <v>50297.735000000001</v>
      </c>
      <c r="AI92" s="160">
        <f t="shared" si="56"/>
        <v>1.9726411099826487E-2</v>
      </c>
      <c r="AJ92" s="152">
        <f t="shared" si="57"/>
        <v>7728</v>
      </c>
      <c r="AK92" s="162">
        <f t="shared" si="58"/>
        <v>3.8079699932486166E-2</v>
      </c>
    </row>
    <row r="93" spans="2:37" ht="14.25" customHeight="1" outlineLevel="1" x14ac:dyDescent="0.35">
      <c r="B93" s="48" t="s">
        <v>90</v>
      </c>
      <c r="C93" s="62" t="s">
        <v>175</v>
      </c>
      <c r="D93" s="76"/>
      <c r="E93" s="77">
        <v>9246.69</v>
      </c>
      <c r="F93" s="76"/>
      <c r="G93" s="156">
        <f t="shared" si="37"/>
        <v>9246.69</v>
      </c>
      <c r="H93" s="160">
        <f t="shared" si="38"/>
        <v>0</v>
      </c>
      <c r="I93" s="76"/>
      <c r="J93" s="156">
        <f t="shared" si="39"/>
        <v>9246.69</v>
      </c>
      <c r="K93" s="160">
        <f t="shared" si="40"/>
        <v>0</v>
      </c>
      <c r="L93" s="76">
        <v>0</v>
      </c>
      <c r="M93" s="156">
        <f t="shared" si="41"/>
        <v>9246.69</v>
      </c>
      <c r="N93" s="160">
        <f t="shared" si="42"/>
        <v>0</v>
      </c>
      <c r="O93" s="76">
        <v>0</v>
      </c>
      <c r="P93" s="156">
        <f t="shared" si="43"/>
        <v>9246.69</v>
      </c>
      <c r="Q93" s="160">
        <f t="shared" si="59"/>
        <v>0</v>
      </c>
      <c r="R93" s="152">
        <f t="shared" si="45"/>
        <v>0</v>
      </c>
      <c r="S93" s="162">
        <f t="shared" si="46"/>
        <v>0</v>
      </c>
      <c r="U93" s="76">
        <v>235</v>
      </c>
      <c r="V93" s="156">
        <f t="shared" si="47"/>
        <v>9481.69</v>
      </c>
      <c r="W93" s="160">
        <f t="shared" si="48"/>
        <v>2.5414499675018843E-2</v>
      </c>
      <c r="X93" s="76">
        <v>1690</v>
      </c>
      <c r="Y93" s="156">
        <f t="shared" si="49"/>
        <v>11171.69</v>
      </c>
      <c r="Z93" s="160">
        <f t="shared" si="50"/>
        <v>0.17823826765059814</v>
      </c>
      <c r="AA93" s="76">
        <v>0</v>
      </c>
      <c r="AB93" s="156">
        <f t="shared" si="51"/>
        <v>11171.69</v>
      </c>
      <c r="AC93" s="160">
        <f t="shared" si="52"/>
        <v>0</v>
      </c>
      <c r="AD93" s="76">
        <v>3894</v>
      </c>
      <c r="AE93" s="156">
        <f t="shared" si="53"/>
        <v>15065.69</v>
      </c>
      <c r="AF93" s="160">
        <f t="shared" si="54"/>
        <v>0.34855961810612357</v>
      </c>
      <c r="AG93" s="76">
        <v>0</v>
      </c>
      <c r="AH93" s="156">
        <f t="shared" si="55"/>
        <v>15065.69</v>
      </c>
      <c r="AI93" s="160">
        <f t="shared" si="56"/>
        <v>0</v>
      </c>
      <c r="AJ93" s="152">
        <f t="shared" si="57"/>
        <v>5819</v>
      </c>
      <c r="AK93" s="162">
        <f t="shared" si="58"/>
        <v>0.12273127007481821</v>
      </c>
    </row>
    <row r="94" spans="2:37" ht="14.25" customHeight="1" outlineLevel="1" x14ac:dyDescent="0.35">
      <c r="B94" s="48" t="s">
        <v>91</v>
      </c>
      <c r="C94" s="62" t="s">
        <v>175</v>
      </c>
      <c r="D94" s="76">
        <v>1424</v>
      </c>
      <c r="E94" s="77">
        <v>11871.29</v>
      </c>
      <c r="F94" s="76"/>
      <c r="G94" s="156">
        <f t="shared" si="37"/>
        <v>11871.29</v>
      </c>
      <c r="H94" s="160">
        <f t="shared" si="38"/>
        <v>0</v>
      </c>
      <c r="I94" s="76">
        <v>353.59000000000003</v>
      </c>
      <c r="J94" s="156">
        <f t="shared" si="39"/>
        <v>12224.880000000001</v>
      </c>
      <c r="K94" s="160">
        <f t="shared" si="40"/>
        <v>2.9785305556514929E-2</v>
      </c>
      <c r="L94" s="76">
        <v>0</v>
      </c>
      <c r="M94" s="156">
        <f t="shared" si="41"/>
        <v>12224.880000000001</v>
      </c>
      <c r="N94" s="160">
        <f t="shared" si="42"/>
        <v>0</v>
      </c>
      <c r="O94" s="76">
        <v>63</v>
      </c>
      <c r="P94" s="156">
        <f t="shared" si="43"/>
        <v>12287.880000000001</v>
      </c>
      <c r="Q94" s="160">
        <f t="shared" si="59"/>
        <v>5.1534248188939277E-3</v>
      </c>
      <c r="R94" s="152">
        <f t="shared" si="45"/>
        <v>1840.5900000000001</v>
      </c>
      <c r="S94" s="162">
        <f t="shared" si="46"/>
        <v>8.6599146458432585E-3</v>
      </c>
      <c r="U94" s="76">
        <v>1981</v>
      </c>
      <c r="V94" s="156">
        <f t="shared" si="47"/>
        <v>14268.880000000001</v>
      </c>
      <c r="W94" s="160">
        <f t="shared" si="48"/>
        <v>0.16121576708105873</v>
      </c>
      <c r="X94" s="76">
        <v>723</v>
      </c>
      <c r="Y94" s="156">
        <f t="shared" si="49"/>
        <v>14991.880000000001</v>
      </c>
      <c r="Z94" s="160">
        <f t="shared" si="50"/>
        <v>5.066970918530396E-2</v>
      </c>
      <c r="AA94" s="76">
        <v>696</v>
      </c>
      <c r="AB94" s="156">
        <f t="shared" si="51"/>
        <v>15687.880000000001</v>
      </c>
      <c r="AC94" s="160">
        <f t="shared" si="52"/>
        <v>4.6425131471169723E-2</v>
      </c>
      <c r="AD94" s="76">
        <v>0</v>
      </c>
      <c r="AE94" s="156">
        <f t="shared" si="53"/>
        <v>15687.880000000001</v>
      </c>
      <c r="AF94" s="160">
        <f t="shared" si="54"/>
        <v>0</v>
      </c>
      <c r="AG94" s="76">
        <v>786</v>
      </c>
      <c r="AH94" s="156">
        <f t="shared" si="55"/>
        <v>16473.88</v>
      </c>
      <c r="AI94" s="160">
        <f t="shared" si="56"/>
        <v>5.0102372022223521E-2</v>
      </c>
      <c r="AJ94" s="152">
        <f t="shared" si="57"/>
        <v>4186</v>
      </c>
      <c r="AK94" s="162">
        <f t="shared" si="58"/>
        <v>3.6576844459691005E-2</v>
      </c>
    </row>
    <row r="95" spans="2:37" ht="14.25" customHeight="1" outlineLevel="1" x14ac:dyDescent="0.35">
      <c r="B95" s="48" t="s">
        <v>92</v>
      </c>
      <c r="C95" s="62" t="s">
        <v>175</v>
      </c>
      <c r="D95" s="76">
        <v>2223.6</v>
      </c>
      <c r="E95" s="77">
        <v>35339.57</v>
      </c>
      <c r="F95" s="76">
        <v>12304</v>
      </c>
      <c r="G95" s="156">
        <f t="shared" si="37"/>
        <v>47643.57</v>
      </c>
      <c r="H95" s="160">
        <f t="shared" si="38"/>
        <v>0.348164960694202</v>
      </c>
      <c r="I95" s="76">
        <v>11030</v>
      </c>
      <c r="J95" s="156">
        <f t="shared" si="39"/>
        <v>58673.57</v>
      </c>
      <c r="K95" s="160">
        <f t="shared" si="40"/>
        <v>0.23151077889419286</v>
      </c>
      <c r="L95" s="76">
        <v>0</v>
      </c>
      <c r="M95" s="156">
        <f t="shared" si="41"/>
        <v>58673.57</v>
      </c>
      <c r="N95" s="160">
        <f t="shared" si="42"/>
        <v>0</v>
      </c>
      <c r="O95" s="76">
        <v>4908.5</v>
      </c>
      <c r="P95" s="156">
        <f t="shared" si="43"/>
        <v>63582.07</v>
      </c>
      <c r="Q95" s="160">
        <f t="shared" si="59"/>
        <v>8.3657769588589892E-2</v>
      </c>
      <c r="R95" s="152">
        <f t="shared" si="45"/>
        <v>30466.1</v>
      </c>
      <c r="S95" s="162">
        <f t="shared" si="46"/>
        <v>0.15815943759882733</v>
      </c>
      <c r="U95" s="76">
        <v>252</v>
      </c>
      <c r="V95" s="156">
        <f t="shared" si="47"/>
        <v>63834.07</v>
      </c>
      <c r="W95" s="160">
        <f t="shared" si="48"/>
        <v>3.9633815004764712E-3</v>
      </c>
      <c r="X95" s="76">
        <v>2410</v>
      </c>
      <c r="Y95" s="156">
        <f t="shared" si="49"/>
        <v>66244.070000000007</v>
      </c>
      <c r="Z95" s="160">
        <f t="shared" si="50"/>
        <v>3.7754133490156702E-2</v>
      </c>
      <c r="AA95" s="76">
        <v>2521</v>
      </c>
      <c r="AB95" s="156">
        <f t="shared" si="51"/>
        <v>68765.070000000007</v>
      </c>
      <c r="AC95" s="160">
        <f t="shared" si="52"/>
        <v>3.8056236580874328E-2</v>
      </c>
      <c r="AD95" s="76">
        <v>0</v>
      </c>
      <c r="AE95" s="156">
        <f t="shared" si="53"/>
        <v>68765.070000000007</v>
      </c>
      <c r="AF95" s="160">
        <f t="shared" si="54"/>
        <v>0</v>
      </c>
      <c r="AG95" s="76">
        <v>973</v>
      </c>
      <c r="AH95" s="156">
        <f t="shared" si="55"/>
        <v>69738.070000000007</v>
      </c>
      <c r="AI95" s="160">
        <f t="shared" si="56"/>
        <v>1.414962567477936E-2</v>
      </c>
      <c r="AJ95" s="152">
        <f t="shared" si="57"/>
        <v>6156</v>
      </c>
      <c r="AK95" s="162">
        <f t="shared" si="58"/>
        <v>2.2361171959958126E-2</v>
      </c>
    </row>
    <row r="96" spans="2:37" ht="14.25" customHeight="1" outlineLevel="1" x14ac:dyDescent="0.35">
      <c r="B96" s="48" t="s">
        <v>93</v>
      </c>
      <c r="C96" s="62" t="s">
        <v>175</v>
      </c>
      <c r="D96" s="76">
        <v>4372.5</v>
      </c>
      <c r="E96" s="77">
        <v>25808.894999999997</v>
      </c>
      <c r="F96" s="76">
        <v>9446.1299999999992</v>
      </c>
      <c r="G96" s="156">
        <f t="shared" si="37"/>
        <v>35255.024999999994</v>
      </c>
      <c r="H96" s="160">
        <f t="shared" si="38"/>
        <v>0.36600288388944968</v>
      </c>
      <c r="I96" s="76">
        <v>10090.42</v>
      </c>
      <c r="J96" s="156">
        <f t="shared" si="39"/>
        <v>45345.444999999992</v>
      </c>
      <c r="K96" s="160">
        <f t="shared" si="40"/>
        <v>0.28621224917582672</v>
      </c>
      <c r="L96" s="76">
        <v>0</v>
      </c>
      <c r="M96" s="156">
        <f t="shared" si="41"/>
        <v>45345.444999999992</v>
      </c>
      <c r="N96" s="160">
        <f t="shared" si="42"/>
        <v>0</v>
      </c>
      <c r="O96" s="76">
        <v>2870.55</v>
      </c>
      <c r="P96" s="156">
        <f t="shared" si="43"/>
        <v>48215.994999999995</v>
      </c>
      <c r="Q96" s="160">
        <f t="shared" si="59"/>
        <v>6.3304042997042009E-2</v>
      </c>
      <c r="R96" s="152">
        <f t="shared" si="45"/>
        <v>26779.599999999999</v>
      </c>
      <c r="S96" s="162">
        <f t="shared" si="46"/>
        <v>0.16911014912022027</v>
      </c>
      <c r="U96" s="76">
        <v>856</v>
      </c>
      <c r="V96" s="156">
        <f t="shared" si="47"/>
        <v>49071.994999999995</v>
      </c>
      <c r="W96" s="160">
        <f t="shared" si="48"/>
        <v>1.7753444681583363E-2</v>
      </c>
      <c r="X96" s="76">
        <v>2047</v>
      </c>
      <c r="Y96" s="156">
        <f t="shared" si="49"/>
        <v>51118.994999999995</v>
      </c>
      <c r="Z96" s="160">
        <f t="shared" si="50"/>
        <v>4.171422009641141E-2</v>
      </c>
      <c r="AA96" s="76">
        <v>6751</v>
      </c>
      <c r="AB96" s="156">
        <f t="shared" si="51"/>
        <v>57869.994999999995</v>
      </c>
      <c r="AC96" s="160">
        <f t="shared" si="52"/>
        <v>0.13206441167319508</v>
      </c>
      <c r="AD96" s="76">
        <v>2147</v>
      </c>
      <c r="AE96" s="156">
        <f t="shared" si="53"/>
        <v>60016.994999999995</v>
      </c>
      <c r="AF96" s="160">
        <f t="shared" si="54"/>
        <v>3.7100400648038767E-2</v>
      </c>
      <c r="AG96" s="76">
        <v>2075</v>
      </c>
      <c r="AH96" s="156">
        <f t="shared" si="55"/>
        <v>62091.994999999995</v>
      </c>
      <c r="AI96" s="160">
        <f t="shared" si="56"/>
        <v>3.457354037802126E-2</v>
      </c>
      <c r="AJ96" s="152">
        <f t="shared" si="57"/>
        <v>13876</v>
      </c>
      <c r="AK96" s="162">
        <f t="shared" si="58"/>
        <v>6.0597196645448381E-2</v>
      </c>
    </row>
    <row r="97" spans="2:37" ht="14.25" customHeight="1" outlineLevel="1" x14ac:dyDescent="0.35">
      <c r="B97" s="48" t="s">
        <v>94</v>
      </c>
      <c r="C97" s="62" t="s">
        <v>175</v>
      </c>
      <c r="D97" s="76">
        <v>1162.3</v>
      </c>
      <c r="E97" s="77">
        <v>76643.010000000009</v>
      </c>
      <c r="F97" s="76">
        <v>386</v>
      </c>
      <c r="G97" s="156">
        <f t="shared" si="37"/>
        <v>77029.010000000009</v>
      </c>
      <c r="H97" s="160">
        <f t="shared" si="38"/>
        <v>5.0363366470079912E-3</v>
      </c>
      <c r="I97" s="76">
        <v>1599.5</v>
      </c>
      <c r="J97" s="156">
        <f t="shared" si="39"/>
        <v>78628.510000000009</v>
      </c>
      <c r="K97" s="160">
        <f t="shared" si="40"/>
        <v>2.0764904027716309E-2</v>
      </c>
      <c r="L97" s="76">
        <v>69.900000000000006</v>
      </c>
      <c r="M97" s="156">
        <f t="shared" si="41"/>
        <v>78698.41</v>
      </c>
      <c r="N97" s="160">
        <f t="shared" si="42"/>
        <v>8.8899052010516508E-4</v>
      </c>
      <c r="O97" s="76">
        <v>4945.8999999999996</v>
      </c>
      <c r="P97" s="156">
        <f t="shared" si="43"/>
        <v>83644.31</v>
      </c>
      <c r="Q97" s="160">
        <f t="shared" si="59"/>
        <v>6.2846250642166646E-2</v>
      </c>
      <c r="R97" s="152">
        <f t="shared" si="45"/>
        <v>8163.6</v>
      </c>
      <c r="S97" s="162">
        <f t="shared" si="46"/>
        <v>2.2094291272586553E-2</v>
      </c>
      <c r="U97" s="76">
        <v>117</v>
      </c>
      <c r="V97" s="156">
        <f t="shared" si="47"/>
        <v>83761.31</v>
      </c>
      <c r="W97" s="160">
        <f t="shared" si="48"/>
        <v>1.3987801441604337E-3</v>
      </c>
      <c r="X97" s="76">
        <v>3837</v>
      </c>
      <c r="Y97" s="156">
        <f t="shared" si="49"/>
        <v>87598.31</v>
      </c>
      <c r="Z97" s="160">
        <f t="shared" si="50"/>
        <v>4.5808739142212555E-2</v>
      </c>
      <c r="AA97" s="76">
        <v>2657</v>
      </c>
      <c r="AB97" s="156">
        <f t="shared" si="51"/>
        <v>90255.31</v>
      </c>
      <c r="AC97" s="160">
        <f t="shared" si="52"/>
        <v>3.0331635393422544E-2</v>
      </c>
      <c r="AD97" s="76">
        <v>3717</v>
      </c>
      <c r="AE97" s="156">
        <f t="shared" si="53"/>
        <v>93972.31</v>
      </c>
      <c r="AF97" s="160">
        <f t="shared" si="54"/>
        <v>4.1183172491457844E-2</v>
      </c>
      <c r="AG97" s="76">
        <v>2614</v>
      </c>
      <c r="AH97" s="156">
        <f t="shared" si="55"/>
        <v>96586.31</v>
      </c>
      <c r="AI97" s="160">
        <f t="shared" si="56"/>
        <v>2.7816704729297387E-2</v>
      </c>
      <c r="AJ97" s="152">
        <f t="shared" si="57"/>
        <v>12942</v>
      </c>
      <c r="AK97" s="162">
        <f t="shared" si="58"/>
        <v>3.6258315037017264E-2</v>
      </c>
    </row>
    <row r="98" spans="2:37" ht="14.25" customHeight="1" outlineLevel="1" x14ac:dyDescent="0.35">
      <c r="B98" s="48" t="s">
        <v>95</v>
      </c>
      <c r="C98" s="62" t="s">
        <v>175</v>
      </c>
      <c r="D98" s="76">
        <v>1526.6</v>
      </c>
      <c r="E98" s="77">
        <v>40250.22</v>
      </c>
      <c r="F98" s="76">
        <v>1509</v>
      </c>
      <c r="G98" s="156">
        <f t="shared" si="37"/>
        <v>41759.22</v>
      </c>
      <c r="H98" s="160">
        <f t="shared" si="38"/>
        <v>3.7490478312913571E-2</v>
      </c>
      <c r="I98" s="76">
        <v>5555.3</v>
      </c>
      <c r="J98" s="156">
        <f t="shared" si="39"/>
        <v>47314.520000000004</v>
      </c>
      <c r="K98" s="160">
        <f t="shared" si="40"/>
        <v>0.13303169934687484</v>
      </c>
      <c r="L98" s="76">
        <v>1117.9000000000001</v>
      </c>
      <c r="M98" s="156">
        <f t="shared" si="41"/>
        <v>48432.420000000006</v>
      </c>
      <c r="N98" s="160">
        <f t="shared" si="42"/>
        <v>2.362699653298821E-2</v>
      </c>
      <c r="O98" s="76">
        <v>1602.8</v>
      </c>
      <c r="P98" s="156">
        <f t="shared" si="43"/>
        <v>50035.220000000008</v>
      </c>
      <c r="Q98" s="160">
        <f t="shared" si="59"/>
        <v>3.309353528070666E-2</v>
      </c>
      <c r="R98" s="152">
        <f t="shared" si="45"/>
        <v>11311.599999999999</v>
      </c>
      <c r="S98" s="162">
        <f t="shared" si="46"/>
        <v>5.5909965748813129E-2</v>
      </c>
      <c r="U98" s="76">
        <v>199</v>
      </c>
      <c r="V98" s="156">
        <f t="shared" si="47"/>
        <v>50234.220000000008</v>
      </c>
      <c r="W98" s="160">
        <f t="shared" si="48"/>
        <v>3.9771984614037862E-3</v>
      </c>
      <c r="X98" s="76">
        <v>1385</v>
      </c>
      <c r="Y98" s="156">
        <f t="shared" si="49"/>
        <v>51619.220000000008</v>
      </c>
      <c r="Z98" s="160">
        <f t="shared" si="50"/>
        <v>2.7570847123733578E-2</v>
      </c>
      <c r="AA98" s="76">
        <v>2287</v>
      </c>
      <c r="AB98" s="156">
        <f t="shared" si="51"/>
        <v>53906.220000000008</v>
      </c>
      <c r="AC98" s="160">
        <f t="shared" si="52"/>
        <v>4.4305202597017153E-2</v>
      </c>
      <c r="AD98" s="76">
        <v>2484</v>
      </c>
      <c r="AE98" s="156">
        <f t="shared" si="53"/>
        <v>56390.220000000008</v>
      </c>
      <c r="AF98" s="160">
        <f t="shared" si="54"/>
        <v>4.6080025644536005E-2</v>
      </c>
      <c r="AG98" s="76">
        <v>0</v>
      </c>
      <c r="AH98" s="156">
        <f t="shared" si="55"/>
        <v>56390.220000000008</v>
      </c>
      <c r="AI98" s="160">
        <f t="shared" si="56"/>
        <v>0</v>
      </c>
      <c r="AJ98" s="152">
        <f t="shared" si="57"/>
        <v>6355</v>
      </c>
      <c r="AK98" s="162">
        <f t="shared" si="58"/>
        <v>2.9321469682441981E-2</v>
      </c>
    </row>
    <row r="99" spans="2:37" ht="14.25" customHeight="1" outlineLevel="1" x14ac:dyDescent="0.35">
      <c r="B99" s="48" t="s">
        <v>96</v>
      </c>
      <c r="C99" s="62" t="s">
        <v>175</v>
      </c>
      <c r="D99" s="76">
        <v>162</v>
      </c>
      <c r="E99" s="77">
        <v>26322.03</v>
      </c>
      <c r="F99" s="76"/>
      <c r="G99" s="156">
        <f t="shared" si="37"/>
        <v>26322.03</v>
      </c>
      <c r="H99" s="160">
        <f t="shared" si="38"/>
        <v>0</v>
      </c>
      <c r="I99" s="76">
        <v>293</v>
      </c>
      <c r="J99" s="156">
        <f t="shared" si="39"/>
        <v>26615.03</v>
      </c>
      <c r="K99" s="160">
        <f t="shared" si="40"/>
        <v>1.1131360309216272E-2</v>
      </c>
      <c r="L99" s="76">
        <v>0</v>
      </c>
      <c r="M99" s="156">
        <f t="shared" si="41"/>
        <v>26615.03</v>
      </c>
      <c r="N99" s="160">
        <f t="shared" si="42"/>
        <v>0</v>
      </c>
      <c r="O99" s="76">
        <v>1309.5</v>
      </c>
      <c r="P99" s="156">
        <f t="shared" si="43"/>
        <v>27924.53</v>
      </c>
      <c r="Q99" s="160">
        <f t="shared" si="59"/>
        <v>4.9201522598321328E-2</v>
      </c>
      <c r="R99" s="152">
        <f t="shared" si="45"/>
        <v>1764.5</v>
      </c>
      <c r="S99" s="162">
        <f t="shared" si="46"/>
        <v>1.4884507919356471E-2</v>
      </c>
      <c r="U99" s="76">
        <v>0</v>
      </c>
      <c r="V99" s="156">
        <f t="shared" si="47"/>
        <v>27924.53</v>
      </c>
      <c r="W99" s="160">
        <f t="shared" si="48"/>
        <v>0</v>
      </c>
      <c r="X99" s="76">
        <v>964</v>
      </c>
      <c r="Y99" s="156">
        <f t="shared" si="49"/>
        <v>28888.53</v>
      </c>
      <c r="Z99" s="160">
        <f t="shared" si="50"/>
        <v>3.452161952233395E-2</v>
      </c>
      <c r="AA99" s="76">
        <v>1496</v>
      </c>
      <c r="AB99" s="156">
        <f t="shared" si="51"/>
        <v>30384.53</v>
      </c>
      <c r="AC99" s="160">
        <f t="shared" si="52"/>
        <v>5.1785258716867906E-2</v>
      </c>
      <c r="AD99" s="76">
        <v>0</v>
      </c>
      <c r="AE99" s="156">
        <f t="shared" si="53"/>
        <v>30384.53</v>
      </c>
      <c r="AF99" s="160">
        <f t="shared" si="54"/>
        <v>0</v>
      </c>
      <c r="AG99" s="76">
        <v>973</v>
      </c>
      <c r="AH99" s="156">
        <f t="shared" si="55"/>
        <v>31357.53</v>
      </c>
      <c r="AI99" s="160">
        <f t="shared" si="56"/>
        <v>3.2022874798458292E-2</v>
      </c>
      <c r="AJ99" s="152">
        <f t="shared" si="57"/>
        <v>3433</v>
      </c>
      <c r="AK99" s="162">
        <f t="shared" si="58"/>
        <v>2.9411447676780167E-2</v>
      </c>
    </row>
    <row r="100" spans="2:37" ht="14.25" customHeight="1" outlineLevel="1" x14ac:dyDescent="0.35">
      <c r="B100" s="48" t="s">
        <v>97</v>
      </c>
      <c r="C100" s="62" t="s">
        <v>175</v>
      </c>
      <c r="D100" s="76">
        <v>4195.5</v>
      </c>
      <c r="E100" s="77">
        <v>87699.625</v>
      </c>
      <c r="F100" s="76">
        <v>422</v>
      </c>
      <c r="G100" s="156">
        <f t="shared" si="37"/>
        <v>88121.625</v>
      </c>
      <c r="H100" s="160">
        <f t="shared" si="38"/>
        <v>4.8118791842040372E-3</v>
      </c>
      <c r="I100" s="76">
        <v>6433.5</v>
      </c>
      <c r="J100" s="156">
        <f t="shared" si="39"/>
        <v>94555.125</v>
      </c>
      <c r="K100" s="160">
        <f t="shared" si="40"/>
        <v>7.3007051333880871E-2</v>
      </c>
      <c r="L100" s="76">
        <v>216.5</v>
      </c>
      <c r="M100" s="156">
        <f t="shared" si="41"/>
        <v>94771.625</v>
      </c>
      <c r="N100" s="160">
        <f t="shared" si="42"/>
        <v>2.2896696503759049E-3</v>
      </c>
      <c r="O100" s="76">
        <v>2998.9799999999996</v>
      </c>
      <c r="P100" s="156">
        <f t="shared" si="43"/>
        <v>97770.604999999996</v>
      </c>
      <c r="Q100" s="160">
        <f t="shared" si="59"/>
        <v>3.1644281714067857E-2</v>
      </c>
      <c r="R100" s="152">
        <f t="shared" si="45"/>
        <v>14266.48</v>
      </c>
      <c r="S100" s="162">
        <f t="shared" si="46"/>
        <v>2.7549238083055982E-2</v>
      </c>
      <c r="U100" s="76">
        <v>1211</v>
      </c>
      <c r="V100" s="156">
        <f t="shared" si="47"/>
        <v>98981.604999999996</v>
      </c>
      <c r="W100" s="160">
        <f t="shared" si="48"/>
        <v>1.2386135894321203E-2</v>
      </c>
      <c r="X100" s="76">
        <v>4806</v>
      </c>
      <c r="Y100" s="156">
        <f t="shared" si="49"/>
        <v>103787.605</v>
      </c>
      <c r="Z100" s="160">
        <f t="shared" si="50"/>
        <v>4.8554476359521551E-2</v>
      </c>
      <c r="AA100" s="76">
        <v>631</v>
      </c>
      <c r="AB100" s="156">
        <f t="shared" si="51"/>
        <v>104418.605</v>
      </c>
      <c r="AC100" s="160">
        <f t="shared" si="52"/>
        <v>6.0797240672429047E-3</v>
      </c>
      <c r="AD100" s="76">
        <v>0</v>
      </c>
      <c r="AE100" s="156">
        <f t="shared" si="53"/>
        <v>104418.605</v>
      </c>
      <c r="AF100" s="160">
        <f t="shared" si="54"/>
        <v>0</v>
      </c>
      <c r="AG100" s="76">
        <v>4719</v>
      </c>
      <c r="AH100" s="156">
        <f t="shared" si="55"/>
        <v>109137.605</v>
      </c>
      <c r="AI100" s="160">
        <f t="shared" si="56"/>
        <v>4.5193095617395006E-2</v>
      </c>
      <c r="AJ100" s="152">
        <f t="shared" si="57"/>
        <v>11367</v>
      </c>
      <c r="AK100" s="162">
        <f t="shared" si="58"/>
        <v>2.4719455431472248E-2</v>
      </c>
    </row>
    <row r="101" spans="2:37" ht="14.25" customHeight="1" outlineLevel="1" x14ac:dyDescent="0.35">
      <c r="B101" s="48" t="s">
        <v>98</v>
      </c>
      <c r="C101" s="62" t="s">
        <v>175</v>
      </c>
      <c r="D101" s="76">
        <v>354</v>
      </c>
      <c r="E101" s="77">
        <v>41613.370000000003</v>
      </c>
      <c r="F101" s="76"/>
      <c r="G101" s="156">
        <f t="shared" si="37"/>
        <v>41613.370000000003</v>
      </c>
      <c r="H101" s="160">
        <f t="shared" si="38"/>
        <v>0</v>
      </c>
      <c r="I101" s="76">
        <v>75</v>
      </c>
      <c r="J101" s="156">
        <f t="shared" si="39"/>
        <v>41688.370000000003</v>
      </c>
      <c r="K101" s="160">
        <f t="shared" si="40"/>
        <v>1.8023053648382717E-3</v>
      </c>
      <c r="L101" s="76">
        <v>188</v>
      </c>
      <c r="M101" s="156">
        <f t="shared" si="41"/>
        <v>41876.370000000003</v>
      </c>
      <c r="N101" s="160">
        <f t="shared" si="42"/>
        <v>4.5096510129803589E-3</v>
      </c>
      <c r="O101" s="76">
        <v>2866.3</v>
      </c>
      <c r="P101" s="156">
        <f t="shared" si="43"/>
        <v>44742.670000000006</v>
      </c>
      <c r="Q101" s="160">
        <f t="shared" si="59"/>
        <v>6.8446715892518925E-2</v>
      </c>
      <c r="R101" s="152">
        <f t="shared" si="45"/>
        <v>3483.3</v>
      </c>
      <c r="S101" s="162">
        <f t="shared" si="46"/>
        <v>1.8291813353498609E-2</v>
      </c>
      <c r="U101" s="76">
        <v>356</v>
      </c>
      <c r="V101" s="156">
        <f t="shared" si="47"/>
        <v>45098.670000000006</v>
      </c>
      <c r="W101" s="160">
        <f t="shared" si="48"/>
        <v>7.9566105464872784E-3</v>
      </c>
      <c r="X101" s="76">
        <v>3901</v>
      </c>
      <c r="Y101" s="156">
        <f t="shared" si="49"/>
        <v>48999.670000000006</v>
      </c>
      <c r="Z101" s="160">
        <f t="shared" si="50"/>
        <v>8.6499224921710541E-2</v>
      </c>
      <c r="AA101" s="76">
        <v>3133</v>
      </c>
      <c r="AB101" s="156">
        <f t="shared" si="51"/>
        <v>52132.670000000006</v>
      </c>
      <c r="AC101" s="160">
        <f t="shared" si="52"/>
        <v>6.3939206121184075E-2</v>
      </c>
      <c r="AD101" s="76">
        <v>2847</v>
      </c>
      <c r="AE101" s="156">
        <f t="shared" si="53"/>
        <v>54979.670000000006</v>
      </c>
      <c r="AF101" s="160">
        <f t="shared" si="54"/>
        <v>5.4610669278976114E-2</v>
      </c>
      <c r="AG101" s="76">
        <v>3700</v>
      </c>
      <c r="AH101" s="156">
        <f t="shared" si="55"/>
        <v>58679.670000000006</v>
      </c>
      <c r="AI101" s="160">
        <f t="shared" si="56"/>
        <v>6.7297602913949817E-2</v>
      </c>
      <c r="AJ101" s="152">
        <f t="shared" si="57"/>
        <v>13937</v>
      </c>
      <c r="AK101" s="162">
        <f t="shared" si="58"/>
        <v>6.8023926494041653E-2</v>
      </c>
    </row>
    <row r="102" spans="2:37" ht="14.25" customHeight="1" outlineLevel="1" x14ac:dyDescent="0.35">
      <c r="B102" s="48" t="s">
        <v>99</v>
      </c>
      <c r="C102" s="62" t="s">
        <v>175</v>
      </c>
      <c r="D102" s="76">
        <v>8431.4600000000009</v>
      </c>
      <c r="E102" s="77">
        <v>173335.33000000002</v>
      </c>
      <c r="F102" s="76">
        <v>13897.169999999996</v>
      </c>
      <c r="G102" s="156">
        <f t="shared" si="37"/>
        <v>187232.5</v>
      </c>
      <c r="H102" s="160">
        <f t="shared" si="38"/>
        <v>8.0175057214244685E-2</v>
      </c>
      <c r="I102" s="76">
        <v>16426.48</v>
      </c>
      <c r="J102" s="156">
        <f t="shared" si="39"/>
        <v>203658.98</v>
      </c>
      <c r="K102" s="160">
        <f t="shared" si="40"/>
        <v>8.7733059164407948E-2</v>
      </c>
      <c r="L102" s="76">
        <v>3631.3</v>
      </c>
      <c r="M102" s="156">
        <f t="shared" si="41"/>
        <v>207290.28</v>
      </c>
      <c r="N102" s="160">
        <f t="shared" si="42"/>
        <v>1.7830296508408262E-2</v>
      </c>
      <c r="O102" s="76">
        <v>7817.04</v>
      </c>
      <c r="P102" s="156">
        <f t="shared" si="43"/>
        <v>215107.32</v>
      </c>
      <c r="Q102" s="160">
        <f t="shared" si="59"/>
        <v>3.7710595981635071E-2</v>
      </c>
      <c r="R102" s="152">
        <f t="shared" si="45"/>
        <v>50203.450000000004</v>
      </c>
      <c r="S102" s="162">
        <f t="shared" si="46"/>
        <v>5.546059656709601E-2</v>
      </c>
      <c r="U102" s="76">
        <v>3659</v>
      </c>
      <c r="V102" s="156">
        <f t="shared" si="47"/>
        <v>218766.32</v>
      </c>
      <c r="W102" s="160">
        <f t="shared" si="48"/>
        <v>1.701011383527069E-2</v>
      </c>
      <c r="X102" s="76">
        <v>4891</v>
      </c>
      <c r="Y102" s="156">
        <f t="shared" si="49"/>
        <v>223657.32</v>
      </c>
      <c r="Z102" s="160">
        <f t="shared" si="50"/>
        <v>2.2357189168789784E-2</v>
      </c>
      <c r="AA102" s="76">
        <v>3815</v>
      </c>
      <c r="AB102" s="156">
        <f t="shared" si="51"/>
        <v>227472.32</v>
      </c>
      <c r="AC102" s="160">
        <f t="shared" si="52"/>
        <v>1.7057344691423469E-2</v>
      </c>
      <c r="AD102" s="76">
        <v>9179</v>
      </c>
      <c r="AE102" s="156">
        <f t="shared" si="53"/>
        <v>236651.32</v>
      </c>
      <c r="AF102" s="160">
        <f t="shared" si="54"/>
        <v>4.035216240815586E-2</v>
      </c>
      <c r="AG102" s="76">
        <v>1423</v>
      </c>
      <c r="AH102" s="156">
        <f t="shared" si="55"/>
        <v>238074.32</v>
      </c>
      <c r="AI102" s="160">
        <f t="shared" si="56"/>
        <v>6.0130659740245691E-3</v>
      </c>
      <c r="AJ102" s="152">
        <f t="shared" si="57"/>
        <v>22967</v>
      </c>
      <c r="AK102" s="162">
        <f t="shared" si="58"/>
        <v>2.1369824392724945E-2</v>
      </c>
    </row>
    <row r="103" spans="2:37" ht="14.25" customHeight="1" outlineLevel="1" x14ac:dyDescent="0.35">
      <c r="B103" s="48" t="s">
        <v>100</v>
      </c>
      <c r="C103" s="62" t="s">
        <v>175</v>
      </c>
      <c r="D103" s="76">
        <v>110</v>
      </c>
      <c r="E103" s="77">
        <v>27940.474999999999</v>
      </c>
      <c r="F103" s="76">
        <v>150</v>
      </c>
      <c r="G103" s="156">
        <f t="shared" si="37"/>
        <v>28090.474999999999</v>
      </c>
      <c r="H103" s="160">
        <f t="shared" si="38"/>
        <v>5.3685558316385103E-3</v>
      </c>
      <c r="I103" s="76"/>
      <c r="J103" s="156">
        <f t="shared" si="39"/>
        <v>28090.474999999999</v>
      </c>
      <c r="K103" s="160">
        <f t="shared" si="40"/>
        <v>0</v>
      </c>
      <c r="L103" s="76">
        <v>101</v>
      </c>
      <c r="M103" s="156">
        <f t="shared" si="41"/>
        <v>28191.474999999999</v>
      </c>
      <c r="N103" s="160">
        <f t="shared" si="42"/>
        <v>3.5955248175760647E-3</v>
      </c>
      <c r="O103" s="76">
        <v>2580</v>
      </c>
      <c r="P103" s="156">
        <f t="shared" si="43"/>
        <v>30771.474999999999</v>
      </c>
      <c r="Q103" s="160">
        <f t="shared" si="59"/>
        <v>9.1517027753957536E-2</v>
      </c>
      <c r="R103" s="152">
        <f t="shared" si="45"/>
        <v>2941</v>
      </c>
      <c r="S103" s="162">
        <f t="shared" si="46"/>
        <v>2.4421376560580743E-2</v>
      </c>
      <c r="U103" s="76">
        <v>394</v>
      </c>
      <c r="V103" s="156">
        <f t="shared" si="47"/>
        <v>31165.474999999999</v>
      </c>
      <c r="W103" s="160">
        <f t="shared" si="48"/>
        <v>1.2804066103428581E-2</v>
      </c>
      <c r="X103" s="76">
        <v>4042</v>
      </c>
      <c r="Y103" s="156">
        <f t="shared" si="49"/>
        <v>35207.474999999999</v>
      </c>
      <c r="Z103" s="160">
        <f t="shared" si="50"/>
        <v>0.12969479849095836</v>
      </c>
      <c r="AA103" s="76">
        <v>2435</v>
      </c>
      <c r="AB103" s="156">
        <f t="shared" si="51"/>
        <v>37642.474999999999</v>
      </c>
      <c r="AC103" s="160">
        <f t="shared" si="52"/>
        <v>6.9161449379712692E-2</v>
      </c>
      <c r="AD103" s="76">
        <v>2026</v>
      </c>
      <c r="AE103" s="156">
        <f t="shared" si="53"/>
        <v>39668.474999999999</v>
      </c>
      <c r="AF103" s="160">
        <f t="shared" si="54"/>
        <v>5.3822178270690225E-2</v>
      </c>
      <c r="AG103" s="76">
        <v>7225</v>
      </c>
      <c r="AH103" s="156">
        <f t="shared" si="55"/>
        <v>46893.474999999999</v>
      </c>
      <c r="AI103" s="160">
        <f t="shared" si="56"/>
        <v>0.18213455394995648</v>
      </c>
      <c r="AJ103" s="152">
        <f t="shared" si="57"/>
        <v>16122</v>
      </c>
      <c r="AK103" s="162">
        <f t="shared" si="58"/>
        <v>0.10754062844790013</v>
      </c>
    </row>
    <row r="104" spans="2:37" ht="14.25" customHeight="1" outlineLevel="1" x14ac:dyDescent="0.35">
      <c r="B104" s="48" t="s">
        <v>176</v>
      </c>
      <c r="C104" s="62" t="s">
        <v>175</v>
      </c>
      <c r="D104" s="76">
        <v>188.6</v>
      </c>
      <c r="E104" s="77">
        <v>18165.169999999998</v>
      </c>
      <c r="F104" s="76">
        <v>121.5</v>
      </c>
      <c r="G104" s="156">
        <f t="shared" si="37"/>
        <v>18286.669999999998</v>
      </c>
      <c r="H104" s="160">
        <f t="shared" si="38"/>
        <v>6.6886244389675409E-3</v>
      </c>
      <c r="I104" s="76"/>
      <c r="J104" s="156">
        <f t="shared" si="39"/>
        <v>18286.669999999998</v>
      </c>
      <c r="K104" s="160">
        <f t="shared" si="40"/>
        <v>0</v>
      </c>
      <c r="L104" s="76">
        <v>12.04</v>
      </c>
      <c r="M104" s="156">
        <f t="shared" si="41"/>
        <v>18298.71</v>
      </c>
      <c r="N104" s="160">
        <f t="shared" si="42"/>
        <v>6.5840308815114362E-4</v>
      </c>
      <c r="O104" s="76">
        <v>423.2</v>
      </c>
      <c r="P104" s="156">
        <f t="shared" si="43"/>
        <v>18721.91</v>
      </c>
      <c r="Q104" s="160"/>
      <c r="R104" s="152">
        <f t="shared" si="45"/>
        <v>745.34</v>
      </c>
      <c r="S104" s="162">
        <f t="shared" si="46"/>
        <v>7.5756691437631751E-3</v>
      </c>
      <c r="U104" s="76">
        <v>0</v>
      </c>
      <c r="V104" s="156">
        <f t="shared" si="47"/>
        <v>18721.91</v>
      </c>
      <c r="W104" s="160">
        <f t="shared" si="48"/>
        <v>0</v>
      </c>
      <c r="X104" s="76">
        <v>0</v>
      </c>
      <c r="Y104" s="156">
        <f t="shared" si="49"/>
        <v>18721.91</v>
      </c>
      <c r="Z104" s="160">
        <f t="shared" si="50"/>
        <v>0</v>
      </c>
      <c r="AA104" s="76">
        <v>0</v>
      </c>
      <c r="AB104" s="156">
        <f t="shared" si="51"/>
        <v>18721.91</v>
      </c>
      <c r="AC104" s="160">
        <f t="shared" si="52"/>
        <v>0</v>
      </c>
      <c r="AD104" s="76">
        <v>0</v>
      </c>
      <c r="AE104" s="156">
        <f t="shared" si="53"/>
        <v>18721.91</v>
      </c>
      <c r="AF104" s="160">
        <f t="shared" si="54"/>
        <v>0</v>
      </c>
      <c r="AG104" s="76">
        <v>0</v>
      </c>
      <c r="AH104" s="156">
        <f t="shared" si="55"/>
        <v>18721.91</v>
      </c>
      <c r="AI104" s="160">
        <f t="shared" si="56"/>
        <v>0</v>
      </c>
      <c r="AJ104" s="152">
        <f t="shared" si="57"/>
        <v>0</v>
      </c>
      <c r="AK104" s="162">
        <f t="shared" si="58"/>
        <v>0</v>
      </c>
    </row>
    <row r="105" spans="2:37" ht="14.25" customHeight="1" outlineLevel="1" x14ac:dyDescent="0.35">
      <c r="B105" s="48" t="s">
        <v>102</v>
      </c>
      <c r="C105" s="62" t="s">
        <v>175</v>
      </c>
      <c r="D105" s="76">
        <v>1226.46</v>
      </c>
      <c r="E105" s="77">
        <v>56341.67</v>
      </c>
      <c r="F105" s="76">
        <v>1247.0999999999999</v>
      </c>
      <c r="G105" s="156">
        <f t="shared" si="37"/>
        <v>57588.77</v>
      </c>
      <c r="H105" s="160">
        <f t="shared" si="38"/>
        <v>2.2134594164496698E-2</v>
      </c>
      <c r="I105" s="76"/>
      <c r="J105" s="156">
        <f t="shared" si="39"/>
        <v>57588.77</v>
      </c>
      <c r="K105" s="160">
        <f t="shared" si="40"/>
        <v>0</v>
      </c>
      <c r="L105" s="76">
        <v>527.5</v>
      </c>
      <c r="M105" s="156">
        <f t="shared" si="41"/>
        <v>58116.27</v>
      </c>
      <c r="N105" s="160">
        <f t="shared" si="42"/>
        <v>9.1597719485934509E-3</v>
      </c>
      <c r="O105" s="76">
        <v>1001.5</v>
      </c>
      <c r="P105" s="156">
        <f t="shared" si="43"/>
        <v>59117.77</v>
      </c>
      <c r="Q105" s="160">
        <f>IFERROR((P105-M105)/M105,0)</f>
        <v>1.7232695766607183E-2</v>
      </c>
      <c r="R105" s="152">
        <f t="shared" si="45"/>
        <v>4002.56</v>
      </c>
      <c r="S105" s="162">
        <f t="shared" si="46"/>
        <v>1.2096870519384018E-2</v>
      </c>
      <c r="U105" s="76">
        <v>213</v>
      </c>
      <c r="V105" s="156">
        <f t="shared" si="47"/>
        <v>59330.77</v>
      </c>
      <c r="W105" s="160">
        <f t="shared" si="48"/>
        <v>3.6029775818675167E-3</v>
      </c>
      <c r="X105" s="76">
        <v>0</v>
      </c>
      <c r="Y105" s="156">
        <f t="shared" si="49"/>
        <v>59330.77</v>
      </c>
      <c r="Z105" s="160">
        <f t="shared" si="50"/>
        <v>0</v>
      </c>
      <c r="AA105" s="76">
        <v>631</v>
      </c>
      <c r="AB105" s="156">
        <f t="shared" si="51"/>
        <v>59961.77</v>
      </c>
      <c r="AC105" s="160">
        <f t="shared" si="52"/>
        <v>1.0635290929141826E-2</v>
      </c>
      <c r="AD105" s="76">
        <v>0</v>
      </c>
      <c r="AE105" s="156">
        <f t="shared" si="53"/>
        <v>59961.77</v>
      </c>
      <c r="AF105" s="160">
        <f t="shared" si="54"/>
        <v>0</v>
      </c>
      <c r="AG105" s="76">
        <v>0</v>
      </c>
      <c r="AH105" s="156">
        <f t="shared" si="55"/>
        <v>59961.77</v>
      </c>
      <c r="AI105" s="160">
        <f t="shared" si="56"/>
        <v>0</v>
      </c>
      <c r="AJ105" s="152">
        <f t="shared" si="57"/>
        <v>844</v>
      </c>
      <c r="AK105" s="162">
        <f t="shared" si="58"/>
        <v>2.6482840340040781E-3</v>
      </c>
    </row>
    <row r="106" spans="2:37" ht="14.15" customHeight="1" outlineLevel="1" x14ac:dyDescent="0.35">
      <c r="B106" s="48" t="s">
        <v>103</v>
      </c>
      <c r="C106" s="62" t="s">
        <v>175</v>
      </c>
      <c r="D106" s="76">
        <v>13.6</v>
      </c>
      <c r="E106" s="77">
        <v>6994.6750000000002</v>
      </c>
      <c r="F106" s="76">
        <v>546.4</v>
      </c>
      <c r="G106" s="156">
        <f t="shared" si="37"/>
        <v>7541.0749999999998</v>
      </c>
      <c r="H106" s="160">
        <f t="shared" si="38"/>
        <v>7.8116567245797644E-2</v>
      </c>
      <c r="I106" s="76"/>
      <c r="J106" s="156">
        <f t="shared" si="39"/>
        <v>7541.0749999999998</v>
      </c>
      <c r="K106" s="160">
        <f t="shared" si="40"/>
        <v>0</v>
      </c>
      <c r="L106" s="76">
        <v>0</v>
      </c>
      <c r="M106" s="156">
        <f t="shared" si="41"/>
        <v>7541.0749999999998</v>
      </c>
      <c r="N106" s="160">
        <f t="shared" si="42"/>
        <v>0</v>
      </c>
      <c r="O106" s="76">
        <v>0</v>
      </c>
      <c r="P106" s="156">
        <f t="shared" si="43"/>
        <v>7541.0749999999998</v>
      </c>
      <c r="Q106" s="160"/>
      <c r="R106" s="152">
        <f t="shared" si="45"/>
        <v>560</v>
      </c>
      <c r="S106" s="162">
        <f t="shared" si="46"/>
        <v>1.8981806569472015E-2</v>
      </c>
      <c r="U106" s="76">
        <v>0</v>
      </c>
      <c r="V106" s="156">
        <f t="shared" si="47"/>
        <v>7541.0749999999998</v>
      </c>
      <c r="W106" s="160">
        <f t="shared" si="48"/>
        <v>0</v>
      </c>
      <c r="X106" s="76">
        <v>0</v>
      </c>
      <c r="Y106" s="156">
        <f t="shared" si="49"/>
        <v>7541.0749999999998</v>
      </c>
      <c r="Z106" s="160">
        <f t="shared" si="50"/>
        <v>0</v>
      </c>
      <c r="AA106" s="76">
        <v>0</v>
      </c>
      <c r="AB106" s="156">
        <f t="shared" si="51"/>
        <v>7541.0749999999998</v>
      </c>
      <c r="AC106" s="160">
        <f t="shared" si="52"/>
        <v>0</v>
      </c>
      <c r="AD106" s="76">
        <v>0</v>
      </c>
      <c r="AE106" s="156">
        <f t="shared" si="53"/>
        <v>7541.0749999999998</v>
      </c>
      <c r="AF106" s="167">
        <f>IFERROR((AE106-AB106)/AB106,0)</f>
        <v>0</v>
      </c>
      <c r="AG106" s="76">
        <v>0</v>
      </c>
      <c r="AH106" s="156">
        <f t="shared" si="55"/>
        <v>7541.0749999999998</v>
      </c>
      <c r="AI106" s="167">
        <f>IFERROR((AH106-AE106)/AE106,0)</f>
        <v>0</v>
      </c>
      <c r="AJ106" s="152">
        <f t="shared" si="57"/>
        <v>0</v>
      </c>
      <c r="AK106" s="162">
        <f t="shared" si="58"/>
        <v>0</v>
      </c>
    </row>
    <row r="107" spans="2:37" ht="14.15" customHeight="1" outlineLevel="1" x14ac:dyDescent="0.35">
      <c r="B107" s="48" t="s">
        <v>177</v>
      </c>
      <c r="C107" s="62" t="s">
        <v>175</v>
      </c>
      <c r="D107" s="76"/>
      <c r="E107" s="77"/>
      <c r="F107" s="76"/>
      <c r="G107" s="156"/>
      <c r="H107" s="160"/>
      <c r="I107" s="76"/>
      <c r="J107" s="156"/>
      <c r="K107" s="160"/>
      <c r="L107" s="76">
        <v>0</v>
      </c>
      <c r="M107" s="156"/>
      <c r="N107" s="160"/>
      <c r="O107" s="76">
        <v>0</v>
      </c>
      <c r="P107" s="156"/>
      <c r="Q107" s="160"/>
      <c r="R107" s="152"/>
      <c r="S107" s="162"/>
      <c r="U107" s="76">
        <v>0</v>
      </c>
      <c r="V107" s="156"/>
      <c r="W107" s="160"/>
      <c r="X107" s="76">
        <v>0</v>
      </c>
      <c r="Y107" s="156"/>
      <c r="Z107" s="160"/>
      <c r="AA107" s="76">
        <v>0</v>
      </c>
      <c r="AB107" s="156"/>
      <c r="AC107" s="160"/>
      <c r="AD107" s="76">
        <v>5000</v>
      </c>
      <c r="AE107" s="156">
        <f>AB107+AD107</f>
        <v>5000</v>
      </c>
      <c r="AF107" s="160">
        <f>IFERROR((AE107-AB107)/AB107,0)</f>
        <v>0</v>
      </c>
      <c r="AG107" s="76">
        <v>5000</v>
      </c>
      <c r="AH107" s="156">
        <f>AE107+AG107</f>
        <v>10000</v>
      </c>
      <c r="AI107" s="160">
        <f>IFERROR((AH107-AE107)/AE107,0)</f>
        <v>1</v>
      </c>
      <c r="AJ107" s="152">
        <f t="shared" si="57"/>
        <v>10000</v>
      </c>
      <c r="AK107" s="162">
        <f>IFERROR((AH107/V107)^(1/4)-1,0)</f>
        <v>0</v>
      </c>
    </row>
    <row r="108" spans="2:37" ht="14.25" customHeight="1" outlineLevel="1" x14ac:dyDescent="0.35">
      <c r="B108" s="48" t="s">
        <v>136</v>
      </c>
      <c r="C108" s="62" t="s">
        <v>175</v>
      </c>
      <c r="D108" s="76"/>
      <c r="E108" s="77">
        <v>0</v>
      </c>
      <c r="F108" s="76"/>
      <c r="G108" s="156">
        <f t="shared" ref="G108:G130" si="60">E108+F108</f>
        <v>0</v>
      </c>
      <c r="H108" s="160">
        <f t="shared" ref="H108:H130" si="61">IFERROR((G108-E108)/E108,0)</f>
        <v>0</v>
      </c>
      <c r="I108" s="76"/>
      <c r="J108" s="156">
        <f t="shared" ref="J108:J130" si="62">G108+I108</f>
        <v>0</v>
      </c>
      <c r="K108" s="160">
        <f t="shared" ref="K108:K130" si="63">IFERROR((J108-G108)/G108,0)</f>
        <v>0</v>
      </c>
      <c r="L108" s="76">
        <v>0</v>
      </c>
      <c r="M108" s="156">
        <f t="shared" ref="M108:M130" si="64">J108+L108</f>
        <v>0</v>
      </c>
      <c r="N108" s="160">
        <f t="shared" ref="N108:N130" si="65">IFERROR((M108-J108)/J108,0)</f>
        <v>0</v>
      </c>
      <c r="O108" s="76">
        <v>0</v>
      </c>
      <c r="P108" s="156">
        <f t="shared" ref="P108:P130" si="66">M108+O108</f>
        <v>0</v>
      </c>
      <c r="Q108" s="160">
        <f t="shared" ref="Q108:Q115" si="67">IFERROR((P108-M108)/M108,0)</f>
        <v>0</v>
      </c>
      <c r="R108" s="152">
        <f t="shared" ref="R108:R130" si="68">D108+F108+I108+L108+O108</f>
        <v>0</v>
      </c>
      <c r="S108" s="162">
        <f t="shared" ref="S108:S130" si="69">IFERROR((P108/E108)^(1/4)-1,0)</f>
        <v>0</v>
      </c>
      <c r="U108" s="76">
        <v>0</v>
      </c>
      <c r="V108" s="156">
        <f t="shared" si="47"/>
        <v>0</v>
      </c>
      <c r="W108" s="160">
        <f t="shared" si="48"/>
        <v>0</v>
      </c>
      <c r="X108" s="76">
        <v>0</v>
      </c>
      <c r="Y108" s="156">
        <f t="shared" si="49"/>
        <v>0</v>
      </c>
      <c r="Z108" s="160">
        <f t="shared" si="50"/>
        <v>0</v>
      </c>
      <c r="AA108" s="76">
        <v>0</v>
      </c>
      <c r="AB108" s="156">
        <f t="shared" si="51"/>
        <v>0</v>
      </c>
      <c r="AC108" s="160">
        <f t="shared" si="52"/>
        <v>0</v>
      </c>
      <c r="AD108" s="76">
        <v>5000</v>
      </c>
      <c r="AE108" s="156">
        <f t="shared" si="53"/>
        <v>5000</v>
      </c>
      <c r="AF108" s="160">
        <f t="shared" si="54"/>
        <v>0</v>
      </c>
      <c r="AG108" s="76">
        <v>5000</v>
      </c>
      <c r="AH108" s="156">
        <f t="shared" si="55"/>
        <v>10000</v>
      </c>
      <c r="AI108" s="160">
        <f t="shared" si="56"/>
        <v>1</v>
      </c>
      <c r="AJ108" s="152">
        <f t="shared" si="57"/>
        <v>10000</v>
      </c>
      <c r="AK108" s="162">
        <f t="shared" si="58"/>
        <v>0</v>
      </c>
    </row>
    <row r="109" spans="2:37" ht="14.25" customHeight="1" outlineLevel="1" x14ac:dyDescent="0.35">
      <c r="B109" s="48" t="s">
        <v>106</v>
      </c>
      <c r="C109" s="62" t="s">
        <v>175</v>
      </c>
      <c r="D109" s="76">
        <v>2008</v>
      </c>
      <c r="E109" s="77">
        <v>31151.73</v>
      </c>
      <c r="F109" s="76">
        <v>386.8</v>
      </c>
      <c r="G109" s="156">
        <f t="shared" si="60"/>
        <v>31538.53</v>
      </c>
      <c r="H109" s="160">
        <f t="shared" si="61"/>
        <v>1.2416645881304162E-2</v>
      </c>
      <c r="I109" s="76">
        <v>2488.1999999999998</v>
      </c>
      <c r="J109" s="156">
        <f t="shared" si="62"/>
        <v>34026.729999999996</v>
      </c>
      <c r="K109" s="160">
        <f t="shared" si="63"/>
        <v>7.8893975083810089E-2</v>
      </c>
      <c r="L109" s="76">
        <v>1177</v>
      </c>
      <c r="M109" s="156">
        <f t="shared" si="64"/>
        <v>35203.729999999996</v>
      </c>
      <c r="N109" s="160">
        <f t="shared" si="65"/>
        <v>3.4590452858679045E-2</v>
      </c>
      <c r="O109" s="76">
        <v>2595.9</v>
      </c>
      <c r="P109" s="156">
        <f t="shared" si="66"/>
        <v>37799.629999999997</v>
      </c>
      <c r="Q109" s="160">
        <f t="shared" si="67"/>
        <v>7.3739345234155637E-2</v>
      </c>
      <c r="R109" s="152">
        <f t="shared" si="68"/>
        <v>8655.9</v>
      </c>
      <c r="S109" s="162">
        <f t="shared" si="69"/>
        <v>4.954567830161305E-2</v>
      </c>
      <c r="U109" s="76">
        <v>152</v>
      </c>
      <c r="V109" s="156">
        <f t="shared" si="47"/>
        <v>37951.629999999997</v>
      </c>
      <c r="W109" s="160">
        <f t="shared" si="48"/>
        <v>4.0212033821495083E-3</v>
      </c>
      <c r="X109" s="76">
        <v>1174</v>
      </c>
      <c r="Y109" s="156">
        <f t="shared" si="49"/>
        <v>39125.629999999997</v>
      </c>
      <c r="Z109" s="160">
        <f t="shared" si="50"/>
        <v>3.0934112711364443E-2</v>
      </c>
      <c r="AA109" s="76">
        <v>0</v>
      </c>
      <c r="AB109" s="156">
        <f t="shared" si="51"/>
        <v>39125.629999999997</v>
      </c>
      <c r="AC109" s="160">
        <f t="shared" si="52"/>
        <v>0</v>
      </c>
      <c r="AD109" s="76">
        <v>997</v>
      </c>
      <c r="AE109" s="156">
        <f t="shared" si="53"/>
        <v>40122.629999999997</v>
      </c>
      <c r="AF109" s="160">
        <f t="shared" si="54"/>
        <v>2.5482017797540897E-2</v>
      </c>
      <c r="AG109" s="76">
        <v>4192</v>
      </c>
      <c r="AH109" s="156">
        <f t="shared" si="55"/>
        <v>44314.63</v>
      </c>
      <c r="AI109" s="160">
        <f t="shared" si="56"/>
        <v>0.10447969138613297</v>
      </c>
      <c r="AJ109" s="152">
        <f t="shared" ref="AJ109:AJ131" si="70">U109+X109+AA109+AD109+AG109</f>
        <v>6515</v>
      </c>
      <c r="AK109" s="162">
        <f t="shared" si="58"/>
        <v>3.9511201557334896E-2</v>
      </c>
    </row>
    <row r="110" spans="2:37" ht="14.25" customHeight="1" outlineLevel="1" x14ac:dyDescent="0.35">
      <c r="B110" s="48" t="s">
        <v>107</v>
      </c>
      <c r="C110" s="62" t="s">
        <v>175</v>
      </c>
      <c r="D110" s="76">
        <v>2034</v>
      </c>
      <c r="E110" s="77">
        <v>44492.75</v>
      </c>
      <c r="F110" s="76">
        <v>2179.3000000000002</v>
      </c>
      <c r="G110" s="156">
        <f t="shared" si="60"/>
        <v>46672.05</v>
      </c>
      <c r="H110" s="160">
        <f t="shared" si="61"/>
        <v>4.8981013760668941E-2</v>
      </c>
      <c r="I110" s="76">
        <v>7504.7</v>
      </c>
      <c r="J110" s="156">
        <f t="shared" si="62"/>
        <v>54176.75</v>
      </c>
      <c r="K110" s="160">
        <f t="shared" si="63"/>
        <v>0.1607964509808332</v>
      </c>
      <c r="L110" s="76">
        <v>0</v>
      </c>
      <c r="M110" s="156">
        <f t="shared" si="64"/>
        <v>54176.75</v>
      </c>
      <c r="N110" s="160">
        <f t="shared" si="65"/>
        <v>0</v>
      </c>
      <c r="O110" s="76">
        <v>1039</v>
      </c>
      <c r="P110" s="156">
        <f t="shared" si="66"/>
        <v>55215.75</v>
      </c>
      <c r="Q110" s="160">
        <f t="shared" si="67"/>
        <v>1.9177968408957718E-2</v>
      </c>
      <c r="R110" s="152">
        <f t="shared" si="68"/>
        <v>12757</v>
      </c>
      <c r="S110" s="162">
        <f t="shared" si="69"/>
        <v>5.5464016216215439E-2</v>
      </c>
      <c r="U110" s="76">
        <v>354</v>
      </c>
      <c r="V110" s="156">
        <f t="shared" si="47"/>
        <v>55569.75</v>
      </c>
      <c r="W110" s="160">
        <f t="shared" si="48"/>
        <v>6.4112141916029394E-3</v>
      </c>
      <c r="X110" s="76">
        <v>2369</v>
      </c>
      <c r="Y110" s="156">
        <f t="shared" si="49"/>
        <v>57938.75</v>
      </c>
      <c r="Z110" s="160">
        <f t="shared" si="50"/>
        <v>4.263110775196937E-2</v>
      </c>
      <c r="AA110" s="76">
        <v>253</v>
      </c>
      <c r="AB110" s="156">
        <f t="shared" si="51"/>
        <v>58191.75</v>
      </c>
      <c r="AC110" s="160">
        <f t="shared" si="52"/>
        <v>4.3666803305214561E-3</v>
      </c>
      <c r="AD110" s="76">
        <v>0</v>
      </c>
      <c r="AE110" s="156">
        <f t="shared" si="53"/>
        <v>58191.75</v>
      </c>
      <c r="AF110" s="160">
        <f t="shared" si="54"/>
        <v>0</v>
      </c>
      <c r="AG110" s="76">
        <v>486</v>
      </c>
      <c r="AH110" s="156">
        <f t="shared" si="55"/>
        <v>58677.75</v>
      </c>
      <c r="AI110" s="160">
        <f t="shared" si="56"/>
        <v>8.351699338823803E-3</v>
      </c>
      <c r="AJ110" s="152">
        <f t="shared" si="70"/>
        <v>3462</v>
      </c>
      <c r="AK110" s="162">
        <f t="shared" si="58"/>
        <v>1.36983798312178E-2</v>
      </c>
    </row>
    <row r="111" spans="2:37" ht="14.25" customHeight="1" outlineLevel="1" x14ac:dyDescent="0.35">
      <c r="B111" s="48" t="s">
        <v>108</v>
      </c>
      <c r="C111" s="62" t="s">
        <v>175</v>
      </c>
      <c r="D111" s="76">
        <v>913.6</v>
      </c>
      <c r="E111" s="77">
        <v>46486.894999999997</v>
      </c>
      <c r="F111" s="76">
        <v>5789.7000000000007</v>
      </c>
      <c r="G111" s="156">
        <f t="shared" si="60"/>
        <v>52276.595000000001</v>
      </c>
      <c r="H111" s="160">
        <f t="shared" si="61"/>
        <v>0.12454477761958514</v>
      </c>
      <c r="I111" s="76">
        <v>409</v>
      </c>
      <c r="J111" s="156">
        <f t="shared" si="62"/>
        <v>52685.595000000001</v>
      </c>
      <c r="K111" s="160">
        <f t="shared" si="63"/>
        <v>7.8237689352185242E-3</v>
      </c>
      <c r="L111" s="76">
        <v>1781.6</v>
      </c>
      <c r="M111" s="156">
        <f t="shared" si="64"/>
        <v>54467.195</v>
      </c>
      <c r="N111" s="160">
        <f t="shared" si="65"/>
        <v>3.3815694783365331E-2</v>
      </c>
      <c r="O111" s="76">
        <v>2810.95</v>
      </c>
      <c r="P111" s="156">
        <f t="shared" si="66"/>
        <v>57278.144999999997</v>
      </c>
      <c r="Q111" s="160">
        <f t="shared" si="67"/>
        <v>5.1608128525803418E-2</v>
      </c>
      <c r="R111" s="152">
        <f t="shared" si="68"/>
        <v>11704.850000000002</v>
      </c>
      <c r="S111" s="162">
        <f t="shared" si="69"/>
        <v>5.357292457907592E-2</v>
      </c>
      <c r="U111" s="76">
        <v>2019</v>
      </c>
      <c r="V111" s="156">
        <f t="shared" si="47"/>
        <v>59297.144999999997</v>
      </c>
      <c r="W111" s="160">
        <f t="shared" si="48"/>
        <v>3.5249046560428939E-2</v>
      </c>
      <c r="X111" s="76">
        <v>0</v>
      </c>
      <c r="Y111" s="156">
        <f t="shared" si="49"/>
        <v>59297.144999999997</v>
      </c>
      <c r="Z111" s="160">
        <f t="shared" si="50"/>
        <v>0</v>
      </c>
      <c r="AA111" s="76">
        <v>7526</v>
      </c>
      <c r="AB111" s="156">
        <f t="shared" si="51"/>
        <v>66823.14499999999</v>
      </c>
      <c r="AC111" s="160">
        <f t="shared" si="52"/>
        <v>0.12692010719909017</v>
      </c>
      <c r="AD111" s="76">
        <v>7733</v>
      </c>
      <c r="AE111" s="156">
        <f t="shared" si="53"/>
        <v>74556.14499999999</v>
      </c>
      <c r="AF111" s="160">
        <f t="shared" si="54"/>
        <v>0.11572337698263081</v>
      </c>
      <c r="AG111" s="76">
        <v>1790</v>
      </c>
      <c r="AH111" s="156">
        <f t="shared" si="55"/>
        <v>76346.14499999999</v>
      </c>
      <c r="AI111" s="160">
        <f t="shared" si="56"/>
        <v>2.4008752061952778E-2</v>
      </c>
      <c r="AJ111" s="152">
        <f t="shared" si="70"/>
        <v>19068</v>
      </c>
      <c r="AK111" s="162">
        <f t="shared" si="58"/>
        <v>6.5217597137730898E-2</v>
      </c>
    </row>
    <row r="112" spans="2:37" ht="14.25" customHeight="1" outlineLevel="1" x14ac:dyDescent="0.35">
      <c r="B112" s="48" t="s">
        <v>109</v>
      </c>
      <c r="C112" s="62" t="s">
        <v>175</v>
      </c>
      <c r="D112" s="76"/>
      <c r="E112" s="77">
        <v>84802.615000000005</v>
      </c>
      <c r="F112" s="76"/>
      <c r="G112" s="156">
        <f t="shared" si="60"/>
        <v>84802.615000000005</v>
      </c>
      <c r="H112" s="160">
        <f t="shared" si="61"/>
        <v>0</v>
      </c>
      <c r="I112" s="76">
        <v>72</v>
      </c>
      <c r="J112" s="156">
        <f t="shared" si="62"/>
        <v>84874.615000000005</v>
      </c>
      <c r="K112" s="160">
        <f t="shared" si="63"/>
        <v>8.4903042199818951E-4</v>
      </c>
      <c r="L112" s="76">
        <v>0</v>
      </c>
      <c r="M112" s="156">
        <f t="shared" si="64"/>
        <v>84874.615000000005</v>
      </c>
      <c r="N112" s="160">
        <f t="shared" si="65"/>
        <v>0</v>
      </c>
      <c r="O112" s="76">
        <v>669.5</v>
      </c>
      <c r="P112" s="156">
        <f t="shared" si="66"/>
        <v>85544.115000000005</v>
      </c>
      <c r="Q112" s="160">
        <f t="shared" si="67"/>
        <v>7.8881064732959309E-3</v>
      </c>
      <c r="R112" s="152">
        <f t="shared" si="68"/>
        <v>741.5</v>
      </c>
      <c r="S112" s="162">
        <f t="shared" si="69"/>
        <v>2.1788272529630337E-3</v>
      </c>
      <c r="U112" s="76">
        <v>0</v>
      </c>
      <c r="V112" s="156">
        <f t="shared" si="47"/>
        <v>85544.115000000005</v>
      </c>
      <c r="W112" s="160">
        <f t="shared" si="48"/>
        <v>0</v>
      </c>
      <c r="X112" s="76">
        <v>0</v>
      </c>
      <c r="Y112" s="156">
        <f t="shared" si="49"/>
        <v>85544.115000000005</v>
      </c>
      <c r="Z112" s="160">
        <f t="shared" si="50"/>
        <v>0</v>
      </c>
      <c r="AA112" s="76">
        <v>793</v>
      </c>
      <c r="AB112" s="156">
        <f t="shared" si="51"/>
        <v>86337.115000000005</v>
      </c>
      <c r="AC112" s="160">
        <f t="shared" si="52"/>
        <v>9.2700707699179541E-3</v>
      </c>
      <c r="AD112" s="76">
        <v>0</v>
      </c>
      <c r="AE112" s="156">
        <f t="shared" si="53"/>
        <v>86337.115000000005</v>
      </c>
      <c r="AF112" s="160">
        <f t="shared" si="54"/>
        <v>0</v>
      </c>
      <c r="AG112" s="76">
        <v>0</v>
      </c>
      <c r="AH112" s="156">
        <f t="shared" si="55"/>
        <v>86337.115000000005</v>
      </c>
      <c r="AI112" s="160">
        <f t="shared" si="56"/>
        <v>0</v>
      </c>
      <c r="AJ112" s="152">
        <f t="shared" si="70"/>
        <v>793</v>
      </c>
      <c r="AK112" s="162">
        <f t="shared" si="58"/>
        <v>2.3095046493162297E-3</v>
      </c>
    </row>
    <row r="113" spans="2:37" ht="13.4" customHeight="1" outlineLevel="1" x14ac:dyDescent="0.35">
      <c r="B113" s="48" t="s">
        <v>178</v>
      </c>
      <c r="C113" s="62" t="s">
        <v>175</v>
      </c>
      <c r="D113" s="76">
        <v>80</v>
      </c>
      <c r="E113" s="77">
        <v>22167.635000000002</v>
      </c>
      <c r="F113" s="76">
        <v>661.5</v>
      </c>
      <c r="G113" s="156">
        <f t="shared" si="60"/>
        <v>22829.135000000002</v>
      </c>
      <c r="H113" s="160">
        <f t="shared" si="61"/>
        <v>2.9840801691294536E-2</v>
      </c>
      <c r="I113" s="76">
        <v>452.7</v>
      </c>
      <c r="J113" s="156">
        <f t="shared" si="62"/>
        <v>23281.835000000003</v>
      </c>
      <c r="K113" s="160">
        <f t="shared" si="63"/>
        <v>1.9829923472790393E-2</v>
      </c>
      <c r="L113" s="76">
        <v>434.41999999999996</v>
      </c>
      <c r="M113" s="156">
        <f t="shared" si="64"/>
        <v>23716.255000000001</v>
      </c>
      <c r="N113" s="160">
        <f t="shared" si="65"/>
        <v>1.8659182147798839E-2</v>
      </c>
      <c r="O113" s="76">
        <v>1337.5</v>
      </c>
      <c r="P113" s="156">
        <f t="shared" si="66"/>
        <v>25053.755000000001</v>
      </c>
      <c r="Q113" s="160">
        <f t="shared" si="67"/>
        <v>5.6395919170206255E-2</v>
      </c>
      <c r="R113" s="152">
        <f t="shared" si="68"/>
        <v>2966.12</v>
      </c>
      <c r="S113" s="162">
        <f t="shared" si="69"/>
        <v>3.1070510982167399E-2</v>
      </c>
      <c r="U113" s="76">
        <v>186</v>
      </c>
      <c r="V113" s="156">
        <f t="shared" si="47"/>
        <v>25239.755000000001</v>
      </c>
      <c r="W113" s="160">
        <f t="shared" si="48"/>
        <v>7.4240368359952428E-3</v>
      </c>
      <c r="X113" s="76">
        <v>0</v>
      </c>
      <c r="Y113" s="156">
        <f t="shared" si="49"/>
        <v>25239.755000000001</v>
      </c>
      <c r="Z113" s="160">
        <f t="shared" si="50"/>
        <v>0</v>
      </c>
      <c r="AA113" s="76">
        <v>631</v>
      </c>
      <c r="AB113" s="156">
        <f t="shared" si="51"/>
        <v>25870.755000000001</v>
      </c>
      <c r="AC113" s="160">
        <f t="shared" si="52"/>
        <v>2.500024267272008E-2</v>
      </c>
      <c r="AD113" s="76">
        <v>0</v>
      </c>
      <c r="AE113" s="156">
        <f t="shared" si="53"/>
        <v>25870.755000000001</v>
      </c>
      <c r="AF113" s="160">
        <f t="shared" si="54"/>
        <v>0</v>
      </c>
      <c r="AG113" s="76">
        <v>1447</v>
      </c>
      <c r="AH113" s="156">
        <f t="shared" si="55"/>
        <v>27317.755000000001</v>
      </c>
      <c r="AI113" s="160">
        <f t="shared" si="56"/>
        <v>5.5931881384984707E-2</v>
      </c>
      <c r="AJ113" s="152">
        <f t="shared" si="70"/>
        <v>2264</v>
      </c>
      <c r="AK113" s="162">
        <f t="shared" si="58"/>
        <v>1.9976034641719043E-2</v>
      </c>
    </row>
    <row r="114" spans="2:37" ht="14.25" customHeight="1" outlineLevel="1" x14ac:dyDescent="0.35">
      <c r="B114" s="48" t="s">
        <v>111</v>
      </c>
      <c r="C114" s="62" t="s">
        <v>175</v>
      </c>
      <c r="D114" s="76">
        <v>467</v>
      </c>
      <c r="E114" s="77">
        <v>41577.504999999997</v>
      </c>
      <c r="F114" s="76">
        <v>1180.3</v>
      </c>
      <c r="G114" s="156">
        <f t="shared" si="60"/>
        <v>42757.805</v>
      </c>
      <c r="H114" s="160">
        <f t="shared" si="61"/>
        <v>2.8387946799597594E-2</v>
      </c>
      <c r="I114" s="76">
        <v>1082</v>
      </c>
      <c r="J114" s="156">
        <f t="shared" si="62"/>
        <v>43839.805</v>
      </c>
      <c r="K114" s="160">
        <f t="shared" si="63"/>
        <v>2.5305321449499103E-2</v>
      </c>
      <c r="L114" s="76">
        <v>0</v>
      </c>
      <c r="M114" s="156">
        <f t="shared" si="64"/>
        <v>43839.805</v>
      </c>
      <c r="N114" s="160">
        <f t="shared" si="65"/>
        <v>0</v>
      </c>
      <c r="O114" s="76">
        <v>1543</v>
      </c>
      <c r="P114" s="156">
        <f t="shared" si="66"/>
        <v>45382.805</v>
      </c>
      <c r="Q114" s="160">
        <f t="shared" si="67"/>
        <v>3.5196324436205864E-2</v>
      </c>
      <c r="R114" s="152">
        <f t="shared" si="68"/>
        <v>4272.3</v>
      </c>
      <c r="S114" s="162">
        <f t="shared" si="69"/>
        <v>2.2134924624505725E-2</v>
      </c>
      <c r="U114" s="76">
        <v>134</v>
      </c>
      <c r="V114" s="156">
        <f t="shared" si="47"/>
        <v>45516.805</v>
      </c>
      <c r="W114" s="160">
        <f t="shared" si="48"/>
        <v>2.952660153994448E-3</v>
      </c>
      <c r="X114" s="76">
        <v>2493</v>
      </c>
      <c r="Y114" s="156">
        <f t="shared" si="49"/>
        <v>48009.805</v>
      </c>
      <c r="Z114" s="160">
        <f t="shared" si="50"/>
        <v>5.4770979641475273E-2</v>
      </c>
      <c r="AA114" s="76">
        <v>4061</v>
      </c>
      <c r="AB114" s="156">
        <f t="shared" si="51"/>
        <v>52070.805</v>
      </c>
      <c r="AC114" s="160">
        <f t="shared" si="52"/>
        <v>8.4586888032559177E-2</v>
      </c>
      <c r="AD114" s="76">
        <v>0</v>
      </c>
      <c r="AE114" s="156">
        <f t="shared" si="53"/>
        <v>52070.805</v>
      </c>
      <c r="AF114" s="160">
        <f t="shared" si="54"/>
        <v>0</v>
      </c>
      <c r="AG114" s="76">
        <v>1030</v>
      </c>
      <c r="AH114" s="156">
        <f t="shared" si="55"/>
        <v>53100.805</v>
      </c>
      <c r="AI114" s="160">
        <f t="shared" si="56"/>
        <v>1.9780758142686674E-2</v>
      </c>
      <c r="AJ114" s="152">
        <f t="shared" si="70"/>
        <v>7718</v>
      </c>
      <c r="AK114" s="162">
        <f t="shared" si="58"/>
        <v>3.9279435400946028E-2</v>
      </c>
    </row>
    <row r="115" spans="2:37" ht="14.25" customHeight="1" outlineLevel="1" x14ac:dyDescent="0.35">
      <c r="B115" s="48" t="s">
        <v>179</v>
      </c>
      <c r="C115" s="62" t="s">
        <v>175</v>
      </c>
      <c r="D115" s="76">
        <v>72</v>
      </c>
      <c r="E115" s="77">
        <v>71484.430000000008</v>
      </c>
      <c r="F115" s="76">
        <v>480.72</v>
      </c>
      <c r="G115" s="156">
        <f t="shared" si="60"/>
        <v>71965.150000000009</v>
      </c>
      <c r="H115" s="160">
        <f t="shared" si="61"/>
        <v>6.7248210554382414E-3</v>
      </c>
      <c r="I115" s="76">
        <v>59</v>
      </c>
      <c r="J115" s="156">
        <f t="shared" si="62"/>
        <v>72024.150000000009</v>
      </c>
      <c r="K115" s="160">
        <f t="shared" si="63"/>
        <v>8.1984127039268304E-4</v>
      </c>
      <c r="L115" s="76">
        <v>1709.5</v>
      </c>
      <c r="M115" s="156">
        <f t="shared" si="64"/>
        <v>73733.650000000009</v>
      </c>
      <c r="N115" s="160">
        <f t="shared" si="65"/>
        <v>2.3735094409305765E-2</v>
      </c>
      <c r="O115" s="76">
        <v>3475.9</v>
      </c>
      <c r="P115" s="156">
        <f t="shared" si="66"/>
        <v>77209.55</v>
      </c>
      <c r="Q115" s="160">
        <f t="shared" si="67"/>
        <v>4.7141298443790502E-2</v>
      </c>
      <c r="R115" s="152">
        <f t="shared" si="68"/>
        <v>5797.1200000000008</v>
      </c>
      <c r="S115" s="162">
        <f t="shared" si="69"/>
        <v>1.9447559840061857E-2</v>
      </c>
      <c r="U115" s="76">
        <v>651</v>
      </c>
      <c r="V115" s="156">
        <f t="shared" si="47"/>
        <v>77860.55</v>
      </c>
      <c r="W115" s="160">
        <f t="shared" si="48"/>
        <v>8.4315994588752292E-3</v>
      </c>
      <c r="X115" s="76">
        <v>3163</v>
      </c>
      <c r="Y115" s="156">
        <f t="shared" si="49"/>
        <v>81023.55</v>
      </c>
      <c r="Z115" s="160">
        <f t="shared" si="50"/>
        <v>4.0623910311447839E-2</v>
      </c>
      <c r="AA115" s="76">
        <v>2774</v>
      </c>
      <c r="AB115" s="156">
        <f t="shared" si="51"/>
        <v>83797.55</v>
      </c>
      <c r="AC115" s="160">
        <f t="shared" si="52"/>
        <v>3.4236959501280799E-2</v>
      </c>
      <c r="AD115" s="76">
        <v>2917</v>
      </c>
      <c r="AE115" s="156">
        <f t="shared" si="53"/>
        <v>86714.55</v>
      </c>
      <c r="AF115" s="160">
        <f t="shared" si="54"/>
        <v>3.4810086929749136E-2</v>
      </c>
      <c r="AG115" s="76">
        <v>3875</v>
      </c>
      <c r="AH115" s="156">
        <f t="shared" si="55"/>
        <v>90589.55</v>
      </c>
      <c r="AI115" s="160">
        <f t="shared" si="56"/>
        <v>4.4686848977478405E-2</v>
      </c>
      <c r="AJ115" s="152">
        <f t="shared" si="70"/>
        <v>13380</v>
      </c>
      <c r="AK115" s="162">
        <f t="shared" si="58"/>
        <v>3.8580487071017799E-2</v>
      </c>
    </row>
    <row r="116" spans="2:37" ht="14.25" customHeight="1" outlineLevel="1" x14ac:dyDescent="0.35">
      <c r="B116" s="48" t="s">
        <v>113</v>
      </c>
      <c r="C116" s="62" t="s">
        <v>175</v>
      </c>
      <c r="D116" s="76"/>
      <c r="E116" s="77">
        <v>617.89499999999998</v>
      </c>
      <c r="F116" s="76"/>
      <c r="G116" s="156">
        <f t="shared" si="60"/>
        <v>617.89499999999998</v>
      </c>
      <c r="H116" s="160">
        <f t="shared" si="61"/>
        <v>0</v>
      </c>
      <c r="I116" s="76"/>
      <c r="J116" s="156">
        <f t="shared" si="62"/>
        <v>617.89499999999998</v>
      </c>
      <c r="K116" s="160">
        <f t="shared" si="63"/>
        <v>0</v>
      </c>
      <c r="L116" s="76">
        <v>0</v>
      </c>
      <c r="M116" s="156">
        <f t="shared" si="64"/>
        <v>617.89499999999998</v>
      </c>
      <c r="N116" s="160">
        <f t="shared" si="65"/>
        <v>0</v>
      </c>
      <c r="O116" s="76">
        <v>710.59999999999991</v>
      </c>
      <c r="P116" s="156">
        <f t="shared" si="66"/>
        <v>1328.4949999999999</v>
      </c>
      <c r="Q116" s="160"/>
      <c r="R116" s="152">
        <f t="shared" si="68"/>
        <v>710.59999999999991</v>
      </c>
      <c r="S116" s="162">
        <f t="shared" si="69"/>
        <v>0.21090845281591664</v>
      </c>
      <c r="U116" s="76">
        <v>0</v>
      </c>
      <c r="V116" s="156">
        <f t="shared" si="47"/>
        <v>1328.4949999999999</v>
      </c>
      <c r="W116" s="160">
        <f t="shared" si="48"/>
        <v>0</v>
      </c>
      <c r="X116" s="76">
        <v>0</v>
      </c>
      <c r="Y116" s="156">
        <f t="shared" si="49"/>
        <v>1328.4949999999999</v>
      </c>
      <c r="Z116" s="160">
        <f t="shared" si="50"/>
        <v>0</v>
      </c>
      <c r="AA116" s="76">
        <v>0</v>
      </c>
      <c r="AB116" s="156">
        <f t="shared" si="51"/>
        <v>1328.4949999999999</v>
      </c>
      <c r="AC116" s="160">
        <f t="shared" si="52"/>
        <v>0</v>
      </c>
      <c r="AD116" s="76">
        <v>0</v>
      </c>
      <c r="AE116" s="156">
        <f t="shared" si="53"/>
        <v>1328.4949999999999</v>
      </c>
      <c r="AF116" s="160">
        <f t="shared" si="54"/>
        <v>0</v>
      </c>
      <c r="AG116" s="76">
        <v>0</v>
      </c>
      <c r="AH116" s="156">
        <f t="shared" si="55"/>
        <v>1328.4949999999999</v>
      </c>
      <c r="AI116" s="160">
        <f t="shared" si="56"/>
        <v>0</v>
      </c>
      <c r="AJ116" s="152">
        <f t="shared" si="70"/>
        <v>0</v>
      </c>
      <c r="AK116" s="162">
        <f t="shared" si="58"/>
        <v>0</v>
      </c>
    </row>
    <row r="117" spans="2:37" ht="14.25" customHeight="1" outlineLevel="1" x14ac:dyDescent="0.35">
      <c r="B117" s="48" t="s">
        <v>114</v>
      </c>
      <c r="C117" s="62" t="s">
        <v>175</v>
      </c>
      <c r="D117" s="76"/>
      <c r="E117" s="77">
        <v>89654.585000000006</v>
      </c>
      <c r="F117" s="76">
        <v>158</v>
      </c>
      <c r="G117" s="156">
        <f t="shared" si="60"/>
        <v>89812.585000000006</v>
      </c>
      <c r="H117" s="160">
        <f t="shared" si="61"/>
        <v>1.7623192388877824E-3</v>
      </c>
      <c r="I117" s="76">
        <v>2702.54</v>
      </c>
      <c r="J117" s="156">
        <f t="shared" si="62"/>
        <v>92515.125</v>
      </c>
      <c r="K117" s="160">
        <f t="shared" si="63"/>
        <v>3.0090883142935853E-2</v>
      </c>
      <c r="L117" s="76">
        <v>141</v>
      </c>
      <c r="M117" s="156">
        <f t="shared" si="64"/>
        <v>92656.125</v>
      </c>
      <c r="N117" s="160">
        <f t="shared" si="65"/>
        <v>1.5240751174470121E-3</v>
      </c>
      <c r="O117" s="76">
        <v>1380.8</v>
      </c>
      <c r="P117" s="156">
        <f t="shared" si="66"/>
        <v>94036.925000000003</v>
      </c>
      <c r="Q117" s="160">
        <f>IFERROR((P117-M117)/M117,0)</f>
        <v>1.4902414708148036E-2</v>
      </c>
      <c r="R117" s="152">
        <f t="shared" si="68"/>
        <v>4382.34</v>
      </c>
      <c r="S117" s="162">
        <f t="shared" si="69"/>
        <v>1.2002251385253349E-2</v>
      </c>
      <c r="U117" s="76">
        <v>0</v>
      </c>
      <c r="V117" s="156">
        <f t="shared" si="47"/>
        <v>94036.925000000003</v>
      </c>
      <c r="W117" s="160">
        <f t="shared" si="48"/>
        <v>0</v>
      </c>
      <c r="X117" s="76">
        <v>0</v>
      </c>
      <c r="Y117" s="156">
        <f t="shared" si="49"/>
        <v>94036.925000000003</v>
      </c>
      <c r="Z117" s="160">
        <f t="shared" si="50"/>
        <v>0</v>
      </c>
      <c r="AA117" s="76">
        <v>0</v>
      </c>
      <c r="AB117" s="156">
        <f t="shared" si="51"/>
        <v>94036.925000000003</v>
      </c>
      <c r="AC117" s="160">
        <f t="shared" si="52"/>
        <v>0</v>
      </c>
      <c r="AD117" s="76">
        <v>0</v>
      </c>
      <c r="AE117" s="156">
        <f t="shared" si="53"/>
        <v>94036.925000000003</v>
      </c>
      <c r="AF117" s="160">
        <f t="shared" si="54"/>
        <v>0</v>
      </c>
      <c r="AG117" s="76">
        <v>0</v>
      </c>
      <c r="AH117" s="156">
        <f t="shared" si="55"/>
        <v>94036.925000000003</v>
      </c>
      <c r="AI117" s="160">
        <f t="shared" si="56"/>
        <v>0</v>
      </c>
      <c r="AJ117" s="152">
        <f t="shared" si="70"/>
        <v>0</v>
      </c>
      <c r="AK117" s="162">
        <f t="shared" si="58"/>
        <v>0</v>
      </c>
    </row>
    <row r="118" spans="2:37" ht="14.25" customHeight="1" outlineLevel="1" x14ac:dyDescent="0.35">
      <c r="B118" s="48" t="s">
        <v>115</v>
      </c>
      <c r="C118" s="62" t="s">
        <v>175</v>
      </c>
      <c r="D118" s="76">
        <v>25735.950000000004</v>
      </c>
      <c r="E118" s="77">
        <v>33050.835000000006</v>
      </c>
      <c r="F118" s="76">
        <v>10916.150000000003</v>
      </c>
      <c r="G118" s="156">
        <f t="shared" si="60"/>
        <v>43966.985000000008</v>
      </c>
      <c r="H118" s="160">
        <f t="shared" si="61"/>
        <v>0.33028363731203764</v>
      </c>
      <c r="I118" s="76">
        <v>7133.49</v>
      </c>
      <c r="J118" s="156">
        <f t="shared" si="62"/>
        <v>51100.475000000006</v>
      </c>
      <c r="K118" s="160">
        <f t="shared" si="63"/>
        <v>0.16224651292327633</v>
      </c>
      <c r="L118" s="76">
        <v>4648.88</v>
      </c>
      <c r="M118" s="156">
        <f t="shared" si="64"/>
        <v>55749.355000000003</v>
      </c>
      <c r="N118" s="160">
        <f t="shared" si="65"/>
        <v>9.0975279583995983E-2</v>
      </c>
      <c r="O118" s="76">
        <v>4240.6000000000004</v>
      </c>
      <c r="P118" s="156">
        <f t="shared" si="66"/>
        <v>59989.955000000002</v>
      </c>
      <c r="Q118" s="160">
        <f>IFERROR((P118-M118)/M118,0)</f>
        <v>7.6065454030813426E-2</v>
      </c>
      <c r="R118" s="152">
        <f t="shared" si="68"/>
        <v>52675.07</v>
      </c>
      <c r="S118" s="162">
        <f t="shared" si="69"/>
        <v>0.16071079898279717</v>
      </c>
      <c r="U118" s="76">
        <v>1855</v>
      </c>
      <c r="V118" s="156">
        <f t="shared" si="47"/>
        <v>61844.955000000002</v>
      </c>
      <c r="W118" s="160">
        <f t="shared" si="48"/>
        <v>3.0921843498632397E-2</v>
      </c>
      <c r="X118" s="76">
        <v>4114</v>
      </c>
      <c r="Y118" s="156">
        <f t="shared" si="49"/>
        <v>65958.955000000002</v>
      </c>
      <c r="Z118" s="160">
        <f t="shared" si="50"/>
        <v>6.6521189966101513E-2</v>
      </c>
      <c r="AA118" s="76">
        <v>1891</v>
      </c>
      <c r="AB118" s="156">
        <f t="shared" si="51"/>
        <v>67849.955000000002</v>
      </c>
      <c r="AC118" s="160">
        <f t="shared" si="52"/>
        <v>2.8669344443070694E-2</v>
      </c>
      <c r="AD118" s="76">
        <v>4816</v>
      </c>
      <c r="AE118" s="156">
        <f t="shared" si="53"/>
        <v>72665.955000000002</v>
      </c>
      <c r="AF118" s="160">
        <f t="shared" si="54"/>
        <v>7.098015024475697E-2</v>
      </c>
      <c r="AG118" s="76">
        <v>3158</v>
      </c>
      <c r="AH118" s="156">
        <f t="shared" si="55"/>
        <v>75823.955000000002</v>
      </c>
      <c r="AI118" s="160">
        <f t="shared" si="56"/>
        <v>4.3459141216818799E-2</v>
      </c>
      <c r="AJ118" s="152">
        <f t="shared" si="70"/>
        <v>15834</v>
      </c>
      <c r="AK118" s="162">
        <f t="shared" si="58"/>
        <v>5.2266002179367277E-2</v>
      </c>
    </row>
    <row r="119" spans="2:37" ht="14.15" customHeight="1" outlineLevel="1" x14ac:dyDescent="0.35">
      <c r="B119" s="48" t="s">
        <v>180</v>
      </c>
      <c r="C119" s="62" t="s">
        <v>175</v>
      </c>
      <c r="D119" s="76">
        <v>6.6</v>
      </c>
      <c r="E119" s="77">
        <v>96450.725000000006</v>
      </c>
      <c r="F119" s="76">
        <v>1578.3000000000002</v>
      </c>
      <c r="G119" s="156">
        <f t="shared" si="60"/>
        <v>98029.025000000009</v>
      </c>
      <c r="H119" s="160">
        <f t="shared" si="61"/>
        <v>1.6363796124912518E-2</v>
      </c>
      <c r="I119" s="76">
        <v>192.5</v>
      </c>
      <c r="J119" s="156">
        <f t="shared" si="62"/>
        <v>98221.525000000009</v>
      </c>
      <c r="K119" s="160">
        <f t="shared" si="63"/>
        <v>1.9637041172244647E-3</v>
      </c>
      <c r="L119" s="76">
        <v>0</v>
      </c>
      <c r="M119" s="156">
        <f t="shared" si="64"/>
        <v>98221.525000000009</v>
      </c>
      <c r="N119" s="160">
        <f t="shared" si="65"/>
        <v>0</v>
      </c>
      <c r="O119" s="76">
        <v>5</v>
      </c>
      <c r="P119" s="156">
        <f t="shared" si="66"/>
        <v>98226.525000000009</v>
      </c>
      <c r="Q119" s="160"/>
      <c r="R119" s="152">
        <f t="shared" si="68"/>
        <v>1782.4</v>
      </c>
      <c r="S119" s="162">
        <f t="shared" si="69"/>
        <v>4.5714259146349967E-3</v>
      </c>
      <c r="U119" s="76">
        <v>0</v>
      </c>
      <c r="V119" s="156">
        <f t="shared" si="47"/>
        <v>98226.525000000009</v>
      </c>
      <c r="W119" s="160">
        <f t="shared" si="48"/>
        <v>0</v>
      </c>
      <c r="X119" s="76">
        <v>0</v>
      </c>
      <c r="Y119" s="156">
        <f t="shared" si="49"/>
        <v>98226.525000000009</v>
      </c>
      <c r="Z119" s="160">
        <f t="shared" si="50"/>
        <v>0</v>
      </c>
      <c r="AA119" s="76">
        <v>0</v>
      </c>
      <c r="AB119" s="156">
        <f t="shared" si="51"/>
        <v>98226.525000000009</v>
      </c>
      <c r="AC119" s="160">
        <f t="shared" si="52"/>
        <v>0</v>
      </c>
      <c r="AD119" s="76">
        <v>0</v>
      </c>
      <c r="AE119" s="156">
        <f t="shared" si="53"/>
        <v>98226.525000000009</v>
      </c>
      <c r="AF119" s="160">
        <f t="shared" si="54"/>
        <v>0</v>
      </c>
      <c r="AG119" s="76">
        <v>0</v>
      </c>
      <c r="AH119" s="156">
        <f t="shared" si="55"/>
        <v>98226.525000000009</v>
      </c>
      <c r="AI119" s="160">
        <f t="shared" si="56"/>
        <v>0</v>
      </c>
      <c r="AJ119" s="152">
        <f t="shared" si="70"/>
        <v>0</v>
      </c>
      <c r="AK119" s="162">
        <f t="shared" si="58"/>
        <v>0</v>
      </c>
    </row>
    <row r="120" spans="2:37" ht="14.25" customHeight="1" outlineLevel="1" x14ac:dyDescent="0.35">
      <c r="B120" s="48" t="s">
        <v>117</v>
      </c>
      <c r="C120" s="62" t="s">
        <v>175</v>
      </c>
      <c r="D120" s="76">
        <v>624</v>
      </c>
      <c r="E120" s="77">
        <v>113699.675</v>
      </c>
      <c r="F120" s="76">
        <v>218</v>
      </c>
      <c r="G120" s="156">
        <f t="shared" si="60"/>
        <v>113917.675</v>
      </c>
      <c r="H120" s="160">
        <f t="shared" si="61"/>
        <v>1.9173317777733314E-3</v>
      </c>
      <c r="I120" s="76">
        <v>2567</v>
      </c>
      <c r="J120" s="156">
        <f t="shared" si="62"/>
        <v>116484.675</v>
      </c>
      <c r="K120" s="160">
        <f t="shared" si="63"/>
        <v>2.253381663556599E-2</v>
      </c>
      <c r="L120" s="76">
        <v>0</v>
      </c>
      <c r="M120" s="156">
        <f t="shared" si="64"/>
        <v>116484.675</v>
      </c>
      <c r="N120" s="160">
        <f t="shared" si="65"/>
        <v>0</v>
      </c>
      <c r="O120" s="76">
        <v>3946.5000000000005</v>
      </c>
      <c r="P120" s="156">
        <f t="shared" si="66"/>
        <v>120431.175</v>
      </c>
      <c r="Q120" s="160">
        <f>IFERROR((P120-M120)/M120,0)</f>
        <v>3.3879993226576803E-2</v>
      </c>
      <c r="R120" s="152">
        <f t="shared" si="68"/>
        <v>7355.5</v>
      </c>
      <c r="S120" s="162">
        <f t="shared" si="69"/>
        <v>1.4483353318152536E-2</v>
      </c>
      <c r="U120" s="76">
        <v>2328</v>
      </c>
      <c r="V120" s="156">
        <f t="shared" si="47"/>
        <v>122759.175</v>
      </c>
      <c r="W120" s="160">
        <f t="shared" si="48"/>
        <v>1.9330542942888333E-2</v>
      </c>
      <c r="X120" s="76">
        <v>8150</v>
      </c>
      <c r="Y120" s="156">
        <f t="shared" si="49"/>
        <v>130909.175</v>
      </c>
      <c r="Z120" s="160">
        <f t="shared" si="50"/>
        <v>6.6390149656838274E-2</v>
      </c>
      <c r="AA120" s="76">
        <v>5269</v>
      </c>
      <c r="AB120" s="156">
        <f t="shared" si="51"/>
        <v>136178.17499999999</v>
      </c>
      <c r="AC120" s="160">
        <f t="shared" si="52"/>
        <v>4.0249279700983416E-2</v>
      </c>
      <c r="AD120" s="76">
        <v>13769</v>
      </c>
      <c r="AE120" s="156">
        <f t="shared" si="53"/>
        <v>149947.17499999999</v>
      </c>
      <c r="AF120" s="160">
        <f t="shared" si="54"/>
        <v>0.10111018156910974</v>
      </c>
      <c r="AG120" s="76">
        <v>3813</v>
      </c>
      <c r="AH120" s="156">
        <f t="shared" si="55"/>
        <v>153760.17499999999</v>
      </c>
      <c r="AI120" s="160">
        <f t="shared" si="56"/>
        <v>2.542895523040031E-2</v>
      </c>
      <c r="AJ120" s="152">
        <f t="shared" si="70"/>
        <v>33329</v>
      </c>
      <c r="AK120" s="162">
        <f t="shared" si="58"/>
        <v>5.790696365429171E-2</v>
      </c>
    </row>
    <row r="121" spans="2:37" ht="14.25" customHeight="1" outlineLevel="1" x14ac:dyDescent="0.35">
      <c r="B121" s="48" t="s">
        <v>118</v>
      </c>
      <c r="C121" s="62" t="s">
        <v>175</v>
      </c>
      <c r="D121" s="76">
        <v>6512.9</v>
      </c>
      <c r="E121" s="77">
        <v>48353.805</v>
      </c>
      <c r="F121" s="76">
        <v>8091.1399999999994</v>
      </c>
      <c r="G121" s="156">
        <f t="shared" si="60"/>
        <v>56444.945</v>
      </c>
      <c r="H121" s="160">
        <f t="shared" si="61"/>
        <v>0.16733202278497006</v>
      </c>
      <c r="I121" s="76">
        <v>7067</v>
      </c>
      <c r="J121" s="156">
        <f t="shared" si="62"/>
        <v>63511.945</v>
      </c>
      <c r="K121" s="160">
        <f t="shared" si="63"/>
        <v>0.12520164560351685</v>
      </c>
      <c r="L121" s="76">
        <v>2799.3</v>
      </c>
      <c r="M121" s="156">
        <f t="shared" si="64"/>
        <v>66311.244999999995</v>
      </c>
      <c r="N121" s="160">
        <f t="shared" si="65"/>
        <v>4.40751735756163E-2</v>
      </c>
      <c r="O121" s="76">
        <v>1354</v>
      </c>
      <c r="P121" s="156">
        <f t="shared" si="66"/>
        <v>67665.244999999995</v>
      </c>
      <c r="Q121" s="160">
        <f>IFERROR((P121-M121)/M121,0)</f>
        <v>2.0418859576531855E-2</v>
      </c>
      <c r="R121" s="152">
        <f t="shared" si="68"/>
        <v>25824.34</v>
      </c>
      <c r="S121" s="162">
        <f t="shared" si="69"/>
        <v>8.763644320227848E-2</v>
      </c>
      <c r="U121" s="76">
        <v>0</v>
      </c>
      <c r="V121" s="156">
        <f t="shared" si="47"/>
        <v>67665.244999999995</v>
      </c>
      <c r="W121" s="160">
        <f t="shared" si="48"/>
        <v>0</v>
      </c>
      <c r="X121" s="76">
        <v>0</v>
      </c>
      <c r="Y121" s="156">
        <f t="shared" si="49"/>
        <v>67665.244999999995</v>
      </c>
      <c r="Z121" s="160">
        <f t="shared" si="50"/>
        <v>0</v>
      </c>
      <c r="AA121" s="76">
        <v>0</v>
      </c>
      <c r="AB121" s="156">
        <f t="shared" si="51"/>
        <v>67665.244999999995</v>
      </c>
      <c r="AC121" s="160">
        <f t="shared" si="52"/>
        <v>0</v>
      </c>
      <c r="AD121" s="76">
        <v>0</v>
      </c>
      <c r="AE121" s="156">
        <f t="shared" si="53"/>
        <v>67665.244999999995</v>
      </c>
      <c r="AF121" s="160">
        <f t="shared" si="54"/>
        <v>0</v>
      </c>
      <c r="AG121" s="76">
        <v>1244</v>
      </c>
      <c r="AH121" s="156">
        <f t="shared" si="55"/>
        <v>68909.244999999995</v>
      </c>
      <c r="AI121" s="160">
        <f t="shared" si="56"/>
        <v>1.8384622711408199E-2</v>
      </c>
      <c r="AJ121" s="152">
        <f t="shared" si="70"/>
        <v>1244</v>
      </c>
      <c r="AK121" s="162">
        <f t="shared" si="58"/>
        <v>4.5648042931230037E-3</v>
      </c>
    </row>
    <row r="122" spans="2:37" ht="14.25" customHeight="1" outlineLevel="1" x14ac:dyDescent="0.35">
      <c r="B122" s="48" t="s">
        <v>119</v>
      </c>
      <c r="C122" s="62" t="s">
        <v>175</v>
      </c>
      <c r="D122" s="76"/>
      <c r="E122" s="77">
        <v>2508.84</v>
      </c>
      <c r="F122" s="76"/>
      <c r="G122" s="156">
        <f t="shared" si="60"/>
        <v>2508.84</v>
      </c>
      <c r="H122" s="160">
        <f t="shared" si="61"/>
        <v>0</v>
      </c>
      <c r="I122" s="76"/>
      <c r="J122" s="156">
        <f t="shared" si="62"/>
        <v>2508.84</v>
      </c>
      <c r="K122" s="160">
        <f t="shared" si="63"/>
        <v>0</v>
      </c>
      <c r="L122" s="76">
        <v>0</v>
      </c>
      <c r="M122" s="156">
        <f t="shared" si="64"/>
        <v>2508.84</v>
      </c>
      <c r="N122" s="160">
        <f t="shared" si="65"/>
        <v>0</v>
      </c>
      <c r="O122" s="76">
        <v>0</v>
      </c>
      <c r="P122" s="156">
        <f t="shared" si="66"/>
        <v>2508.84</v>
      </c>
      <c r="Q122" s="160"/>
      <c r="R122" s="152">
        <f t="shared" si="68"/>
        <v>0</v>
      </c>
      <c r="S122" s="162">
        <f t="shared" si="69"/>
        <v>0</v>
      </c>
      <c r="U122" s="76">
        <v>0</v>
      </c>
      <c r="V122" s="156">
        <f t="shared" si="47"/>
        <v>2508.84</v>
      </c>
      <c r="W122" s="160">
        <f t="shared" si="48"/>
        <v>0</v>
      </c>
      <c r="X122" s="76">
        <v>0</v>
      </c>
      <c r="Y122" s="156">
        <f t="shared" si="49"/>
        <v>2508.84</v>
      </c>
      <c r="Z122" s="160">
        <f t="shared" si="50"/>
        <v>0</v>
      </c>
      <c r="AA122" s="76">
        <v>0</v>
      </c>
      <c r="AB122" s="156">
        <f t="shared" si="51"/>
        <v>2508.84</v>
      </c>
      <c r="AC122" s="160">
        <f t="shared" si="52"/>
        <v>0</v>
      </c>
      <c r="AD122" s="76">
        <v>0</v>
      </c>
      <c r="AE122" s="156">
        <f t="shared" si="53"/>
        <v>2508.84</v>
      </c>
      <c r="AF122" s="160">
        <f t="shared" si="54"/>
        <v>0</v>
      </c>
      <c r="AG122" s="76">
        <v>0</v>
      </c>
      <c r="AH122" s="156">
        <f t="shared" si="55"/>
        <v>2508.84</v>
      </c>
      <c r="AI122" s="160">
        <f t="shared" si="56"/>
        <v>0</v>
      </c>
      <c r="AJ122" s="152">
        <f t="shared" si="70"/>
        <v>0</v>
      </c>
      <c r="AK122" s="162">
        <f t="shared" si="58"/>
        <v>0</v>
      </c>
    </row>
    <row r="123" spans="2:37" ht="14.25" customHeight="1" outlineLevel="1" x14ac:dyDescent="0.35">
      <c r="B123" s="48" t="s">
        <v>120</v>
      </c>
      <c r="C123" s="62" t="s">
        <v>175</v>
      </c>
      <c r="D123" s="76">
        <v>2376.9</v>
      </c>
      <c r="E123" s="77">
        <v>152139.64499999999</v>
      </c>
      <c r="F123" s="76">
        <v>4972.6000000000004</v>
      </c>
      <c r="G123" s="156">
        <f t="shared" si="60"/>
        <v>157112.245</v>
      </c>
      <c r="H123" s="160">
        <f t="shared" si="61"/>
        <v>3.2684445924663533E-2</v>
      </c>
      <c r="I123" s="76">
        <v>1269.3399999999999</v>
      </c>
      <c r="J123" s="156">
        <f t="shared" si="62"/>
        <v>158381.58499999999</v>
      </c>
      <c r="K123" s="160">
        <f t="shared" si="63"/>
        <v>8.0791920451521552E-3</v>
      </c>
      <c r="L123" s="76">
        <v>1751.5</v>
      </c>
      <c r="M123" s="156">
        <f t="shared" si="64"/>
        <v>160133.08499999999</v>
      </c>
      <c r="N123" s="160">
        <f t="shared" si="65"/>
        <v>1.1058735142725084E-2</v>
      </c>
      <c r="O123" s="76">
        <v>6266.9</v>
      </c>
      <c r="P123" s="156">
        <f t="shared" si="66"/>
        <v>166399.98499999999</v>
      </c>
      <c r="Q123" s="160">
        <f t="shared" ref="Q123:Q130" si="71">IFERROR((P123-M123)/M123,0)</f>
        <v>3.9135572764366557E-2</v>
      </c>
      <c r="R123" s="152">
        <f t="shared" si="68"/>
        <v>16637.239999999998</v>
      </c>
      <c r="S123" s="162">
        <f t="shared" si="69"/>
        <v>2.2651644495498502E-2</v>
      </c>
      <c r="U123" s="76">
        <v>1442</v>
      </c>
      <c r="V123" s="156">
        <f t="shared" si="47"/>
        <v>167841.98499999999</v>
      </c>
      <c r="W123" s="160">
        <f t="shared" si="48"/>
        <v>8.6658661657932241E-3</v>
      </c>
      <c r="X123" s="76">
        <v>3403</v>
      </c>
      <c r="Y123" s="156">
        <f t="shared" si="49"/>
        <v>171244.98499999999</v>
      </c>
      <c r="Z123" s="160">
        <f t="shared" si="50"/>
        <v>2.027502236701979E-2</v>
      </c>
      <c r="AA123" s="76">
        <v>3841</v>
      </c>
      <c r="AB123" s="156">
        <f t="shared" si="51"/>
        <v>175085.98499999999</v>
      </c>
      <c r="AC123" s="160">
        <f t="shared" si="52"/>
        <v>2.2429853931196876E-2</v>
      </c>
      <c r="AD123" s="76">
        <v>2271</v>
      </c>
      <c r="AE123" s="156">
        <f t="shared" si="53"/>
        <v>177356.98499999999</v>
      </c>
      <c r="AF123" s="160">
        <f t="shared" si="54"/>
        <v>1.2970769762068622E-2</v>
      </c>
      <c r="AG123" s="76">
        <v>4577</v>
      </c>
      <c r="AH123" s="156">
        <f t="shared" si="55"/>
        <v>181933.98499999999</v>
      </c>
      <c r="AI123" s="160">
        <f t="shared" si="56"/>
        <v>2.5806708430457365E-2</v>
      </c>
      <c r="AJ123" s="152">
        <f t="shared" si="70"/>
        <v>15534</v>
      </c>
      <c r="AK123" s="162">
        <f t="shared" si="58"/>
        <v>2.0359720769795864E-2</v>
      </c>
    </row>
    <row r="124" spans="2:37" ht="14.25" customHeight="1" outlineLevel="1" x14ac:dyDescent="0.35">
      <c r="B124" s="48" t="s">
        <v>121</v>
      </c>
      <c r="C124" s="62" t="s">
        <v>175</v>
      </c>
      <c r="D124" s="76">
        <v>377.4</v>
      </c>
      <c r="E124" s="77">
        <v>10424.785</v>
      </c>
      <c r="F124" s="76">
        <v>6568</v>
      </c>
      <c r="G124" s="156">
        <f t="shared" si="60"/>
        <v>16992.785</v>
      </c>
      <c r="H124" s="160">
        <f t="shared" si="61"/>
        <v>0.63003697438364437</v>
      </c>
      <c r="I124" s="76">
        <v>5566.2</v>
      </c>
      <c r="J124" s="156">
        <f t="shared" si="62"/>
        <v>22558.985000000001</v>
      </c>
      <c r="K124" s="160">
        <f t="shared" si="63"/>
        <v>0.32756255081200641</v>
      </c>
      <c r="L124" s="76">
        <v>30</v>
      </c>
      <c r="M124" s="156">
        <f t="shared" si="64"/>
        <v>22588.985000000001</v>
      </c>
      <c r="N124" s="160">
        <f t="shared" si="65"/>
        <v>1.3298470653710704E-3</v>
      </c>
      <c r="O124" s="76">
        <v>1790.2900000000002</v>
      </c>
      <c r="P124" s="156">
        <f t="shared" si="66"/>
        <v>24379.275000000001</v>
      </c>
      <c r="Q124" s="160">
        <f t="shared" si="71"/>
        <v>7.9254999726636716E-2</v>
      </c>
      <c r="R124" s="152">
        <f t="shared" si="68"/>
        <v>14331.89</v>
      </c>
      <c r="S124" s="162">
        <f t="shared" si="69"/>
        <v>0.23662613259605281</v>
      </c>
      <c r="U124" s="76">
        <v>364</v>
      </c>
      <c r="V124" s="156">
        <f t="shared" si="47"/>
        <v>24743.275000000001</v>
      </c>
      <c r="W124" s="160">
        <f t="shared" si="48"/>
        <v>1.4930714715675506E-2</v>
      </c>
      <c r="X124" s="76">
        <v>1810</v>
      </c>
      <c r="Y124" s="156">
        <f t="shared" si="49"/>
        <v>26553.275000000001</v>
      </c>
      <c r="Z124" s="160">
        <f t="shared" si="50"/>
        <v>7.3151189565649657E-2</v>
      </c>
      <c r="AA124" s="76">
        <v>2441</v>
      </c>
      <c r="AB124" s="156">
        <f t="shared" si="51"/>
        <v>28994.275000000001</v>
      </c>
      <c r="AC124" s="160">
        <f t="shared" si="52"/>
        <v>9.1928396779681593E-2</v>
      </c>
      <c r="AD124" s="76">
        <v>1969</v>
      </c>
      <c r="AE124" s="156">
        <f t="shared" si="53"/>
        <v>30963.275000000001</v>
      </c>
      <c r="AF124" s="160">
        <f t="shared" si="54"/>
        <v>6.7909958086553285E-2</v>
      </c>
      <c r="AG124" s="76">
        <v>4310</v>
      </c>
      <c r="AH124" s="156">
        <f t="shared" si="55"/>
        <v>35273.275000000001</v>
      </c>
      <c r="AI124" s="160">
        <f t="shared" si="56"/>
        <v>0.1391971617989376</v>
      </c>
      <c r="AJ124" s="152">
        <f t="shared" si="70"/>
        <v>10894</v>
      </c>
      <c r="AK124" s="162">
        <f t="shared" si="58"/>
        <v>9.2690457972100404E-2</v>
      </c>
    </row>
    <row r="125" spans="2:37" ht="14.15" customHeight="1" outlineLevel="1" x14ac:dyDescent="0.35">
      <c r="B125" s="48" t="s">
        <v>137</v>
      </c>
      <c r="C125" s="62" t="s">
        <v>175</v>
      </c>
      <c r="D125" s="76"/>
      <c r="E125" s="77">
        <v>0</v>
      </c>
      <c r="F125" s="76"/>
      <c r="G125" s="156">
        <f t="shared" si="60"/>
        <v>0</v>
      </c>
      <c r="H125" s="160">
        <f t="shared" si="61"/>
        <v>0</v>
      </c>
      <c r="I125" s="76"/>
      <c r="J125" s="156">
        <f t="shared" si="62"/>
        <v>0</v>
      </c>
      <c r="K125" s="160">
        <f t="shared" si="63"/>
        <v>0</v>
      </c>
      <c r="L125" s="76">
        <v>0</v>
      </c>
      <c r="M125" s="156">
        <f t="shared" si="64"/>
        <v>0</v>
      </c>
      <c r="N125" s="160">
        <f t="shared" si="65"/>
        <v>0</v>
      </c>
      <c r="O125" s="76">
        <v>0</v>
      </c>
      <c r="P125" s="156">
        <f t="shared" si="66"/>
        <v>0</v>
      </c>
      <c r="Q125" s="160">
        <f t="shared" si="71"/>
        <v>0</v>
      </c>
      <c r="R125" s="152">
        <f t="shared" si="68"/>
        <v>0</v>
      </c>
      <c r="S125" s="162">
        <f t="shared" si="69"/>
        <v>0</v>
      </c>
      <c r="U125" s="76">
        <v>0</v>
      </c>
      <c r="V125" s="156">
        <f t="shared" si="47"/>
        <v>0</v>
      </c>
      <c r="W125" s="160">
        <f t="shared" si="48"/>
        <v>0</v>
      </c>
      <c r="X125" s="76">
        <v>0</v>
      </c>
      <c r="Y125" s="156">
        <f t="shared" si="49"/>
        <v>0</v>
      </c>
      <c r="Z125" s="160">
        <f t="shared" si="50"/>
        <v>0</v>
      </c>
      <c r="AA125" s="76">
        <v>0</v>
      </c>
      <c r="AB125" s="156">
        <f t="shared" si="51"/>
        <v>0</v>
      </c>
      <c r="AC125" s="160">
        <f t="shared" si="52"/>
        <v>0</v>
      </c>
      <c r="AD125" s="76">
        <v>0</v>
      </c>
      <c r="AE125" s="156">
        <f t="shared" si="53"/>
        <v>0</v>
      </c>
      <c r="AF125" s="160">
        <f t="shared" si="54"/>
        <v>0</v>
      </c>
      <c r="AG125" s="76">
        <v>0</v>
      </c>
      <c r="AH125" s="156">
        <f t="shared" si="55"/>
        <v>0</v>
      </c>
      <c r="AI125" s="160">
        <f t="shared" si="56"/>
        <v>0</v>
      </c>
      <c r="AJ125" s="152">
        <f t="shared" si="70"/>
        <v>0</v>
      </c>
      <c r="AK125" s="162">
        <f t="shared" si="58"/>
        <v>0</v>
      </c>
    </row>
    <row r="126" spans="2:37" ht="14.25" customHeight="1" outlineLevel="1" x14ac:dyDescent="0.35">
      <c r="B126" s="48" t="s">
        <v>123</v>
      </c>
      <c r="C126" s="62" t="s">
        <v>175</v>
      </c>
      <c r="D126" s="76">
        <v>1429.2</v>
      </c>
      <c r="E126" s="77">
        <v>80361.039999999994</v>
      </c>
      <c r="F126" s="76">
        <v>4545.6000000000004</v>
      </c>
      <c r="G126" s="156">
        <f t="shared" si="60"/>
        <v>84906.64</v>
      </c>
      <c r="H126" s="160">
        <f t="shared" si="61"/>
        <v>5.6564723403281073E-2</v>
      </c>
      <c r="I126" s="76">
        <v>1327</v>
      </c>
      <c r="J126" s="156">
        <f t="shared" si="62"/>
        <v>86233.64</v>
      </c>
      <c r="K126" s="160">
        <f t="shared" si="63"/>
        <v>1.5628930787980774E-2</v>
      </c>
      <c r="L126" s="76">
        <v>1945.5</v>
      </c>
      <c r="M126" s="156">
        <f t="shared" si="64"/>
        <v>88179.14</v>
      </c>
      <c r="N126" s="160">
        <f t="shared" si="65"/>
        <v>2.2560801098040161E-2</v>
      </c>
      <c r="O126" s="76">
        <v>2325.1999999999998</v>
      </c>
      <c r="P126" s="156">
        <f t="shared" si="66"/>
        <v>90504.34</v>
      </c>
      <c r="Q126" s="160">
        <f t="shared" si="71"/>
        <v>2.6369048280579704E-2</v>
      </c>
      <c r="R126" s="152">
        <f t="shared" si="68"/>
        <v>11572.5</v>
      </c>
      <c r="S126" s="162">
        <f t="shared" si="69"/>
        <v>3.0163039954755444E-2</v>
      </c>
      <c r="U126" s="76">
        <v>721</v>
      </c>
      <c r="V126" s="156">
        <f t="shared" si="47"/>
        <v>91225.34</v>
      </c>
      <c r="W126" s="160">
        <f t="shared" si="48"/>
        <v>7.9664687903364638E-3</v>
      </c>
      <c r="X126" s="76">
        <v>1310</v>
      </c>
      <c r="Y126" s="156">
        <f t="shared" si="49"/>
        <v>92535.34</v>
      </c>
      <c r="Z126" s="160">
        <f t="shared" si="50"/>
        <v>1.4360045136581569E-2</v>
      </c>
      <c r="AA126" s="76">
        <v>3322</v>
      </c>
      <c r="AB126" s="156">
        <f t="shared" si="51"/>
        <v>95857.34</v>
      </c>
      <c r="AC126" s="160">
        <f t="shared" si="52"/>
        <v>3.5899797850205126E-2</v>
      </c>
      <c r="AD126" s="76">
        <v>0</v>
      </c>
      <c r="AE126" s="156">
        <f t="shared" si="53"/>
        <v>95857.34</v>
      </c>
      <c r="AF126" s="160">
        <f t="shared" si="54"/>
        <v>0</v>
      </c>
      <c r="AG126" s="76">
        <v>2997</v>
      </c>
      <c r="AH126" s="156">
        <f t="shared" si="55"/>
        <v>98854.34</v>
      </c>
      <c r="AI126" s="160">
        <f t="shared" si="56"/>
        <v>3.1265211406867749E-2</v>
      </c>
      <c r="AJ126" s="152">
        <f t="shared" si="70"/>
        <v>8350</v>
      </c>
      <c r="AK126" s="162">
        <f t="shared" si="58"/>
        <v>2.0281618797547418E-2</v>
      </c>
    </row>
    <row r="127" spans="2:37" ht="14.25" customHeight="1" outlineLevel="1" x14ac:dyDescent="0.35">
      <c r="B127" s="48" t="s">
        <v>181</v>
      </c>
      <c r="C127" s="62" t="s">
        <v>175</v>
      </c>
      <c r="D127" s="76">
        <v>3122.4</v>
      </c>
      <c r="E127" s="77">
        <v>7100.7250000000004</v>
      </c>
      <c r="F127" s="76">
        <v>2781.7000000000003</v>
      </c>
      <c r="G127" s="156">
        <f>E127+F127</f>
        <v>9882.4250000000011</v>
      </c>
      <c r="H127" s="160">
        <f>IFERROR((G127-E127)/E127,0)</f>
        <v>0.39174872988321624</v>
      </c>
      <c r="I127" s="76">
        <v>0</v>
      </c>
      <c r="J127" s="156">
        <f>G127+I127</f>
        <v>9882.4250000000011</v>
      </c>
      <c r="K127" s="160">
        <f>IFERROR((J127-G127)/G127,0)</f>
        <v>0</v>
      </c>
      <c r="L127" s="76">
        <v>0</v>
      </c>
      <c r="M127" s="156">
        <f>J127+L127</f>
        <v>9882.4250000000011</v>
      </c>
      <c r="N127" s="160">
        <f>IFERROR((M127-J127)/J127,0)</f>
        <v>0</v>
      </c>
      <c r="O127" s="76">
        <v>0</v>
      </c>
      <c r="P127" s="156">
        <f>M127+O127</f>
        <v>9882.4250000000011</v>
      </c>
      <c r="Q127" s="160">
        <f>IFERROR((P127-M127)/M127,0)</f>
        <v>0</v>
      </c>
      <c r="R127" s="152">
        <f>D127+F127+I127+L127+O127</f>
        <v>5904.1</v>
      </c>
      <c r="S127" s="162">
        <f>IFERROR((P127/E127)^(1/4)-1,0)</f>
        <v>8.6151005067666153E-2</v>
      </c>
      <c r="U127" s="76">
        <v>0</v>
      </c>
      <c r="V127" s="156">
        <f>P127+U127</f>
        <v>9882.4250000000011</v>
      </c>
      <c r="W127" s="160">
        <f>IFERROR((V127-P127)/P127,0)</f>
        <v>0</v>
      </c>
      <c r="X127" s="76">
        <v>3552</v>
      </c>
      <c r="Y127" s="156">
        <f>V127+X127</f>
        <v>13434.425000000001</v>
      </c>
      <c r="Z127" s="160">
        <f>IFERROR((Y127-V127)/V127,0)</f>
        <v>0.35942595061434818</v>
      </c>
      <c r="AA127" s="76">
        <v>1556</v>
      </c>
      <c r="AB127" s="156">
        <f>Y127+AA127</f>
        <v>14990.425000000001</v>
      </c>
      <c r="AC127" s="160">
        <f>IFERROR((AB127-Y127)/Y127,0)</f>
        <v>0.1158218531868688</v>
      </c>
      <c r="AD127" s="76">
        <v>2698</v>
      </c>
      <c r="AE127" s="156">
        <f>AB127+AD127</f>
        <v>17688.425000000003</v>
      </c>
      <c r="AF127" s="160">
        <f>IFERROR((AE127-AB127)/AB127,0)</f>
        <v>0.17998155489253984</v>
      </c>
      <c r="AG127" s="76">
        <v>3930</v>
      </c>
      <c r="AH127" s="156">
        <f>AE127+AG127</f>
        <v>21618.425000000003</v>
      </c>
      <c r="AI127" s="160">
        <f>IFERROR((AH127-AE127)/AE127,0)</f>
        <v>0.22217919345560724</v>
      </c>
      <c r="AJ127" s="152">
        <f>U127+X127+AA127+AD127+AG127</f>
        <v>11736</v>
      </c>
      <c r="AK127" s="162">
        <f>IFERROR((AH127/V127)^(1/4)-1,0)</f>
        <v>0.21615836366215024</v>
      </c>
    </row>
    <row r="128" spans="2:37" ht="14.25" customHeight="1" outlineLevel="1" x14ac:dyDescent="0.35">
      <c r="B128" s="48" t="s">
        <v>182</v>
      </c>
      <c r="C128" s="62" t="s">
        <v>175</v>
      </c>
      <c r="D128" s="76">
        <v>1967.5</v>
      </c>
      <c r="E128" s="77">
        <v>22226.59</v>
      </c>
      <c r="F128" s="76">
        <v>3423.5</v>
      </c>
      <c r="G128" s="156">
        <f t="shared" si="60"/>
        <v>25650.09</v>
      </c>
      <c r="H128" s="160">
        <f t="shared" si="61"/>
        <v>0.15402722594873977</v>
      </c>
      <c r="I128" s="76">
        <v>140</v>
      </c>
      <c r="J128" s="156">
        <f t="shared" si="62"/>
        <v>25790.09</v>
      </c>
      <c r="K128" s="160">
        <f t="shared" si="63"/>
        <v>5.458070517491362E-3</v>
      </c>
      <c r="L128" s="76">
        <v>1616.5</v>
      </c>
      <c r="M128" s="156">
        <f t="shared" si="64"/>
        <v>27406.59</v>
      </c>
      <c r="N128" s="160">
        <f t="shared" si="65"/>
        <v>6.2679114341981743E-2</v>
      </c>
      <c r="O128" s="76">
        <v>1507.3</v>
      </c>
      <c r="P128" s="156">
        <f t="shared" si="66"/>
        <v>28913.89</v>
      </c>
      <c r="Q128" s="160">
        <f t="shared" si="71"/>
        <v>5.4997721350959726E-2</v>
      </c>
      <c r="R128" s="152">
        <f t="shared" si="68"/>
        <v>8654.7999999999993</v>
      </c>
      <c r="S128" s="162">
        <f t="shared" si="69"/>
        <v>6.7968446524454995E-2</v>
      </c>
      <c r="U128" s="76">
        <v>403</v>
      </c>
      <c r="V128" s="156">
        <f t="shared" si="47"/>
        <v>29316.89</v>
      </c>
      <c r="W128" s="160">
        <f t="shared" si="48"/>
        <v>1.3937937786994417E-2</v>
      </c>
      <c r="X128" s="76">
        <v>0</v>
      </c>
      <c r="Y128" s="156">
        <f t="shared" si="49"/>
        <v>29316.89</v>
      </c>
      <c r="Z128" s="160">
        <f t="shared" si="50"/>
        <v>0</v>
      </c>
      <c r="AA128" s="76">
        <v>0</v>
      </c>
      <c r="AB128" s="156">
        <f t="shared" si="51"/>
        <v>29316.89</v>
      </c>
      <c r="AC128" s="160">
        <f t="shared" si="52"/>
        <v>0</v>
      </c>
      <c r="AD128" s="76">
        <v>0</v>
      </c>
      <c r="AE128" s="156">
        <f t="shared" si="53"/>
        <v>29316.89</v>
      </c>
      <c r="AF128" s="160">
        <f t="shared" si="54"/>
        <v>0</v>
      </c>
      <c r="AG128" s="76">
        <v>0</v>
      </c>
      <c r="AH128" s="156">
        <f t="shared" si="55"/>
        <v>29316.89</v>
      </c>
      <c r="AI128" s="160">
        <f t="shared" si="56"/>
        <v>0</v>
      </c>
      <c r="AJ128" s="152">
        <f t="shared" si="70"/>
        <v>403</v>
      </c>
      <c r="AK128" s="162">
        <f t="shared" si="58"/>
        <v>0</v>
      </c>
    </row>
    <row r="129" spans="2:37" ht="14.25" customHeight="1" outlineLevel="1" x14ac:dyDescent="0.35">
      <c r="B129" s="48" t="s">
        <v>126</v>
      </c>
      <c r="C129" s="62" t="s">
        <v>175</v>
      </c>
      <c r="D129" s="76">
        <v>5584.8</v>
      </c>
      <c r="E129" s="77">
        <v>76626.904999999999</v>
      </c>
      <c r="F129" s="76">
        <v>19321.899999999998</v>
      </c>
      <c r="G129" s="156">
        <f t="shared" si="60"/>
        <v>95948.804999999993</v>
      </c>
      <c r="H129" s="160">
        <f t="shared" si="61"/>
        <v>0.2521555581554546</v>
      </c>
      <c r="I129" s="76">
        <v>6519</v>
      </c>
      <c r="J129" s="156">
        <f t="shared" si="62"/>
        <v>102467.80499999999</v>
      </c>
      <c r="K129" s="160">
        <f t="shared" si="63"/>
        <v>6.7942482451970099E-2</v>
      </c>
      <c r="L129" s="76">
        <v>4068.7000000000003</v>
      </c>
      <c r="M129" s="156">
        <f t="shared" si="64"/>
        <v>106536.50499999999</v>
      </c>
      <c r="N129" s="160">
        <f t="shared" si="65"/>
        <v>3.9707106051505618E-2</v>
      </c>
      <c r="O129" s="76">
        <v>6820.2699999999995</v>
      </c>
      <c r="P129" s="156">
        <f t="shared" si="66"/>
        <v>113356.77499999999</v>
      </c>
      <c r="Q129" s="160">
        <f t="shared" si="71"/>
        <v>6.4018150398307175E-2</v>
      </c>
      <c r="R129" s="152">
        <f t="shared" si="68"/>
        <v>42314.669999999991</v>
      </c>
      <c r="S129" s="162">
        <f t="shared" si="69"/>
        <v>0.10285025845250106</v>
      </c>
      <c r="U129" s="76">
        <v>877</v>
      </c>
      <c r="V129" s="156">
        <f t="shared" si="47"/>
        <v>114233.77499999999</v>
      </c>
      <c r="W129" s="160">
        <f t="shared" si="48"/>
        <v>7.7366350621742731E-3</v>
      </c>
      <c r="X129" s="76">
        <v>1205</v>
      </c>
      <c r="Y129" s="156">
        <f t="shared" si="49"/>
        <v>115438.77499999999</v>
      </c>
      <c r="Z129" s="160">
        <f t="shared" si="50"/>
        <v>1.0548543983598547E-2</v>
      </c>
      <c r="AA129" s="76">
        <v>890</v>
      </c>
      <c r="AB129" s="156">
        <f t="shared" si="51"/>
        <v>116328.77499999999</v>
      </c>
      <c r="AC129" s="160">
        <f t="shared" si="52"/>
        <v>7.7097145218320276E-3</v>
      </c>
      <c r="AD129" s="76">
        <v>1299</v>
      </c>
      <c r="AE129" s="156">
        <f t="shared" si="53"/>
        <v>117627.77499999999</v>
      </c>
      <c r="AF129" s="160">
        <f t="shared" si="54"/>
        <v>1.1166626657935667E-2</v>
      </c>
      <c r="AG129" s="76">
        <v>0</v>
      </c>
      <c r="AH129" s="156">
        <f t="shared" si="55"/>
        <v>117627.77499999999</v>
      </c>
      <c r="AI129" s="160">
        <f t="shared" si="56"/>
        <v>0</v>
      </c>
      <c r="AJ129" s="152">
        <f t="shared" si="70"/>
        <v>4271</v>
      </c>
      <c r="AK129" s="162">
        <f t="shared" si="58"/>
        <v>7.3463991006961216E-3</v>
      </c>
    </row>
    <row r="130" spans="2:37" ht="14.25" customHeight="1" outlineLevel="1" x14ac:dyDescent="0.35">
      <c r="B130" s="48" t="s">
        <v>127</v>
      </c>
      <c r="C130" s="62" t="s">
        <v>175</v>
      </c>
      <c r="D130" s="76"/>
      <c r="E130" s="77">
        <v>237.01499999999999</v>
      </c>
      <c r="F130" s="76"/>
      <c r="G130" s="156">
        <f t="shared" si="60"/>
        <v>237.01499999999999</v>
      </c>
      <c r="H130" s="160">
        <f t="shared" si="61"/>
        <v>0</v>
      </c>
      <c r="I130" s="76"/>
      <c r="J130" s="156">
        <f t="shared" si="62"/>
        <v>237.01499999999999</v>
      </c>
      <c r="K130" s="160">
        <f t="shared" si="63"/>
        <v>0</v>
      </c>
      <c r="L130" s="76">
        <v>0</v>
      </c>
      <c r="M130" s="156">
        <f t="shared" si="64"/>
        <v>237.01499999999999</v>
      </c>
      <c r="N130" s="160">
        <f t="shared" si="65"/>
        <v>0</v>
      </c>
      <c r="O130" s="76">
        <v>450</v>
      </c>
      <c r="P130" s="156">
        <f t="shared" si="66"/>
        <v>687.01499999999999</v>
      </c>
      <c r="Q130" s="160">
        <f t="shared" si="71"/>
        <v>1.898614011771407</v>
      </c>
      <c r="R130" s="152">
        <f t="shared" si="68"/>
        <v>450</v>
      </c>
      <c r="S130" s="162">
        <f t="shared" si="69"/>
        <v>0.30481096247815853</v>
      </c>
      <c r="U130" s="76">
        <v>4540</v>
      </c>
      <c r="V130" s="156">
        <f t="shared" si="47"/>
        <v>5227.0150000000003</v>
      </c>
      <c r="W130" s="160">
        <f t="shared" si="48"/>
        <v>6.6082982176517255</v>
      </c>
      <c r="X130" s="76">
        <v>0</v>
      </c>
      <c r="Y130" s="156">
        <f t="shared" si="49"/>
        <v>5227.0150000000003</v>
      </c>
      <c r="Z130" s="160">
        <f t="shared" si="50"/>
        <v>0</v>
      </c>
      <c r="AA130" s="76">
        <v>0</v>
      </c>
      <c r="AB130" s="156">
        <f t="shared" si="51"/>
        <v>5227.0150000000003</v>
      </c>
      <c r="AC130" s="160">
        <f t="shared" si="52"/>
        <v>0</v>
      </c>
      <c r="AD130" s="76">
        <v>0</v>
      </c>
      <c r="AE130" s="156">
        <f t="shared" si="53"/>
        <v>5227.0150000000003</v>
      </c>
      <c r="AF130" s="160">
        <f t="shared" si="54"/>
        <v>0</v>
      </c>
      <c r="AG130" s="76">
        <v>0</v>
      </c>
      <c r="AH130" s="156">
        <f t="shared" si="55"/>
        <v>5227.0150000000003</v>
      </c>
      <c r="AI130" s="160">
        <f t="shared" si="56"/>
        <v>0</v>
      </c>
      <c r="AJ130" s="152">
        <f t="shared" si="70"/>
        <v>4540</v>
      </c>
      <c r="AK130" s="162">
        <f t="shared" si="58"/>
        <v>0</v>
      </c>
    </row>
    <row r="131" spans="2:37" ht="14.25" customHeight="1" outlineLevel="1" x14ac:dyDescent="0.35">
      <c r="B131" s="48" t="s">
        <v>184</v>
      </c>
      <c r="C131" s="62" t="s">
        <v>175</v>
      </c>
      <c r="D131" s="76"/>
      <c r="E131" s="77"/>
      <c r="F131" s="76"/>
      <c r="G131" s="156"/>
      <c r="H131" s="160"/>
      <c r="I131" s="76"/>
      <c r="J131" s="156"/>
      <c r="K131" s="160"/>
      <c r="L131" s="76"/>
      <c r="M131" s="156"/>
      <c r="N131" s="160"/>
      <c r="O131" s="76"/>
      <c r="P131" s="156"/>
      <c r="Q131" s="160"/>
      <c r="R131" s="152"/>
      <c r="S131" s="162"/>
      <c r="U131" s="76"/>
      <c r="V131" s="156">
        <f t="shared" si="47"/>
        <v>0</v>
      </c>
      <c r="W131" s="160">
        <f t="shared" si="48"/>
        <v>0</v>
      </c>
      <c r="X131" s="76"/>
      <c r="Y131" s="156">
        <f t="shared" si="49"/>
        <v>0</v>
      </c>
      <c r="Z131" s="160">
        <f t="shared" si="50"/>
        <v>0</v>
      </c>
      <c r="AA131" s="76"/>
      <c r="AB131" s="156">
        <f t="shared" si="51"/>
        <v>0</v>
      </c>
      <c r="AC131" s="160">
        <f t="shared" si="52"/>
        <v>0</v>
      </c>
      <c r="AD131" s="76"/>
      <c r="AE131" s="156">
        <f t="shared" si="53"/>
        <v>0</v>
      </c>
      <c r="AF131" s="160">
        <f t="shared" si="54"/>
        <v>0</v>
      </c>
      <c r="AG131" s="76"/>
      <c r="AH131" s="156">
        <f t="shared" si="55"/>
        <v>0</v>
      </c>
      <c r="AI131" s="160">
        <f t="shared" si="56"/>
        <v>0</v>
      </c>
      <c r="AJ131" s="152">
        <f t="shared" si="70"/>
        <v>0</v>
      </c>
      <c r="AK131" s="162">
        <f t="shared" si="58"/>
        <v>0</v>
      </c>
    </row>
    <row r="132" spans="2:37" s="345" customFormat="1" outlineLevel="1" x14ac:dyDescent="0.35">
      <c r="B132" s="346" t="s">
        <v>138</v>
      </c>
      <c r="C132" s="354" t="s">
        <v>175</v>
      </c>
      <c r="D132" s="348">
        <f>SUM(D77:D130)</f>
        <v>117583.94</v>
      </c>
      <c r="E132" s="348">
        <f>SUM(E77:E130)</f>
        <v>3267431.82</v>
      </c>
      <c r="F132" s="348">
        <f>SUM(F77:F130)</f>
        <v>161230.23000000004</v>
      </c>
      <c r="G132" s="348">
        <f>SUM(G77:G130)</f>
        <v>3428662.05</v>
      </c>
      <c r="H132" s="349">
        <f>IFERROR((G132-E132)/E132,0)</f>
        <v>4.9344634833114895E-2</v>
      </c>
      <c r="I132" s="348">
        <f>SUM(I77:I130)</f>
        <v>155206.93</v>
      </c>
      <c r="J132" s="348">
        <f>SUM(J77:J130)</f>
        <v>3583868.9800000004</v>
      </c>
      <c r="K132" s="349">
        <f>IFERROR((J132-G132)/G132,0)</f>
        <v>4.5267491440283726E-2</v>
      </c>
      <c r="L132" s="348">
        <f>SUM(L77:L130)</f>
        <v>53481.75</v>
      </c>
      <c r="M132" s="348">
        <f>SUM(M77:M130)</f>
        <v>3637350.7299999991</v>
      </c>
      <c r="N132" s="349">
        <f>IFERROR((M132-J132)/J132,0)</f>
        <v>1.4922908816828062E-2</v>
      </c>
      <c r="O132" s="348">
        <f>SUM(O77:O130)</f>
        <v>128185.23999999999</v>
      </c>
      <c r="P132" s="348">
        <f>SUM(P77:P130)</f>
        <v>3765535.9699999997</v>
      </c>
      <c r="Q132" s="349">
        <f>IFERROR((P132-M132)/M132,0)</f>
        <v>3.5241374702406202E-2</v>
      </c>
      <c r="R132" s="348">
        <f>SUM(R77:R130)</f>
        <v>615688.09000000008</v>
      </c>
      <c r="S132" s="397">
        <f>IFERROR((P132/E132)^(1/4)-1,0)</f>
        <v>3.6108094494144316E-2</v>
      </c>
      <c r="U132" s="348">
        <f>SUM(U77:U130)</f>
        <v>39140</v>
      </c>
      <c r="V132" s="348">
        <f>SUM(V77:V130)</f>
        <v>3804675.9699999997</v>
      </c>
      <c r="W132" s="349">
        <f>IFERROR((V132-P132)/P132,0)</f>
        <v>1.0394270646151869E-2</v>
      </c>
      <c r="X132" s="348">
        <f>SUM(X77:X130)</f>
        <v>113500</v>
      </c>
      <c r="Y132" s="348">
        <f>SUM(Y77:Y130)</f>
        <v>3918175.9699999997</v>
      </c>
      <c r="Z132" s="349">
        <f t="shared" si="50"/>
        <v>2.9831712580769398E-2</v>
      </c>
      <c r="AA132" s="348">
        <f>SUM(AA77:AA130)</f>
        <v>107000</v>
      </c>
      <c r="AB132" s="348">
        <f>SUM(AB77:AB130)</f>
        <v>4025175.9699999997</v>
      </c>
      <c r="AC132" s="349">
        <f t="shared" ref="AC132" si="72">IFERROR((AB132-Y132)/Y132,0)</f>
        <v>2.7308625446957658E-2</v>
      </c>
      <c r="AD132" s="348">
        <f>SUM(AD77:AD130)</f>
        <v>116000</v>
      </c>
      <c r="AE132" s="348">
        <f>SUM(AE77:AE130)</f>
        <v>4141175.9699999997</v>
      </c>
      <c r="AF132" s="349">
        <f t="shared" ref="AF132" si="73">IFERROR((AE132-AB132)/AB132,0)</f>
        <v>2.8818615847992356E-2</v>
      </c>
      <c r="AG132" s="348">
        <f>SUM(AG77:AG130)</f>
        <v>110000</v>
      </c>
      <c r="AH132" s="348">
        <f>SUM(AH77:AH130)</f>
        <v>4251175.97</v>
      </c>
      <c r="AI132" s="349">
        <f>IFERROR((AH132-AE132)/AE132,0)</f>
        <v>2.6562503210893502E-2</v>
      </c>
      <c r="AJ132" s="348">
        <f>SUM(AJ77:AJ130)</f>
        <v>485640</v>
      </c>
      <c r="AK132" s="397">
        <f t="shared" ref="AK132" si="74">IFERROR((AH132/V132)^(1/4)-1,0)</f>
        <v>2.812957385898196E-2</v>
      </c>
    </row>
    <row r="133" spans="2:37" x14ac:dyDescent="0.35">
      <c r="E133" s="39"/>
      <c r="P133" s="39"/>
      <c r="X133" s="391"/>
      <c r="AJ133" s="39"/>
    </row>
    <row r="134" spans="2:37" ht="17.25" customHeight="1" x14ac:dyDescent="0.35">
      <c r="B134" s="419" t="s">
        <v>185</v>
      </c>
      <c r="C134" s="419"/>
      <c r="D134" s="419"/>
      <c r="E134" s="419"/>
      <c r="F134" s="419"/>
      <c r="G134" s="419"/>
      <c r="H134" s="419"/>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c r="AJ134" s="419"/>
      <c r="AK134" s="442"/>
    </row>
    <row r="135" spans="2:37" ht="5.9" customHeight="1" outlineLevel="1" x14ac:dyDescent="0.35">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row>
    <row r="136" spans="2:37" ht="15" customHeight="1" outlineLevel="1" x14ac:dyDescent="0.35">
      <c r="B136" s="443"/>
      <c r="C136" s="444" t="s">
        <v>134</v>
      </c>
      <c r="D136" s="435" t="s">
        <v>169</v>
      </c>
      <c r="E136" s="436"/>
      <c r="F136" s="436"/>
      <c r="G136" s="436"/>
      <c r="H136" s="436"/>
      <c r="I136" s="436"/>
      <c r="J136" s="436"/>
      <c r="K136" s="436"/>
      <c r="L136" s="436"/>
      <c r="M136" s="436"/>
      <c r="N136" s="436"/>
      <c r="O136" s="435"/>
      <c r="P136" s="436"/>
      <c r="Q136" s="437"/>
      <c r="R136" s="431" t="str">
        <f xml:space="preserve"> D137&amp;" - "&amp;O137</f>
        <v>2019 - 2023</v>
      </c>
      <c r="S136" s="432"/>
      <c r="U136" s="435" t="s">
        <v>170</v>
      </c>
      <c r="V136" s="436"/>
      <c r="W136" s="436"/>
      <c r="X136" s="436"/>
      <c r="Y136" s="436"/>
      <c r="Z136" s="436"/>
      <c r="AA136" s="436"/>
      <c r="AB136" s="436"/>
      <c r="AC136" s="436"/>
      <c r="AD136" s="436"/>
      <c r="AE136" s="436"/>
      <c r="AF136" s="436"/>
      <c r="AG136" s="436"/>
      <c r="AH136" s="436"/>
      <c r="AI136" s="436"/>
      <c r="AJ136" s="436"/>
      <c r="AK136" s="438"/>
    </row>
    <row r="137" spans="2:37" ht="15" customHeight="1" outlineLevel="1" x14ac:dyDescent="0.35">
      <c r="B137" s="443"/>
      <c r="C137" s="445"/>
      <c r="D137" s="435">
        <f>$C$3-5</f>
        <v>2019</v>
      </c>
      <c r="E137" s="437"/>
      <c r="F137" s="435">
        <f>$C$3-4</f>
        <v>2020</v>
      </c>
      <c r="G137" s="436"/>
      <c r="H137" s="437"/>
      <c r="I137" s="435">
        <f>$C$3-3</f>
        <v>2021</v>
      </c>
      <c r="J137" s="436"/>
      <c r="K137" s="437"/>
      <c r="L137" s="435">
        <f>$C$3-2</f>
        <v>2022</v>
      </c>
      <c r="M137" s="436"/>
      <c r="N137" s="437"/>
      <c r="O137" s="435">
        <f>$C$3-1</f>
        <v>2023</v>
      </c>
      <c r="P137" s="436"/>
      <c r="Q137" s="437"/>
      <c r="R137" s="433"/>
      <c r="S137" s="434"/>
      <c r="U137" s="435">
        <f>$C$3</f>
        <v>2024</v>
      </c>
      <c r="V137" s="436"/>
      <c r="W137" s="437"/>
      <c r="X137" s="435">
        <f>$C$3+1</f>
        <v>2025</v>
      </c>
      <c r="Y137" s="436"/>
      <c r="Z137" s="437"/>
      <c r="AA137" s="435">
        <f>$C$3+2</f>
        <v>2026</v>
      </c>
      <c r="AB137" s="436"/>
      <c r="AC137" s="437"/>
      <c r="AD137" s="435">
        <f>$C$3+3</f>
        <v>2027</v>
      </c>
      <c r="AE137" s="436"/>
      <c r="AF137" s="437"/>
      <c r="AG137" s="435">
        <f>$C$3+4</f>
        <v>2028</v>
      </c>
      <c r="AH137" s="436"/>
      <c r="AI137" s="437"/>
      <c r="AJ137" s="439" t="str">
        <f>U137&amp;" - "&amp;AG137</f>
        <v>2024 - 2028</v>
      </c>
      <c r="AK137" s="440"/>
    </row>
    <row r="138" spans="2:37" ht="29" outlineLevel="1" x14ac:dyDescent="0.35">
      <c r="B138" s="443"/>
      <c r="C138" s="446"/>
      <c r="D138" s="66" t="s">
        <v>186</v>
      </c>
      <c r="E138" s="67" t="s">
        <v>187</v>
      </c>
      <c r="F138" s="66" t="s">
        <v>186</v>
      </c>
      <c r="G138" s="9" t="s">
        <v>187</v>
      </c>
      <c r="H138" s="67" t="s">
        <v>173</v>
      </c>
      <c r="I138" s="66" t="s">
        <v>186</v>
      </c>
      <c r="J138" s="9" t="s">
        <v>187</v>
      </c>
      <c r="K138" s="67" t="s">
        <v>173</v>
      </c>
      <c r="L138" s="66" t="s">
        <v>186</v>
      </c>
      <c r="M138" s="9" t="s">
        <v>187</v>
      </c>
      <c r="N138" s="67" t="s">
        <v>173</v>
      </c>
      <c r="O138" s="66" t="s">
        <v>171</v>
      </c>
      <c r="P138" s="9" t="s">
        <v>172</v>
      </c>
      <c r="Q138" s="67" t="s">
        <v>173</v>
      </c>
      <c r="R138" s="9" t="s">
        <v>164</v>
      </c>
      <c r="S138" s="57" t="s">
        <v>174</v>
      </c>
      <c r="U138" s="66" t="s">
        <v>186</v>
      </c>
      <c r="V138" s="9" t="s">
        <v>187</v>
      </c>
      <c r="W138" s="67" t="s">
        <v>173</v>
      </c>
      <c r="X138" s="66" t="s">
        <v>186</v>
      </c>
      <c r="Y138" s="9" t="s">
        <v>187</v>
      </c>
      <c r="Z138" s="67" t="s">
        <v>173</v>
      </c>
      <c r="AA138" s="66" t="s">
        <v>186</v>
      </c>
      <c r="AB138" s="9" t="s">
        <v>187</v>
      </c>
      <c r="AC138" s="67" t="s">
        <v>173</v>
      </c>
      <c r="AD138" s="66" t="s">
        <v>186</v>
      </c>
      <c r="AE138" s="9" t="s">
        <v>187</v>
      </c>
      <c r="AF138" s="67" t="s">
        <v>173</v>
      </c>
      <c r="AG138" s="66" t="s">
        <v>186</v>
      </c>
      <c r="AH138" s="9" t="s">
        <v>187</v>
      </c>
      <c r="AI138" s="67" t="s">
        <v>173</v>
      </c>
      <c r="AJ138" s="9" t="s">
        <v>164</v>
      </c>
      <c r="AK138" s="57" t="s">
        <v>174</v>
      </c>
    </row>
    <row r="139" spans="2:37" outlineLevel="1" x14ac:dyDescent="0.35">
      <c r="B139" s="243"/>
      <c r="C139" s="242"/>
      <c r="D139" s="240"/>
      <c r="E139" s="239"/>
      <c r="F139" s="240"/>
      <c r="G139" s="241"/>
      <c r="H139" s="239"/>
      <c r="I139" s="240"/>
      <c r="J139" s="241"/>
      <c r="K139" s="239"/>
      <c r="L139" s="240"/>
      <c r="M139" s="241"/>
      <c r="N139" s="239"/>
      <c r="O139" s="240"/>
      <c r="P139" s="241"/>
      <c r="Q139" s="239"/>
      <c r="R139" s="9"/>
      <c r="S139" s="57"/>
      <c r="U139" s="240"/>
      <c r="V139" s="241"/>
      <c r="W139" s="239"/>
      <c r="X139" s="240"/>
      <c r="Y139" s="241"/>
      <c r="Z139" s="239"/>
      <c r="AA139" s="240"/>
      <c r="AB139" s="241"/>
      <c r="AC139" s="239"/>
      <c r="AD139" s="240"/>
      <c r="AE139" s="241"/>
      <c r="AF139" s="239"/>
      <c r="AG139" s="240"/>
      <c r="AH139" s="241"/>
      <c r="AI139" s="239"/>
      <c r="AJ139" s="9"/>
      <c r="AK139" s="57"/>
    </row>
    <row r="140" spans="2:37" outlineLevel="1" x14ac:dyDescent="0.35">
      <c r="B140" s="48" t="s">
        <v>74</v>
      </c>
      <c r="C140" s="62" t="s">
        <v>135</v>
      </c>
      <c r="D140" s="76">
        <v>55</v>
      </c>
      <c r="E140" s="77">
        <v>662</v>
      </c>
      <c r="F140" s="76">
        <v>44</v>
      </c>
      <c r="G140" s="156">
        <f t="shared" ref="G140:G171" si="75">E140+F140</f>
        <v>706</v>
      </c>
      <c r="H140" s="160">
        <f t="shared" ref="H140:H171" si="76">IFERROR((G140-E140)/E140,0)</f>
        <v>6.6465256797583083E-2</v>
      </c>
      <c r="I140" s="76">
        <v>35</v>
      </c>
      <c r="J140" s="156">
        <f t="shared" ref="J140:J171" si="77">G140+I140</f>
        <v>741</v>
      </c>
      <c r="K140" s="160">
        <f t="shared" ref="K140:K171" si="78">IFERROR((J140-G140)/G140,0)</f>
        <v>4.9575070821529746E-2</v>
      </c>
      <c r="L140" s="76">
        <v>23</v>
      </c>
      <c r="M140" s="156">
        <f t="shared" ref="M140:M171" si="79">J140+L140</f>
        <v>764</v>
      </c>
      <c r="N140" s="160">
        <f t="shared" ref="N140:N171" si="80">IFERROR((M140-J140)/J140,0)</f>
        <v>3.1039136302294199E-2</v>
      </c>
      <c r="O140" s="76">
        <v>19</v>
      </c>
      <c r="P140" s="156">
        <f t="shared" ref="P140:P171" si="81">M140+O140</f>
        <v>783</v>
      </c>
      <c r="Q140" s="160">
        <f t="shared" ref="Q140:Q171" si="82">IFERROR((P140-M140)/M140,0)</f>
        <v>2.4869109947643978E-2</v>
      </c>
      <c r="R140" s="152">
        <f t="shared" ref="R140:R171" si="83">D140+F140+I140+L140+O140</f>
        <v>176</v>
      </c>
      <c r="S140" s="162">
        <f t="shared" ref="S140:S171" si="84">IFERROR((P140/E140)^(1/4)-1,0)</f>
        <v>4.2859839599949767E-2</v>
      </c>
      <c r="U140" s="76">
        <v>9.7200000000000006</v>
      </c>
      <c r="V140" s="156">
        <f t="shared" ref="V140" si="85">P140+U140</f>
        <v>792.72</v>
      </c>
      <c r="W140" s="160">
        <f t="shared" ref="W140" si="86">IFERROR((V140-P140)/P140,0)</f>
        <v>1.241379310344831E-2</v>
      </c>
      <c r="X140" s="76">
        <v>29.200000000000003</v>
      </c>
      <c r="Y140" s="156">
        <f t="shared" ref="Y140" si="87">V140+X140</f>
        <v>821.92000000000007</v>
      </c>
      <c r="Z140" s="160">
        <f t="shared" ref="Z140" si="88">IFERROR((Y140-V140)/V140,0)</f>
        <v>3.6835200322938799E-2</v>
      </c>
      <c r="AA140" s="76">
        <v>52.769999999999996</v>
      </c>
      <c r="AB140" s="156">
        <f t="shared" ref="AB140" si="89">Y140+AA140</f>
        <v>874.69</v>
      </c>
      <c r="AC140" s="160">
        <f t="shared" ref="AC140" si="90">IFERROR((AB140-Y140)/Y140,0)</f>
        <v>6.4203328791123199E-2</v>
      </c>
      <c r="AD140" s="76">
        <v>47.24</v>
      </c>
      <c r="AE140" s="156">
        <f t="shared" ref="AE140" si="91">AB140+AD140</f>
        <v>921.93000000000006</v>
      </c>
      <c r="AF140" s="160">
        <f t="shared" ref="AF140" si="92">IFERROR((AE140-AB140)/AB140,0)</f>
        <v>5.4007705587122305E-2</v>
      </c>
      <c r="AG140" s="76">
        <v>37.03</v>
      </c>
      <c r="AH140" s="156">
        <f t="shared" ref="AH140" si="93">AE140+AG140</f>
        <v>958.96</v>
      </c>
      <c r="AI140" s="160">
        <f t="shared" ref="AI140" si="94">IFERROR((AH140-AE140)/AE140,0)</f>
        <v>4.0165739264369282E-2</v>
      </c>
      <c r="AJ140" s="152">
        <f>U140+X140+AA140+AD140+AG140</f>
        <v>175.96</v>
      </c>
      <c r="AK140" s="162">
        <f>IFERROR((AH140/V140)^(1/4)-1,0)</f>
        <v>4.8745642177791426E-2</v>
      </c>
    </row>
    <row r="141" spans="2:37" outlineLevel="1" x14ac:dyDescent="0.35">
      <c r="B141" s="48" t="s">
        <v>75</v>
      </c>
      <c r="C141" s="62" t="s">
        <v>135</v>
      </c>
      <c r="D141" s="76">
        <v>264</v>
      </c>
      <c r="E141" s="77">
        <v>2205</v>
      </c>
      <c r="F141" s="76">
        <v>299</v>
      </c>
      <c r="G141" s="156">
        <f t="shared" si="75"/>
        <v>2504</v>
      </c>
      <c r="H141" s="160">
        <f t="shared" si="76"/>
        <v>0.13560090702947847</v>
      </c>
      <c r="I141" s="76">
        <v>253</v>
      </c>
      <c r="J141" s="156">
        <f t="shared" si="77"/>
        <v>2757</v>
      </c>
      <c r="K141" s="160">
        <f t="shared" si="78"/>
        <v>0.10103833865814696</v>
      </c>
      <c r="L141" s="76">
        <v>125</v>
      </c>
      <c r="M141" s="156">
        <f t="shared" si="79"/>
        <v>2882</v>
      </c>
      <c r="N141" s="160">
        <f t="shared" si="80"/>
        <v>4.5339136742836419E-2</v>
      </c>
      <c r="O141" s="76">
        <v>80</v>
      </c>
      <c r="P141" s="156">
        <f t="shared" si="81"/>
        <v>2962</v>
      </c>
      <c r="Q141" s="160">
        <f t="shared" si="82"/>
        <v>2.7758501040943788E-2</v>
      </c>
      <c r="R141" s="152">
        <f t="shared" si="83"/>
        <v>1021</v>
      </c>
      <c r="S141" s="162">
        <f t="shared" si="84"/>
        <v>7.6574565186180221E-2</v>
      </c>
      <c r="U141" s="76">
        <v>121.28</v>
      </c>
      <c r="V141" s="156">
        <f t="shared" ref="V141:V192" si="95">P141+U141</f>
        <v>3083.28</v>
      </c>
      <c r="W141" s="160">
        <f t="shared" ref="W141:W192" si="96">IFERROR((V141-P141)/P141,0)</f>
        <v>4.094530722484814E-2</v>
      </c>
      <c r="X141" s="76">
        <v>179.95000000000002</v>
      </c>
      <c r="Y141" s="156">
        <f t="shared" ref="Y141:Y193" si="97">V141+X141</f>
        <v>3263.23</v>
      </c>
      <c r="Z141" s="160">
        <f t="shared" ref="Z141:Z193" si="98">IFERROR((Y141-V141)/V141,0)</f>
        <v>5.8363171687293991E-2</v>
      </c>
      <c r="AA141" s="76">
        <v>185.66</v>
      </c>
      <c r="AB141" s="156">
        <f t="shared" ref="AB141:AB193" si="99">Y141+AA141</f>
        <v>3448.89</v>
      </c>
      <c r="AC141" s="160">
        <f t="shared" ref="AC141:AC193" si="100">IFERROR((AB141-Y141)/Y141,0)</f>
        <v>5.6894549265604895E-2</v>
      </c>
      <c r="AD141" s="76">
        <v>153.6</v>
      </c>
      <c r="AE141" s="156">
        <f t="shared" ref="AE141:AE193" si="101">AB141+AD141</f>
        <v>3602.49</v>
      </c>
      <c r="AF141" s="160">
        <f t="shared" ref="AF141:AF193" si="102">IFERROR((AE141-AB141)/AB141,0)</f>
        <v>4.453606812626669E-2</v>
      </c>
      <c r="AG141" s="76">
        <v>119.01</v>
      </c>
      <c r="AH141" s="156">
        <f t="shared" ref="AH141:AH193" si="103">AE141+AG141</f>
        <v>3721.5</v>
      </c>
      <c r="AI141" s="160">
        <f t="shared" ref="AI141:AI194" si="104">IFERROR((AH141-AE141)/AE141,0)</f>
        <v>3.3035483790378385E-2</v>
      </c>
      <c r="AJ141" s="152">
        <f t="shared" ref="AJ141:AJ194" si="105">U141+X141+AA141+AD141+AG141</f>
        <v>759.5</v>
      </c>
      <c r="AK141" s="162">
        <f t="shared" ref="AK141:AK194" si="106">IFERROR((AH141/V141)^(1/4)-1,0)</f>
        <v>4.8156819730890366E-2</v>
      </c>
    </row>
    <row r="142" spans="2:37" outlineLevel="1" x14ac:dyDescent="0.35">
      <c r="B142" s="48" t="s">
        <v>76</v>
      </c>
      <c r="C142" s="62" t="s">
        <v>135</v>
      </c>
      <c r="D142" s="76">
        <v>157</v>
      </c>
      <c r="E142" s="77">
        <v>1182</v>
      </c>
      <c r="F142" s="76">
        <v>147</v>
      </c>
      <c r="G142" s="156">
        <f t="shared" si="75"/>
        <v>1329</v>
      </c>
      <c r="H142" s="160">
        <f t="shared" si="76"/>
        <v>0.12436548223350254</v>
      </c>
      <c r="I142" s="76">
        <v>181</v>
      </c>
      <c r="J142" s="156">
        <f t="shared" si="77"/>
        <v>1510</v>
      </c>
      <c r="K142" s="160">
        <f t="shared" si="78"/>
        <v>0.13619262603461249</v>
      </c>
      <c r="L142" s="76">
        <v>99</v>
      </c>
      <c r="M142" s="156">
        <f t="shared" si="79"/>
        <v>1609</v>
      </c>
      <c r="N142" s="160">
        <f t="shared" si="80"/>
        <v>6.5562913907284762E-2</v>
      </c>
      <c r="O142" s="76">
        <v>66</v>
      </c>
      <c r="P142" s="156">
        <f t="shared" si="81"/>
        <v>1675</v>
      </c>
      <c r="Q142" s="160">
        <f t="shared" si="82"/>
        <v>4.1019266625233065E-2</v>
      </c>
      <c r="R142" s="152">
        <f t="shared" si="83"/>
        <v>650</v>
      </c>
      <c r="S142" s="162">
        <f t="shared" si="84"/>
        <v>9.1061757499947271E-2</v>
      </c>
      <c r="U142" s="76">
        <v>58.260000000000005</v>
      </c>
      <c r="V142" s="156">
        <f t="shared" si="95"/>
        <v>1733.26</v>
      </c>
      <c r="W142" s="160">
        <f t="shared" si="96"/>
        <v>3.4782089552238799E-2</v>
      </c>
      <c r="X142" s="76">
        <v>92.11</v>
      </c>
      <c r="Y142" s="156">
        <f t="shared" si="97"/>
        <v>1825.37</v>
      </c>
      <c r="Z142" s="160">
        <f t="shared" si="98"/>
        <v>5.3142632957548147E-2</v>
      </c>
      <c r="AA142" s="76">
        <v>135.74</v>
      </c>
      <c r="AB142" s="156">
        <f t="shared" si="99"/>
        <v>1961.11</v>
      </c>
      <c r="AC142" s="160">
        <f t="shared" si="100"/>
        <v>7.4363005856346948E-2</v>
      </c>
      <c r="AD142" s="76">
        <v>132.30000000000001</v>
      </c>
      <c r="AE142" s="156">
        <f t="shared" si="101"/>
        <v>2093.41</v>
      </c>
      <c r="AF142" s="160">
        <f t="shared" si="102"/>
        <v>6.7461794595917599E-2</v>
      </c>
      <c r="AG142" s="76">
        <v>120.52</v>
      </c>
      <c r="AH142" s="156">
        <f t="shared" si="103"/>
        <v>2213.9299999999998</v>
      </c>
      <c r="AI142" s="160">
        <f t="shared" si="104"/>
        <v>5.7571139910480983E-2</v>
      </c>
      <c r="AJ142" s="152">
        <f t="shared" si="105"/>
        <v>538.93000000000006</v>
      </c>
      <c r="AK142" s="162">
        <f t="shared" si="106"/>
        <v>6.3102263135568659E-2</v>
      </c>
    </row>
    <row r="143" spans="2:37" outlineLevel="1" x14ac:dyDescent="0.35">
      <c r="B143" s="48" t="s">
        <v>77</v>
      </c>
      <c r="C143" s="62" t="s">
        <v>135</v>
      </c>
      <c r="D143" s="76">
        <v>29</v>
      </c>
      <c r="E143" s="77">
        <v>285</v>
      </c>
      <c r="F143" s="76">
        <v>47</v>
      </c>
      <c r="G143" s="156">
        <f t="shared" si="75"/>
        <v>332</v>
      </c>
      <c r="H143" s="160">
        <f t="shared" si="76"/>
        <v>0.1649122807017544</v>
      </c>
      <c r="I143" s="76">
        <v>62</v>
      </c>
      <c r="J143" s="156">
        <f t="shared" si="77"/>
        <v>394</v>
      </c>
      <c r="K143" s="160">
        <f t="shared" si="78"/>
        <v>0.18674698795180722</v>
      </c>
      <c r="L143" s="76">
        <v>45</v>
      </c>
      <c r="M143" s="156">
        <f t="shared" si="79"/>
        <v>439</v>
      </c>
      <c r="N143" s="160">
        <f t="shared" si="80"/>
        <v>0.11421319796954314</v>
      </c>
      <c r="O143" s="76">
        <v>10</v>
      </c>
      <c r="P143" s="156">
        <f t="shared" si="81"/>
        <v>449</v>
      </c>
      <c r="Q143" s="160">
        <f t="shared" si="82"/>
        <v>2.2779043280182234E-2</v>
      </c>
      <c r="R143" s="152">
        <f t="shared" si="83"/>
        <v>193</v>
      </c>
      <c r="S143" s="162">
        <f t="shared" si="84"/>
        <v>0.12034136255980354</v>
      </c>
      <c r="U143" s="76">
        <v>11.88</v>
      </c>
      <c r="V143" s="156">
        <f t="shared" si="95"/>
        <v>460.88</v>
      </c>
      <c r="W143" s="160">
        <f t="shared" si="96"/>
        <v>2.6458797327394198E-2</v>
      </c>
      <c r="X143" s="76">
        <v>14.63</v>
      </c>
      <c r="Y143" s="156">
        <f t="shared" si="97"/>
        <v>475.51</v>
      </c>
      <c r="Z143" s="160">
        <f t="shared" si="98"/>
        <v>3.1743620899149443E-2</v>
      </c>
      <c r="AA143" s="76">
        <v>19.059999999999999</v>
      </c>
      <c r="AB143" s="156">
        <f t="shared" si="99"/>
        <v>494.57</v>
      </c>
      <c r="AC143" s="160">
        <f t="shared" si="100"/>
        <v>4.0083279005699149E-2</v>
      </c>
      <c r="AD143" s="76">
        <v>19.98</v>
      </c>
      <c r="AE143" s="156">
        <f t="shared" si="101"/>
        <v>514.54999999999995</v>
      </c>
      <c r="AF143" s="160">
        <f t="shared" si="102"/>
        <v>4.0398730210081404E-2</v>
      </c>
      <c r="AG143" s="76">
        <v>14.65</v>
      </c>
      <c r="AH143" s="156">
        <f t="shared" si="103"/>
        <v>529.19999999999993</v>
      </c>
      <c r="AI143" s="160">
        <f t="shared" si="104"/>
        <v>2.8471479933922805E-2</v>
      </c>
      <c r="AJ143" s="152">
        <f t="shared" si="105"/>
        <v>80.2</v>
      </c>
      <c r="AK143" s="162">
        <f t="shared" si="106"/>
        <v>3.5161218966378138E-2</v>
      </c>
    </row>
    <row r="144" spans="2:37" outlineLevel="1" x14ac:dyDescent="0.35">
      <c r="B144" s="48" t="s">
        <v>78</v>
      </c>
      <c r="C144" s="62" t="s">
        <v>135</v>
      </c>
      <c r="D144" s="76">
        <v>1347</v>
      </c>
      <c r="E144" s="77">
        <v>20559</v>
      </c>
      <c r="F144" s="76">
        <v>1204</v>
      </c>
      <c r="G144" s="156">
        <f t="shared" si="75"/>
        <v>21763</v>
      </c>
      <c r="H144" s="160">
        <f t="shared" si="76"/>
        <v>5.8563159686755191E-2</v>
      </c>
      <c r="I144" s="76">
        <v>1064</v>
      </c>
      <c r="J144" s="156">
        <f t="shared" si="77"/>
        <v>22827</v>
      </c>
      <c r="K144" s="160">
        <f t="shared" si="78"/>
        <v>4.8890318430363462E-2</v>
      </c>
      <c r="L144" s="76">
        <v>742</v>
      </c>
      <c r="M144" s="156">
        <f t="shared" si="79"/>
        <v>23569</v>
      </c>
      <c r="N144" s="160">
        <f t="shared" si="80"/>
        <v>3.2505366452008584E-2</v>
      </c>
      <c r="O144" s="76">
        <v>625</v>
      </c>
      <c r="P144" s="156">
        <f t="shared" si="81"/>
        <v>24194</v>
      </c>
      <c r="Q144" s="160">
        <f t="shared" si="82"/>
        <v>2.6517883660740805E-2</v>
      </c>
      <c r="R144" s="152">
        <f t="shared" si="83"/>
        <v>4982</v>
      </c>
      <c r="S144" s="162">
        <f t="shared" si="84"/>
        <v>4.1541124541022656E-2</v>
      </c>
      <c r="U144" s="76">
        <f>792.96-0.254539473683508</f>
        <v>792.70546052631653</v>
      </c>
      <c r="V144" s="156">
        <f t="shared" si="95"/>
        <v>24986.705460526318</v>
      </c>
      <c r="W144" s="160">
        <f t="shared" si="96"/>
        <v>3.2764547430202462E-2</v>
      </c>
      <c r="X144" s="76">
        <f>1062.68-0.491445540934365</f>
        <v>1062.1885544590657</v>
      </c>
      <c r="Y144" s="156">
        <f t="shared" si="97"/>
        <v>26048.894014985384</v>
      </c>
      <c r="Z144" s="160">
        <f t="shared" si="98"/>
        <v>4.2510148292142717E-2</v>
      </c>
      <c r="AA144" s="76">
        <f>1128.48+0.425884502924418</f>
        <v>1128.9058845029244</v>
      </c>
      <c r="AB144" s="156">
        <f t="shared" si="99"/>
        <v>27177.799899488309</v>
      </c>
      <c r="AC144" s="160">
        <f t="shared" si="100"/>
        <v>4.3337958373721702E-2</v>
      </c>
      <c r="AD144" s="76">
        <f>1037.42+0.175449561401365</f>
        <v>1037.5954495614014</v>
      </c>
      <c r="AE144" s="156">
        <f t="shared" si="101"/>
        <v>28215.395349049712</v>
      </c>
      <c r="AF144" s="160">
        <f t="shared" si="102"/>
        <v>3.8178051696559065E-2</v>
      </c>
      <c r="AG144" s="76">
        <f>899.33-0.314767909353577</f>
        <v>899.01523209064646</v>
      </c>
      <c r="AH144" s="156">
        <f t="shared" si="103"/>
        <v>29114.410581140357</v>
      </c>
      <c r="AI144" s="160">
        <f t="shared" si="104"/>
        <v>3.1862577892991462E-2</v>
      </c>
      <c r="AJ144" s="152">
        <f t="shared" si="105"/>
        <v>4920.4105811403542</v>
      </c>
      <c r="AK144" s="162">
        <f t="shared" si="106"/>
        <v>3.8962209728392372E-2</v>
      </c>
    </row>
    <row r="145" spans="2:37" outlineLevel="1" x14ac:dyDescent="0.35">
      <c r="B145" s="48" t="s">
        <v>79</v>
      </c>
      <c r="C145" s="62" t="s">
        <v>135</v>
      </c>
      <c r="D145" s="76">
        <v>285</v>
      </c>
      <c r="E145" s="77">
        <v>2737</v>
      </c>
      <c r="F145" s="76">
        <v>257</v>
      </c>
      <c r="G145" s="156">
        <f t="shared" si="75"/>
        <v>2994</v>
      </c>
      <c r="H145" s="160">
        <f t="shared" si="76"/>
        <v>9.3898428936792108E-2</v>
      </c>
      <c r="I145" s="76">
        <v>317</v>
      </c>
      <c r="J145" s="156">
        <f t="shared" si="77"/>
        <v>3311</v>
      </c>
      <c r="K145" s="160">
        <f t="shared" si="78"/>
        <v>0.10587842351369406</v>
      </c>
      <c r="L145" s="76">
        <v>166</v>
      </c>
      <c r="M145" s="156">
        <f t="shared" si="79"/>
        <v>3477</v>
      </c>
      <c r="N145" s="160">
        <f t="shared" si="80"/>
        <v>5.013591060102688E-2</v>
      </c>
      <c r="O145" s="76">
        <v>101</v>
      </c>
      <c r="P145" s="156">
        <f t="shared" si="81"/>
        <v>3578</v>
      </c>
      <c r="Q145" s="160">
        <f t="shared" si="82"/>
        <v>2.9048029910842682E-2</v>
      </c>
      <c r="R145" s="152">
        <f t="shared" si="83"/>
        <v>1126</v>
      </c>
      <c r="S145" s="162">
        <f t="shared" si="84"/>
        <v>6.9279854552666498E-2</v>
      </c>
      <c r="U145" s="76">
        <v>66.7</v>
      </c>
      <c r="V145" s="156">
        <f t="shared" si="95"/>
        <v>3644.7</v>
      </c>
      <c r="W145" s="160">
        <f t="shared" si="96"/>
        <v>1.864169927333701E-2</v>
      </c>
      <c r="X145" s="76">
        <v>83.67</v>
      </c>
      <c r="Y145" s="156">
        <f t="shared" si="97"/>
        <v>3728.37</v>
      </c>
      <c r="Z145" s="160">
        <f t="shared" si="98"/>
        <v>2.295662194419296E-2</v>
      </c>
      <c r="AA145" s="76">
        <v>79.800000000000011</v>
      </c>
      <c r="AB145" s="156">
        <f t="shared" si="99"/>
        <v>3808.17</v>
      </c>
      <c r="AC145" s="160">
        <f t="shared" si="100"/>
        <v>2.1403455129185189E-2</v>
      </c>
      <c r="AD145" s="76">
        <v>62.71</v>
      </c>
      <c r="AE145" s="156">
        <f t="shared" si="101"/>
        <v>3870.88</v>
      </c>
      <c r="AF145" s="160">
        <f t="shared" si="102"/>
        <v>1.6467227040809638E-2</v>
      </c>
      <c r="AG145" s="76">
        <v>62.47</v>
      </c>
      <c r="AH145" s="156">
        <f t="shared" si="103"/>
        <v>3933.35</v>
      </c>
      <c r="AI145" s="160">
        <f t="shared" si="104"/>
        <v>1.6138449138180414E-2</v>
      </c>
      <c r="AJ145" s="152">
        <f t="shared" si="105"/>
        <v>355.35</v>
      </c>
      <c r="AK145" s="162">
        <f t="shared" si="106"/>
        <v>1.9237048387710676E-2</v>
      </c>
    </row>
    <row r="146" spans="2:37" outlineLevel="1" x14ac:dyDescent="0.35">
      <c r="B146" s="48" t="s">
        <v>80</v>
      </c>
      <c r="C146" s="62" t="s">
        <v>135</v>
      </c>
      <c r="D146" s="76">
        <v>111</v>
      </c>
      <c r="E146" s="77">
        <v>899</v>
      </c>
      <c r="F146" s="76">
        <v>121</v>
      </c>
      <c r="G146" s="156">
        <f t="shared" si="75"/>
        <v>1020</v>
      </c>
      <c r="H146" s="160">
        <f t="shared" si="76"/>
        <v>0.13459399332591768</v>
      </c>
      <c r="I146" s="76">
        <v>248</v>
      </c>
      <c r="J146" s="156">
        <f t="shared" si="77"/>
        <v>1268</v>
      </c>
      <c r="K146" s="160">
        <f t="shared" si="78"/>
        <v>0.24313725490196078</v>
      </c>
      <c r="L146" s="76">
        <v>72</v>
      </c>
      <c r="M146" s="156">
        <f t="shared" si="79"/>
        <v>1340</v>
      </c>
      <c r="N146" s="160">
        <f t="shared" si="80"/>
        <v>5.6782334384858045E-2</v>
      </c>
      <c r="O146" s="76">
        <v>56</v>
      </c>
      <c r="P146" s="156">
        <f t="shared" si="81"/>
        <v>1396</v>
      </c>
      <c r="Q146" s="160">
        <f t="shared" si="82"/>
        <v>4.1791044776119404E-2</v>
      </c>
      <c r="R146" s="152">
        <f t="shared" si="83"/>
        <v>608</v>
      </c>
      <c r="S146" s="162">
        <f t="shared" si="84"/>
        <v>0.11630130291723595</v>
      </c>
      <c r="U146" s="76">
        <v>76.069999999999993</v>
      </c>
      <c r="V146" s="156">
        <f t="shared" si="95"/>
        <v>1472.07</v>
      </c>
      <c r="W146" s="160">
        <f t="shared" si="96"/>
        <v>5.449140401146127E-2</v>
      </c>
      <c r="X146" s="76">
        <v>100.34</v>
      </c>
      <c r="Y146" s="156">
        <f t="shared" si="97"/>
        <v>1572.4099999999999</v>
      </c>
      <c r="Z146" s="160">
        <f t="shared" si="98"/>
        <v>6.8162519445406758E-2</v>
      </c>
      <c r="AA146" s="76">
        <v>96.47</v>
      </c>
      <c r="AB146" s="156">
        <f t="shared" si="99"/>
        <v>1668.8799999999999</v>
      </c>
      <c r="AC146" s="160">
        <f t="shared" si="100"/>
        <v>6.1351683085200448E-2</v>
      </c>
      <c r="AD146" s="76">
        <v>75.41</v>
      </c>
      <c r="AE146" s="156">
        <f t="shared" si="101"/>
        <v>1744.29</v>
      </c>
      <c r="AF146" s="160">
        <f t="shared" si="102"/>
        <v>4.5185993001294333E-2</v>
      </c>
      <c r="AG146" s="76">
        <v>62.31</v>
      </c>
      <c r="AH146" s="156">
        <f t="shared" si="103"/>
        <v>1806.6</v>
      </c>
      <c r="AI146" s="160">
        <f t="shared" si="104"/>
        <v>3.5722270952651194E-2</v>
      </c>
      <c r="AJ146" s="152">
        <f t="shared" si="105"/>
        <v>410.59999999999997</v>
      </c>
      <c r="AK146" s="162">
        <f t="shared" si="106"/>
        <v>5.2527340598244487E-2</v>
      </c>
    </row>
    <row r="147" spans="2:37" outlineLevel="1" x14ac:dyDescent="0.35">
      <c r="B147" s="48" t="s">
        <v>81</v>
      </c>
      <c r="C147" s="62" t="s">
        <v>135</v>
      </c>
      <c r="D147" s="76">
        <v>226</v>
      </c>
      <c r="E147" s="77">
        <v>3362</v>
      </c>
      <c r="F147" s="76">
        <v>211</v>
      </c>
      <c r="G147" s="156">
        <f t="shared" si="75"/>
        <v>3573</v>
      </c>
      <c r="H147" s="160">
        <f t="shared" si="76"/>
        <v>6.2760261748958948E-2</v>
      </c>
      <c r="I147" s="76">
        <v>180</v>
      </c>
      <c r="J147" s="156">
        <f t="shared" si="77"/>
        <v>3753</v>
      </c>
      <c r="K147" s="160">
        <f t="shared" si="78"/>
        <v>5.0377833753148617E-2</v>
      </c>
      <c r="L147" s="76">
        <v>122</v>
      </c>
      <c r="M147" s="156">
        <f t="shared" si="79"/>
        <v>3875</v>
      </c>
      <c r="N147" s="160">
        <f t="shared" si="80"/>
        <v>3.2507327471356248E-2</v>
      </c>
      <c r="O147" s="76">
        <v>76</v>
      </c>
      <c r="P147" s="156">
        <f t="shared" si="81"/>
        <v>3951</v>
      </c>
      <c r="Q147" s="160">
        <f t="shared" si="82"/>
        <v>1.9612903225806451E-2</v>
      </c>
      <c r="R147" s="152">
        <f t="shared" si="83"/>
        <v>815</v>
      </c>
      <c r="S147" s="162">
        <f t="shared" si="84"/>
        <v>4.1183627230029884E-2</v>
      </c>
      <c r="U147" s="76">
        <v>116.55000000000001</v>
      </c>
      <c r="V147" s="156">
        <f t="shared" si="95"/>
        <v>4067.55</v>
      </c>
      <c r="W147" s="160">
        <f t="shared" si="96"/>
        <v>2.9498861047836038E-2</v>
      </c>
      <c r="X147" s="76">
        <v>147.69</v>
      </c>
      <c r="Y147" s="156">
        <f t="shared" si="97"/>
        <v>4215.24</v>
      </c>
      <c r="Z147" s="160">
        <f t="shared" si="98"/>
        <v>3.6309326252903985E-2</v>
      </c>
      <c r="AA147" s="76">
        <v>142.85000000000002</v>
      </c>
      <c r="AB147" s="156">
        <f t="shared" si="99"/>
        <v>4358.09</v>
      </c>
      <c r="AC147" s="160">
        <f t="shared" si="100"/>
        <v>3.3888936335772189E-2</v>
      </c>
      <c r="AD147" s="76">
        <v>111.32</v>
      </c>
      <c r="AE147" s="156">
        <f t="shared" si="101"/>
        <v>4469.41</v>
      </c>
      <c r="AF147" s="160">
        <f t="shared" si="102"/>
        <v>2.554329993185081E-2</v>
      </c>
      <c r="AG147" s="76">
        <v>85</v>
      </c>
      <c r="AH147" s="156">
        <f t="shared" si="103"/>
        <v>4554.41</v>
      </c>
      <c r="AI147" s="160">
        <f t="shared" si="104"/>
        <v>1.9018170183536531E-2</v>
      </c>
      <c r="AJ147" s="152">
        <f t="shared" si="105"/>
        <v>603.41000000000008</v>
      </c>
      <c r="AK147" s="162">
        <f t="shared" si="106"/>
        <v>2.8666996004970802E-2</v>
      </c>
    </row>
    <row r="148" spans="2:37" outlineLevel="1" x14ac:dyDescent="0.35">
      <c r="B148" s="48" t="s">
        <v>82</v>
      </c>
      <c r="C148" s="62" t="s">
        <v>135</v>
      </c>
      <c r="D148" s="76">
        <v>1</v>
      </c>
      <c r="E148" s="77">
        <v>19</v>
      </c>
      <c r="F148" s="76">
        <v>1</v>
      </c>
      <c r="G148" s="156">
        <f t="shared" si="75"/>
        <v>20</v>
      </c>
      <c r="H148" s="160">
        <f t="shared" si="76"/>
        <v>5.2631578947368418E-2</v>
      </c>
      <c r="I148" s="76">
        <v>1</v>
      </c>
      <c r="J148" s="156">
        <f t="shared" si="77"/>
        <v>21</v>
      </c>
      <c r="K148" s="160">
        <f t="shared" si="78"/>
        <v>0.05</v>
      </c>
      <c r="L148" s="76">
        <v>0</v>
      </c>
      <c r="M148" s="156">
        <f t="shared" si="79"/>
        <v>21</v>
      </c>
      <c r="N148" s="160">
        <f t="shared" si="80"/>
        <v>0</v>
      </c>
      <c r="O148" s="76">
        <v>0</v>
      </c>
      <c r="P148" s="156">
        <f t="shared" si="81"/>
        <v>21</v>
      </c>
      <c r="Q148" s="160">
        <f t="shared" si="82"/>
        <v>0</v>
      </c>
      <c r="R148" s="152">
        <f t="shared" si="83"/>
        <v>3</v>
      </c>
      <c r="S148" s="162">
        <f t="shared" si="84"/>
        <v>2.5336513577710162E-2</v>
      </c>
      <c r="U148" s="76">
        <v>0</v>
      </c>
      <c r="V148" s="156">
        <f t="shared" si="95"/>
        <v>21</v>
      </c>
      <c r="W148" s="160">
        <f t="shared" si="96"/>
        <v>0</v>
      </c>
      <c r="X148" s="76">
        <v>0</v>
      </c>
      <c r="Y148" s="156">
        <f t="shared" si="97"/>
        <v>21</v>
      </c>
      <c r="Z148" s="160">
        <f t="shared" si="98"/>
        <v>0</v>
      </c>
      <c r="AA148" s="76">
        <v>0</v>
      </c>
      <c r="AB148" s="156">
        <f t="shared" si="99"/>
        <v>21</v>
      </c>
      <c r="AC148" s="160">
        <f t="shared" si="100"/>
        <v>0</v>
      </c>
      <c r="AD148" s="76">
        <v>0</v>
      </c>
      <c r="AE148" s="156">
        <f t="shared" si="101"/>
        <v>21</v>
      </c>
      <c r="AF148" s="160">
        <f t="shared" si="102"/>
        <v>0</v>
      </c>
      <c r="AG148" s="76">
        <v>0</v>
      </c>
      <c r="AH148" s="156">
        <f t="shared" si="103"/>
        <v>21</v>
      </c>
      <c r="AI148" s="160">
        <f t="shared" si="104"/>
        <v>0</v>
      </c>
      <c r="AJ148" s="152">
        <f t="shared" si="105"/>
        <v>0</v>
      </c>
      <c r="AK148" s="162">
        <f t="shared" si="106"/>
        <v>0</v>
      </c>
    </row>
    <row r="149" spans="2:37" outlineLevel="1" x14ac:dyDescent="0.35">
      <c r="B149" s="48" t="s">
        <v>83</v>
      </c>
      <c r="C149" s="62" t="s">
        <v>135</v>
      </c>
      <c r="D149" s="76">
        <v>70</v>
      </c>
      <c r="E149" s="77">
        <v>1072</v>
      </c>
      <c r="F149" s="76">
        <v>62</v>
      </c>
      <c r="G149" s="156">
        <f t="shared" si="75"/>
        <v>1134</v>
      </c>
      <c r="H149" s="160">
        <f t="shared" si="76"/>
        <v>5.7835820895522388E-2</v>
      </c>
      <c r="I149" s="76">
        <v>48</v>
      </c>
      <c r="J149" s="156">
        <f t="shared" si="77"/>
        <v>1182</v>
      </c>
      <c r="K149" s="160">
        <f t="shared" si="78"/>
        <v>4.2328042328042326E-2</v>
      </c>
      <c r="L149" s="76">
        <v>34</v>
      </c>
      <c r="M149" s="156">
        <f t="shared" si="79"/>
        <v>1216</v>
      </c>
      <c r="N149" s="160">
        <f t="shared" si="80"/>
        <v>2.8764805414551606E-2</v>
      </c>
      <c r="O149" s="76">
        <v>18</v>
      </c>
      <c r="P149" s="156">
        <f t="shared" si="81"/>
        <v>1234</v>
      </c>
      <c r="Q149" s="160">
        <f t="shared" si="82"/>
        <v>1.4802631578947368E-2</v>
      </c>
      <c r="R149" s="152">
        <f t="shared" si="83"/>
        <v>232</v>
      </c>
      <c r="S149" s="162">
        <f t="shared" si="84"/>
        <v>3.5809985886223306E-2</v>
      </c>
      <c r="U149" s="76">
        <v>16.920000000000002</v>
      </c>
      <c r="V149" s="156">
        <f t="shared" si="95"/>
        <v>1250.92</v>
      </c>
      <c r="W149" s="160">
        <f t="shared" si="96"/>
        <v>1.3711507293355003E-2</v>
      </c>
      <c r="X149" s="76">
        <v>35.159999999999997</v>
      </c>
      <c r="Y149" s="156">
        <f t="shared" si="97"/>
        <v>1286.0800000000002</v>
      </c>
      <c r="Z149" s="160">
        <f t="shared" si="98"/>
        <v>2.8107313017619096E-2</v>
      </c>
      <c r="AA149" s="76">
        <v>41.120000000000005</v>
      </c>
      <c r="AB149" s="156">
        <f t="shared" si="99"/>
        <v>1327.2000000000003</v>
      </c>
      <c r="AC149" s="160">
        <f t="shared" si="100"/>
        <v>3.1973127643692548E-2</v>
      </c>
      <c r="AD149" s="76">
        <v>42.16</v>
      </c>
      <c r="AE149" s="156">
        <f t="shared" si="101"/>
        <v>1369.3600000000004</v>
      </c>
      <c r="AF149" s="160">
        <f t="shared" si="102"/>
        <v>3.1766124171187515E-2</v>
      </c>
      <c r="AG149" s="76">
        <v>38.519999999999996</v>
      </c>
      <c r="AH149" s="156">
        <f t="shared" si="103"/>
        <v>1407.8800000000003</v>
      </c>
      <c r="AI149" s="160">
        <f t="shared" si="104"/>
        <v>2.8129929310042628E-2</v>
      </c>
      <c r="AJ149" s="152">
        <f t="shared" si="105"/>
        <v>173.88</v>
      </c>
      <c r="AK149" s="162">
        <f t="shared" si="106"/>
        <v>2.9992413373900018E-2</v>
      </c>
    </row>
    <row r="150" spans="2:37" outlineLevel="1" x14ac:dyDescent="0.35">
      <c r="B150" s="48" t="s">
        <v>84</v>
      </c>
      <c r="C150" s="62" t="s">
        <v>135</v>
      </c>
      <c r="D150" s="76">
        <v>63</v>
      </c>
      <c r="E150" s="77">
        <v>737</v>
      </c>
      <c r="F150" s="76">
        <v>85</v>
      </c>
      <c r="G150" s="156">
        <f t="shared" si="75"/>
        <v>822</v>
      </c>
      <c r="H150" s="160">
        <f t="shared" si="76"/>
        <v>0.11533242876526459</v>
      </c>
      <c r="I150" s="76">
        <v>70</v>
      </c>
      <c r="J150" s="156">
        <f t="shared" si="77"/>
        <v>892</v>
      </c>
      <c r="K150" s="160">
        <f t="shared" si="78"/>
        <v>8.5158150851581502E-2</v>
      </c>
      <c r="L150" s="76">
        <v>28</v>
      </c>
      <c r="M150" s="156">
        <f t="shared" si="79"/>
        <v>920</v>
      </c>
      <c r="N150" s="160">
        <f t="shared" si="80"/>
        <v>3.1390134529147982E-2</v>
      </c>
      <c r="O150" s="76">
        <v>39</v>
      </c>
      <c r="P150" s="156">
        <f t="shared" si="81"/>
        <v>959</v>
      </c>
      <c r="Q150" s="160">
        <f t="shared" si="82"/>
        <v>4.2391304347826085E-2</v>
      </c>
      <c r="R150" s="152">
        <f t="shared" si="83"/>
        <v>285</v>
      </c>
      <c r="S150" s="162">
        <f t="shared" si="84"/>
        <v>6.8040643658082933E-2</v>
      </c>
      <c r="U150" s="76">
        <v>32.950000000000003</v>
      </c>
      <c r="V150" s="156">
        <f t="shared" si="95"/>
        <v>991.95</v>
      </c>
      <c r="W150" s="160">
        <f t="shared" si="96"/>
        <v>3.4358706986444262E-2</v>
      </c>
      <c r="X150" s="76">
        <v>54.160000000000004</v>
      </c>
      <c r="Y150" s="156">
        <f t="shared" si="97"/>
        <v>1046.1100000000001</v>
      </c>
      <c r="Z150" s="160">
        <f t="shared" si="98"/>
        <v>5.4599526185795735E-2</v>
      </c>
      <c r="AA150" s="76">
        <v>80.81</v>
      </c>
      <c r="AB150" s="156">
        <f t="shared" si="99"/>
        <v>1126.92</v>
      </c>
      <c r="AC150" s="160">
        <f t="shared" si="100"/>
        <v>7.724809054497131E-2</v>
      </c>
      <c r="AD150" s="76">
        <v>89.71</v>
      </c>
      <c r="AE150" s="156">
        <f t="shared" si="101"/>
        <v>1216.6300000000001</v>
      </c>
      <c r="AF150" s="160">
        <f t="shared" si="102"/>
        <v>7.9606360699960979E-2</v>
      </c>
      <c r="AG150" s="76">
        <v>75.95</v>
      </c>
      <c r="AH150" s="156">
        <f t="shared" si="103"/>
        <v>1292.5800000000002</v>
      </c>
      <c r="AI150" s="160">
        <f t="shared" si="104"/>
        <v>6.2426538881993739E-2</v>
      </c>
      <c r="AJ150" s="152">
        <f t="shared" si="105"/>
        <v>333.58</v>
      </c>
      <c r="AK150" s="162">
        <f t="shared" si="106"/>
        <v>6.8419762434982045E-2</v>
      </c>
    </row>
    <row r="151" spans="2:37" outlineLevel="1" x14ac:dyDescent="0.35">
      <c r="B151" s="48" t="s">
        <v>85</v>
      </c>
      <c r="C151" s="62" t="s">
        <v>135</v>
      </c>
      <c r="D151" s="76">
        <v>283</v>
      </c>
      <c r="E151" s="77">
        <v>1105</v>
      </c>
      <c r="F151" s="76">
        <v>337</v>
      </c>
      <c r="G151" s="156">
        <f t="shared" si="75"/>
        <v>1442</v>
      </c>
      <c r="H151" s="160">
        <f t="shared" si="76"/>
        <v>0.30497737556561089</v>
      </c>
      <c r="I151" s="76">
        <v>208</v>
      </c>
      <c r="J151" s="156">
        <f t="shared" si="77"/>
        <v>1650</v>
      </c>
      <c r="K151" s="160">
        <f t="shared" si="78"/>
        <v>0.14424410540915394</v>
      </c>
      <c r="L151" s="76">
        <v>63</v>
      </c>
      <c r="M151" s="156">
        <f t="shared" si="79"/>
        <v>1713</v>
      </c>
      <c r="N151" s="160">
        <f t="shared" si="80"/>
        <v>3.8181818181818185E-2</v>
      </c>
      <c r="O151" s="76">
        <v>46</v>
      </c>
      <c r="P151" s="156">
        <f t="shared" si="81"/>
        <v>1759</v>
      </c>
      <c r="Q151" s="160">
        <f t="shared" si="82"/>
        <v>2.6853473438412143E-2</v>
      </c>
      <c r="R151" s="152">
        <f t="shared" si="83"/>
        <v>937</v>
      </c>
      <c r="S151" s="162">
        <f t="shared" si="84"/>
        <v>0.12324861135866461</v>
      </c>
      <c r="U151" s="76">
        <v>55.3</v>
      </c>
      <c r="V151" s="156">
        <f t="shared" si="95"/>
        <v>1814.3</v>
      </c>
      <c r="W151" s="160">
        <f t="shared" si="96"/>
        <v>3.1438317225696392E-2</v>
      </c>
      <c r="X151" s="76">
        <v>80.12</v>
      </c>
      <c r="Y151" s="156">
        <f t="shared" si="97"/>
        <v>1894.42</v>
      </c>
      <c r="Z151" s="160">
        <f t="shared" si="98"/>
        <v>4.4160282202502406E-2</v>
      </c>
      <c r="AA151" s="76">
        <v>78.47999999999999</v>
      </c>
      <c r="AB151" s="156">
        <f t="shared" si="99"/>
        <v>1972.9</v>
      </c>
      <c r="AC151" s="160">
        <f t="shared" si="100"/>
        <v>4.1426927502876881E-2</v>
      </c>
      <c r="AD151" s="76">
        <v>60.97</v>
      </c>
      <c r="AE151" s="156">
        <f t="shared" si="101"/>
        <v>2033.8700000000001</v>
      </c>
      <c r="AF151" s="160">
        <f t="shared" si="102"/>
        <v>3.0903745754979992E-2</v>
      </c>
      <c r="AG151" s="76">
        <v>47.77</v>
      </c>
      <c r="AH151" s="156">
        <f t="shared" si="103"/>
        <v>2081.6400000000003</v>
      </c>
      <c r="AI151" s="160">
        <f t="shared" si="104"/>
        <v>2.3487243530805904E-2</v>
      </c>
      <c r="AJ151" s="152">
        <f t="shared" si="105"/>
        <v>322.64</v>
      </c>
      <c r="AK151" s="162">
        <f t="shared" si="106"/>
        <v>3.4961348469709996E-2</v>
      </c>
    </row>
    <row r="152" spans="2:37" outlineLevel="1" x14ac:dyDescent="0.35">
      <c r="B152" s="48" t="s">
        <v>86</v>
      </c>
      <c r="C152" s="62" t="s">
        <v>135</v>
      </c>
      <c r="D152" s="76">
        <v>88</v>
      </c>
      <c r="E152" s="77">
        <v>797</v>
      </c>
      <c r="F152" s="76">
        <v>119</v>
      </c>
      <c r="G152" s="156">
        <f t="shared" si="75"/>
        <v>916</v>
      </c>
      <c r="H152" s="160">
        <f t="shared" si="76"/>
        <v>0.14930991217063991</v>
      </c>
      <c r="I152" s="76">
        <v>220</v>
      </c>
      <c r="J152" s="156">
        <f t="shared" si="77"/>
        <v>1136</v>
      </c>
      <c r="K152" s="160">
        <f t="shared" si="78"/>
        <v>0.24017467248908297</v>
      </c>
      <c r="L152" s="76">
        <v>109</v>
      </c>
      <c r="M152" s="156">
        <f t="shared" si="79"/>
        <v>1245</v>
      </c>
      <c r="N152" s="160">
        <f t="shared" si="80"/>
        <v>9.595070422535211E-2</v>
      </c>
      <c r="O152" s="76">
        <v>66</v>
      </c>
      <c r="P152" s="156">
        <f t="shared" si="81"/>
        <v>1311</v>
      </c>
      <c r="Q152" s="160">
        <f t="shared" si="82"/>
        <v>5.3012048192771083E-2</v>
      </c>
      <c r="R152" s="152">
        <f t="shared" si="83"/>
        <v>602</v>
      </c>
      <c r="S152" s="162">
        <f t="shared" si="84"/>
        <v>0.13249447666184055</v>
      </c>
      <c r="U152" s="76">
        <v>63.5</v>
      </c>
      <c r="V152" s="156">
        <f t="shared" si="95"/>
        <v>1374.5</v>
      </c>
      <c r="W152" s="160">
        <f t="shared" si="96"/>
        <v>4.8436308161708616E-2</v>
      </c>
      <c r="X152" s="76">
        <v>150.9</v>
      </c>
      <c r="Y152" s="156">
        <f t="shared" si="97"/>
        <v>1525.4</v>
      </c>
      <c r="Z152" s="160">
        <f t="shared" si="98"/>
        <v>0.10978537650054572</v>
      </c>
      <c r="AA152" s="76">
        <v>218.86</v>
      </c>
      <c r="AB152" s="156">
        <f t="shared" si="99"/>
        <v>1744.2600000000002</v>
      </c>
      <c r="AC152" s="160">
        <f t="shared" si="100"/>
        <v>0.14347712075521182</v>
      </c>
      <c r="AD152" s="76">
        <v>206.53</v>
      </c>
      <c r="AE152" s="156">
        <f t="shared" si="101"/>
        <v>1950.7900000000002</v>
      </c>
      <c r="AF152" s="160">
        <f t="shared" si="102"/>
        <v>0.11840551293958466</v>
      </c>
      <c r="AG152" s="76">
        <v>165.81</v>
      </c>
      <c r="AH152" s="156">
        <f t="shared" si="103"/>
        <v>2116.6000000000004</v>
      </c>
      <c r="AI152" s="160">
        <f t="shared" si="104"/>
        <v>8.4996334818201943E-2</v>
      </c>
      <c r="AJ152" s="152">
        <f t="shared" si="105"/>
        <v>805.59999999999991</v>
      </c>
      <c r="AK152" s="162">
        <f t="shared" si="106"/>
        <v>0.11397004300275615</v>
      </c>
    </row>
    <row r="153" spans="2:37" outlineLevel="1" x14ac:dyDescent="0.35">
      <c r="B153" s="48" t="s">
        <v>87</v>
      </c>
      <c r="C153" s="62" t="s">
        <v>135</v>
      </c>
      <c r="D153" s="76">
        <v>170</v>
      </c>
      <c r="E153" s="77">
        <v>1582</v>
      </c>
      <c r="F153" s="76">
        <v>170</v>
      </c>
      <c r="G153" s="156">
        <f t="shared" si="75"/>
        <v>1752</v>
      </c>
      <c r="H153" s="160">
        <f t="shared" si="76"/>
        <v>0.10745891276864729</v>
      </c>
      <c r="I153" s="76">
        <v>99</v>
      </c>
      <c r="J153" s="156">
        <f t="shared" si="77"/>
        <v>1851</v>
      </c>
      <c r="K153" s="160">
        <f t="shared" si="78"/>
        <v>5.650684931506849E-2</v>
      </c>
      <c r="L153" s="76">
        <v>61</v>
      </c>
      <c r="M153" s="156">
        <f t="shared" si="79"/>
        <v>1912</v>
      </c>
      <c r="N153" s="160">
        <f t="shared" si="80"/>
        <v>3.2955159373311727E-2</v>
      </c>
      <c r="O153" s="76">
        <v>36</v>
      </c>
      <c r="P153" s="156">
        <f t="shared" si="81"/>
        <v>1948</v>
      </c>
      <c r="Q153" s="160">
        <f t="shared" si="82"/>
        <v>1.8828451882845189E-2</v>
      </c>
      <c r="R153" s="152">
        <f t="shared" si="83"/>
        <v>536</v>
      </c>
      <c r="S153" s="162">
        <f t="shared" si="84"/>
        <v>5.3405589251540153E-2</v>
      </c>
      <c r="U153" s="76">
        <v>58.44</v>
      </c>
      <c r="V153" s="156">
        <f t="shared" si="95"/>
        <v>2006.44</v>
      </c>
      <c r="W153" s="160">
        <f t="shared" si="96"/>
        <v>3.0000000000000027E-2</v>
      </c>
      <c r="X153" s="76">
        <v>113.57</v>
      </c>
      <c r="Y153" s="156">
        <f t="shared" si="97"/>
        <v>2120.0100000000002</v>
      </c>
      <c r="Z153" s="160">
        <f t="shared" si="98"/>
        <v>5.6602739179840995E-2</v>
      </c>
      <c r="AA153" s="76">
        <v>117.72</v>
      </c>
      <c r="AB153" s="156">
        <f t="shared" si="99"/>
        <v>2237.73</v>
      </c>
      <c r="AC153" s="160">
        <f t="shared" si="100"/>
        <v>5.5528039962075552E-2</v>
      </c>
      <c r="AD153" s="76">
        <v>84.91</v>
      </c>
      <c r="AE153" s="156">
        <f t="shared" si="101"/>
        <v>2322.64</v>
      </c>
      <c r="AF153" s="160">
        <f t="shared" si="102"/>
        <v>3.7944702890875953E-2</v>
      </c>
      <c r="AG153" s="76">
        <v>90.61</v>
      </c>
      <c r="AH153" s="156">
        <f t="shared" si="103"/>
        <v>2413.25</v>
      </c>
      <c r="AI153" s="160">
        <f t="shared" si="104"/>
        <v>3.9011641924706422E-2</v>
      </c>
      <c r="AJ153" s="152">
        <f t="shared" si="105"/>
        <v>465.25</v>
      </c>
      <c r="AK153" s="162">
        <f t="shared" si="106"/>
        <v>4.7234724897943448E-2</v>
      </c>
    </row>
    <row r="154" spans="2:37" outlineLevel="1" x14ac:dyDescent="0.35">
      <c r="B154" s="48" t="s">
        <v>88</v>
      </c>
      <c r="C154" s="62" t="s">
        <v>135</v>
      </c>
      <c r="D154" s="76">
        <v>170</v>
      </c>
      <c r="E154" s="77">
        <v>1709</v>
      </c>
      <c r="F154" s="76">
        <v>207</v>
      </c>
      <c r="G154" s="156">
        <f t="shared" si="75"/>
        <v>1916</v>
      </c>
      <c r="H154" s="160">
        <f t="shared" si="76"/>
        <v>0.12112346401404329</v>
      </c>
      <c r="I154" s="76">
        <v>224</v>
      </c>
      <c r="J154" s="156">
        <f t="shared" si="77"/>
        <v>2140</v>
      </c>
      <c r="K154" s="160">
        <f t="shared" si="78"/>
        <v>0.11691022964509394</v>
      </c>
      <c r="L154" s="76">
        <v>91</v>
      </c>
      <c r="M154" s="156">
        <f t="shared" si="79"/>
        <v>2231</v>
      </c>
      <c r="N154" s="160">
        <f t="shared" si="80"/>
        <v>4.2523364485981312E-2</v>
      </c>
      <c r="O154" s="76">
        <v>132</v>
      </c>
      <c r="P154" s="156">
        <f t="shared" si="81"/>
        <v>2363</v>
      </c>
      <c r="Q154" s="160">
        <f t="shared" si="82"/>
        <v>5.9166293142088752E-2</v>
      </c>
      <c r="R154" s="152">
        <f t="shared" si="83"/>
        <v>824</v>
      </c>
      <c r="S154" s="162">
        <f t="shared" si="84"/>
        <v>8.4377292766691259E-2</v>
      </c>
      <c r="U154" s="76">
        <v>107.76</v>
      </c>
      <c r="V154" s="156">
        <f t="shared" si="95"/>
        <v>2470.7600000000002</v>
      </c>
      <c r="W154" s="160">
        <f t="shared" si="96"/>
        <v>4.5603046974185449E-2</v>
      </c>
      <c r="X154" s="76">
        <v>172.46</v>
      </c>
      <c r="Y154" s="156">
        <f t="shared" si="97"/>
        <v>2643.2200000000003</v>
      </c>
      <c r="Z154" s="160">
        <f t="shared" si="98"/>
        <v>6.9800385306545365E-2</v>
      </c>
      <c r="AA154" s="76">
        <v>208.5</v>
      </c>
      <c r="AB154" s="156">
        <f t="shared" si="99"/>
        <v>2851.7200000000003</v>
      </c>
      <c r="AC154" s="160">
        <f t="shared" si="100"/>
        <v>7.8881061735307692E-2</v>
      </c>
      <c r="AD154" s="76">
        <v>171.15</v>
      </c>
      <c r="AE154" s="156">
        <f t="shared" si="101"/>
        <v>3022.8700000000003</v>
      </c>
      <c r="AF154" s="160">
        <f t="shared" si="102"/>
        <v>6.0016411148359615E-2</v>
      </c>
      <c r="AG154" s="76">
        <v>159.16</v>
      </c>
      <c r="AH154" s="156">
        <f t="shared" si="103"/>
        <v>3182.03</v>
      </c>
      <c r="AI154" s="160">
        <f t="shared" si="104"/>
        <v>5.2651949968076643E-2</v>
      </c>
      <c r="AJ154" s="152">
        <f t="shared" si="105"/>
        <v>819.03</v>
      </c>
      <c r="AK154" s="162">
        <f t="shared" si="106"/>
        <v>6.5291414713653628E-2</v>
      </c>
    </row>
    <row r="155" spans="2:37" outlineLevel="1" x14ac:dyDescent="0.35">
      <c r="B155" s="48" t="s">
        <v>89</v>
      </c>
      <c r="C155" s="62" t="s">
        <v>135</v>
      </c>
      <c r="D155" s="76">
        <v>93</v>
      </c>
      <c r="E155" s="77">
        <v>1342</v>
      </c>
      <c r="F155" s="76">
        <v>116</v>
      </c>
      <c r="G155" s="156">
        <f t="shared" si="75"/>
        <v>1458</v>
      </c>
      <c r="H155" s="160">
        <f t="shared" si="76"/>
        <v>8.6438152011922509E-2</v>
      </c>
      <c r="I155" s="76">
        <v>114</v>
      </c>
      <c r="J155" s="156">
        <f t="shared" si="77"/>
        <v>1572</v>
      </c>
      <c r="K155" s="160">
        <f t="shared" si="78"/>
        <v>7.8189300411522639E-2</v>
      </c>
      <c r="L155" s="76">
        <v>48</v>
      </c>
      <c r="M155" s="156">
        <f t="shared" si="79"/>
        <v>1620</v>
      </c>
      <c r="N155" s="160">
        <f t="shared" si="80"/>
        <v>3.0534351145038167E-2</v>
      </c>
      <c r="O155" s="76">
        <v>59</v>
      </c>
      <c r="P155" s="156">
        <f t="shared" si="81"/>
        <v>1679</v>
      </c>
      <c r="Q155" s="160">
        <f t="shared" si="82"/>
        <v>3.6419753086419752E-2</v>
      </c>
      <c r="R155" s="152">
        <f t="shared" si="83"/>
        <v>430</v>
      </c>
      <c r="S155" s="162">
        <f t="shared" si="84"/>
        <v>5.7607556337008425E-2</v>
      </c>
      <c r="U155" s="76">
        <v>42.7</v>
      </c>
      <c r="V155" s="156">
        <f t="shared" si="95"/>
        <v>1721.7</v>
      </c>
      <c r="W155" s="160">
        <f t="shared" si="96"/>
        <v>2.5431804645622422E-2</v>
      </c>
      <c r="X155" s="76">
        <v>59.14</v>
      </c>
      <c r="Y155" s="156">
        <f t="shared" si="97"/>
        <v>1780.8400000000001</v>
      </c>
      <c r="Z155" s="160">
        <f t="shared" si="98"/>
        <v>3.4349770575593949E-2</v>
      </c>
      <c r="AA155" s="76">
        <v>71.5</v>
      </c>
      <c r="AB155" s="156">
        <f t="shared" si="99"/>
        <v>1852.3400000000001</v>
      </c>
      <c r="AC155" s="160">
        <f t="shared" si="100"/>
        <v>4.014959232721637E-2</v>
      </c>
      <c r="AD155" s="76">
        <v>79.03</v>
      </c>
      <c r="AE155" s="156">
        <f t="shared" si="101"/>
        <v>1931.3700000000001</v>
      </c>
      <c r="AF155" s="160">
        <f t="shared" si="102"/>
        <v>4.2664953518252571E-2</v>
      </c>
      <c r="AG155" s="76">
        <v>72.13</v>
      </c>
      <c r="AH155" s="156">
        <f t="shared" si="103"/>
        <v>2003.5</v>
      </c>
      <c r="AI155" s="160">
        <f t="shared" si="104"/>
        <v>3.7346546751787529E-2</v>
      </c>
      <c r="AJ155" s="152">
        <f t="shared" si="105"/>
        <v>324.5</v>
      </c>
      <c r="AK155" s="162">
        <f t="shared" si="106"/>
        <v>3.8623074464190221E-2</v>
      </c>
    </row>
    <row r="156" spans="2:37" outlineLevel="1" x14ac:dyDescent="0.35">
      <c r="B156" s="48" t="s">
        <v>90</v>
      </c>
      <c r="C156" s="62" t="s">
        <v>135</v>
      </c>
      <c r="D156" s="76">
        <v>2</v>
      </c>
      <c r="E156" s="77">
        <v>27</v>
      </c>
      <c r="F156" s="76">
        <v>0</v>
      </c>
      <c r="G156" s="156">
        <f t="shared" si="75"/>
        <v>27</v>
      </c>
      <c r="H156" s="160">
        <f t="shared" si="76"/>
        <v>0</v>
      </c>
      <c r="I156" s="76">
        <v>1</v>
      </c>
      <c r="J156" s="156">
        <f t="shared" si="77"/>
        <v>28</v>
      </c>
      <c r="K156" s="160">
        <f t="shared" si="78"/>
        <v>3.7037037037037035E-2</v>
      </c>
      <c r="L156" s="76">
        <v>1</v>
      </c>
      <c r="M156" s="156">
        <f t="shared" si="79"/>
        <v>29</v>
      </c>
      <c r="N156" s="160">
        <f t="shared" si="80"/>
        <v>3.5714285714285712E-2</v>
      </c>
      <c r="O156" s="76">
        <v>0</v>
      </c>
      <c r="P156" s="156">
        <f t="shared" si="81"/>
        <v>29</v>
      </c>
      <c r="Q156" s="160">
        <f t="shared" si="82"/>
        <v>0</v>
      </c>
      <c r="R156" s="152">
        <f t="shared" si="83"/>
        <v>4</v>
      </c>
      <c r="S156" s="162">
        <f t="shared" si="84"/>
        <v>1.8025269992450577E-2</v>
      </c>
      <c r="U156" s="76">
        <v>1.1499999999999999</v>
      </c>
      <c r="V156" s="156">
        <f t="shared" si="95"/>
        <v>30.15</v>
      </c>
      <c r="W156" s="160">
        <f t="shared" si="96"/>
        <v>3.9655172413793058E-2</v>
      </c>
      <c r="X156" s="76">
        <v>2.52</v>
      </c>
      <c r="Y156" s="156">
        <f t="shared" si="97"/>
        <v>32.67</v>
      </c>
      <c r="Z156" s="160">
        <f t="shared" si="98"/>
        <v>8.358208955223892E-2</v>
      </c>
      <c r="AA156" s="76">
        <v>2.99</v>
      </c>
      <c r="AB156" s="156">
        <f t="shared" si="99"/>
        <v>35.660000000000004</v>
      </c>
      <c r="AC156" s="160">
        <f t="shared" si="100"/>
        <v>9.1521273339455214E-2</v>
      </c>
      <c r="AD156" s="76">
        <v>5.4799999999999995</v>
      </c>
      <c r="AE156" s="156">
        <f t="shared" si="101"/>
        <v>41.14</v>
      </c>
      <c r="AF156" s="160">
        <f t="shared" si="102"/>
        <v>0.15367358384744803</v>
      </c>
      <c r="AG156" s="76">
        <v>5.3900000000000006</v>
      </c>
      <c r="AH156" s="156">
        <f t="shared" si="103"/>
        <v>46.53</v>
      </c>
      <c r="AI156" s="160">
        <f t="shared" si="104"/>
        <v>0.13101604278074869</v>
      </c>
      <c r="AJ156" s="152">
        <f t="shared" si="105"/>
        <v>17.53</v>
      </c>
      <c r="AK156" s="162">
        <f t="shared" si="106"/>
        <v>0.11458048298712864</v>
      </c>
    </row>
    <row r="157" spans="2:37" outlineLevel="1" x14ac:dyDescent="0.35">
      <c r="B157" s="48" t="s">
        <v>91</v>
      </c>
      <c r="C157" s="62" t="s">
        <v>135</v>
      </c>
      <c r="D157" s="76">
        <v>17</v>
      </c>
      <c r="E157" s="77">
        <v>125</v>
      </c>
      <c r="F157" s="76">
        <v>19</v>
      </c>
      <c r="G157" s="156">
        <f t="shared" si="75"/>
        <v>144</v>
      </c>
      <c r="H157" s="160">
        <f t="shared" si="76"/>
        <v>0.152</v>
      </c>
      <c r="I157" s="76">
        <v>21</v>
      </c>
      <c r="J157" s="156">
        <f t="shared" si="77"/>
        <v>165</v>
      </c>
      <c r="K157" s="160">
        <f t="shared" si="78"/>
        <v>0.14583333333333334</v>
      </c>
      <c r="L157" s="76">
        <v>5</v>
      </c>
      <c r="M157" s="156">
        <f t="shared" si="79"/>
        <v>170</v>
      </c>
      <c r="N157" s="160">
        <f t="shared" si="80"/>
        <v>3.0303030303030304E-2</v>
      </c>
      <c r="O157" s="76">
        <v>5</v>
      </c>
      <c r="P157" s="156">
        <f t="shared" si="81"/>
        <v>175</v>
      </c>
      <c r="Q157" s="160">
        <f t="shared" si="82"/>
        <v>2.9411764705882353E-2</v>
      </c>
      <c r="R157" s="152">
        <f t="shared" si="83"/>
        <v>67</v>
      </c>
      <c r="S157" s="162">
        <f t="shared" si="84"/>
        <v>8.7757305937277152E-2</v>
      </c>
      <c r="U157" s="76">
        <v>3.06</v>
      </c>
      <c r="V157" s="156">
        <f t="shared" si="95"/>
        <v>178.06</v>
      </c>
      <c r="W157" s="160">
        <f t="shared" si="96"/>
        <v>1.7485714285714299E-2</v>
      </c>
      <c r="X157" s="76">
        <v>4.42</v>
      </c>
      <c r="Y157" s="156">
        <f t="shared" si="97"/>
        <v>182.48</v>
      </c>
      <c r="Z157" s="160">
        <f t="shared" si="98"/>
        <v>2.4823093339323754E-2</v>
      </c>
      <c r="AA157" s="76">
        <v>6.36</v>
      </c>
      <c r="AB157" s="156">
        <f t="shared" si="99"/>
        <v>188.84</v>
      </c>
      <c r="AC157" s="160">
        <f t="shared" si="100"/>
        <v>3.4853134590092143E-2</v>
      </c>
      <c r="AD157" s="76">
        <v>5.41</v>
      </c>
      <c r="AE157" s="156">
        <f t="shared" si="101"/>
        <v>194.25</v>
      </c>
      <c r="AF157" s="160">
        <f t="shared" si="102"/>
        <v>2.8648591400127075E-2</v>
      </c>
      <c r="AG157" s="76">
        <v>5.31</v>
      </c>
      <c r="AH157" s="156">
        <f t="shared" si="103"/>
        <v>199.56</v>
      </c>
      <c r="AI157" s="160">
        <f t="shared" si="104"/>
        <v>2.7335907335907347E-2</v>
      </c>
      <c r="AJ157" s="152">
        <f t="shared" si="105"/>
        <v>24.56</v>
      </c>
      <c r="AK157" s="162">
        <f t="shared" si="106"/>
        <v>2.8908562862654419E-2</v>
      </c>
    </row>
    <row r="158" spans="2:37" outlineLevel="1" x14ac:dyDescent="0.35">
      <c r="B158" s="48" t="s">
        <v>92</v>
      </c>
      <c r="C158" s="62" t="s">
        <v>135</v>
      </c>
      <c r="D158" s="76">
        <v>100</v>
      </c>
      <c r="E158" s="77">
        <v>755</v>
      </c>
      <c r="F158" s="76">
        <v>150</v>
      </c>
      <c r="G158" s="156">
        <f t="shared" si="75"/>
        <v>905</v>
      </c>
      <c r="H158" s="160">
        <f t="shared" si="76"/>
        <v>0.19867549668874171</v>
      </c>
      <c r="I158" s="76">
        <v>370</v>
      </c>
      <c r="J158" s="156">
        <f t="shared" si="77"/>
        <v>1275</v>
      </c>
      <c r="K158" s="160">
        <f t="shared" si="78"/>
        <v>0.40883977900552487</v>
      </c>
      <c r="L158" s="76">
        <v>83</v>
      </c>
      <c r="M158" s="156">
        <f t="shared" si="79"/>
        <v>1358</v>
      </c>
      <c r="N158" s="160">
        <f t="shared" si="80"/>
        <v>6.5098039215686271E-2</v>
      </c>
      <c r="O158" s="76">
        <v>84</v>
      </c>
      <c r="P158" s="156">
        <f t="shared" si="81"/>
        <v>1442</v>
      </c>
      <c r="Q158" s="160">
        <f t="shared" si="82"/>
        <v>6.1855670103092786E-2</v>
      </c>
      <c r="R158" s="152">
        <f t="shared" si="83"/>
        <v>787</v>
      </c>
      <c r="S158" s="162">
        <f t="shared" si="84"/>
        <v>0.17558646490882168</v>
      </c>
      <c r="U158" s="76">
        <v>72.75</v>
      </c>
      <c r="V158" s="156">
        <f t="shared" si="95"/>
        <v>1514.75</v>
      </c>
      <c r="W158" s="160">
        <f t="shared" si="96"/>
        <v>5.0450762829403605E-2</v>
      </c>
      <c r="X158" s="76">
        <v>106.85000000000001</v>
      </c>
      <c r="Y158" s="156">
        <f t="shared" si="97"/>
        <v>1621.6</v>
      </c>
      <c r="Z158" s="160">
        <f t="shared" si="98"/>
        <v>7.0539693018649888E-2</v>
      </c>
      <c r="AA158" s="76">
        <v>123.19</v>
      </c>
      <c r="AB158" s="156">
        <f t="shared" si="99"/>
        <v>1744.79</v>
      </c>
      <c r="AC158" s="160">
        <f t="shared" si="100"/>
        <v>7.5968179575727712E-2</v>
      </c>
      <c r="AD158" s="76">
        <v>100.50999999999999</v>
      </c>
      <c r="AE158" s="156">
        <f t="shared" si="101"/>
        <v>1845.3</v>
      </c>
      <c r="AF158" s="160">
        <f t="shared" si="102"/>
        <v>5.7605786369706376E-2</v>
      </c>
      <c r="AG158" s="76">
        <v>78.489999999999995</v>
      </c>
      <c r="AH158" s="156">
        <f t="shared" si="103"/>
        <v>1923.79</v>
      </c>
      <c r="AI158" s="160">
        <f t="shared" si="104"/>
        <v>4.2535089145396415E-2</v>
      </c>
      <c r="AJ158" s="152">
        <f t="shared" si="105"/>
        <v>481.79</v>
      </c>
      <c r="AK158" s="162">
        <f t="shared" si="106"/>
        <v>6.1583538345204802E-2</v>
      </c>
    </row>
    <row r="159" spans="2:37" outlineLevel="1" x14ac:dyDescent="0.35">
      <c r="B159" s="48" t="s">
        <v>93</v>
      </c>
      <c r="C159" s="62" t="s">
        <v>135</v>
      </c>
      <c r="D159" s="76">
        <v>106</v>
      </c>
      <c r="E159" s="77">
        <v>633</v>
      </c>
      <c r="F159" s="76">
        <v>200</v>
      </c>
      <c r="G159" s="156">
        <f t="shared" si="75"/>
        <v>833</v>
      </c>
      <c r="H159" s="160">
        <f t="shared" si="76"/>
        <v>0.31595576619273302</v>
      </c>
      <c r="I159" s="76">
        <v>261</v>
      </c>
      <c r="J159" s="156">
        <f t="shared" si="77"/>
        <v>1094</v>
      </c>
      <c r="K159" s="160">
        <f t="shared" si="78"/>
        <v>0.31332533013205283</v>
      </c>
      <c r="L159" s="76">
        <v>128</v>
      </c>
      <c r="M159" s="156">
        <f t="shared" si="79"/>
        <v>1222</v>
      </c>
      <c r="N159" s="160">
        <f t="shared" si="80"/>
        <v>0.1170018281535649</v>
      </c>
      <c r="O159" s="76">
        <v>86</v>
      </c>
      <c r="P159" s="156">
        <f t="shared" si="81"/>
        <v>1308</v>
      </c>
      <c r="Q159" s="160">
        <f t="shared" si="82"/>
        <v>7.0376432078559745E-2</v>
      </c>
      <c r="R159" s="152">
        <f t="shared" si="83"/>
        <v>781</v>
      </c>
      <c r="S159" s="162">
        <f t="shared" si="84"/>
        <v>0.19894982460590649</v>
      </c>
      <c r="U159" s="76">
        <v>105.37</v>
      </c>
      <c r="V159" s="156">
        <f t="shared" si="95"/>
        <v>1413.37</v>
      </c>
      <c r="W159" s="160">
        <f t="shared" si="96"/>
        <v>8.0558103975535089E-2</v>
      </c>
      <c r="X159" s="76">
        <v>168.78</v>
      </c>
      <c r="Y159" s="156">
        <f t="shared" si="97"/>
        <v>1582.1499999999999</v>
      </c>
      <c r="Z159" s="160">
        <f t="shared" si="98"/>
        <v>0.11941671324564691</v>
      </c>
      <c r="AA159" s="76">
        <v>286.20999999999998</v>
      </c>
      <c r="AB159" s="156">
        <f t="shared" si="99"/>
        <v>1868.36</v>
      </c>
      <c r="AC159" s="160">
        <f t="shared" si="100"/>
        <v>0.18089940903201343</v>
      </c>
      <c r="AD159" s="76">
        <v>294.23</v>
      </c>
      <c r="AE159" s="156">
        <f t="shared" si="101"/>
        <v>2162.59</v>
      </c>
      <c r="AF159" s="160">
        <f t="shared" si="102"/>
        <v>0.15748035710462666</v>
      </c>
      <c r="AG159" s="76">
        <v>245.56</v>
      </c>
      <c r="AH159" s="156">
        <f t="shared" si="103"/>
        <v>2408.15</v>
      </c>
      <c r="AI159" s="160">
        <f t="shared" si="104"/>
        <v>0.11354903148539479</v>
      </c>
      <c r="AJ159" s="152">
        <f t="shared" si="105"/>
        <v>1100.1499999999999</v>
      </c>
      <c r="AK159" s="162">
        <f t="shared" si="106"/>
        <v>0.14250186201515347</v>
      </c>
    </row>
    <row r="160" spans="2:37" outlineLevel="1" x14ac:dyDescent="0.35">
      <c r="B160" s="48" t="s">
        <v>94</v>
      </c>
      <c r="C160" s="62" t="s">
        <v>135</v>
      </c>
      <c r="D160" s="76">
        <v>187</v>
      </c>
      <c r="E160" s="77">
        <v>1919</v>
      </c>
      <c r="F160" s="76">
        <v>159</v>
      </c>
      <c r="G160" s="156">
        <f t="shared" si="75"/>
        <v>2078</v>
      </c>
      <c r="H160" s="160">
        <f t="shared" si="76"/>
        <v>8.2855653986451283E-2</v>
      </c>
      <c r="I160" s="76">
        <v>159</v>
      </c>
      <c r="J160" s="156">
        <f t="shared" si="77"/>
        <v>2237</v>
      </c>
      <c r="K160" s="160">
        <f t="shared" si="78"/>
        <v>7.6515880654475454E-2</v>
      </c>
      <c r="L160" s="76">
        <v>70</v>
      </c>
      <c r="M160" s="156">
        <f t="shared" si="79"/>
        <v>2307</v>
      </c>
      <c r="N160" s="160">
        <f t="shared" si="80"/>
        <v>3.1291908806437195E-2</v>
      </c>
      <c r="O160" s="76">
        <v>99</v>
      </c>
      <c r="P160" s="156">
        <f t="shared" si="81"/>
        <v>2406</v>
      </c>
      <c r="Q160" s="160">
        <f t="shared" si="82"/>
        <v>4.2912873862158647E-2</v>
      </c>
      <c r="R160" s="152">
        <f t="shared" si="83"/>
        <v>674</v>
      </c>
      <c r="S160" s="162">
        <f t="shared" si="84"/>
        <v>5.8169311209918417E-2</v>
      </c>
      <c r="U160" s="76">
        <v>72.790000000000006</v>
      </c>
      <c r="V160" s="156">
        <f t="shared" si="95"/>
        <v>2478.79</v>
      </c>
      <c r="W160" s="160">
        <f t="shared" si="96"/>
        <v>3.02535328345802E-2</v>
      </c>
      <c r="X160" s="76">
        <v>117.52</v>
      </c>
      <c r="Y160" s="156">
        <f t="shared" si="97"/>
        <v>2596.31</v>
      </c>
      <c r="Z160" s="160">
        <f t="shared" si="98"/>
        <v>4.7410228377555173E-2</v>
      </c>
      <c r="AA160" s="76">
        <v>137.31</v>
      </c>
      <c r="AB160" s="156">
        <f t="shared" si="99"/>
        <v>2733.62</v>
      </c>
      <c r="AC160" s="160">
        <f t="shared" si="100"/>
        <v>5.2886596746921574E-2</v>
      </c>
      <c r="AD160" s="76">
        <v>126.5</v>
      </c>
      <c r="AE160" s="156">
        <f t="shared" si="101"/>
        <v>2860.12</v>
      </c>
      <c r="AF160" s="160">
        <f t="shared" si="102"/>
        <v>4.6275634506624919E-2</v>
      </c>
      <c r="AG160" s="76">
        <v>113.37</v>
      </c>
      <c r="AH160" s="156">
        <f t="shared" si="103"/>
        <v>2973.49</v>
      </c>
      <c r="AI160" s="160">
        <f t="shared" si="104"/>
        <v>3.9638196998727289E-2</v>
      </c>
      <c r="AJ160" s="152">
        <f t="shared" si="105"/>
        <v>567.49</v>
      </c>
      <c r="AK160" s="162">
        <f t="shared" si="106"/>
        <v>4.6542059056293494E-2</v>
      </c>
    </row>
    <row r="161" spans="2:37" outlineLevel="1" x14ac:dyDescent="0.35">
      <c r="B161" s="48" t="s">
        <v>95</v>
      </c>
      <c r="C161" s="62" t="s">
        <v>135</v>
      </c>
      <c r="D161" s="76">
        <v>135</v>
      </c>
      <c r="E161" s="77">
        <v>1424</v>
      </c>
      <c r="F161" s="76">
        <v>109</v>
      </c>
      <c r="G161" s="156">
        <f t="shared" si="75"/>
        <v>1533</v>
      </c>
      <c r="H161" s="160">
        <f t="shared" si="76"/>
        <v>7.6544943820224726E-2</v>
      </c>
      <c r="I161" s="76">
        <v>145</v>
      </c>
      <c r="J161" s="156">
        <f t="shared" si="77"/>
        <v>1678</v>
      </c>
      <c r="K161" s="160">
        <f t="shared" si="78"/>
        <v>9.4585779517286361E-2</v>
      </c>
      <c r="L161" s="76">
        <v>57</v>
      </c>
      <c r="M161" s="156">
        <f t="shared" si="79"/>
        <v>1735</v>
      </c>
      <c r="N161" s="160">
        <f t="shared" si="80"/>
        <v>3.396901072705602E-2</v>
      </c>
      <c r="O161" s="76">
        <v>47</v>
      </c>
      <c r="P161" s="156">
        <f t="shared" si="81"/>
        <v>1782</v>
      </c>
      <c r="Q161" s="160">
        <f t="shared" si="82"/>
        <v>2.7089337175792507E-2</v>
      </c>
      <c r="R161" s="152">
        <f t="shared" si="83"/>
        <v>493</v>
      </c>
      <c r="S161" s="162">
        <f t="shared" si="84"/>
        <v>5.76681527758518E-2</v>
      </c>
      <c r="U161" s="76">
        <v>37.589999999999996</v>
      </c>
      <c r="V161" s="156">
        <f t="shared" si="95"/>
        <v>1819.59</v>
      </c>
      <c r="W161" s="160">
        <f t="shared" si="96"/>
        <v>2.1094276094276047E-2</v>
      </c>
      <c r="X161" s="76">
        <v>56.269999999999996</v>
      </c>
      <c r="Y161" s="156">
        <f t="shared" si="97"/>
        <v>1875.86</v>
      </c>
      <c r="Z161" s="160">
        <f t="shared" si="98"/>
        <v>3.0924548936848404E-2</v>
      </c>
      <c r="AA161" s="76">
        <v>73.319999999999993</v>
      </c>
      <c r="AB161" s="156">
        <f t="shared" si="99"/>
        <v>1949.1799999999998</v>
      </c>
      <c r="AC161" s="160">
        <f t="shared" si="100"/>
        <v>3.9086072521403482E-2</v>
      </c>
      <c r="AD161" s="76">
        <v>76.25</v>
      </c>
      <c r="AE161" s="156">
        <f t="shared" si="101"/>
        <v>2025.4299999999998</v>
      </c>
      <c r="AF161" s="160">
        <f t="shared" si="102"/>
        <v>3.9119014149539812E-2</v>
      </c>
      <c r="AG161" s="76">
        <v>58.85</v>
      </c>
      <c r="AH161" s="156">
        <f t="shared" si="103"/>
        <v>2084.2799999999997</v>
      </c>
      <c r="AI161" s="160">
        <f t="shared" si="104"/>
        <v>2.9055558572747473E-2</v>
      </c>
      <c r="AJ161" s="152">
        <f t="shared" si="105"/>
        <v>302.27999999999997</v>
      </c>
      <c r="AK161" s="162">
        <f t="shared" si="106"/>
        <v>3.4536052454747113E-2</v>
      </c>
    </row>
    <row r="162" spans="2:37" outlineLevel="1" x14ac:dyDescent="0.35">
      <c r="B162" s="48" t="s">
        <v>96</v>
      </c>
      <c r="C162" s="62" t="s">
        <v>135</v>
      </c>
      <c r="D162" s="76">
        <v>91</v>
      </c>
      <c r="E162" s="77">
        <v>857</v>
      </c>
      <c r="F162" s="76">
        <v>69</v>
      </c>
      <c r="G162" s="156">
        <f t="shared" si="75"/>
        <v>926</v>
      </c>
      <c r="H162" s="160">
        <f t="shared" si="76"/>
        <v>8.051341890315053E-2</v>
      </c>
      <c r="I162" s="76">
        <v>70</v>
      </c>
      <c r="J162" s="156">
        <f t="shared" si="77"/>
        <v>996</v>
      </c>
      <c r="K162" s="160">
        <f t="shared" si="78"/>
        <v>7.5593952483801297E-2</v>
      </c>
      <c r="L162" s="76">
        <v>37</v>
      </c>
      <c r="M162" s="156">
        <f t="shared" si="79"/>
        <v>1033</v>
      </c>
      <c r="N162" s="160">
        <f t="shared" si="80"/>
        <v>3.7148594377510037E-2</v>
      </c>
      <c r="O162" s="76">
        <v>32</v>
      </c>
      <c r="P162" s="156">
        <f t="shared" si="81"/>
        <v>1065</v>
      </c>
      <c r="Q162" s="160">
        <f t="shared" si="82"/>
        <v>3.0977734753146177E-2</v>
      </c>
      <c r="R162" s="152">
        <f t="shared" si="83"/>
        <v>299</v>
      </c>
      <c r="S162" s="162">
        <f t="shared" si="84"/>
        <v>5.5825620859451863E-2</v>
      </c>
      <c r="U162" s="76">
        <v>40.49</v>
      </c>
      <c r="V162" s="156">
        <f t="shared" si="95"/>
        <v>1105.49</v>
      </c>
      <c r="W162" s="160">
        <f t="shared" si="96"/>
        <v>3.8018779342723012E-2</v>
      </c>
      <c r="X162" s="76">
        <v>64.78</v>
      </c>
      <c r="Y162" s="156">
        <f t="shared" si="97"/>
        <v>1170.27</v>
      </c>
      <c r="Z162" s="160">
        <f t="shared" si="98"/>
        <v>5.8598449556305325E-2</v>
      </c>
      <c r="AA162" s="76">
        <v>86.23</v>
      </c>
      <c r="AB162" s="156">
        <f t="shared" si="99"/>
        <v>1256.5</v>
      </c>
      <c r="AC162" s="160">
        <f t="shared" si="100"/>
        <v>7.3683850735300413E-2</v>
      </c>
      <c r="AD162" s="76">
        <v>74.319999999999993</v>
      </c>
      <c r="AE162" s="156">
        <f t="shared" si="101"/>
        <v>1330.82</v>
      </c>
      <c r="AF162" s="160">
        <f t="shared" si="102"/>
        <v>5.9148428173497761E-2</v>
      </c>
      <c r="AG162" s="76">
        <v>63.61</v>
      </c>
      <c r="AH162" s="156">
        <f t="shared" si="103"/>
        <v>1394.4299999999998</v>
      </c>
      <c r="AI162" s="160">
        <f t="shared" si="104"/>
        <v>4.7797598473121761E-2</v>
      </c>
      <c r="AJ162" s="152">
        <f t="shared" si="105"/>
        <v>329.43</v>
      </c>
      <c r="AK162" s="162">
        <f t="shared" si="106"/>
        <v>5.9767202273437237E-2</v>
      </c>
    </row>
    <row r="163" spans="2:37" outlineLevel="1" x14ac:dyDescent="0.35">
      <c r="B163" s="48" t="s">
        <v>97</v>
      </c>
      <c r="C163" s="62" t="s">
        <v>135</v>
      </c>
      <c r="D163" s="76">
        <v>236</v>
      </c>
      <c r="E163" s="77">
        <v>1929</v>
      </c>
      <c r="F163" s="76">
        <v>192</v>
      </c>
      <c r="G163" s="156">
        <f t="shared" si="75"/>
        <v>2121</v>
      </c>
      <c r="H163" s="160">
        <f t="shared" si="76"/>
        <v>9.9533437013996889E-2</v>
      </c>
      <c r="I163" s="76">
        <v>224</v>
      </c>
      <c r="J163" s="156">
        <f t="shared" si="77"/>
        <v>2345</v>
      </c>
      <c r="K163" s="160">
        <f t="shared" si="78"/>
        <v>0.10561056105610561</v>
      </c>
      <c r="L163" s="76">
        <v>102</v>
      </c>
      <c r="M163" s="156">
        <f t="shared" si="79"/>
        <v>2447</v>
      </c>
      <c r="N163" s="160">
        <f t="shared" si="80"/>
        <v>4.3496801705756927E-2</v>
      </c>
      <c r="O163" s="76">
        <v>94</v>
      </c>
      <c r="P163" s="156">
        <f t="shared" si="81"/>
        <v>2541</v>
      </c>
      <c r="Q163" s="160">
        <f t="shared" si="82"/>
        <v>3.8414384961176953E-2</v>
      </c>
      <c r="R163" s="152">
        <f t="shared" si="83"/>
        <v>848</v>
      </c>
      <c r="S163" s="162">
        <f t="shared" si="84"/>
        <v>7.1317278405587547E-2</v>
      </c>
      <c r="U163" s="76">
        <v>100.13</v>
      </c>
      <c r="V163" s="156">
        <f t="shared" si="95"/>
        <v>2641.13</v>
      </c>
      <c r="W163" s="160">
        <f t="shared" si="96"/>
        <v>3.9405745769382175E-2</v>
      </c>
      <c r="X163" s="76">
        <v>196.57</v>
      </c>
      <c r="Y163" s="156">
        <f t="shared" si="97"/>
        <v>2837.7000000000003</v>
      </c>
      <c r="Z163" s="160">
        <f t="shared" si="98"/>
        <v>7.4426476546023926E-2</v>
      </c>
      <c r="AA163" s="76">
        <v>213.64</v>
      </c>
      <c r="AB163" s="156">
        <f t="shared" si="99"/>
        <v>3051.34</v>
      </c>
      <c r="AC163" s="160">
        <f t="shared" si="100"/>
        <v>7.5286323430947544E-2</v>
      </c>
      <c r="AD163" s="76">
        <v>158.38999999999999</v>
      </c>
      <c r="AE163" s="156">
        <f t="shared" si="101"/>
        <v>3209.73</v>
      </c>
      <c r="AF163" s="160">
        <f t="shared" si="102"/>
        <v>5.1908341908800677E-2</v>
      </c>
      <c r="AG163" s="76">
        <v>170.91</v>
      </c>
      <c r="AH163" s="156">
        <f t="shared" si="103"/>
        <v>3380.64</v>
      </c>
      <c r="AI163" s="160">
        <f t="shared" si="104"/>
        <v>5.3247469413315096E-2</v>
      </c>
      <c r="AJ163" s="152">
        <f t="shared" si="105"/>
        <v>839.64</v>
      </c>
      <c r="AK163" s="162">
        <f t="shared" si="106"/>
        <v>6.3658675977610102E-2</v>
      </c>
    </row>
    <row r="164" spans="2:37" outlineLevel="1" x14ac:dyDescent="0.35">
      <c r="B164" s="48" t="s">
        <v>98</v>
      </c>
      <c r="C164" s="62" t="s">
        <v>135</v>
      </c>
      <c r="D164" s="76">
        <v>64</v>
      </c>
      <c r="E164" s="77">
        <v>691</v>
      </c>
      <c r="F164" s="76">
        <v>50</v>
      </c>
      <c r="G164" s="156">
        <f t="shared" si="75"/>
        <v>741</v>
      </c>
      <c r="H164" s="160">
        <f t="shared" si="76"/>
        <v>7.2358900144717797E-2</v>
      </c>
      <c r="I164" s="76">
        <v>65</v>
      </c>
      <c r="J164" s="156">
        <f t="shared" si="77"/>
        <v>806</v>
      </c>
      <c r="K164" s="160">
        <f t="shared" si="78"/>
        <v>8.771929824561403E-2</v>
      </c>
      <c r="L164" s="76">
        <v>34</v>
      </c>
      <c r="M164" s="156">
        <f t="shared" si="79"/>
        <v>840</v>
      </c>
      <c r="N164" s="160">
        <f t="shared" si="80"/>
        <v>4.2183622828784122E-2</v>
      </c>
      <c r="O164" s="76">
        <v>20</v>
      </c>
      <c r="P164" s="156">
        <f t="shared" si="81"/>
        <v>860</v>
      </c>
      <c r="Q164" s="160">
        <f t="shared" si="82"/>
        <v>2.3809523809523808E-2</v>
      </c>
      <c r="R164" s="152">
        <f t="shared" si="83"/>
        <v>233</v>
      </c>
      <c r="S164" s="162">
        <f t="shared" si="84"/>
        <v>5.6221736903403263E-2</v>
      </c>
      <c r="U164" s="76">
        <v>21.14</v>
      </c>
      <c r="V164" s="156">
        <f t="shared" si="95"/>
        <v>881.14</v>
      </c>
      <c r="W164" s="160">
        <f t="shared" si="96"/>
        <v>2.4581395348837194E-2</v>
      </c>
      <c r="X164" s="76">
        <v>49.65</v>
      </c>
      <c r="Y164" s="156">
        <f t="shared" si="97"/>
        <v>930.79</v>
      </c>
      <c r="Z164" s="160">
        <f t="shared" si="98"/>
        <v>5.6347458973602355E-2</v>
      </c>
      <c r="AA164" s="76">
        <v>70.7</v>
      </c>
      <c r="AB164" s="156">
        <f t="shared" si="99"/>
        <v>1001.49</v>
      </c>
      <c r="AC164" s="160">
        <f t="shared" si="100"/>
        <v>7.5956982778070295E-2</v>
      </c>
      <c r="AD164" s="76">
        <v>69.62</v>
      </c>
      <c r="AE164" s="156">
        <f t="shared" si="101"/>
        <v>1071.1100000000001</v>
      </c>
      <c r="AF164" s="160">
        <f t="shared" si="102"/>
        <v>6.9516420533405343E-2</v>
      </c>
      <c r="AG164" s="76">
        <v>71.61</v>
      </c>
      <c r="AH164" s="156">
        <f t="shared" si="103"/>
        <v>1142.72</v>
      </c>
      <c r="AI164" s="160">
        <f t="shared" si="104"/>
        <v>6.6855878481201642E-2</v>
      </c>
      <c r="AJ164" s="152">
        <f t="shared" si="105"/>
        <v>282.72000000000003</v>
      </c>
      <c r="AK164" s="162">
        <f t="shared" si="106"/>
        <v>6.7145722534121655E-2</v>
      </c>
    </row>
    <row r="165" spans="2:37" outlineLevel="1" x14ac:dyDescent="0.35">
      <c r="B165" s="48" t="s">
        <v>99</v>
      </c>
      <c r="C165" s="62" t="s">
        <v>135</v>
      </c>
      <c r="D165" s="76">
        <v>386</v>
      </c>
      <c r="E165" s="77">
        <v>3786</v>
      </c>
      <c r="F165" s="76">
        <v>389</v>
      </c>
      <c r="G165" s="156">
        <f t="shared" si="75"/>
        <v>4175</v>
      </c>
      <c r="H165" s="160">
        <f t="shared" si="76"/>
        <v>0.10274696249339672</v>
      </c>
      <c r="I165" s="76">
        <v>473</v>
      </c>
      <c r="J165" s="156">
        <f t="shared" si="77"/>
        <v>4648</v>
      </c>
      <c r="K165" s="160">
        <f t="shared" si="78"/>
        <v>0.1132934131736527</v>
      </c>
      <c r="L165" s="76">
        <v>176</v>
      </c>
      <c r="M165" s="156">
        <f t="shared" si="79"/>
        <v>4824</v>
      </c>
      <c r="N165" s="160">
        <f t="shared" si="80"/>
        <v>3.7865748709122203E-2</v>
      </c>
      <c r="O165" s="76">
        <v>103</v>
      </c>
      <c r="P165" s="156">
        <f t="shared" si="81"/>
        <v>4927</v>
      </c>
      <c r="Q165" s="160">
        <f t="shared" si="82"/>
        <v>2.1351575456053068E-2</v>
      </c>
      <c r="R165" s="152">
        <f t="shared" si="83"/>
        <v>1527</v>
      </c>
      <c r="S165" s="162">
        <f t="shared" si="84"/>
        <v>6.8071897142184756E-2</v>
      </c>
      <c r="U165" s="76">
        <v>97.54</v>
      </c>
      <c r="V165" s="156">
        <f t="shared" si="95"/>
        <v>5024.54</v>
      </c>
      <c r="W165" s="160">
        <f t="shared" si="96"/>
        <v>1.9797036736350714E-2</v>
      </c>
      <c r="X165" s="76">
        <v>134.44</v>
      </c>
      <c r="Y165" s="156">
        <f t="shared" si="97"/>
        <v>5158.9799999999996</v>
      </c>
      <c r="Z165" s="160">
        <f t="shared" si="98"/>
        <v>2.675667822328006E-2</v>
      </c>
      <c r="AA165" s="76">
        <v>144.18</v>
      </c>
      <c r="AB165" s="156">
        <f t="shared" si="99"/>
        <v>5303.16</v>
      </c>
      <c r="AC165" s="160">
        <f t="shared" si="100"/>
        <v>2.7947384948187493E-2</v>
      </c>
      <c r="AD165" s="76">
        <v>137.39999999999998</v>
      </c>
      <c r="AE165" s="156">
        <f t="shared" si="101"/>
        <v>5440.5599999999995</v>
      </c>
      <c r="AF165" s="160">
        <f t="shared" si="102"/>
        <v>2.5909080623628108E-2</v>
      </c>
      <c r="AG165" s="76">
        <v>112.92</v>
      </c>
      <c r="AH165" s="156">
        <f t="shared" si="103"/>
        <v>5553.48</v>
      </c>
      <c r="AI165" s="160">
        <f t="shared" si="104"/>
        <v>2.0755216374784963E-2</v>
      </c>
      <c r="AJ165" s="152">
        <f t="shared" si="105"/>
        <v>626.4799999999999</v>
      </c>
      <c r="AK165" s="162">
        <f t="shared" si="106"/>
        <v>2.5338408468688955E-2</v>
      </c>
    </row>
    <row r="166" spans="2:37" outlineLevel="1" x14ac:dyDescent="0.35">
      <c r="B166" s="48" t="s">
        <v>100</v>
      </c>
      <c r="C166" s="62" t="s">
        <v>135</v>
      </c>
      <c r="D166" s="76">
        <v>69</v>
      </c>
      <c r="E166" s="77">
        <v>802</v>
      </c>
      <c r="F166" s="76">
        <v>80</v>
      </c>
      <c r="G166" s="156">
        <f t="shared" si="75"/>
        <v>882</v>
      </c>
      <c r="H166" s="160">
        <f t="shared" si="76"/>
        <v>9.9750623441396513E-2</v>
      </c>
      <c r="I166" s="76">
        <v>73</v>
      </c>
      <c r="J166" s="156">
        <f t="shared" si="77"/>
        <v>955</v>
      </c>
      <c r="K166" s="160">
        <f t="shared" si="78"/>
        <v>8.2766439909297052E-2</v>
      </c>
      <c r="L166" s="76">
        <v>41</v>
      </c>
      <c r="M166" s="156">
        <f t="shared" si="79"/>
        <v>996</v>
      </c>
      <c r="N166" s="160">
        <f t="shared" si="80"/>
        <v>4.2931937172774867E-2</v>
      </c>
      <c r="O166" s="76">
        <v>27</v>
      </c>
      <c r="P166" s="156">
        <f t="shared" si="81"/>
        <v>1023</v>
      </c>
      <c r="Q166" s="160">
        <f t="shared" si="82"/>
        <v>2.710843373493976E-2</v>
      </c>
      <c r="R166" s="152">
        <f t="shared" si="83"/>
        <v>290</v>
      </c>
      <c r="S166" s="162">
        <f t="shared" si="84"/>
        <v>6.2735813726048528E-2</v>
      </c>
      <c r="U166" s="76">
        <v>31.740000000000002</v>
      </c>
      <c r="V166" s="156">
        <f t="shared" si="95"/>
        <v>1054.74</v>
      </c>
      <c r="W166" s="160">
        <f t="shared" si="96"/>
        <v>3.1026392961876842E-2</v>
      </c>
      <c r="X166" s="76">
        <v>72.19</v>
      </c>
      <c r="Y166" s="156">
        <f t="shared" si="97"/>
        <v>1126.93</v>
      </c>
      <c r="Z166" s="160">
        <f t="shared" si="98"/>
        <v>6.8443407854068355E-2</v>
      </c>
      <c r="AA166" s="76">
        <v>97.02000000000001</v>
      </c>
      <c r="AB166" s="156">
        <f t="shared" si="99"/>
        <v>1223.95</v>
      </c>
      <c r="AC166" s="160">
        <f t="shared" si="100"/>
        <v>8.6092303869805556E-2</v>
      </c>
      <c r="AD166" s="76">
        <v>89.86</v>
      </c>
      <c r="AE166" s="156">
        <f t="shared" si="101"/>
        <v>1313.81</v>
      </c>
      <c r="AF166" s="160">
        <f t="shared" si="102"/>
        <v>7.3418031782343962E-2</v>
      </c>
      <c r="AG166" s="76">
        <v>120.53999999999999</v>
      </c>
      <c r="AH166" s="156">
        <f t="shared" si="103"/>
        <v>1434.35</v>
      </c>
      <c r="AI166" s="160">
        <f t="shared" si="104"/>
        <v>9.1748426332574698E-2</v>
      </c>
      <c r="AJ166" s="152">
        <f t="shared" si="105"/>
        <v>411.35</v>
      </c>
      <c r="AK166" s="162">
        <f t="shared" si="106"/>
        <v>7.9884805059960096E-2</v>
      </c>
    </row>
    <row r="167" spans="2:37" outlineLevel="1" x14ac:dyDescent="0.35">
      <c r="B167" s="48" t="s">
        <v>176</v>
      </c>
      <c r="C167" s="62" t="s">
        <v>135</v>
      </c>
      <c r="D167" s="76">
        <v>7</v>
      </c>
      <c r="E167" s="77">
        <v>39</v>
      </c>
      <c r="F167" s="76">
        <v>3</v>
      </c>
      <c r="G167" s="156">
        <f t="shared" si="75"/>
        <v>42</v>
      </c>
      <c r="H167" s="160">
        <f t="shared" si="76"/>
        <v>7.6923076923076927E-2</v>
      </c>
      <c r="I167" s="76">
        <v>5</v>
      </c>
      <c r="J167" s="156">
        <f t="shared" si="77"/>
        <v>47</v>
      </c>
      <c r="K167" s="160">
        <f t="shared" si="78"/>
        <v>0.11904761904761904</v>
      </c>
      <c r="L167" s="76">
        <v>2</v>
      </c>
      <c r="M167" s="156">
        <f t="shared" si="79"/>
        <v>49</v>
      </c>
      <c r="N167" s="160">
        <f t="shared" si="80"/>
        <v>4.2553191489361701E-2</v>
      </c>
      <c r="O167" s="76">
        <v>2</v>
      </c>
      <c r="P167" s="156">
        <f t="shared" si="81"/>
        <v>51</v>
      </c>
      <c r="Q167" s="160">
        <f t="shared" si="82"/>
        <v>4.0816326530612242E-2</v>
      </c>
      <c r="R167" s="152">
        <f t="shared" si="83"/>
        <v>19</v>
      </c>
      <c r="S167" s="162">
        <f t="shared" si="84"/>
        <v>6.936605042133781E-2</v>
      </c>
      <c r="U167" s="76">
        <v>2.91</v>
      </c>
      <c r="V167" s="156">
        <f t="shared" si="95"/>
        <v>53.91</v>
      </c>
      <c r="W167" s="160">
        <f t="shared" si="96"/>
        <v>5.7058823529411697E-2</v>
      </c>
      <c r="X167" s="76">
        <v>1.1499999999999999</v>
      </c>
      <c r="Y167" s="156">
        <f t="shared" si="97"/>
        <v>55.059999999999995</v>
      </c>
      <c r="Z167" s="160">
        <f t="shared" si="98"/>
        <v>2.1331849378593927E-2</v>
      </c>
      <c r="AA167" s="76">
        <v>1.1000000000000001</v>
      </c>
      <c r="AB167" s="156">
        <f t="shared" si="99"/>
        <v>56.16</v>
      </c>
      <c r="AC167" s="160">
        <f t="shared" si="100"/>
        <v>1.9978205593897593E-2</v>
      </c>
      <c r="AD167" s="76">
        <v>0.87</v>
      </c>
      <c r="AE167" s="156">
        <f t="shared" si="101"/>
        <v>57.029999999999994</v>
      </c>
      <c r="AF167" s="160">
        <f t="shared" si="102"/>
        <v>1.5491452991452947E-2</v>
      </c>
      <c r="AG167" s="76">
        <v>0.65</v>
      </c>
      <c r="AH167" s="156">
        <f t="shared" si="103"/>
        <v>57.679999999999993</v>
      </c>
      <c r="AI167" s="160">
        <f t="shared" si="104"/>
        <v>1.1397510082412741E-2</v>
      </c>
      <c r="AJ167" s="152">
        <f t="shared" si="105"/>
        <v>6.6800000000000006</v>
      </c>
      <c r="AK167" s="162">
        <f t="shared" si="106"/>
        <v>1.7042215337805811E-2</v>
      </c>
    </row>
    <row r="168" spans="2:37" outlineLevel="1" x14ac:dyDescent="0.35">
      <c r="B168" s="48" t="s">
        <v>102</v>
      </c>
      <c r="C168" s="62" t="s">
        <v>135</v>
      </c>
      <c r="D168" s="76">
        <v>153</v>
      </c>
      <c r="E168" s="77">
        <v>1595</v>
      </c>
      <c r="F168" s="76">
        <v>120</v>
      </c>
      <c r="G168" s="156">
        <f t="shared" si="75"/>
        <v>1715</v>
      </c>
      <c r="H168" s="160">
        <f t="shared" si="76"/>
        <v>7.5235109717868343E-2</v>
      </c>
      <c r="I168" s="76">
        <v>100</v>
      </c>
      <c r="J168" s="156">
        <f t="shared" si="77"/>
        <v>1815</v>
      </c>
      <c r="K168" s="160">
        <f t="shared" si="78"/>
        <v>5.8309037900874633E-2</v>
      </c>
      <c r="L168" s="76">
        <v>44</v>
      </c>
      <c r="M168" s="156">
        <f t="shared" si="79"/>
        <v>1859</v>
      </c>
      <c r="N168" s="160">
        <f t="shared" si="80"/>
        <v>2.4242424242424242E-2</v>
      </c>
      <c r="O168" s="76">
        <v>31</v>
      </c>
      <c r="P168" s="156">
        <f t="shared" si="81"/>
        <v>1890</v>
      </c>
      <c r="Q168" s="160">
        <f t="shared" si="82"/>
        <v>1.6675632060247445E-2</v>
      </c>
      <c r="R168" s="152">
        <f t="shared" si="83"/>
        <v>448</v>
      </c>
      <c r="S168" s="162">
        <f t="shared" si="84"/>
        <v>4.3338609822147767E-2</v>
      </c>
      <c r="U168" s="76">
        <v>37.93</v>
      </c>
      <c r="V168" s="156">
        <f t="shared" si="95"/>
        <v>1927.93</v>
      </c>
      <c r="W168" s="160">
        <f t="shared" si="96"/>
        <v>2.0068783068783104E-2</v>
      </c>
      <c r="X168" s="76">
        <v>47.12</v>
      </c>
      <c r="Y168" s="156">
        <f t="shared" si="97"/>
        <v>1975.05</v>
      </c>
      <c r="Z168" s="160">
        <f t="shared" si="98"/>
        <v>2.4440721395486292E-2</v>
      </c>
      <c r="AA168" s="76">
        <v>48.160000000000004</v>
      </c>
      <c r="AB168" s="156">
        <f t="shared" si="99"/>
        <v>2023.21</v>
      </c>
      <c r="AC168" s="160">
        <f t="shared" si="100"/>
        <v>2.438419280524548E-2</v>
      </c>
      <c r="AD168" s="76">
        <v>39.46</v>
      </c>
      <c r="AE168" s="156">
        <f t="shared" si="101"/>
        <v>2062.67</v>
      </c>
      <c r="AF168" s="160">
        <f t="shared" si="102"/>
        <v>1.9503660025405191E-2</v>
      </c>
      <c r="AG168" s="76">
        <v>28.599999999999998</v>
      </c>
      <c r="AH168" s="156">
        <f t="shared" si="103"/>
        <v>2091.27</v>
      </c>
      <c r="AI168" s="160">
        <f t="shared" si="104"/>
        <v>1.3865523811370654E-2</v>
      </c>
      <c r="AJ168" s="152">
        <f t="shared" si="105"/>
        <v>201.27</v>
      </c>
      <c r="AK168" s="162">
        <f t="shared" si="106"/>
        <v>2.0539248007289457E-2</v>
      </c>
    </row>
    <row r="169" spans="2:37" outlineLevel="1" x14ac:dyDescent="0.35">
      <c r="B169" s="48" t="s">
        <v>103</v>
      </c>
      <c r="C169" s="62" t="s">
        <v>135</v>
      </c>
      <c r="D169" s="76">
        <v>0</v>
      </c>
      <c r="E169" s="77">
        <v>17</v>
      </c>
      <c r="F169" s="76">
        <v>0</v>
      </c>
      <c r="G169" s="156">
        <f t="shared" si="75"/>
        <v>17</v>
      </c>
      <c r="H169" s="160">
        <f t="shared" si="76"/>
        <v>0</v>
      </c>
      <c r="I169" s="76">
        <v>1</v>
      </c>
      <c r="J169" s="156">
        <f t="shared" si="77"/>
        <v>18</v>
      </c>
      <c r="K169" s="160">
        <f t="shared" si="78"/>
        <v>5.8823529411764705E-2</v>
      </c>
      <c r="L169" s="76">
        <v>0</v>
      </c>
      <c r="M169" s="156">
        <f t="shared" si="79"/>
        <v>18</v>
      </c>
      <c r="N169" s="160">
        <f t="shared" si="80"/>
        <v>0</v>
      </c>
      <c r="O169" s="76">
        <v>0</v>
      </c>
      <c r="P169" s="156">
        <f t="shared" si="81"/>
        <v>18</v>
      </c>
      <c r="Q169" s="160">
        <f t="shared" si="82"/>
        <v>0</v>
      </c>
      <c r="R169" s="152">
        <f t="shared" si="83"/>
        <v>1</v>
      </c>
      <c r="S169" s="162">
        <f t="shared" si="84"/>
        <v>1.4392187891376196E-2</v>
      </c>
      <c r="U169" s="76">
        <v>0</v>
      </c>
      <c r="V169" s="156">
        <f t="shared" si="95"/>
        <v>18</v>
      </c>
      <c r="W169" s="160">
        <f t="shared" si="96"/>
        <v>0</v>
      </c>
      <c r="X169" s="76">
        <v>0</v>
      </c>
      <c r="Y169" s="156">
        <f t="shared" si="97"/>
        <v>18</v>
      </c>
      <c r="Z169" s="160">
        <f t="shared" si="98"/>
        <v>0</v>
      </c>
      <c r="AA169" s="76">
        <v>0</v>
      </c>
      <c r="AB169" s="156">
        <f t="shared" si="99"/>
        <v>18</v>
      </c>
      <c r="AC169" s="160">
        <f t="shared" si="100"/>
        <v>0</v>
      </c>
      <c r="AD169" s="76">
        <v>0</v>
      </c>
      <c r="AE169" s="156">
        <f t="shared" si="101"/>
        <v>18</v>
      </c>
      <c r="AF169" s="160">
        <f t="shared" si="102"/>
        <v>0</v>
      </c>
      <c r="AG169" s="76">
        <v>0</v>
      </c>
      <c r="AH169" s="156">
        <f t="shared" si="103"/>
        <v>18</v>
      </c>
      <c r="AI169" s="160">
        <f t="shared" si="104"/>
        <v>0</v>
      </c>
      <c r="AJ169" s="152">
        <f t="shared" si="105"/>
        <v>0</v>
      </c>
      <c r="AK169" s="162">
        <f t="shared" si="106"/>
        <v>0</v>
      </c>
    </row>
    <row r="170" spans="2:37" outlineLevel="1" x14ac:dyDescent="0.35">
      <c r="B170" s="48" t="s">
        <v>177</v>
      </c>
      <c r="C170" s="62" t="s">
        <v>135</v>
      </c>
      <c r="D170" s="76">
        <v>0</v>
      </c>
      <c r="E170" s="77">
        <v>0</v>
      </c>
      <c r="F170" s="76">
        <v>0</v>
      </c>
      <c r="G170" s="156">
        <f t="shared" si="75"/>
        <v>0</v>
      </c>
      <c r="H170" s="160">
        <f t="shared" si="76"/>
        <v>0</v>
      </c>
      <c r="I170" s="76">
        <v>0</v>
      </c>
      <c r="J170" s="156">
        <f t="shared" si="77"/>
        <v>0</v>
      </c>
      <c r="K170" s="160">
        <f t="shared" si="78"/>
        <v>0</v>
      </c>
      <c r="L170" s="76">
        <v>0</v>
      </c>
      <c r="M170" s="156">
        <f t="shared" si="79"/>
        <v>0</v>
      </c>
      <c r="N170" s="160">
        <f t="shared" si="80"/>
        <v>0</v>
      </c>
      <c r="O170" s="76">
        <v>0</v>
      </c>
      <c r="P170" s="156">
        <f t="shared" si="81"/>
        <v>0</v>
      </c>
      <c r="Q170" s="160">
        <f t="shared" si="82"/>
        <v>0</v>
      </c>
      <c r="R170" s="152">
        <f t="shared" si="83"/>
        <v>0</v>
      </c>
      <c r="S170" s="162">
        <f t="shared" si="84"/>
        <v>0</v>
      </c>
      <c r="U170" s="76">
        <v>0</v>
      </c>
      <c r="V170" s="156">
        <f t="shared" si="95"/>
        <v>0</v>
      </c>
      <c r="W170" s="160">
        <f t="shared" si="96"/>
        <v>0</v>
      </c>
      <c r="X170" s="76">
        <v>0</v>
      </c>
      <c r="Y170" s="156">
        <f t="shared" si="97"/>
        <v>0</v>
      </c>
      <c r="Z170" s="160">
        <f t="shared" si="98"/>
        <v>0</v>
      </c>
      <c r="AA170" s="76">
        <v>0</v>
      </c>
      <c r="AB170" s="156">
        <f t="shared" si="99"/>
        <v>0</v>
      </c>
      <c r="AC170" s="160">
        <f t="shared" si="100"/>
        <v>0</v>
      </c>
      <c r="AD170" s="76">
        <v>15.2</v>
      </c>
      <c r="AE170" s="156">
        <f t="shared" si="101"/>
        <v>15.2</v>
      </c>
      <c r="AF170" s="160">
        <f t="shared" si="102"/>
        <v>0</v>
      </c>
      <c r="AG170" s="76">
        <v>28.33</v>
      </c>
      <c r="AH170" s="156">
        <f t="shared" si="103"/>
        <v>43.53</v>
      </c>
      <c r="AI170" s="160">
        <f t="shared" si="104"/>
        <v>1.8638157894736844</v>
      </c>
      <c r="AJ170" s="152">
        <f t="shared" si="105"/>
        <v>43.53</v>
      </c>
      <c r="AK170" s="162">
        <f t="shared" si="106"/>
        <v>0</v>
      </c>
    </row>
    <row r="171" spans="2:37" outlineLevel="1" x14ac:dyDescent="0.35">
      <c r="B171" s="48" t="s">
        <v>136</v>
      </c>
      <c r="C171" s="62" t="s">
        <v>135</v>
      </c>
      <c r="D171" s="76">
        <v>0</v>
      </c>
      <c r="E171" s="77">
        <v>0</v>
      </c>
      <c r="F171" s="76">
        <v>0</v>
      </c>
      <c r="G171" s="156">
        <f t="shared" si="75"/>
        <v>0</v>
      </c>
      <c r="H171" s="160">
        <f t="shared" si="76"/>
        <v>0</v>
      </c>
      <c r="I171" s="76">
        <v>0</v>
      </c>
      <c r="J171" s="156">
        <f t="shared" si="77"/>
        <v>0</v>
      </c>
      <c r="K171" s="160">
        <f t="shared" si="78"/>
        <v>0</v>
      </c>
      <c r="L171" s="76">
        <v>0</v>
      </c>
      <c r="M171" s="156">
        <f t="shared" si="79"/>
        <v>0</v>
      </c>
      <c r="N171" s="160">
        <f t="shared" si="80"/>
        <v>0</v>
      </c>
      <c r="O171" s="76">
        <v>0</v>
      </c>
      <c r="P171" s="156">
        <f t="shared" si="81"/>
        <v>0</v>
      </c>
      <c r="Q171" s="160">
        <f t="shared" si="82"/>
        <v>0</v>
      </c>
      <c r="R171" s="152">
        <f t="shared" si="83"/>
        <v>0</v>
      </c>
      <c r="S171" s="162">
        <f t="shared" si="84"/>
        <v>0</v>
      </c>
      <c r="U171" s="76">
        <v>0</v>
      </c>
      <c r="V171" s="156">
        <f t="shared" si="95"/>
        <v>0</v>
      </c>
      <c r="W171" s="160">
        <f t="shared" si="96"/>
        <v>0</v>
      </c>
      <c r="X171" s="76">
        <v>0</v>
      </c>
      <c r="Y171" s="156">
        <f t="shared" si="97"/>
        <v>0</v>
      </c>
      <c r="Z171" s="160">
        <f t="shared" si="98"/>
        <v>0</v>
      </c>
      <c r="AA171" s="76">
        <v>0</v>
      </c>
      <c r="AB171" s="156">
        <f t="shared" si="99"/>
        <v>0</v>
      </c>
      <c r="AC171" s="160">
        <f t="shared" si="100"/>
        <v>0</v>
      </c>
      <c r="AD171" s="76">
        <v>15.2</v>
      </c>
      <c r="AE171" s="156">
        <f t="shared" si="101"/>
        <v>15.2</v>
      </c>
      <c r="AF171" s="160">
        <f t="shared" si="102"/>
        <v>0</v>
      </c>
      <c r="AG171" s="76">
        <v>24.6</v>
      </c>
      <c r="AH171" s="156">
        <f t="shared" si="103"/>
        <v>39.799999999999997</v>
      </c>
      <c r="AI171" s="160">
        <f t="shared" si="104"/>
        <v>1.618421052631579</v>
      </c>
      <c r="AJ171" s="152">
        <f t="shared" si="105"/>
        <v>39.799999999999997</v>
      </c>
      <c r="AK171" s="162">
        <f t="shared" si="106"/>
        <v>0</v>
      </c>
    </row>
    <row r="172" spans="2:37" outlineLevel="1" x14ac:dyDescent="0.35">
      <c r="B172" s="48" t="s">
        <v>106</v>
      </c>
      <c r="C172" s="62" t="s">
        <v>135</v>
      </c>
      <c r="D172" s="76">
        <v>101</v>
      </c>
      <c r="E172" s="77">
        <v>586</v>
      </c>
      <c r="F172" s="76">
        <v>62</v>
      </c>
      <c r="G172" s="156">
        <f t="shared" ref="G172:G193" si="107">E172+F172</f>
        <v>648</v>
      </c>
      <c r="H172" s="160">
        <f t="shared" ref="H172:H193" si="108">IFERROR((G172-E172)/E172,0)</f>
        <v>0.10580204778156997</v>
      </c>
      <c r="I172" s="76">
        <v>70</v>
      </c>
      <c r="J172" s="156">
        <f t="shared" ref="J172:J193" si="109">G172+I172</f>
        <v>718</v>
      </c>
      <c r="K172" s="160">
        <f t="shared" ref="K172:K193" si="110">IFERROR((J172-G172)/G172,0)</f>
        <v>0.10802469135802469</v>
      </c>
      <c r="L172" s="76">
        <v>23</v>
      </c>
      <c r="M172" s="156">
        <f t="shared" ref="M172:M193" si="111">J172+L172</f>
        <v>741</v>
      </c>
      <c r="N172" s="160">
        <f t="shared" ref="N172:N193" si="112">IFERROR((M172-J172)/J172,0)</f>
        <v>3.2033426183844013E-2</v>
      </c>
      <c r="O172" s="76">
        <v>23</v>
      </c>
      <c r="P172" s="156">
        <f t="shared" ref="P172:P193" si="113">M172+O172</f>
        <v>764</v>
      </c>
      <c r="Q172" s="160">
        <f t="shared" ref="Q172:Q193" si="114">IFERROR((P172-M172)/M172,0)</f>
        <v>3.1039136302294199E-2</v>
      </c>
      <c r="R172" s="152">
        <f t="shared" ref="R172:R193" si="115">D172+F172+I172+L172+O172</f>
        <v>279</v>
      </c>
      <c r="S172" s="162">
        <f t="shared" ref="S172:S193" si="116">IFERROR((P172/E172)^(1/4)-1,0)</f>
        <v>6.8560055790228613E-2</v>
      </c>
      <c r="U172" s="76">
        <v>18.440000000000001</v>
      </c>
      <c r="V172" s="156">
        <f t="shared" si="95"/>
        <v>782.44</v>
      </c>
      <c r="W172" s="160">
        <f t="shared" si="96"/>
        <v>2.4136125654450332E-2</v>
      </c>
      <c r="X172" s="76">
        <v>29.34</v>
      </c>
      <c r="Y172" s="156">
        <f t="shared" si="97"/>
        <v>811.78000000000009</v>
      </c>
      <c r="Z172" s="160">
        <f t="shared" si="98"/>
        <v>3.7498082920096147E-2</v>
      </c>
      <c r="AA172" s="76">
        <v>28.12</v>
      </c>
      <c r="AB172" s="156">
        <f t="shared" si="99"/>
        <v>839.90000000000009</v>
      </c>
      <c r="AC172" s="160">
        <f t="shared" si="100"/>
        <v>3.4639927073837742E-2</v>
      </c>
      <c r="AD172" s="76">
        <v>24.96</v>
      </c>
      <c r="AE172" s="156">
        <f t="shared" si="101"/>
        <v>864.86000000000013</v>
      </c>
      <c r="AF172" s="160">
        <f t="shared" si="102"/>
        <v>2.9717823550422708E-2</v>
      </c>
      <c r="AG172" s="76">
        <v>36.25</v>
      </c>
      <c r="AH172" s="156">
        <f t="shared" si="103"/>
        <v>901.11000000000013</v>
      </c>
      <c r="AI172" s="160">
        <f t="shared" si="104"/>
        <v>4.1914298267927752E-2</v>
      </c>
      <c r="AJ172" s="152">
        <f t="shared" si="105"/>
        <v>137.11000000000001</v>
      </c>
      <c r="AK172" s="162">
        <f t="shared" si="106"/>
        <v>3.5933055640861022E-2</v>
      </c>
    </row>
    <row r="173" spans="2:37" outlineLevel="1" x14ac:dyDescent="0.35">
      <c r="B173" s="48" t="s">
        <v>188</v>
      </c>
      <c r="C173" s="62" t="s">
        <v>135</v>
      </c>
      <c r="D173" s="76">
        <v>60</v>
      </c>
      <c r="E173" s="77">
        <v>845</v>
      </c>
      <c r="F173" s="76">
        <v>103</v>
      </c>
      <c r="G173" s="156">
        <f t="shared" si="107"/>
        <v>948</v>
      </c>
      <c r="H173" s="160">
        <f t="shared" si="108"/>
        <v>0.12189349112426036</v>
      </c>
      <c r="I173" s="76">
        <v>139</v>
      </c>
      <c r="J173" s="156">
        <f t="shared" si="109"/>
        <v>1087</v>
      </c>
      <c r="K173" s="160">
        <f t="shared" si="110"/>
        <v>0.14662447257383968</v>
      </c>
      <c r="L173" s="76">
        <v>77</v>
      </c>
      <c r="M173" s="156">
        <f t="shared" si="111"/>
        <v>1164</v>
      </c>
      <c r="N173" s="160">
        <f t="shared" si="112"/>
        <v>7.0837166513339461E-2</v>
      </c>
      <c r="O173" s="76">
        <v>40</v>
      </c>
      <c r="P173" s="156">
        <f t="shared" si="113"/>
        <v>1204</v>
      </c>
      <c r="Q173" s="160">
        <f t="shared" si="114"/>
        <v>3.4364261168384883E-2</v>
      </c>
      <c r="R173" s="152">
        <f t="shared" si="115"/>
        <v>419</v>
      </c>
      <c r="S173" s="162">
        <f t="shared" si="116"/>
        <v>9.2552825444104814E-2</v>
      </c>
      <c r="U173" s="76">
        <v>37.06</v>
      </c>
      <c r="V173" s="156">
        <f t="shared" si="95"/>
        <v>1241.06</v>
      </c>
      <c r="W173" s="160">
        <f t="shared" si="96"/>
        <v>3.078073089700992E-2</v>
      </c>
      <c r="X173" s="76">
        <v>62.2</v>
      </c>
      <c r="Y173" s="156">
        <f t="shared" si="97"/>
        <v>1303.26</v>
      </c>
      <c r="Z173" s="160">
        <f t="shared" si="98"/>
        <v>5.0118447133901706E-2</v>
      </c>
      <c r="AA173" s="76">
        <v>63.33</v>
      </c>
      <c r="AB173" s="156">
        <f t="shared" si="99"/>
        <v>1366.59</v>
      </c>
      <c r="AC173" s="160">
        <f t="shared" si="100"/>
        <v>4.8593527001519213E-2</v>
      </c>
      <c r="AD173" s="76">
        <v>48.19</v>
      </c>
      <c r="AE173" s="156">
        <f t="shared" si="101"/>
        <v>1414.78</v>
      </c>
      <c r="AF173" s="160">
        <f t="shared" si="102"/>
        <v>3.5262953775455741E-2</v>
      </c>
      <c r="AG173" s="76">
        <v>36.25</v>
      </c>
      <c r="AH173" s="156">
        <f t="shared" si="103"/>
        <v>1451.03</v>
      </c>
      <c r="AI173" s="160">
        <f t="shared" si="104"/>
        <v>2.5622358246511826E-2</v>
      </c>
      <c r="AJ173" s="152">
        <f t="shared" si="105"/>
        <v>247.03</v>
      </c>
      <c r="AK173" s="162">
        <f t="shared" si="106"/>
        <v>3.9850496007871827E-2</v>
      </c>
    </row>
    <row r="174" spans="2:37" outlineLevel="1" x14ac:dyDescent="0.35">
      <c r="B174" s="48" t="s">
        <v>108</v>
      </c>
      <c r="C174" s="62" t="s">
        <v>135</v>
      </c>
      <c r="D174" s="76">
        <v>140</v>
      </c>
      <c r="E174" s="77">
        <v>1364</v>
      </c>
      <c r="F174" s="76">
        <v>152</v>
      </c>
      <c r="G174" s="156">
        <f t="shared" si="107"/>
        <v>1516</v>
      </c>
      <c r="H174" s="160">
        <f t="shared" si="108"/>
        <v>0.11143695014662756</v>
      </c>
      <c r="I174" s="76">
        <v>186</v>
      </c>
      <c r="J174" s="156">
        <f t="shared" si="109"/>
        <v>1702</v>
      </c>
      <c r="K174" s="160">
        <f t="shared" si="110"/>
        <v>0.12269129287598944</v>
      </c>
      <c r="L174" s="76">
        <v>105</v>
      </c>
      <c r="M174" s="156">
        <f t="shared" si="111"/>
        <v>1807</v>
      </c>
      <c r="N174" s="160">
        <f t="shared" si="112"/>
        <v>6.1692126909518211E-2</v>
      </c>
      <c r="O174" s="76">
        <v>40</v>
      </c>
      <c r="P174" s="156">
        <f t="shared" si="113"/>
        <v>1847</v>
      </c>
      <c r="Q174" s="160">
        <f t="shared" si="114"/>
        <v>2.2136137244050912E-2</v>
      </c>
      <c r="R174" s="152">
        <f t="shared" si="115"/>
        <v>623</v>
      </c>
      <c r="S174" s="162">
        <f t="shared" si="116"/>
        <v>7.8730930062151705E-2</v>
      </c>
      <c r="U174" s="76">
        <v>73.3</v>
      </c>
      <c r="V174" s="156">
        <f t="shared" si="95"/>
        <v>1920.3</v>
      </c>
      <c r="W174" s="160">
        <f t="shared" si="96"/>
        <v>3.9685977260422285E-2</v>
      </c>
      <c r="X174" s="76">
        <v>88.49</v>
      </c>
      <c r="Y174" s="156">
        <f t="shared" si="97"/>
        <v>2008.79</v>
      </c>
      <c r="Z174" s="160">
        <f t="shared" si="98"/>
        <v>4.608134145706401E-2</v>
      </c>
      <c r="AA174" s="76">
        <v>137.82</v>
      </c>
      <c r="AB174" s="156">
        <f t="shared" si="99"/>
        <v>2146.61</v>
      </c>
      <c r="AC174" s="160">
        <f t="shared" si="100"/>
        <v>6.8608465792840551E-2</v>
      </c>
      <c r="AD174" s="76">
        <v>175.21</v>
      </c>
      <c r="AE174" s="156">
        <f t="shared" si="101"/>
        <v>2321.8200000000002</v>
      </c>
      <c r="AF174" s="160">
        <f t="shared" si="102"/>
        <v>8.1621719828007894E-2</v>
      </c>
      <c r="AG174" s="76">
        <v>155.52000000000001</v>
      </c>
      <c r="AH174" s="156">
        <f t="shared" si="103"/>
        <v>2477.34</v>
      </c>
      <c r="AI174" s="160">
        <f t="shared" si="104"/>
        <v>6.6981936584231322E-2</v>
      </c>
      <c r="AJ174" s="152">
        <f t="shared" si="105"/>
        <v>630.34</v>
      </c>
      <c r="AK174" s="162">
        <f t="shared" si="106"/>
        <v>6.5747035465646864E-2</v>
      </c>
    </row>
    <row r="175" spans="2:37" outlineLevel="1" x14ac:dyDescent="0.35">
      <c r="B175" s="48" t="s">
        <v>109</v>
      </c>
      <c r="C175" s="62" t="s">
        <v>135</v>
      </c>
      <c r="D175" s="76">
        <v>240</v>
      </c>
      <c r="E175" s="77">
        <v>2962</v>
      </c>
      <c r="F175" s="76">
        <v>226</v>
      </c>
      <c r="G175" s="156">
        <f t="shared" si="107"/>
        <v>3188</v>
      </c>
      <c r="H175" s="160">
        <f t="shared" si="108"/>
        <v>7.6299797434166108E-2</v>
      </c>
      <c r="I175" s="76">
        <v>186</v>
      </c>
      <c r="J175" s="156">
        <f t="shared" si="109"/>
        <v>3374</v>
      </c>
      <c r="K175" s="160">
        <f t="shared" si="110"/>
        <v>5.8343789209535757E-2</v>
      </c>
      <c r="L175" s="76">
        <v>103</v>
      </c>
      <c r="M175" s="156">
        <f t="shared" si="111"/>
        <v>3477</v>
      </c>
      <c r="N175" s="160">
        <f t="shared" si="112"/>
        <v>3.0527563722584469E-2</v>
      </c>
      <c r="O175" s="76">
        <v>80</v>
      </c>
      <c r="P175" s="156">
        <f t="shared" si="113"/>
        <v>3557</v>
      </c>
      <c r="Q175" s="160">
        <f t="shared" si="114"/>
        <v>2.3008340523439749E-2</v>
      </c>
      <c r="R175" s="152">
        <f t="shared" si="115"/>
        <v>835</v>
      </c>
      <c r="S175" s="162">
        <f t="shared" si="116"/>
        <v>4.6826487103394987E-2</v>
      </c>
      <c r="U175" s="76">
        <v>138.97</v>
      </c>
      <c r="V175" s="156">
        <f t="shared" si="95"/>
        <v>3695.97</v>
      </c>
      <c r="W175" s="160">
        <f t="shared" si="96"/>
        <v>3.9069440539780655E-2</v>
      </c>
      <c r="X175" s="76">
        <v>173.94</v>
      </c>
      <c r="Y175" s="156">
        <f t="shared" si="97"/>
        <v>3869.91</v>
      </c>
      <c r="Z175" s="160">
        <f t="shared" si="98"/>
        <v>4.7062070309012265E-2</v>
      </c>
      <c r="AA175" s="76">
        <v>175.27</v>
      </c>
      <c r="AB175" s="156">
        <f t="shared" si="99"/>
        <v>4045.18</v>
      </c>
      <c r="AC175" s="160">
        <f t="shared" si="100"/>
        <v>4.5290458951241758E-2</v>
      </c>
      <c r="AD175" s="76">
        <v>141.13</v>
      </c>
      <c r="AE175" s="156">
        <f t="shared" si="101"/>
        <v>4186.3099999999995</v>
      </c>
      <c r="AF175" s="160">
        <f t="shared" si="102"/>
        <v>3.4888435125260103E-2</v>
      </c>
      <c r="AG175" s="76">
        <v>105.76</v>
      </c>
      <c r="AH175" s="156">
        <f t="shared" si="103"/>
        <v>4292.07</v>
      </c>
      <c r="AI175" s="160">
        <f t="shared" si="104"/>
        <v>2.5263298704587149E-2</v>
      </c>
      <c r="AJ175" s="152">
        <f t="shared" si="105"/>
        <v>735.06999999999994</v>
      </c>
      <c r="AK175" s="162">
        <f t="shared" si="106"/>
        <v>3.808900147095251E-2</v>
      </c>
    </row>
    <row r="176" spans="2:37" outlineLevel="1" x14ac:dyDescent="0.35">
      <c r="B176" s="48" t="s">
        <v>189</v>
      </c>
      <c r="C176" s="62" t="s">
        <v>135</v>
      </c>
      <c r="D176" s="76">
        <v>68</v>
      </c>
      <c r="E176" s="77">
        <v>649</v>
      </c>
      <c r="F176" s="76">
        <v>58</v>
      </c>
      <c r="G176" s="156">
        <f t="shared" si="107"/>
        <v>707</v>
      </c>
      <c r="H176" s="160">
        <f t="shared" si="108"/>
        <v>8.9368258859784278E-2</v>
      </c>
      <c r="I176" s="76">
        <v>70</v>
      </c>
      <c r="J176" s="156">
        <f t="shared" si="109"/>
        <v>777</v>
      </c>
      <c r="K176" s="160">
        <f t="shared" si="110"/>
        <v>9.9009900990099015E-2</v>
      </c>
      <c r="L176" s="76">
        <v>35</v>
      </c>
      <c r="M176" s="156">
        <f t="shared" si="111"/>
        <v>812</v>
      </c>
      <c r="N176" s="160">
        <f t="shared" si="112"/>
        <v>4.5045045045045043E-2</v>
      </c>
      <c r="O176" s="76">
        <v>15</v>
      </c>
      <c r="P176" s="156">
        <f t="shared" si="113"/>
        <v>827</v>
      </c>
      <c r="Q176" s="160">
        <f t="shared" si="114"/>
        <v>1.8472906403940888E-2</v>
      </c>
      <c r="R176" s="152">
        <f t="shared" si="115"/>
        <v>246</v>
      </c>
      <c r="S176" s="162">
        <f t="shared" si="116"/>
        <v>6.2466396592576245E-2</v>
      </c>
      <c r="U176" s="76">
        <v>19.8</v>
      </c>
      <c r="V176" s="156">
        <f t="shared" si="95"/>
        <v>846.8</v>
      </c>
      <c r="W176" s="160">
        <f t="shared" si="96"/>
        <v>2.394195888754529E-2</v>
      </c>
      <c r="X176" s="76">
        <v>22.56</v>
      </c>
      <c r="Y176" s="156">
        <f t="shared" si="97"/>
        <v>869.3599999999999</v>
      </c>
      <c r="Z176" s="160">
        <f t="shared" si="98"/>
        <v>2.6641473783656056E-2</v>
      </c>
      <c r="AA176" s="76">
        <v>24.849999999999998</v>
      </c>
      <c r="AB176" s="156">
        <f t="shared" si="99"/>
        <v>894.20999999999992</v>
      </c>
      <c r="AC176" s="160">
        <f t="shared" si="100"/>
        <v>2.8584245882028188E-2</v>
      </c>
      <c r="AD176" s="76">
        <v>21.84</v>
      </c>
      <c r="AE176" s="156">
        <f t="shared" si="101"/>
        <v>916.05</v>
      </c>
      <c r="AF176" s="160">
        <f t="shared" si="102"/>
        <v>2.4423793068742278E-2</v>
      </c>
      <c r="AG176" s="76">
        <v>26.22</v>
      </c>
      <c r="AH176" s="156">
        <f t="shared" si="103"/>
        <v>942.27</v>
      </c>
      <c r="AI176" s="160">
        <f t="shared" si="104"/>
        <v>2.8622891763550054E-2</v>
      </c>
      <c r="AJ176" s="152">
        <f t="shared" si="105"/>
        <v>115.27</v>
      </c>
      <c r="AK176" s="162">
        <f t="shared" si="106"/>
        <v>2.7066653093043236E-2</v>
      </c>
    </row>
    <row r="177" spans="2:37" outlineLevel="1" x14ac:dyDescent="0.35">
      <c r="B177" s="48" t="s">
        <v>111</v>
      </c>
      <c r="C177" s="62" t="s">
        <v>135</v>
      </c>
      <c r="D177" s="76">
        <v>112</v>
      </c>
      <c r="E177" s="77">
        <v>774</v>
      </c>
      <c r="F177" s="76">
        <v>112</v>
      </c>
      <c r="G177" s="156">
        <f t="shared" si="107"/>
        <v>886</v>
      </c>
      <c r="H177" s="160">
        <f t="shared" si="108"/>
        <v>0.14470284237726097</v>
      </c>
      <c r="I177" s="76">
        <v>95</v>
      </c>
      <c r="J177" s="156">
        <f t="shared" si="109"/>
        <v>981</v>
      </c>
      <c r="K177" s="160">
        <f t="shared" si="110"/>
        <v>0.1072234762979684</v>
      </c>
      <c r="L177" s="76">
        <v>50</v>
      </c>
      <c r="M177" s="156">
        <f t="shared" si="111"/>
        <v>1031</v>
      </c>
      <c r="N177" s="160">
        <f t="shared" si="112"/>
        <v>5.09683995922528E-2</v>
      </c>
      <c r="O177" s="76">
        <v>35</v>
      </c>
      <c r="P177" s="156">
        <f t="shared" si="113"/>
        <v>1066</v>
      </c>
      <c r="Q177" s="160">
        <f t="shared" si="114"/>
        <v>3.3947623666343359E-2</v>
      </c>
      <c r="R177" s="152">
        <f t="shared" si="115"/>
        <v>404</v>
      </c>
      <c r="S177" s="162">
        <f t="shared" si="116"/>
        <v>8.3313264888902561E-2</v>
      </c>
      <c r="U177" s="76">
        <v>23.950000000000003</v>
      </c>
      <c r="V177" s="156">
        <f t="shared" si="95"/>
        <v>1089.95</v>
      </c>
      <c r="W177" s="160">
        <f t="shared" si="96"/>
        <v>2.2467166979362144E-2</v>
      </c>
      <c r="X177" s="76">
        <v>39.909999999999997</v>
      </c>
      <c r="Y177" s="156">
        <f t="shared" si="97"/>
        <v>1129.8600000000001</v>
      </c>
      <c r="Z177" s="160">
        <f t="shared" si="98"/>
        <v>3.6616358548557347E-2</v>
      </c>
      <c r="AA177" s="76">
        <v>57.879999999999995</v>
      </c>
      <c r="AB177" s="156">
        <f t="shared" si="99"/>
        <v>1187.7400000000002</v>
      </c>
      <c r="AC177" s="160">
        <f t="shared" si="100"/>
        <v>5.1227585718584691E-2</v>
      </c>
      <c r="AD177" s="76">
        <v>51.120000000000005</v>
      </c>
      <c r="AE177" s="156">
        <f t="shared" si="101"/>
        <v>1238.8600000000001</v>
      </c>
      <c r="AF177" s="160">
        <f t="shared" si="102"/>
        <v>4.3039722498189742E-2</v>
      </c>
      <c r="AG177" s="76">
        <v>39.410000000000004</v>
      </c>
      <c r="AH177" s="156">
        <f t="shared" si="103"/>
        <v>1278.2700000000002</v>
      </c>
      <c r="AI177" s="160">
        <f t="shared" si="104"/>
        <v>3.1811504124759922E-2</v>
      </c>
      <c r="AJ177" s="152">
        <f t="shared" si="105"/>
        <v>212.27</v>
      </c>
      <c r="AK177" s="162">
        <f t="shared" si="106"/>
        <v>4.0648362520129711E-2</v>
      </c>
    </row>
    <row r="178" spans="2:37" outlineLevel="1" x14ac:dyDescent="0.35">
      <c r="B178" s="48" t="s">
        <v>179</v>
      </c>
      <c r="C178" s="62" t="s">
        <v>135</v>
      </c>
      <c r="D178" s="76">
        <v>133</v>
      </c>
      <c r="E178" s="77">
        <v>1379</v>
      </c>
      <c r="F178" s="76">
        <v>91</v>
      </c>
      <c r="G178" s="156">
        <f t="shared" si="107"/>
        <v>1470</v>
      </c>
      <c r="H178" s="160">
        <f t="shared" si="108"/>
        <v>6.5989847715736044E-2</v>
      </c>
      <c r="I178" s="76">
        <v>150</v>
      </c>
      <c r="J178" s="156">
        <f t="shared" si="109"/>
        <v>1620</v>
      </c>
      <c r="K178" s="160">
        <f t="shared" si="110"/>
        <v>0.10204081632653061</v>
      </c>
      <c r="L178" s="76">
        <v>68</v>
      </c>
      <c r="M178" s="156">
        <f t="shared" si="111"/>
        <v>1688</v>
      </c>
      <c r="N178" s="160">
        <f t="shared" si="112"/>
        <v>4.1975308641975309E-2</v>
      </c>
      <c r="O178" s="76">
        <v>53</v>
      </c>
      <c r="P178" s="156">
        <f t="shared" si="113"/>
        <v>1741</v>
      </c>
      <c r="Q178" s="160">
        <f t="shared" si="114"/>
        <v>3.1398104265402842E-2</v>
      </c>
      <c r="R178" s="152">
        <f t="shared" si="115"/>
        <v>495</v>
      </c>
      <c r="S178" s="162">
        <f t="shared" si="116"/>
        <v>6.0006738833351392E-2</v>
      </c>
      <c r="U178" s="76">
        <v>43.379999999999995</v>
      </c>
      <c r="V178" s="156">
        <f t="shared" si="95"/>
        <v>1784.38</v>
      </c>
      <c r="W178" s="160">
        <f t="shared" si="96"/>
        <v>2.4916714531878294E-2</v>
      </c>
      <c r="X178" s="76">
        <v>74.05</v>
      </c>
      <c r="Y178" s="156">
        <f t="shared" si="97"/>
        <v>1858.43</v>
      </c>
      <c r="Z178" s="160">
        <f t="shared" si="98"/>
        <v>4.1499008058821521E-2</v>
      </c>
      <c r="AA178" s="76">
        <v>92.509999999999991</v>
      </c>
      <c r="AB178" s="156">
        <f t="shared" si="99"/>
        <v>1950.94</v>
      </c>
      <c r="AC178" s="160">
        <f t="shared" si="100"/>
        <v>4.9778576540413136E-2</v>
      </c>
      <c r="AD178" s="76">
        <v>87.86</v>
      </c>
      <c r="AE178" s="156">
        <f t="shared" si="101"/>
        <v>2038.8</v>
      </c>
      <c r="AF178" s="160">
        <f t="shared" si="102"/>
        <v>4.5034701220949845E-2</v>
      </c>
      <c r="AG178" s="76">
        <v>89.62</v>
      </c>
      <c r="AH178" s="156">
        <f t="shared" si="103"/>
        <v>2128.42</v>
      </c>
      <c r="AI178" s="160">
        <f t="shared" si="104"/>
        <v>4.3957229742986131E-2</v>
      </c>
      <c r="AJ178" s="152">
        <f t="shared" si="105"/>
        <v>387.42</v>
      </c>
      <c r="AK178" s="162">
        <f t="shared" si="106"/>
        <v>4.5063057933668382E-2</v>
      </c>
    </row>
    <row r="179" spans="2:37" outlineLevel="1" x14ac:dyDescent="0.35">
      <c r="B179" s="48" t="s">
        <v>113</v>
      </c>
      <c r="C179" s="62" t="s">
        <v>135</v>
      </c>
      <c r="D179" s="76">
        <v>0</v>
      </c>
      <c r="E179" s="77">
        <v>6</v>
      </c>
      <c r="F179" s="76">
        <v>0</v>
      </c>
      <c r="G179" s="156">
        <f t="shared" si="107"/>
        <v>6</v>
      </c>
      <c r="H179" s="160">
        <f t="shared" si="108"/>
        <v>0</v>
      </c>
      <c r="I179" s="76">
        <v>0</v>
      </c>
      <c r="J179" s="156">
        <f t="shared" si="109"/>
        <v>6</v>
      </c>
      <c r="K179" s="160">
        <f t="shared" si="110"/>
        <v>0</v>
      </c>
      <c r="L179" s="76">
        <v>0</v>
      </c>
      <c r="M179" s="156">
        <f t="shared" si="111"/>
        <v>6</v>
      </c>
      <c r="N179" s="160">
        <f t="shared" si="112"/>
        <v>0</v>
      </c>
      <c r="O179" s="76">
        <v>1</v>
      </c>
      <c r="P179" s="156">
        <f t="shared" si="113"/>
        <v>7</v>
      </c>
      <c r="Q179" s="160">
        <f t="shared" si="114"/>
        <v>0.16666666666666666</v>
      </c>
      <c r="R179" s="152">
        <f t="shared" si="115"/>
        <v>1</v>
      </c>
      <c r="S179" s="162">
        <f t="shared" si="116"/>
        <v>3.9289877625411807E-2</v>
      </c>
      <c r="U179" s="76">
        <v>0</v>
      </c>
      <c r="V179" s="156">
        <f t="shared" si="95"/>
        <v>7</v>
      </c>
      <c r="W179" s="160">
        <f t="shared" si="96"/>
        <v>0</v>
      </c>
      <c r="X179" s="76">
        <v>0</v>
      </c>
      <c r="Y179" s="156">
        <f t="shared" si="97"/>
        <v>7</v>
      </c>
      <c r="Z179" s="160">
        <f t="shared" si="98"/>
        <v>0</v>
      </c>
      <c r="AA179" s="76">
        <v>1</v>
      </c>
      <c r="AB179" s="156">
        <f t="shared" si="99"/>
        <v>8</v>
      </c>
      <c r="AC179" s="160">
        <f t="shared" si="100"/>
        <v>0.14285714285714285</v>
      </c>
      <c r="AD179" s="76">
        <v>0</v>
      </c>
      <c r="AE179" s="156">
        <f t="shared" si="101"/>
        <v>8</v>
      </c>
      <c r="AF179" s="160">
        <f t="shared" si="102"/>
        <v>0</v>
      </c>
      <c r="AG179" s="76">
        <v>0</v>
      </c>
      <c r="AH179" s="156">
        <f t="shared" si="103"/>
        <v>8</v>
      </c>
      <c r="AI179" s="160">
        <f t="shared" si="104"/>
        <v>0</v>
      </c>
      <c r="AJ179" s="152">
        <f t="shared" si="105"/>
        <v>1</v>
      </c>
      <c r="AK179" s="162">
        <f t="shared" si="106"/>
        <v>3.3946307914341167E-2</v>
      </c>
    </row>
    <row r="180" spans="2:37" outlineLevel="1" x14ac:dyDescent="0.35">
      <c r="B180" s="48" t="s">
        <v>114</v>
      </c>
      <c r="C180" s="62" t="s">
        <v>135</v>
      </c>
      <c r="D180" s="76">
        <v>168</v>
      </c>
      <c r="E180" s="77">
        <v>2777</v>
      </c>
      <c r="F180" s="76">
        <v>180</v>
      </c>
      <c r="G180" s="156">
        <f t="shared" si="107"/>
        <v>2957</v>
      </c>
      <c r="H180" s="160">
        <f t="shared" si="108"/>
        <v>6.4818149081742882E-2</v>
      </c>
      <c r="I180" s="76">
        <v>153</v>
      </c>
      <c r="J180" s="156">
        <f t="shared" si="109"/>
        <v>3110</v>
      </c>
      <c r="K180" s="160">
        <f t="shared" si="110"/>
        <v>5.1741630030436254E-2</v>
      </c>
      <c r="L180" s="76">
        <v>115</v>
      </c>
      <c r="M180" s="156">
        <f t="shared" si="111"/>
        <v>3225</v>
      </c>
      <c r="N180" s="160">
        <f t="shared" si="112"/>
        <v>3.6977491961414789E-2</v>
      </c>
      <c r="O180" s="76">
        <v>86</v>
      </c>
      <c r="P180" s="156">
        <f t="shared" si="113"/>
        <v>3311</v>
      </c>
      <c r="Q180" s="160">
        <f t="shared" si="114"/>
        <v>2.6666666666666668E-2</v>
      </c>
      <c r="R180" s="152">
        <f t="shared" si="115"/>
        <v>702</v>
      </c>
      <c r="S180" s="162">
        <f t="shared" si="116"/>
        <v>4.4950757775013672E-2</v>
      </c>
      <c r="U180" s="76">
        <v>137.01</v>
      </c>
      <c r="V180" s="156">
        <f t="shared" si="95"/>
        <v>3448.01</v>
      </c>
      <c r="W180" s="160">
        <f t="shared" si="96"/>
        <v>4.1380247659317491E-2</v>
      </c>
      <c r="X180" s="76">
        <v>171.53</v>
      </c>
      <c r="Y180" s="156">
        <f t="shared" si="97"/>
        <v>3619.5400000000004</v>
      </c>
      <c r="Z180" s="160">
        <f t="shared" si="98"/>
        <v>4.9747535534989805E-2</v>
      </c>
      <c r="AA180" s="76">
        <v>163.52000000000001</v>
      </c>
      <c r="AB180" s="156">
        <f t="shared" si="99"/>
        <v>3783.0600000000004</v>
      </c>
      <c r="AC180" s="160">
        <f t="shared" si="100"/>
        <v>4.5177011443443077E-2</v>
      </c>
      <c r="AD180" s="76">
        <v>128.06</v>
      </c>
      <c r="AE180" s="156">
        <f t="shared" si="101"/>
        <v>3911.1200000000003</v>
      </c>
      <c r="AF180" s="160">
        <f t="shared" si="102"/>
        <v>3.3850903765734602E-2</v>
      </c>
      <c r="AG180" s="76">
        <v>96.71</v>
      </c>
      <c r="AH180" s="156">
        <f t="shared" si="103"/>
        <v>4007.8300000000004</v>
      </c>
      <c r="AI180" s="160">
        <f t="shared" si="104"/>
        <v>2.4726932438789918E-2</v>
      </c>
      <c r="AJ180" s="152">
        <f t="shared" si="105"/>
        <v>696.82999999999993</v>
      </c>
      <c r="AK180" s="162">
        <f t="shared" si="106"/>
        <v>3.8329501993941362E-2</v>
      </c>
    </row>
    <row r="181" spans="2:37" outlineLevel="1" x14ac:dyDescent="0.35">
      <c r="B181" s="48" t="s">
        <v>115</v>
      </c>
      <c r="C181" s="62" t="s">
        <v>135</v>
      </c>
      <c r="D181" s="76">
        <v>283</v>
      </c>
      <c r="E181" s="77">
        <v>345</v>
      </c>
      <c r="F181" s="76">
        <v>391</v>
      </c>
      <c r="G181" s="156">
        <f t="shared" si="107"/>
        <v>736</v>
      </c>
      <c r="H181" s="160">
        <f t="shared" si="108"/>
        <v>1.1333333333333333</v>
      </c>
      <c r="I181" s="76">
        <v>284</v>
      </c>
      <c r="J181" s="156">
        <f t="shared" si="109"/>
        <v>1020</v>
      </c>
      <c r="K181" s="160">
        <f t="shared" si="110"/>
        <v>0.3858695652173913</v>
      </c>
      <c r="L181" s="76">
        <v>119</v>
      </c>
      <c r="M181" s="156">
        <f t="shared" si="111"/>
        <v>1139</v>
      </c>
      <c r="N181" s="160">
        <f t="shared" si="112"/>
        <v>0.11666666666666667</v>
      </c>
      <c r="O181" s="76">
        <v>66</v>
      </c>
      <c r="P181" s="156">
        <f t="shared" si="113"/>
        <v>1205</v>
      </c>
      <c r="Q181" s="160">
        <f t="shared" si="114"/>
        <v>5.7945566286215978E-2</v>
      </c>
      <c r="R181" s="152">
        <f t="shared" si="115"/>
        <v>1143</v>
      </c>
      <c r="S181" s="162">
        <f t="shared" si="116"/>
        <v>0.36707388763803661</v>
      </c>
      <c r="U181" s="76">
        <v>53.25</v>
      </c>
      <c r="V181" s="156">
        <f t="shared" si="95"/>
        <v>1258.25</v>
      </c>
      <c r="W181" s="160">
        <f t="shared" si="96"/>
        <v>4.4190871369294608E-2</v>
      </c>
      <c r="X181" s="76">
        <v>80.56</v>
      </c>
      <c r="Y181" s="156">
        <f t="shared" si="97"/>
        <v>1338.81</v>
      </c>
      <c r="Z181" s="160">
        <f t="shared" si="98"/>
        <v>6.4025432147824315E-2</v>
      </c>
      <c r="AA181" s="76">
        <v>86.699999999999989</v>
      </c>
      <c r="AB181" s="156">
        <f t="shared" si="99"/>
        <v>1425.51</v>
      </c>
      <c r="AC181" s="160">
        <f t="shared" si="100"/>
        <v>6.4759002397651685E-2</v>
      </c>
      <c r="AD181" s="76">
        <v>80.22</v>
      </c>
      <c r="AE181" s="156">
        <f t="shared" si="101"/>
        <v>1505.73</v>
      </c>
      <c r="AF181" s="160">
        <f t="shared" si="102"/>
        <v>5.6274596460214259E-2</v>
      </c>
      <c r="AG181" s="76">
        <v>74.11</v>
      </c>
      <c r="AH181" s="156">
        <f t="shared" si="103"/>
        <v>1579.84</v>
      </c>
      <c r="AI181" s="160">
        <f t="shared" si="104"/>
        <v>4.9218651418248889E-2</v>
      </c>
      <c r="AJ181" s="152">
        <f t="shared" si="105"/>
        <v>374.84000000000003</v>
      </c>
      <c r="AK181" s="162">
        <f t="shared" si="106"/>
        <v>5.8550402482693498E-2</v>
      </c>
    </row>
    <row r="182" spans="2:37" outlineLevel="1" x14ac:dyDescent="0.35">
      <c r="B182" s="48" t="s">
        <v>180</v>
      </c>
      <c r="C182" s="62" t="s">
        <v>135</v>
      </c>
      <c r="D182" s="76">
        <v>192</v>
      </c>
      <c r="E182" s="77">
        <v>3130</v>
      </c>
      <c r="F182" s="76">
        <v>184</v>
      </c>
      <c r="G182" s="156">
        <f t="shared" si="107"/>
        <v>3314</v>
      </c>
      <c r="H182" s="160">
        <f t="shared" si="108"/>
        <v>5.8785942492012778E-2</v>
      </c>
      <c r="I182" s="76">
        <v>123</v>
      </c>
      <c r="J182" s="156">
        <f t="shared" si="109"/>
        <v>3437</v>
      </c>
      <c r="K182" s="160">
        <f t="shared" si="110"/>
        <v>3.7115268557634279E-2</v>
      </c>
      <c r="L182" s="76">
        <v>83</v>
      </c>
      <c r="M182" s="156">
        <f t="shared" si="111"/>
        <v>3520</v>
      </c>
      <c r="N182" s="160">
        <f t="shared" si="112"/>
        <v>2.4148967122490542E-2</v>
      </c>
      <c r="O182" s="76">
        <v>97</v>
      </c>
      <c r="P182" s="156">
        <f t="shared" si="113"/>
        <v>3617</v>
      </c>
      <c r="Q182" s="160">
        <f t="shared" si="114"/>
        <v>2.7556818181818182E-2</v>
      </c>
      <c r="R182" s="152">
        <f t="shared" si="115"/>
        <v>679</v>
      </c>
      <c r="S182" s="162">
        <f t="shared" si="116"/>
        <v>3.6814453599326891E-2</v>
      </c>
      <c r="U182" s="76">
        <v>103.96</v>
      </c>
      <c r="V182" s="156">
        <f t="shared" si="95"/>
        <v>3720.96</v>
      </c>
      <c r="W182" s="160">
        <f t="shared" si="96"/>
        <v>2.8742051423831915E-2</v>
      </c>
      <c r="X182" s="76">
        <v>128.24</v>
      </c>
      <c r="Y182" s="156">
        <f t="shared" si="97"/>
        <v>3849.2</v>
      </c>
      <c r="Z182" s="160">
        <f t="shared" si="98"/>
        <v>3.4464224286205651E-2</v>
      </c>
      <c r="AA182" s="76">
        <v>122.01</v>
      </c>
      <c r="AB182" s="156">
        <f t="shared" si="99"/>
        <v>3971.21</v>
      </c>
      <c r="AC182" s="160">
        <f t="shared" si="100"/>
        <v>3.169749558349793E-2</v>
      </c>
      <c r="AD182" s="76">
        <v>95.68</v>
      </c>
      <c r="AE182" s="156">
        <f t="shared" si="101"/>
        <v>4066.89</v>
      </c>
      <c r="AF182" s="160">
        <f t="shared" si="102"/>
        <v>2.409341233528316E-2</v>
      </c>
      <c r="AG182" s="76">
        <v>72.58</v>
      </c>
      <c r="AH182" s="156">
        <f t="shared" si="103"/>
        <v>4139.47</v>
      </c>
      <c r="AI182" s="160">
        <f t="shared" si="104"/>
        <v>1.7846560885590803E-2</v>
      </c>
      <c r="AJ182" s="152">
        <f t="shared" si="105"/>
        <v>522.47</v>
      </c>
      <c r="AK182" s="162">
        <f t="shared" si="106"/>
        <v>2.7004708041813652E-2</v>
      </c>
    </row>
    <row r="183" spans="2:37" outlineLevel="1" x14ac:dyDescent="0.35">
      <c r="B183" s="48" t="s">
        <v>117</v>
      </c>
      <c r="C183" s="62" t="s">
        <v>135</v>
      </c>
      <c r="D183" s="76">
        <v>217</v>
      </c>
      <c r="E183" s="77">
        <v>2586</v>
      </c>
      <c r="F183" s="76">
        <v>250</v>
      </c>
      <c r="G183" s="156">
        <f t="shared" si="107"/>
        <v>2836</v>
      </c>
      <c r="H183" s="160">
        <f t="shared" si="108"/>
        <v>9.6674400618716169E-2</v>
      </c>
      <c r="I183" s="76">
        <v>225</v>
      </c>
      <c r="J183" s="156">
        <f t="shared" si="109"/>
        <v>3061</v>
      </c>
      <c r="K183" s="160">
        <f t="shared" si="110"/>
        <v>7.9337094499294783E-2</v>
      </c>
      <c r="L183" s="76">
        <v>133</v>
      </c>
      <c r="M183" s="156">
        <f t="shared" si="111"/>
        <v>3194</v>
      </c>
      <c r="N183" s="160">
        <f t="shared" si="112"/>
        <v>4.3449852989219211E-2</v>
      </c>
      <c r="O183" s="76">
        <v>132</v>
      </c>
      <c r="P183" s="156">
        <f t="shared" si="113"/>
        <v>3326</v>
      </c>
      <c r="Q183" s="160">
        <f t="shared" si="114"/>
        <v>4.1327489041953665E-2</v>
      </c>
      <c r="R183" s="152">
        <f t="shared" si="115"/>
        <v>957</v>
      </c>
      <c r="S183" s="162">
        <f t="shared" si="116"/>
        <v>6.4935810064744581E-2</v>
      </c>
      <c r="U183" s="76">
        <v>132.29</v>
      </c>
      <c r="V183" s="156">
        <f t="shared" si="95"/>
        <v>3458.29</v>
      </c>
      <c r="W183" s="160">
        <f t="shared" si="96"/>
        <v>3.9774503908598907E-2</v>
      </c>
      <c r="X183" s="76">
        <v>229.32999999999998</v>
      </c>
      <c r="Y183" s="156">
        <f t="shared" si="97"/>
        <v>3687.62</v>
      </c>
      <c r="Z183" s="160">
        <f t="shared" si="98"/>
        <v>6.6313120068010475E-2</v>
      </c>
      <c r="AA183" s="76">
        <v>269.38</v>
      </c>
      <c r="AB183" s="156">
        <f t="shared" si="99"/>
        <v>3957</v>
      </c>
      <c r="AC183" s="160">
        <f t="shared" si="100"/>
        <v>7.3049826175148228E-2</v>
      </c>
      <c r="AD183" s="76">
        <v>291.43</v>
      </c>
      <c r="AE183" s="156">
        <f t="shared" si="101"/>
        <v>4248.43</v>
      </c>
      <c r="AF183" s="160">
        <f t="shared" si="102"/>
        <v>7.3649229214051121E-2</v>
      </c>
      <c r="AG183" s="76">
        <v>266.63</v>
      </c>
      <c r="AH183" s="156">
        <f t="shared" si="103"/>
        <v>4515.0600000000004</v>
      </c>
      <c r="AI183" s="160">
        <f t="shared" si="104"/>
        <v>6.2759654743046275E-2</v>
      </c>
      <c r="AJ183" s="152">
        <f t="shared" si="105"/>
        <v>1189.06</v>
      </c>
      <c r="AK183" s="162">
        <f t="shared" si="106"/>
        <v>6.8933109523657166E-2</v>
      </c>
    </row>
    <row r="184" spans="2:37" outlineLevel="1" x14ac:dyDescent="0.35">
      <c r="B184" s="48" t="s">
        <v>118</v>
      </c>
      <c r="C184" s="62" t="s">
        <v>135</v>
      </c>
      <c r="D184" s="76">
        <v>225</v>
      </c>
      <c r="E184" s="77">
        <v>1286</v>
      </c>
      <c r="F184" s="76">
        <v>315</v>
      </c>
      <c r="G184" s="156">
        <f t="shared" si="107"/>
        <v>1601</v>
      </c>
      <c r="H184" s="160">
        <f t="shared" si="108"/>
        <v>0.24494556765163297</v>
      </c>
      <c r="I184" s="76">
        <v>224</v>
      </c>
      <c r="J184" s="156">
        <f t="shared" si="109"/>
        <v>1825</v>
      </c>
      <c r="K184" s="160">
        <f t="shared" si="110"/>
        <v>0.13991255465334165</v>
      </c>
      <c r="L184" s="76">
        <v>92</v>
      </c>
      <c r="M184" s="156">
        <f t="shared" si="111"/>
        <v>1917</v>
      </c>
      <c r="N184" s="160">
        <f t="shared" si="112"/>
        <v>5.0410958904109592E-2</v>
      </c>
      <c r="O184" s="76">
        <v>47</v>
      </c>
      <c r="P184" s="156">
        <f t="shared" si="113"/>
        <v>1964</v>
      </c>
      <c r="Q184" s="160">
        <f t="shared" si="114"/>
        <v>2.4517475221700575E-2</v>
      </c>
      <c r="R184" s="152">
        <f t="shared" si="115"/>
        <v>903</v>
      </c>
      <c r="S184" s="162">
        <f t="shared" si="116"/>
        <v>0.11166806217576397</v>
      </c>
      <c r="U184" s="76">
        <v>46.68</v>
      </c>
      <c r="V184" s="156">
        <f t="shared" si="95"/>
        <v>2010.68</v>
      </c>
      <c r="W184" s="160">
        <f t="shared" si="96"/>
        <v>2.3767820773930786E-2</v>
      </c>
      <c r="X184" s="76">
        <v>58.24</v>
      </c>
      <c r="Y184" s="156">
        <f t="shared" si="97"/>
        <v>2068.92</v>
      </c>
      <c r="Z184" s="160">
        <f t="shared" si="98"/>
        <v>2.8965325163626241E-2</v>
      </c>
      <c r="AA184" s="76">
        <v>54.69</v>
      </c>
      <c r="AB184" s="156">
        <f t="shared" si="99"/>
        <v>2123.61</v>
      </c>
      <c r="AC184" s="160">
        <f t="shared" si="100"/>
        <v>2.6434081549794122E-2</v>
      </c>
      <c r="AD184" s="76">
        <v>42.92</v>
      </c>
      <c r="AE184" s="156">
        <f t="shared" si="101"/>
        <v>2166.5300000000002</v>
      </c>
      <c r="AF184" s="160">
        <f t="shared" si="102"/>
        <v>2.0210867343815518E-2</v>
      </c>
      <c r="AG184" s="76">
        <v>37.049999999999997</v>
      </c>
      <c r="AH184" s="156">
        <f t="shared" si="103"/>
        <v>2203.5800000000004</v>
      </c>
      <c r="AI184" s="160">
        <f t="shared" si="104"/>
        <v>1.7101078683424729E-2</v>
      </c>
      <c r="AJ184" s="152">
        <f t="shared" si="105"/>
        <v>239.58000000000004</v>
      </c>
      <c r="AK184" s="162">
        <f t="shared" si="106"/>
        <v>2.316686217679087E-2</v>
      </c>
    </row>
    <row r="185" spans="2:37" outlineLevel="1" x14ac:dyDescent="0.35">
      <c r="B185" s="48" t="s">
        <v>119</v>
      </c>
      <c r="C185" s="62" t="s">
        <v>135</v>
      </c>
      <c r="D185" s="76">
        <v>0</v>
      </c>
      <c r="E185" s="77">
        <v>55</v>
      </c>
      <c r="F185" s="76">
        <v>1</v>
      </c>
      <c r="G185" s="156">
        <f t="shared" si="107"/>
        <v>56</v>
      </c>
      <c r="H185" s="160">
        <f t="shared" si="108"/>
        <v>1.8181818181818181E-2</v>
      </c>
      <c r="I185" s="76">
        <v>2</v>
      </c>
      <c r="J185" s="156">
        <f t="shared" si="109"/>
        <v>58</v>
      </c>
      <c r="K185" s="160">
        <f t="shared" si="110"/>
        <v>3.5714285714285712E-2</v>
      </c>
      <c r="L185" s="76">
        <v>0</v>
      </c>
      <c r="M185" s="156">
        <f t="shared" si="111"/>
        <v>58</v>
      </c>
      <c r="N185" s="160">
        <f t="shared" si="112"/>
        <v>0</v>
      </c>
      <c r="O185" s="76">
        <v>0</v>
      </c>
      <c r="P185" s="156">
        <f t="shared" si="113"/>
        <v>58</v>
      </c>
      <c r="Q185" s="160">
        <f t="shared" si="114"/>
        <v>0</v>
      </c>
      <c r="R185" s="152">
        <f t="shared" si="115"/>
        <v>3</v>
      </c>
      <c r="S185" s="162">
        <f t="shared" si="116"/>
        <v>1.3365993165816104E-2</v>
      </c>
      <c r="U185" s="76">
        <v>0</v>
      </c>
      <c r="V185" s="156">
        <f t="shared" si="95"/>
        <v>58</v>
      </c>
      <c r="W185" s="160">
        <f t="shared" si="96"/>
        <v>0</v>
      </c>
      <c r="X185" s="76">
        <v>0</v>
      </c>
      <c r="Y185" s="156">
        <f t="shared" si="97"/>
        <v>58</v>
      </c>
      <c r="Z185" s="160">
        <f t="shared" si="98"/>
        <v>0</v>
      </c>
      <c r="AA185" s="76">
        <v>0</v>
      </c>
      <c r="AB185" s="156">
        <f t="shared" si="99"/>
        <v>58</v>
      </c>
      <c r="AC185" s="160">
        <f t="shared" si="100"/>
        <v>0</v>
      </c>
      <c r="AD185" s="76">
        <v>0</v>
      </c>
      <c r="AE185" s="156">
        <f t="shared" si="101"/>
        <v>58</v>
      </c>
      <c r="AF185" s="160">
        <f t="shared" si="102"/>
        <v>0</v>
      </c>
      <c r="AG185" s="76">
        <v>0</v>
      </c>
      <c r="AH185" s="156">
        <f t="shared" si="103"/>
        <v>58</v>
      </c>
      <c r="AI185" s="160">
        <f t="shared" si="104"/>
        <v>0</v>
      </c>
      <c r="AJ185" s="152">
        <f t="shared" si="105"/>
        <v>0</v>
      </c>
      <c r="AK185" s="162">
        <f t="shared" si="106"/>
        <v>0</v>
      </c>
    </row>
    <row r="186" spans="2:37" outlineLevel="1" x14ac:dyDescent="0.35">
      <c r="B186" s="48" t="s">
        <v>120</v>
      </c>
      <c r="C186" s="62" t="s">
        <v>135</v>
      </c>
      <c r="D186" s="76">
        <v>316</v>
      </c>
      <c r="E186" s="77">
        <v>3596</v>
      </c>
      <c r="F186" s="76">
        <v>409</v>
      </c>
      <c r="G186" s="156">
        <f t="shared" si="107"/>
        <v>4005</v>
      </c>
      <c r="H186" s="160">
        <f t="shared" si="108"/>
        <v>0.11373748609566185</v>
      </c>
      <c r="I186" s="76">
        <v>303</v>
      </c>
      <c r="J186" s="156">
        <f t="shared" si="109"/>
        <v>4308</v>
      </c>
      <c r="K186" s="160">
        <f t="shared" si="110"/>
        <v>7.5655430711610488E-2</v>
      </c>
      <c r="L186" s="76">
        <v>218</v>
      </c>
      <c r="M186" s="156">
        <f t="shared" si="111"/>
        <v>4526</v>
      </c>
      <c r="N186" s="160">
        <f t="shared" si="112"/>
        <v>5.0603528319405754E-2</v>
      </c>
      <c r="O186" s="76">
        <v>177</v>
      </c>
      <c r="P186" s="156">
        <f t="shared" si="113"/>
        <v>4703</v>
      </c>
      <c r="Q186" s="160">
        <f t="shared" si="114"/>
        <v>3.9107379584622182E-2</v>
      </c>
      <c r="R186" s="152">
        <f t="shared" si="115"/>
        <v>1423</v>
      </c>
      <c r="S186" s="162">
        <f t="shared" si="116"/>
        <v>6.9396661398180459E-2</v>
      </c>
      <c r="U186" s="76">
        <v>123.2</v>
      </c>
      <c r="V186" s="156">
        <f t="shared" si="95"/>
        <v>4826.2</v>
      </c>
      <c r="W186" s="160">
        <f t="shared" si="96"/>
        <v>2.6196045077609996E-2</v>
      </c>
      <c r="X186" s="76">
        <v>164.86</v>
      </c>
      <c r="Y186" s="156">
        <f t="shared" si="97"/>
        <v>4991.0599999999995</v>
      </c>
      <c r="Z186" s="160">
        <f t="shared" si="98"/>
        <v>3.4159380050557304E-2</v>
      </c>
      <c r="AA186" s="76">
        <v>178.32999999999998</v>
      </c>
      <c r="AB186" s="156">
        <f t="shared" si="99"/>
        <v>5169.3899999999994</v>
      </c>
      <c r="AC186" s="160">
        <f t="shared" si="100"/>
        <v>3.5729885034441571E-2</v>
      </c>
      <c r="AD186" s="76">
        <v>151.02000000000001</v>
      </c>
      <c r="AE186" s="156">
        <f t="shared" si="101"/>
        <v>5320.41</v>
      </c>
      <c r="AF186" s="160">
        <f t="shared" si="102"/>
        <v>2.9214278667308996E-2</v>
      </c>
      <c r="AG186" s="76">
        <v>132.58000000000001</v>
      </c>
      <c r="AH186" s="156">
        <f t="shared" si="103"/>
        <v>5452.99</v>
      </c>
      <c r="AI186" s="160">
        <f t="shared" si="104"/>
        <v>2.4919132172144615E-2</v>
      </c>
      <c r="AJ186" s="152">
        <f t="shared" si="105"/>
        <v>749.99</v>
      </c>
      <c r="AK186" s="162">
        <f t="shared" si="106"/>
        <v>3.0996869223176793E-2</v>
      </c>
    </row>
    <row r="187" spans="2:37" outlineLevel="1" x14ac:dyDescent="0.35">
      <c r="B187" s="48" t="s">
        <v>121</v>
      </c>
      <c r="C187" s="62" t="s">
        <v>135</v>
      </c>
      <c r="D187" s="76">
        <v>62</v>
      </c>
      <c r="E187" s="77">
        <v>318</v>
      </c>
      <c r="F187" s="76">
        <v>131</v>
      </c>
      <c r="G187" s="156">
        <f t="shared" si="107"/>
        <v>449</v>
      </c>
      <c r="H187" s="160">
        <f t="shared" si="108"/>
        <v>0.41194968553459121</v>
      </c>
      <c r="I187" s="76">
        <v>173</v>
      </c>
      <c r="J187" s="156">
        <f t="shared" si="109"/>
        <v>622</v>
      </c>
      <c r="K187" s="160">
        <f t="shared" si="110"/>
        <v>0.38530066815144765</v>
      </c>
      <c r="L187" s="76">
        <v>107</v>
      </c>
      <c r="M187" s="156">
        <f t="shared" si="111"/>
        <v>729</v>
      </c>
      <c r="N187" s="160">
        <f t="shared" si="112"/>
        <v>0.17202572347266881</v>
      </c>
      <c r="O187" s="76">
        <v>30</v>
      </c>
      <c r="P187" s="156">
        <f t="shared" si="113"/>
        <v>759</v>
      </c>
      <c r="Q187" s="160">
        <f t="shared" si="114"/>
        <v>4.1152263374485597E-2</v>
      </c>
      <c r="R187" s="152">
        <f t="shared" si="115"/>
        <v>503</v>
      </c>
      <c r="S187" s="162">
        <f t="shared" si="116"/>
        <v>0.24295001515878334</v>
      </c>
      <c r="U187" s="76">
        <v>37.449999999999996</v>
      </c>
      <c r="V187" s="156">
        <f t="shared" si="95"/>
        <v>796.45</v>
      </c>
      <c r="W187" s="160">
        <f t="shared" si="96"/>
        <v>4.9341238471673314E-2</v>
      </c>
      <c r="X187" s="76">
        <v>59.739999999999995</v>
      </c>
      <c r="Y187" s="156">
        <f t="shared" si="97"/>
        <v>856.19</v>
      </c>
      <c r="Z187" s="160">
        <f t="shared" si="98"/>
        <v>7.5007847322493576E-2</v>
      </c>
      <c r="AA187" s="76">
        <v>76.77000000000001</v>
      </c>
      <c r="AB187" s="156">
        <f t="shared" si="99"/>
        <v>932.96</v>
      </c>
      <c r="AC187" s="160">
        <f t="shared" si="100"/>
        <v>8.9664677232857162E-2</v>
      </c>
      <c r="AD187" s="76">
        <v>73.490000000000009</v>
      </c>
      <c r="AE187" s="156">
        <f t="shared" si="101"/>
        <v>1006.45</v>
      </c>
      <c r="AF187" s="160">
        <f t="shared" si="102"/>
        <v>7.8770794031898475E-2</v>
      </c>
      <c r="AG187" s="76">
        <v>82.74</v>
      </c>
      <c r="AH187" s="156">
        <f t="shared" si="103"/>
        <v>1089.19</v>
      </c>
      <c r="AI187" s="160">
        <f t="shared" si="104"/>
        <v>8.2209747131005026E-2</v>
      </c>
      <c r="AJ187" s="152">
        <f t="shared" si="105"/>
        <v>330.19</v>
      </c>
      <c r="AK187" s="162">
        <f t="shared" si="106"/>
        <v>8.1399793210231941E-2</v>
      </c>
    </row>
    <row r="188" spans="2:37" outlineLevel="1" x14ac:dyDescent="0.35">
      <c r="B188" s="48" t="s">
        <v>137</v>
      </c>
      <c r="C188" s="62" t="s">
        <v>135</v>
      </c>
      <c r="D188" s="76">
        <v>0</v>
      </c>
      <c r="E188" s="77">
        <v>0</v>
      </c>
      <c r="F188" s="76">
        <v>0</v>
      </c>
      <c r="G188" s="156">
        <f t="shared" si="107"/>
        <v>0</v>
      </c>
      <c r="H188" s="160">
        <f t="shared" si="108"/>
        <v>0</v>
      </c>
      <c r="I188" s="76">
        <v>0</v>
      </c>
      <c r="J188" s="156">
        <f t="shared" si="109"/>
        <v>0</v>
      </c>
      <c r="K188" s="160">
        <f t="shared" si="110"/>
        <v>0</v>
      </c>
      <c r="L188" s="76">
        <v>0</v>
      </c>
      <c r="M188" s="156">
        <f t="shared" si="111"/>
        <v>0</v>
      </c>
      <c r="N188" s="160">
        <f t="shared" si="112"/>
        <v>0</v>
      </c>
      <c r="O188" s="76">
        <v>0</v>
      </c>
      <c r="P188" s="156">
        <f t="shared" si="113"/>
        <v>0</v>
      </c>
      <c r="Q188" s="160">
        <f t="shared" si="114"/>
        <v>0</v>
      </c>
      <c r="R188" s="152">
        <f t="shared" si="115"/>
        <v>0</v>
      </c>
      <c r="S188" s="162">
        <f t="shared" si="116"/>
        <v>0</v>
      </c>
      <c r="U188" s="76">
        <v>0</v>
      </c>
      <c r="V188" s="156">
        <f t="shared" si="95"/>
        <v>0</v>
      </c>
      <c r="W188" s="160">
        <f t="shared" si="96"/>
        <v>0</v>
      </c>
      <c r="X188" s="76">
        <v>0</v>
      </c>
      <c r="Y188" s="156">
        <f t="shared" si="97"/>
        <v>0</v>
      </c>
      <c r="Z188" s="160">
        <f t="shared" si="98"/>
        <v>0</v>
      </c>
      <c r="AA188" s="76">
        <v>0</v>
      </c>
      <c r="AB188" s="156">
        <f t="shared" si="99"/>
        <v>0</v>
      </c>
      <c r="AC188" s="160">
        <f t="shared" si="100"/>
        <v>0</v>
      </c>
      <c r="AD188" s="76">
        <v>0</v>
      </c>
      <c r="AE188" s="156">
        <f t="shared" si="101"/>
        <v>0</v>
      </c>
      <c r="AF188" s="160">
        <f t="shared" si="102"/>
        <v>0</v>
      </c>
      <c r="AG188" s="76">
        <v>0</v>
      </c>
      <c r="AH188" s="156">
        <f t="shared" si="103"/>
        <v>0</v>
      </c>
      <c r="AI188" s="160">
        <f t="shared" si="104"/>
        <v>0</v>
      </c>
      <c r="AJ188" s="152">
        <f t="shared" si="105"/>
        <v>0</v>
      </c>
      <c r="AK188" s="162">
        <f t="shared" si="106"/>
        <v>0</v>
      </c>
    </row>
    <row r="189" spans="2:37" outlineLevel="1" x14ac:dyDescent="0.35">
      <c r="B189" s="48" t="s">
        <v>190</v>
      </c>
      <c r="C189" s="62" t="s">
        <v>135</v>
      </c>
      <c r="D189" s="76">
        <v>141</v>
      </c>
      <c r="E189" s="77">
        <v>2097</v>
      </c>
      <c r="F189" s="76">
        <v>197</v>
      </c>
      <c r="G189" s="156">
        <f t="shared" si="107"/>
        <v>2294</v>
      </c>
      <c r="H189" s="160">
        <f t="shared" si="108"/>
        <v>9.3943729136862178E-2</v>
      </c>
      <c r="I189" s="76">
        <v>171</v>
      </c>
      <c r="J189" s="156">
        <f t="shared" si="109"/>
        <v>2465</v>
      </c>
      <c r="K189" s="160">
        <f t="shared" si="110"/>
        <v>7.4542284219703575E-2</v>
      </c>
      <c r="L189" s="76">
        <v>93</v>
      </c>
      <c r="M189" s="156">
        <f t="shared" si="111"/>
        <v>2558</v>
      </c>
      <c r="N189" s="160">
        <f t="shared" si="112"/>
        <v>3.7728194726166328E-2</v>
      </c>
      <c r="O189" s="76">
        <v>56</v>
      </c>
      <c r="P189" s="156">
        <f t="shared" si="113"/>
        <v>2614</v>
      </c>
      <c r="Q189" s="160">
        <f t="shared" si="114"/>
        <v>2.1892103205629398E-2</v>
      </c>
      <c r="R189" s="152">
        <f t="shared" si="115"/>
        <v>658</v>
      </c>
      <c r="S189" s="162">
        <f t="shared" si="116"/>
        <v>5.6639369726040778E-2</v>
      </c>
      <c r="U189" s="76">
        <v>55.35</v>
      </c>
      <c r="V189" s="156">
        <f t="shared" si="95"/>
        <v>2669.35</v>
      </c>
      <c r="W189" s="160">
        <f t="shared" si="96"/>
        <v>2.1174445294567676E-2</v>
      </c>
      <c r="X189" s="76">
        <v>74.319999999999993</v>
      </c>
      <c r="Y189" s="156">
        <f t="shared" si="97"/>
        <v>2743.67</v>
      </c>
      <c r="Z189" s="160">
        <f t="shared" si="98"/>
        <v>2.7841984003596443E-2</v>
      </c>
      <c r="AA189" s="76">
        <v>84.740000000000009</v>
      </c>
      <c r="AB189" s="156">
        <f t="shared" si="99"/>
        <v>2828.41</v>
      </c>
      <c r="AC189" s="160">
        <f t="shared" si="100"/>
        <v>3.0885638578983545E-2</v>
      </c>
      <c r="AD189" s="76">
        <v>70.760000000000005</v>
      </c>
      <c r="AE189" s="156">
        <f t="shared" si="101"/>
        <v>2899.17</v>
      </c>
      <c r="AF189" s="160">
        <f t="shared" si="102"/>
        <v>2.5017589387677255E-2</v>
      </c>
      <c r="AG189" s="76">
        <v>60.929999999999993</v>
      </c>
      <c r="AH189" s="156">
        <f t="shared" si="103"/>
        <v>2960.1</v>
      </c>
      <c r="AI189" s="160">
        <f t="shared" si="104"/>
        <v>2.1016359854716983E-2</v>
      </c>
      <c r="AJ189" s="152">
        <f t="shared" si="105"/>
        <v>346.1</v>
      </c>
      <c r="AK189" s="162">
        <f t="shared" si="106"/>
        <v>2.6183944293947325E-2</v>
      </c>
    </row>
    <row r="190" spans="2:37" outlineLevel="1" x14ac:dyDescent="0.35">
      <c r="B190" s="48" t="s">
        <v>181</v>
      </c>
      <c r="C190" s="62" t="s">
        <v>135</v>
      </c>
      <c r="D190" s="76">
        <v>46</v>
      </c>
      <c r="E190" s="77">
        <v>78</v>
      </c>
      <c r="F190" s="76">
        <v>16</v>
      </c>
      <c r="G190" s="156">
        <f>E190+F190</f>
        <v>94</v>
      </c>
      <c r="H190" s="160">
        <f>IFERROR((G190-E190)/E190,0)</f>
        <v>0.20512820512820512</v>
      </c>
      <c r="I190" s="76">
        <v>18</v>
      </c>
      <c r="J190" s="156">
        <f>G190+I190</f>
        <v>112</v>
      </c>
      <c r="K190" s="160">
        <f>IFERROR((J190-G190)/G190,0)</f>
        <v>0.19148936170212766</v>
      </c>
      <c r="L190" s="76">
        <v>11</v>
      </c>
      <c r="M190" s="156">
        <f>J190+L190</f>
        <v>123</v>
      </c>
      <c r="N190" s="160">
        <f>IFERROR((M190-J190)/J190,0)</f>
        <v>9.8214285714285712E-2</v>
      </c>
      <c r="O190" s="76">
        <v>0</v>
      </c>
      <c r="P190" s="156">
        <f>M190+O190</f>
        <v>123</v>
      </c>
      <c r="Q190" s="160">
        <f>IFERROR((P190-M190)/M190,0)</f>
        <v>0</v>
      </c>
      <c r="R190" s="152">
        <f>D190+F190+I190+L190+O190</f>
        <v>91</v>
      </c>
      <c r="S190" s="162">
        <f>IFERROR((P190/E190)^(1/4)-1,0)</f>
        <v>0.12060518393186181</v>
      </c>
      <c r="U190" s="76">
        <v>134.13</v>
      </c>
      <c r="V190" s="156">
        <f>P190+U190</f>
        <v>257.13</v>
      </c>
      <c r="W190" s="160">
        <f>IFERROR((V190-P190)/P190,0)</f>
        <v>1.0904878048780486</v>
      </c>
      <c r="X190" s="76">
        <v>184.75</v>
      </c>
      <c r="Y190" s="156">
        <f>V190+X190</f>
        <v>441.88</v>
      </c>
      <c r="Z190" s="160">
        <f>IFERROR((Y190-V190)/V190,0)</f>
        <v>0.71850814762960369</v>
      </c>
      <c r="AA190" s="76">
        <v>187.03000000000003</v>
      </c>
      <c r="AB190" s="156">
        <f>Y190+AA190</f>
        <v>628.91000000000008</v>
      </c>
      <c r="AC190" s="160">
        <f>IFERROR((AB190-Y190)/Y190,0)</f>
        <v>0.42325970851814992</v>
      </c>
      <c r="AD190" s="76">
        <v>144.84</v>
      </c>
      <c r="AE190" s="156">
        <f>AB190+AD190</f>
        <v>773.75000000000011</v>
      </c>
      <c r="AF190" s="160">
        <f>IFERROR((AE190-AB190)/AB190,0)</f>
        <v>0.23030322303668255</v>
      </c>
      <c r="AG190" s="76">
        <v>124.88</v>
      </c>
      <c r="AH190" s="156">
        <f>AE190+AG190</f>
        <v>898.63000000000011</v>
      </c>
      <c r="AI190" s="160">
        <f>IFERROR((AH190-AE190)/AE190,0)</f>
        <v>0.16139579967689818</v>
      </c>
      <c r="AJ190" s="152">
        <f>U190+X190+AA190+AD190+AG190</f>
        <v>775.63</v>
      </c>
      <c r="AK190" s="162">
        <f>IFERROR((AH190/V190)^(1/4)-1,0)</f>
        <v>0.36727867658756375</v>
      </c>
    </row>
    <row r="191" spans="2:37" outlineLevel="1" x14ac:dyDescent="0.35">
      <c r="B191" s="48" t="s">
        <v>182</v>
      </c>
      <c r="C191" s="62" t="s">
        <v>135</v>
      </c>
      <c r="D191" s="76">
        <v>76</v>
      </c>
      <c r="E191" s="77">
        <v>519</v>
      </c>
      <c r="F191" s="76">
        <v>75</v>
      </c>
      <c r="G191" s="156">
        <f t="shared" si="107"/>
        <v>594</v>
      </c>
      <c r="H191" s="160">
        <f t="shared" si="108"/>
        <v>0.14450867052023122</v>
      </c>
      <c r="I191" s="76">
        <v>81</v>
      </c>
      <c r="J191" s="156">
        <f t="shared" si="109"/>
        <v>675</v>
      </c>
      <c r="K191" s="160">
        <f t="shared" si="110"/>
        <v>0.13636363636363635</v>
      </c>
      <c r="L191" s="76">
        <v>40</v>
      </c>
      <c r="M191" s="156">
        <f t="shared" si="111"/>
        <v>715</v>
      </c>
      <c r="N191" s="160">
        <f t="shared" si="112"/>
        <v>5.9259259259259262E-2</v>
      </c>
      <c r="O191" s="76">
        <v>26</v>
      </c>
      <c r="P191" s="156">
        <f t="shared" si="113"/>
        <v>741</v>
      </c>
      <c r="Q191" s="160">
        <f t="shared" si="114"/>
        <v>3.6363636363636362E-2</v>
      </c>
      <c r="R191" s="152">
        <f t="shared" si="115"/>
        <v>298</v>
      </c>
      <c r="S191" s="162">
        <f t="shared" si="116"/>
        <v>9.3107093383818951E-2</v>
      </c>
      <c r="U191" s="76">
        <v>3.51</v>
      </c>
      <c r="V191" s="156">
        <f t="shared" si="95"/>
        <v>744.51</v>
      </c>
      <c r="W191" s="160">
        <f t="shared" si="96"/>
        <v>4.7368421052631452E-3</v>
      </c>
      <c r="X191" s="76">
        <v>2.91</v>
      </c>
      <c r="Y191" s="156">
        <f t="shared" si="97"/>
        <v>747.42</v>
      </c>
      <c r="Z191" s="160">
        <f t="shared" si="98"/>
        <v>3.9086110327597587E-3</v>
      </c>
      <c r="AA191" s="76">
        <v>2.83</v>
      </c>
      <c r="AB191" s="156">
        <f t="shared" si="99"/>
        <v>750.25</v>
      </c>
      <c r="AC191" s="160">
        <f t="shared" si="100"/>
        <v>3.7863584062508911E-3</v>
      </c>
      <c r="AD191" s="76">
        <v>2.4299999999999997</v>
      </c>
      <c r="AE191" s="156">
        <f t="shared" si="101"/>
        <v>752.68</v>
      </c>
      <c r="AF191" s="160">
        <f t="shared" si="102"/>
        <v>3.2389203598799732E-3</v>
      </c>
      <c r="AG191" s="76">
        <v>2.08</v>
      </c>
      <c r="AH191" s="156">
        <f t="shared" si="103"/>
        <v>754.76</v>
      </c>
      <c r="AI191" s="160">
        <f t="shared" si="104"/>
        <v>2.763458574693151E-3</v>
      </c>
      <c r="AJ191" s="152">
        <f t="shared" si="105"/>
        <v>13.76</v>
      </c>
      <c r="AK191" s="162">
        <f t="shared" si="106"/>
        <v>3.4242328491660423E-3</v>
      </c>
    </row>
    <row r="192" spans="2:37" outlineLevel="1" x14ac:dyDescent="0.35">
      <c r="B192" s="48" t="s">
        <v>126</v>
      </c>
      <c r="C192" s="62" t="s">
        <v>135</v>
      </c>
      <c r="D192" s="76">
        <v>238</v>
      </c>
      <c r="E192" s="77">
        <v>2187</v>
      </c>
      <c r="F192" s="76">
        <v>382</v>
      </c>
      <c r="G192" s="156">
        <f t="shared" si="107"/>
        <v>2569</v>
      </c>
      <c r="H192" s="160">
        <f t="shared" si="108"/>
        <v>0.17466849565614997</v>
      </c>
      <c r="I192" s="76">
        <v>452</v>
      </c>
      <c r="J192" s="156">
        <f t="shared" si="109"/>
        <v>3021</v>
      </c>
      <c r="K192" s="160">
        <f t="shared" si="110"/>
        <v>0.17594394706111327</v>
      </c>
      <c r="L192" s="76">
        <v>140</v>
      </c>
      <c r="M192" s="156">
        <f t="shared" si="111"/>
        <v>3161</v>
      </c>
      <c r="N192" s="160">
        <f t="shared" si="112"/>
        <v>4.6342270771267791E-2</v>
      </c>
      <c r="O192" s="76">
        <v>143</v>
      </c>
      <c r="P192" s="156">
        <f t="shared" si="113"/>
        <v>3304</v>
      </c>
      <c r="Q192" s="160">
        <f t="shared" si="114"/>
        <v>4.523884846567542E-2</v>
      </c>
      <c r="R192" s="152">
        <f t="shared" si="115"/>
        <v>1355</v>
      </c>
      <c r="S192" s="162">
        <f t="shared" si="116"/>
        <v>0.10865855833892235</v>
      </c>
      <c r="U192" s="76">
        <v>25.66</v>
      </c>
      <c r="V192" s="156">
        <f t="shared" si="95"/>
        <v>3329.66</v>
      </c>
      <c r="W192" s="160">
        <f t="shared" si="96"/>
        <v>7.7663438256658154E-3</v>
      </c>
      <c r="X192" s="76">
        <v>33.010000000000005</v>
      </c>
      <c r="Y192" s="156">
        <f t="shared" si="97"/>
        <v>3362.67</v>
      </c>
      <c r="Z192" s="160">
        <f t="shared" si="98"/>
        <v>9.9139251455104185E-3</v>
      </c>
      <c r="AA192" s="76">
        <v>31.97</v>
      </c>
      <c r="AB192" s="156">
        <f t="shared" si="99"/>
        <v>3394.64</v>
      </c>
      <c r="AC192" s="160">
        <f t="shared" si="100"/>
        <v>9.5073260236656579E-3</v>
      </c>
      <c r="AD192" s="76">
        <v>26.72</v>
      </c>
      <c r="AE192" s="156">
        <f t="shared" si="101"/>
        <v>3421.3599999999997</v>
      </c>
      <c r="AF192" s="160">
        <f t="shared" si="102"/>
        <v>7.8712322956189171E-3</v>
      </c>
      <c r="AG192" s="76">
        <v>19.7</v>
      </c>
      <c r="AH192" s="156">
        <f t="shared" si="103"/>
        <v>3441.0599999999995</v>
      </c>
      <c r="AI192" s="160">
        <f t="shared" si="104"/>
        <v>5.7579442093202175E-3</v>
      </c>
      <c r="AJ192" s="152">
        <f t="shared" si="105"/>
        <v>137.06</v>
      </c>
      <c r="AK192" s="162">
        <f t="shared" si="106"/>
        <v>8.2612792782341682E-3</v>
      </c>
    </row>
    <row r="193" spans="2:37" outlineLevel="1" x14ac:dyDescent="0.35">
      <c r="B193" s="48" t="s">
        <v>127</v>
      </c>
      <c r="C193" s="62" t="s">
        <v>135</v>
      </c>
      <c r="D193" s="76">
        <v>0</v>
      </c>
      <c r="E193" s="77">
        <v>1</v>
      </c>
      <c r="F193" s="76">
        <v>0</v>
      </c>
      <c r="G193" s="156">
        <f t="shared" si="107"/>
        <v>1</v>
      </c>
      <c r="H193" s="160">
        <f t="shared" si="108"/>
        <v>0</v>
      </c>
      <c r="I193" s="76">
        <v>0</v>
      </c>
      <c r="J193" s="156">
        <f t="shared" si="109"/>
        <v>1</v>
      </c>
      <c r="K193" s="160">
        <f t="shared" si="110"/>
        <v>0</v>
      </c>
      <c r="L193" s="76">
        <v>0</v>
      </c>
      <c r="M193" s="156">
        <f t="shared" si="111"/>
        <v>1</v>
      </c>
      <c r="N193" s="160">
        <f t="shared" si="112"/>
        <v>0</v>
      </c>
      <c r="O193" s="76">
        <v>0</v>
      </c>
      <c r="P193" s="156">
        <f t="shared" si="113"/>
        <v>1</v>
      </c>
      <c r="Q193" s="160">
        <f t="shared" si="114"/>
        <v>0</v>
      </c>
      <c r="R193" s="152">
        <f t="shared" si="115"/>
        <v>0</v>
      </c>
      <c r="S193" s="162">
        <f t="shared" si="116"/>
        <v>0</v>
      </c>
      <c r="U193" s="76">
        <v>1</v>
      </c>
      <c r="V193" s="156">
        <f t="shared" ref="V193" si="117">P193+U193</f>
        <v>2</v>
      </c>
      <c r="W193" s="160">
        <f t="shared" ref="W193" si="118">IFERROR((V193-P193)/P193,0)</f>
        <v>1</v>
      </c>
      <c r="X193" s="76">
        <v>0</v>
      </c>
      <c r="Y193" s="156">
        <f t="shared" si="97"/>
        <v>2</v>
      </c>
      <c r="Z193" s="160">
        <f t="shared" si="98"/>
        <v>0</v>
      </c>
      <c r="AA193" s="76">
        <v>0</v>
      </c>
      <c r="AB193" s="156">
        <f t="shared" si="99"/>
        <v>2</v>
      </c>
      <c r="AC193" s="160">
        <f t="shared" si="100"/>
        <v>0</v>
      </c>
      <c r="AD193" s="76">
        <v>0</v>
      </c>
      <c r="AE193" s="156">
        <f t="shared" si="101"/>
        <v>2</v>
      </c>
      <c r="AF193" s="160">
        <f t="shared" si="102"/>
        <v>0</v>
      </c>
      <c r="AG193" s="76">
        <v>0</v>
      </c>
      <c r="AH193" s="156">
        <f t="shared" si="103"/>
        <v>2</v>
      </c>
      <c r="AI193" s="160">
        <f t="shared" si="104"/>
        <v>0</v>
      </c>
      <c r="AJ193" s="152">
        <f t="shared" si="105"/>
        <v>1</v>
      </c>
      <c r="AK193" s="162">
        <f t="shared" si="106"/>
        <v>0</v>
      </c>
    </row>
    <row r="194" spans="2:37" outlineLevel="1" x14ac:dyDescent="0.35">
      <c r="B194" s="48" t="s">
        <v>138</v>
      </c>
      <c r="C194" s="59">
        <v>54</v>
      </c>
      <c r="D194" s="158">
        <f>SUM(D140:D193)</f>
        <v>7783</v>
      </c>
      <c r="E194" s="158">
        <f>SUM(E140:E193)</f>
        <v>82393</v>
      </c>
      <c r="F194" s="158">
        <f>SUM(F140:F193)</f>
        <v>8302</v>
      </c>
      <c r="G194" s="158">
        <f>SUM(G140:G193)</f>
        <v>90695</v>
      </c>
      <c r="H194" s="161">
        <f>IFERROR((G194-E194)/E194,0)</f>
        <v>0.10076098697704902</v>
      </c>
      <c r="I194" s="158">
        <f>SUM(I140:I193)</f>
        <v>8397</v>
      </c>
      <c r="J194" s="158">
        <f>SUM(J140:J193)</f>
        <v>99092</v>
      </c>
      <c r="K194" s="161">
        <f>IFERROR((J194-G194)/G194,0)</f>
        <v>9.2585037763934064E-2</v>
      </c>
      <c r="L194" s="158">
        <f>SUM(L140:L193)</f>
        <v>4220</v>
      </c>
      <c r="M194" s="158">
        <f>SUM(M140:M193)</f>
        <v>103312</v>
      </c>
      <c r="N194" s="161">
        <f>IFERROR((M194-J194)/J194,0)</f>
        <v>4.2586687119040893E-2</v>
      </c>
      <c r="O194" s="158">
        <f>SUM(O140:O193)</f>
        <v>3206</v>
      </c>
      <c r="P194" s="157">
        <f>M194+O194</f>
        <v>106518</v>
      </c>
      <c r="Q194" s="161">
        <f>IFERROR((P194-M194)/M194,0)</f>
        <v>3.103221310205978E-2</v>
      </c>
      <c r="R194" s="152">
        <f>D194+F194+I194+L194+O194</f>
        <v>31908</v>
      </c>
      <c r="S194" s="162">
        <f>IFERROR((P194/E194)^(1/4)-1,0)</f>
        <v>6.6309238179100838E-2</v>
      </c>
      <c r="U194" s="387">
        <f>SUM(U140:U193)</f>
        <v>3463.7154605263158</v>
      </c>
      <c r="V194" s="157">
        <f>SUM(V140:V193)</f>
        <v>109981.71546052631</v>
      </c>
      <c r="W194" s="161">
        <f>IFERROR((V194-P194)/P194,0)</f>
        <v>3.2517653922588728E-2</v>
      </c>
      <c r="X194" s="387">
        <f>SUM(X140:X193)</f>
        <v>5075.5285544590661</v>
      </c>
      <c r="Y194" s="157">
        <f>SUM(Y140:Y193)</f>
        <v>115057.24401498534</v>
      </c>
      <c r="Z194" s="161">
        <f t="shared" ref="Z194" si="119">IFERROR((Y194-V194)/V194,0)</f>
        <v>4.6148839679452852E-2</v>
      </c>
      <c r="AA194" s="387">
        <f>SUM(AA140:AA193)</f>
        <v>5787.4058845029249</v>
      </c>
      <c r="AB194" s="157">
        <f>SUM(AB140:AB193)</f>
        <v>120844.64989948834</v>
      </c>
      <c r="AC194" s="161">
        <f t="shared" ref="AC194" si="120">IFERROR((AB194-Y194)/Y194,0)</f>
        <v>5.0300230411822161E-2</v>
      </c>
      <c r="AD194" s="387">
        <f>SUM(AD140:AD193)</f>
        <v>5241.1954495614036</v>
      </c>
      <c r="AE194" s="157">
        <f>SUM(AE140:AE193)</f>
        <v>126085.8453490497</v>
      </c>
      <c r="AF194" s="161">
        <f t="shared" ref="AF194" si="121">IFERROR((AE194-AB194)/AB194,0)</f>
        <v>4.3371348701996215E-2</v>
      </c>
      <c r="AG194" s="387">
        <f>SUM(AG140:AG193)</f>
        <v>4637.7152320906453</v>
      </c>
      <c r="AH194" s="157">
        <f>SUM(AH140:AH193)</f>
        <v>130723.56058114035</v>
      </c>
      <c r="AI194" s="161">
        <f t="shared" si="104"/>
        <v>3.6782203579250543E-2</v>
      </c>
      <c r="AJ194" s="152">
        <f t="shared" si="105"/>
        <v>24205.560581140358</v>
      </c>
      <c r="AK194" s="162">
        <f t="shared" si="106"/>
        <v>4.413906542511703E-2</v>
      </c>
    </row>
    <row r="195" spans="2:37" x14ac:dyDescent="0.35">
      <c r="E195" s="39"/>
      <c r="AH195" s="39"/>
      <c r="AJ195" s="39"/>
    </row>
    <row r="196" spans="2:37" ht="17.25" customHeight="1" x14ac:dyDescent="0.35">
      <c r="B196" s="419" t="s">
        <v>191</v>
      </c>
      <c r="C196" s="419"/>
      <c r="D196" s="419"/>
      <c r="E196" s="419"/>
      <c r="F196" s="419"/>
      <c r="G196" s="419"/>
      <c r="H196" s="419"/>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c r="AJ196" s="419"/>
      <c r="AK196" s="442"/>
    </row>
    <row r="197" spans="2:37" ht="5.9" customHeight="1" outlineLevel="1" x14ac:dyDescent="0.35">
      <c r="B197" s="104"/>
      <c r="C197" s="104"/>
      <c r="D197" s="104"/>
      <c r="E197" s="104"/>
      <c r="F197" s="104"/>
      <c r="G197" s="104"/>
      <c r="H197" s="104"/>
      <c r="I197" s="104"/>
      <c r="J197" s="104"/>
      <c r="K197" s="104"/>
      <c r="L197" s="104"/>
      <c r="M197" s="104"/>
      <c r="N197" s="104"/>
      <c r="O197" s="104"/>
      <c r="P197" s="104"/>
      <c r="Q197" s="104"/>
      <c r="R197" s="104"/>
      <c r="S197" s="104"/>
      <c r="T197" s="103"/>
      <c r="U197" s="103"/>
      <c r="V197" s="103"/>
      <c r="W197" s="103"/>
      <c r="X197" s="103"/>
      <c r="Y197" s="103"/>
      <c r="Z197" s="103"/>
      <c r="AA197" s="103"/>
      <c r="AB197" s="103"/>
      <c r="AC197" s="103"/>
      <c r="AD197" s="103"/>
      <c r="AE197" s="103"/>
      <c r="AF197" s="103"/>
      <c r="AG197" s="103"/>
      <c r="AH197" s="103"/>
      <c r="AI197" s="103"/>
      <c r="AJ197" s="103"/>
      <c r="AK197" s="103"/>
    </row>
    <row r="198" spans="2:37" ht="15" customHeight="1" outlineLevel="1" x14ac:dyDescent="0.35">
      <c r="B198" s="443"/>
      <c r="C198" s="444" t="s">
        <v>134</v>
      </c>
      <c r="D198" s="435" t="s">
        <v>169</v>
      </c>
      <c r="E198" s="436"/>
      <c r="F198" s="436"/>
      <c r="G198" s="436"/>
      <c r="H198" s="436"/>
      <c r="I198" s="436"/>
      <c r="J198" s="436"/>
      <c r="K198" s="436"/>
      <c r="L198" s="436"/>
      <c r="M198" s="436"/>
      <c r="N198" s="436"/>
      <c r="O198" s="435"/>
      <c r="P198" s="436"/>
      <c r="Q198" s="437"/>
      <c r="R198" s="431" t="str">
        <f xml:space="preserve"> D199&amp;" - "&amp;O199</f>
        <v>2019 - 2023</v>
      </c>
      <c r="S198" s="432"/>
      <c r="U198" s="435" t="s">
        <v>170</v>
      </c>
      <c r="V198" s="436"/>
      <c r="W198" s="436"/>
      <c r="X198" s="436"/>
      <c r="Y198" s="436"/>
      <c r="Z198" s="436"/>
      <c r="AA198" s="436"/>
      <c r="AB198" s="436"/>
      <c r="AC198" s="436"/>
      <c r="AD198" s="436"/>
      <c r="AE198" s="436"/>
      <c r="AF198" s="436"/>
      <c r="AG198" s="436"/>
      <c r="AH198" s="436"/>
      <c r="AI198" s="436"/>
      <c r="AJ198" s="436"/>
      <c r="AK198" s="438"/>
    </row>
    <row r="199" spans="2:37" ht="15" customHeight="1" outlineLevel="1" x14ac:dyDescent="0.35">
      <c r="B199" s="443"/>
      <c r="C199" s="445"/>
      <c r="D199" s="435">
        <f>$C$3-5</f>
        <v>2019</v>
      </c>
      <c r="E199" s="437"/>
      <c r="F199" s="435">
        <f>$C$3-4</f>
        <v>2020</v>
      </c>
      <c r="G199" s="436"/>
      <c r="H199" s="437"/>
      <c r="I199" s="435">
        <f>$C$3-3</f>
        <v>2021</v>
      </c>
      <c r="J199" s="436"/>
      <c r="K199" s="437"/>
      <c r="L199" s="435">
        <f>$C$3-2</f>
        <v>2022</v>
      </c>
      <c r="M199" s="436"/>
      <c r="N199" s="437"/>
      <c r="O199" s="435">
        <f>$C$3-1</f>
        <v>2023</v>
      </c>
      <c r="P199" s="436"/>
      <c r="Q199" s="437"/>
      <c r="R199" s="433"/>
      <c r="S199" s="434"/>
      <c r="U199" s="435">
        <f>$C$3</f>
        <v>2024</v>
      </c>
      <c r="V199" s="436"/>
      <c r="W199" s="437"/>
      <c r="X199" s="435">
        <f>$C$3+1</f>
        <v>2025</v>
      </c>
      <c r="Y199" s="436"/>
      <c r="Z199" s="437"/>
      <c r="AA199" s="435">
        <f>$C$3+2</f>
        <v>2026</v>
      </c>
      <c r="AB199" s="436"/>
      <c r="AC199" s="437"/>
      <c r="AD199" s="435">
        <f>$C$3+3</f>
        <v>2027</v>
      </c>
      <c r="AE199" s="436"/>
      <c r="AF199" s="437"/>
      <c r="AG199" s="435">
        <f>$C$3+4</f>
        <v>2028</v>
      </c>
      <c r="AH199" s="436"/>
      <c r="AI199" s="437"/>
      <c r="AJ199" s="439" t="str">
        <f>U199&amp;" - "&amp;AG199</f>
        <v>2024 - 2028</v>
      </c>
      <c r="AK199" s="440"/>
    </row>
    <row r="200" spans="2:37" ht="29" outlineLevel="1" x14ac:dyDescent="0.35">
      <c r="B200" s="443"/>
      <c r="C200" s="446"/>
      <c r="D200" s="66" t="s">
        <v>192</v>
      </c>
      <c r="E200" s="67" t="s">
        <v>193</v>
      </c>
      <c r="F200" s="66" t="s">
        <v>192</v>
      </c>
      <c r="G200" s="9" t="s">
        <v>193</v>
      </c>
      <c r="H200" s="67" t="s">
        <v>173</v>
      </c>
      <c r="I200" s="66" t="s">
        <v>192</v>
      </c>
      <c r="J200" s="9" t="s">
        <v>193</v>
      </c>
      <c r="K200" s="67" t="s">
        <v>173</v>
      </c>
      <c r="L200" s="66" t="s">
        <v>192</v>
      </c>
      <c r="M200" s="9" t="s">
        <v>193</v>
      </c>
      <c r="N200" s="67" t="s">
        <v>173</v>
      </c>
      <c r="O200" s="66" t="s">
        <v>171</v>
      </c>
      <c r="P200" s="9" t="s">
        <v>172</v>
      </c>
      <c r="Q200" s="67" t="s">
        <v>173</v>
      </c>
      <c r="R200" s="9" t="s">
        <v>164</v>
      </c>
      <c r="S200" s="57" t="s">
        <v>174</v>
      </c>
      <c r="U200" s="66" t="s">
        <v>192</v>
      </c>
      <c r="V200" s="9" t="s">
        <v>193</v>
      </c>
      <c r="W200" s="67" t="s">
        <v>173</v>
      </c>
      <c r="X200" s="66" t="s">
        <v>192</v>
      </c>
      <c r="Y200" s="9" t="s">
        <v>193</v>
      </c>
      <c r="Z200" s="67" t="s">
        <v>173</v>
      </c>
      <c r="AA200" s="66" t="s">
        <v>192</v>
      </c>
      <c r="AB200" s="9" t="s">
        <v>193</v>
      </c>
      <c r="AC200" s="67" t="s">
        <v>173</v>
      </c>
      <c r="AD200" s="66" t="s">
        <v>192</v>
      </c>
      <c r="AE200" s="9" t="s">
        <v>193</v>
      </c>
      <c r="AF200" s="67" t="s">
        <v>173</v>
      </c>
      <c r="AG200" s="66" t="s">
        <v>192</v>
      </c>
      <c r="AH200" s="9" t="s">
        <v>193</v>
      </c>
      <c r="AI200" s="67" t="s">
        <v>173</v>
      </c>
      <c r="AJ200" s="9" t="s">
        <v>164</v>
      </c>
      <c r="AK200" s="57" t="s">
        <v>174</v>
      </c>
    </row>
    <row r="201" spans="2:37" outlineLevel="1" x14ac:dyDescent="0.35">
      <c r="B201" s="48" t="s">
        <v>74</v>
      </c>
      <c r="C201" s="62" t="s">
        <v>135</v>
      </c>
      <c r="D201" s="76">
        <v>85</v>
      </c>
      <c r="E201" s="77">
        <v>954</v>
      </c>
      <c r="F201" s="76">
        <v>93</v>
      </c>
      <c r="G201" s="156">
        <f t="shared" ref="G201:G254" si="122">E201+F201</f>
        <v>1047</v>
      </c>
      <c r="H201" s="160">
        <f t="shared" ref="H201:H254" si="123">IFERROR((G201-E201)/E201,0)</f>
        <v>9.7484276729559755E-2</v>
      </c>
      <c r="I201" s="76">
        <v>73</v>
      </c>
      <c r="J201" s="156">
        <f t="shared" ref="J201" si="124">G201+I201</f>
        <v>1120</v>
      </c>
      <c r="K201" s="160">
        <f t="shared" ref="K201" si="125">IFERROR((J201-G201)/G201,0)</f>
        <v>6.972301814708691E-2</v>
      </c>
      <c r="L201" s="76">
        <v>34</v>
      </c>
      <c r="M201" s="156">
        <f t="shared" ref="M201" si="126">J201+L201</f>
        <v>1154</v>
      </c>
      <c r="N201" s="160">
        <f t="shared" ref="N201" si="127">IFERROR((M201-J201)/J201,0)</f>
        <v>3.0357142857142857E-2</v>
      </c>
      <c r="O201" s="76">
        <v>11</v>
      </c>
      <c r="P201" s="156">
        <f t="shared" ref="P201" si="128">M201+O201</f>
        <v>1165</v>
      </c>
      <c r="Q201" s="160">
        <f t="shared" ref="Q201" si="129">IFERROR((P201-M201)/M201,0)</f>
        <v>9.5320623916811086E-3</v>
      </c>
      <c r="R201" s="152">
        <f t="shared" ref="R201" si="130">D201+F201+I201+L201+O201</f>
        <v>296</v>
      </c>
      <c r="S201" s="162">
        <f t="shared" ref="S201" si="131">IFERROR((P201/E201)^(1/4)-1,0)</f>
        <v>5.1221870327524677E-2</v>
      </c>
      <c r="U201" s="76">
        <v>42</v>
      </c>
      <c r="V201" s="156">
        <f t="shared" ref="V201" si="132">P201+U201</f>
        <v>1207</v>
      </c>
      <c r="W201" s="160">
        <f t="shared" ref="W201" si="133">IFERROR((V201-P201)/P201,0)</f>
        <v>3.6051502145922745E-2</v>
      </c>
      <c r="X201" s="76">
        <v>98</v>
      </c>
      <c r="Y201" s="156">
        <f t="shared" ref="Y201" si="134">V201+X201</f>
        <v>1305</v>
      </c>
      <c r="Z201" s="160">
        <f t="shared" ref="Z201" si="135">IFERROR((Y201-V201)/V201,0)</f>
        <v>8.1193040596520299E-2</v>
      </c>
      <c r="AA201" s="76">
        <v>174</v>
      </c>
      <c r="AB201" s="156">
        <f t="shared" ref="AB201" si="136">Y201+AA201</f>
        <v>1479</v>
      </c>
      <c r="AC201" s="160">
        <f t="shared" ref="AC201" si="137">IFERROR((AB201-Y201)/Y201,0)</f>
        <v>0.13333333333333333</v>
      </c>
      <c r="AD201" s="76">
        <v>162</v>
      </c>
      <c r="AE201" s="156">
        <f t="shared" ref="AE201" si="138">AB201+AD201</f>
        <v>1641</v>
      </c>
      <c r="AF201" s="160">
        <f t="shared" ref="AF201" si="139">IFERROR((AE201-AB201)/AB201,0)</f>
        <v>0.10953346855983773</v>
      </c>
      <c r="AG201" s="76">
        <v>129</v>
      </c>
      <c r="AH201" s="156">
        <f t="shared" ref="AH201" si="140">AE201+AG201</f>
        <v>1770</v>
      </c>
      <c r="AI201" s="160">
        <f t="shared" ref="AI201" si="141">IFERROR((AH201-AE201)/AE201,0)</f>
        <v>7.8610603290676415E-2</v>
      </c>
      <c r="AJ201" s="152">
        <f>U201+X201+AA201+AD201+AG201</f>
        <v>605</v>
      </c>
      <c r="AK201" s="162">
        <f>IFERROR((AH201/V201)^(1/4)-1,0)</f>
        <v>0.10044033155374588</v>
      </c>
    </row>
    <row r="202" spans="2:37" outlineLevel="1" x14ac:dyDescent="0.35">
      <c r="B202" s="48" t="s">
        <v>75</v>
      </c>
      <c r="C202" s="62" t="s">
        <v>135</v>
      </c>
      <c r="D202" s="76">
        <v>657</v>
      </c>
      <c r="E202" s="77">
        <v>4646</v>
      </c>
      <c r="F202" s="76">
        <v>1064</v>
      </c>
      <c r="G202" s="156">
        <f t="shared" si="122"/>
        <v>5710</v>
      </c>
      <c r="H202" s="160">
        <f t="shared" si="123"/>
        <v>0.22901420576840292</v>
      </c>
      <c r="I202" s="76">
        <v>902</v>
      </c>
      <c r="J202" s="156">
        <f t="shared" ref="J202:J254" si="142">G202+I202</f>
        <v>6612</v>
      </c>
      <c r="K202" s="160">
        <f t="shared" ref="K202:K254" si="143">IFERROR((J202-G202)/G202,0)</f>
        <v>0.15796847635726796</v>
      </c>
      <c r="L202" s="76">
        <v>543</v>
      </c>
      <c r="M202" s="156">
        <f t="shared" ref="M202:M254" si="144">J202+L202</f>
        <v>7155</v>
      </c>
      <c r="N202" s="160">
        <f t="shared" ref="N202:N254" si="145">IFERROR((M202-J202)/J202,0)</f>
        <v>8.2123411978221414E-2</v>
      </c>
      <c r="O202" s="76">
        <v>317</v>
      </c>
      <c r="P202" s="156">
        <f t="shared" ref="P202:P254" si="146">M202+O202</f>
        <v>7472</v>
      </c>
      <c r="Q202" s="160">
        <f t="shared" ref="Q202:Q254" si="147">IFERROR((P202-M202)/M202,0)</f>
        <v>4.4304682040531097E-2</v>
      </c>
      <c r="R202" s="152">
        <f t="shared" ref="R202:R254" si="148">D202+F202+I202+L202+O202</f>
        <v>3483</v>
      </c>
      <c r="S202" s="162">
        <f t="shared" ref="S202:S254" si="149">IFERROR((P202/E202)^(1/4)-1,0)</f>
        <v>0.12613229805138837</v>
      </c>
      <c r="U202" s="76">
        <v>519</v>
      </c>
      <c r="V202" s="156">
        <f t="shared" ref="V202:V254" si="150">P202+U202</f>
        <v>7991</v>
      </c>
      <c r="W202" s="160">
        <f t="shared" ref="W202:W254" si="151">IFERROR((V202-P202)/P202,0)</f>
        <v>6.9459314775160597E-2</v>
      </c>
      <c r="X202" s="76">
        <v>660</v>
      </c>
      <c r="Y202" s="156">
        <f t="shared" ref="Y202:Y254" si="152">V202+X202</f>
        <v>8651</v>
      </c>
      <c r="Z202" s="160">
        <f t="shared" ref="Z202:Z254" si="153">IFERROR((Y202-V202)/V202,0)</f>
        <v>8.259291703166062E-2</v>
      </c>
      <c r="AA202" s="76">
        <v>732</v>
      </c>
      <c r="AB202" s="156">
        <f t="shared" ref="AB202:AB254" si="154">Y202+AA202</f>
        <v>9383</v>
      </c>
      <c r="AC202" s="160">
        <f t="shared" ref="AC202:AC254" si="155">IFERROR((AB202-Y202)/Y202,0)</f>
        <v>8.461449543405386E-2</v>
      </c>
      <c r="AD202" s="76">
        <v>657</v>
      </c>
      <c r="AE202" s="156">
        <f t="shared" ref="AE202:AE254" si="156">AB202+AD202</f>
        <v>10040</v>
      </c>
      <c r="AF202" s="160">
        <f t="shared" ref="AF202:AF254" si="157">IFERROR((AE202-AB202)/AB202,0)</f>
        <v>7.0020249387189593E-2</v>
      </c>
      <c r="AG202" s="76">
        <v>526</v>
      </c>
      <c r="AH202" s="156">
        <f t="shared" ref="AH202:AH254" si="158">AE202+AG202</f>
        <v>10566</v>
      </c>
      <c r="AI202" s="160">
        <f t="shared" ref="AI202:AI254" si="159">IFERROR((AH202-AE202)/AE202,0)</f>
        <v>5.239043824701195E-2</v>
      </c>
      <c r="AJ202" s="152">
        <f t="shared" ref="AJ202:AJ254" si="160">U202+X202+AA202+AD202+AG202</f>
        <v>3094</v>
      </c>
      <c r="AK202" s="162">
        <f t="shared" ref="AK202:AK254" si="161">IFERROR((AH202/V202)^(1/4)-1,0)</f>
        <v>7.2327315414126847E-2</v>
      </c>
    </row>
    <row r="203" spans="2:37" outlineLevel="1" x14ac:dyDescent="0.35">
      <c r="B203" s="48" t="s">
        <v>76</v>
      </c>
      <c r="C203" s="62" t="s">
        <v>135</v>
      </c>
      <c r="D203" s="76">
        <v>247</v>
      </c>
      <c r="E203" s="77">
        <v>1756</v>
      </c>
      <c r="F203" s="76">
        <v>266</v>
      </c>
      <c r="G203" s="156">
        <f t="shared" si="122"/>
        <v>2022</v>
      </c>
      <c r="H203" s="160">
        <f t="shared" si="123"/>
        <v>0.15148063781321183</v>
      </c>
      <c r="I203" s="76">
        <v>369</v>
      </c>
      <c r="J203" s="156">
        <f t="shared" si="142"/>
        <v>2391</v>
      </c>
      <c r="K203" s="160">
        <f t="shared" si="143"/>
        <v>0.18249258160237389</v>
      </c>
      <c r="L203" s="76">
        <v>216</v>
      </c>
      <c r="M203" s="156">
        <f t="shared" si="144"/>
        <v>2607</v>
      </c>
      <c r="N203" s="160">
        <f t="shared" si="145"/>
        <v>9.03387703889586E-2</v>
      </c>
      <c r="O203" s="76">
        <v>140</v>
      </c>
      <c r="P203" s="156">
        <f t="shared" si="146"/>
        <v>2747</v>
      </c>
      <c r="Q203" s="160">
        <f t="shared" si="147"/>
        <v>5.3701572688914463E-2</v>
      </c>
      <c r="R203" s="152">
        <f t="shared" si="148"/>
        <v>1238</v>
      </c>
      <c r="S203" s="162">
        <f t="shared" si="149"/>
        <v>0.11836492246829522</v>
      </c>
      <c r="U203" s="76">
        <v>235</v>
      </c>
      <c r="V203" s="156">
        <f t="shared" si="150"/>
        <v>2982</v>
      </c>
      <c r="W203" s="160">
        <f t="shared" si="151"/>
        <v>8.5547870404077173E-2</v>
      </c>
      <c r="X203" s="76">
        <v>324</v>
      </c>
      <c r="Y203" s="156">
        <f t="shared" si="152"/>
        <v>3306</v>
      </c>
      <c r="Z203" s="160">
        <f t="shared" si="153"/>
        <v>0.10865191146881288</v>
      </c>
      <c r="AA203" s="76">
        <v>481</v>
      </c>
      <c r="AB203" s="156">
        <f t="shared" si="154"/>
        <v>3787</v>
      </c>
      <c r="AC203" s="160">
        <f t="shared" si="155"/>
        <v>0.14549304295220811</v>
      </c>
      <c r="AD203" s="76">
        <v>489</v>
      </c>
      <c r="AE203" s="156">
        <f t="shared" si="156"/>
        <v>4276</v>
      </c>
      <c r="AF203" s="160">
        <f t="shared" si="157"/>
        <v>0.12912595722207551</v>
      </c>
      <c r="AG203" s="76">
        <v>446</v>
      </c>
      <c r="AH203" s="156">
        <f t="shared" si="158"/>
        <v>4722</v>
      </c>
      <c r="AI203" s="160">
        <f t="shared" si="159"/>
        <v>0.10430308699719364</v>
      </c>
      <c r="AJ203" s="152">
        <f t="shared" si="160"/>
        <v>1975</v>
      </c>
      <c r="AK203" s="162">
        <f t="shared" si="161"/>
        <v>0.12177197496821335</v>
      </c>
    </row>
    <row r="204" spans="2:37" outlineLevel="1" x14ac:dyDescent="0.35">
      <c r="B204" s="48" t="s">
        <v>77</v>
      </c>
      <c r="C204" s="62" t="s">
        <v>135</v>
      </c>
      <c r="D204" s="76">
        <v>57</v>
      </c>
      <c r="E204" s="77">
        <v>394</v>
      </c>
      <c r="F204" s="76">
        <v>66</v>
      </c>
      <c r="G204" s="156">
        <f t="shared" si="122"/>
        <v>460</v>
      </c>
      <c r="H204" s="160">
        <f t="shared" si="123"/>
        <v>0.16751269035532995</v>
      </c>
      <c r="I204" s="76">
        <v>99</v>
      </c>
      <c r="J204" s="156">
        <f t="shared" si="142"/>
        <v>559</v>
      </c>
      <c r="K204" s="160">
        <f t="shared" si="143"/>
        <v>0.21521739130434783</v>
      </c>
      <c r="L204" s="76">
        <v>75</v>
      </c>
      <c r="M204" s="156">
        <f t="shared" si="144"/>
        <v>634</v>
      </c>
      <c r="N204" s="160">
        <f t="shared" si="145"/>
        <v>0.13416815742397137</v>
      </c>
      <c r="O204" s="76">
        <v>21</v>
      </c>
      <c r="P204" s="156">
        <f t="shared" si="146"/>
        <v>655</v>
      </c>
      <c r="Q204" s="160">
        <f t="shared" si="147"/>
        <v>3.3123028391167195E-2</v>
      </c>
      <c r="R204" s="152">
        <f t="shared" si="148"/>
        <v>318</v>
      </c>
      <c r="S204" s="162">
        <f t="shared" si="149"/>
        <v>0.13549772789045234</v>
      </c>
      <c r="U204" s="76">
        <v>48</v>
      </c>
      <c r="V204" s="156">
        <f t="shared" si="150"/>
        <v>703</v>
      </c>
      <c r="W204" s="160">
        <f t="shared" si="151"/>
        <v>7.3282442748091606E-2</v>
      </c>
      <c r="X204" s="76">
        <v>53</v>
      </c>
      <c r="Y204" s="156">
        <f t="shared" si="152"/>
        <v>756</v>
      </c>
      <c r="Z204" s="160">
        <f t="shared" si="153"/>
        <v>7.5391180654338544E-2</v>
      </c>
      <c r="AA204" s="76">
        <v>72</v>
      </c>
      <c r="AB204" s="156">
        <f t="shared" si="154"/>
        <v>828</v>
      </c>
      <c r="AC204" s="160">
        <f t="shared" si="155"/>
        <v>9.5238095238095233E-2</v>
      </c>
      <c r="AD204" s="76">
        <v>76</v>
      </c>
      <c r="AE204" s="156">
        <f t="shared" si="156"/>
        <v>904</v>
      </c>
      <c r="AF204" s="160">
        <f t="shared" si="157"/>
        <v>9.1787439613526575E-2</v>
      </c>
      <c r="AG204" s="76">
        <v>59</v>
      </c>
      <c r="AH204" s="156">
        <f t="shared" si="158"/>
        <v>963</v>
      </c>
      <c r="AI204" s="160">
        <f t="shared" si="159"/>
        <v>6.5265486725663721E-2</v>
      </c>
      <c r="AJ204" s="152">
        <f t="shared" si="160"/>
        <v>308</v>
      </c>
      <c r="AK204" s="162">
        <f t="shared" si="161"/>
        <v>8.1851721598567906E-2</v>
      </c>
    </row>
    <row r="205" spans="2:37" outlineLevel="1" x14ac:dyDescent="0.35">
      <c r="B205" s="48" t="s">
        <v>78</v>
      </c>
      <c r="C205" s="62" t="s">
        <v>135</v>
      </c>
      <c r="D205" s="76">
        <v>2744</v>
      </c>
      <c r="E205" s="77">
        <v>33181</v>
      </c>
      <c r="F205" s="76">
        <v>3690</v>
      </c>
      <c r="G205" s="156">
        <f t="shared" si="122"/>
        <v>36871</v>
      </c>
      <c r="H205" s="160">
        <f t="shared" si="123"/>
        <v>0.11120822157258672</v>
      </c>
      <c r="I205" s="76">
        <v>3081</v>
      </c>
      <c r="J205" s="156">
        <f t="shared" si="142"/>
        <v>39952</v>
      </c>
      <c r="K205" s="160">
        <f t="shared" si="143"/>
        <v>8.3561606682758804E-2</v>
      </c>
      <c r="L205" s="76">
        <v>1884</v>
      </c>
      <c r="M205" s="156">
        <f t="shared" si="144"/>
        <v>41836</v>
      </c>
      <c r="N205" s="160">
        <f t="shared" si="145"/>
        <v>4.7156587905486581E-2</v>
      </c>
      <c r="O205" s="76">
        <v>1552</v>
      </c>
      <c r="P205" s="156">
        <f t="shared" si="146"/>
        <v>43388</v>
      </c>
      <c r="Q205" s="160">
        <f t="shared" si="147"/>
        <v>3.7097236829524809E-2</v>
      </c>
      <c r="R205" s="152">
        <f t="shared" si="148"/>
        <v>12951</v>
      </c>
      <c r="S205" s="162">
        <f t="shared" si="149"/>
        <v>6.9350409890931664E-2</v>
      </c>
      <c r="U205" s="76">
        <v>3037</v>
      </c>
      <c r="V205" s="156">
        <f t="shared" si="150"/>
        <v>46425</v>
      </c>
      <c r="W205" s="160">
        <f t="shared" si="151"/>
        <v>6.9996312344427034E-2</v>
      </c>
      <c r="X205" s="76">
        <f>3696-0.375</f>
        <v>3695.625</v>
      </c>
      <c r="Y205" s="156">
        <f t="shared" si="152"/>
        <v>50120.625</v>
      </c>
      <c r="Z205" s="160">
        <f t="shared" si="153"/>
        <v>7.9604200323101781E-2</v>
      </c>
      <c r="AA205" s="76">
        <f>4211+0.0833333333321207</f>
        <v>4211.0833333333321</v>
      </c>
      <c r="AB205" s="156">
        <f t="shared" si="154"/>
        <v>54331.708333333328</v>
      </c>
      <c r="AC205" s="160">
        <f t="shared" si="155"/>
        <v>8.4018970899371839E-2</v>
      </c>
      <c r="AD205" s="76">
        <f>4103+0.583333333332121</f>
        <v>4103.5833333333321</v>
      </c>
      <c r="AE205" s="156">
        <f t="shared" si="156"/>
        <v>58435.291666666657</v>
      </c>
      <c r="AF205" s="160">
        <f t="shared" si="157"/>
        <v>7.552833251914734E-2</v>
      </c>
      <c r="AG205" s="76">
        <v>3595</v>
      </c>
      <c r="AH205" s="156">
        <f t="shared" si="158"/>
        <v>62030.291666666657</v>
      </c>
      <c r="AI205" s="160">
        <f t="shared" si="159"/>
        <v>6.1521041436860012E-2</v>
      </c>
      <c r="AJ205" s="152">
        <f t="shared" si="160"/>
        <v>18642.291666666664</v>
      </c>
      <c r="AK205" s="162">
        <f t="shared" si="161"/>
        <v>7.5134944469261722E-2</v>
      </c>
    </row>
    <row r="206" spans="2:37" outlineLevel="1" x14ac:dyDescent="0.35">
      <c r="B206" s="48" t="s">
        <v>79</v>
      </c>
      <c r="C206" s="62" t="s">
        <v>135</v>
      </c>
      <c r="D206" s="76">
        <v>397</v>
      </c>
      <c r="E206" s="77">
        <v>3833</v>
      </c>
      <c r="F206" s="76">
        <v>457</v>
      </c>
      <c r="G206" s="156">
        <f t="shared" si="122"/>
        <v>4290</v>
      </c>
      <c r="H206" s="160">
        <f t="shared" si="123"/>
        <v>0.11922775893555962</v>
      </c>
      <c r="I206" s="76">
        <v>501</v>
      </c>
      <c r="J206" s="156">
        <f t="shared" si="142"/>
        <v>4791</v>
      </c>
      <c r="K206" s="160">
        <f t="shared" si="143"/>
        <v>0.11678321678321678</v>
      </c>
      <c r="L206" s="76">
        <v>308</v>
      </c>
      <c r="M206" s="156">
        <f t="shared" si="144"/>
        <v>5099</v>
      </c>
      <c r="N206" s="160">
        <f t="shared" si="145"/>
        <v>6.4287205176372361E-2</v>
      </c>
      <c r="O206" s="76">
        <v>148</v>
      </c>
      <c r="P206" s="156">
        <f t="shared" si="146"/>
        <v>5247</v>
      </c>
      <c r="Q206" s="160">
        <f t="shared" si="147"/>
        <v>2.9025299078250636E-2</v>
      </c>
      <c r="R206" s="152">
        <f t="shared" si="148"/>
        <v>1811</v>
      </c>
      <c r="S206" s="162">
        <f t="shared" si="149"/>
        <v>8.1665707324589665E-2</v>
      </c>
      <c r="U206" s="76">
        <v>285</v>
      </c>
      <c r="V206" s="156">
        <f t="shared" si="150"/>
        <v>5532</v>
      </c>
      <c r="W206" s="160">
        <f t="shared" si="151"/>
        <v>5.431675242995998E-2</v>
      </c>
      <c r="X206" s="76">
        <v>317</v>
      </c>
      <c r="Y206" s="156">
        <f t="shared" si="152"/>
        <v>5849</v>
      </c>
      <c r="Z206" s="160">
        <f t="shared" si="153"/>
        <v>5.7302964569775849E-2</v>
      </c>
      <c r="AA206" s="76">
        <v>332</v>
      </c>
      <c r="AB206" s="156">
        <f t="shared" si="154"/>
        <v>6181</v>
      </c>
      <c r="AC206" s="160">
        <f t="shared" si="155"/>
        <v>5.6761839630706107E-2</v>
      </c>
      <c r="AD206" s="76">
        <v>290</v>
      </c>
      <c r="AE206" s="156">
        <f t="shared" si="156"/>
        <v>6471</v>
      </c>
      <c r="AF206" s="160">
        <f t="shared" si="157"/>
        <v>4.691797443779324E-2</v>
      </c>
      <c r="AG206" s="76">
        <v>278</v>
      </c>
      <c r="AH206" s="156">
        <f t="shared" si="158"/>
        <v>6749</v>
      </c>
      <c r="AI206" s="160">
        <f t="shared" si="159"/>
        <v>4.2960902488023492E-2</v>
      </c>
      <c r="AJ206" s="152">
        <f t="shared" si="160"/>
        <v>1502</v>
      </c>
      <c r="AK206" s="162">
        <f t="shared" si="161"/>
        <v>5.0967567791127877E-2</v>
      </c>
    </row>
    <row r="207" spans="2:37" outlineLevel="1" x14ac:dyDescent="0.35">
      <c r="B207" s="48" t="s">
        <v>80</v>
      </c>
      <c r="C207" s="62" t="s">
        <v>135</v>
      </c>
      <c r="D207" s="76">
        <v>251</v>
      </c>
      <c r="E207" s="77">
        <v>1509</v>
      </c>
      <c r="F207" s="76">
        <v>269</v>
      </c>
      <c r="G207" s="156">
        <f t="shared" si="122"/>
        <v>1778</v>
      </c>
      <c r="H207" s="160">
        <f t="shared" si="123"/>
        <v>0.17826375082836315</v>
      </c>
      <c r="I207" s="76">
        <v>484</v>
      </c>
      <c r="J207" s="156">
        <f t="shared" si="142"/>
        <v>2262</v>
      </c>
      <c r="K207" s="160">
        <f t="shared" si="143"/>
        <v>0.27221597300337458</v>
      </c>
      <c r="L207" s="76">
        <v>262</v>
      </c>
      <c r="M207" s="156">
        <f t="shared" si="144"/>
        <v>2524</v>
      </c>
      <c r="N207" s="160">
        <f t="shared" si="145"/>
        <v>0.11582670203359859</v>
      </c>
      <c r="O207" s="76">
        <v>185</v>
      </c>
      <c r="P207" s="156">
        <f t="shared" si="146"/>
        <v>2709</v>
      </c>
      <c r="Q207" s="160">
        <f t="shared" si="147"/>
        <v>7.3296354992076068E-2</v>
      </c>
      <c r="R207" s="152">
        <f t="shared" si="148"/>
        <v>1451</v>
      </c>
      <c r="S207" s="162">
        <f t="shared" si="149"/>
        <v>0.1575238318404355</v>
      </c>
      <c r="U207" s="76">
        <v>309</v>
      </c>
      <c r="V207" s="156">
        <f t="shared" si="150"/>
        <v>3018</v>
      </c>
      <c r="W207" s="160">
        <f t="shared" si="151"/>
        <v>0.11406423034330011</v>
      </c>
      <c r="X207" s="76">
        <v>362</v>
      </c>
      <c r="Y207" s="156">
        <f t="shared" si="152"/>
        <v>3380</v>
      </c>
      <c r="Z207" s="160">
        <f t="shared" si="153"/>
        <v>0.11994698475811796</v>
      </c>
      <c r="AA207" s="76">
        <v>381</v>
      </c>
      <c r="AB207" s="156">
        <f t="shared" si="154"/>
        <v>3761</v>
      </c>
      <c r="AC207" s="160">
        <f t="shared" si="155"/>
        <v>0.11272189349112426</v>
      </c>
      <c r="AD207" s="76">
        <v>328</v>
      </c>
      <c r="AE207" s="156">
        <f t="shared" si="156"/>
        <v>4089</v>
      </c>
      <c r="AF207" s="160">
        <f t="shared" si="157"/>
        <v>8.7210848178675887E-2</v>
      </c>
      <c r="AG207" s="76">
        <v>277</v>
      </c>
      <c r="AH207" s="156">
        <f t="shared" si="158"/>
        <v>4366</v>
      </c>
      <c r="AI207" s="160">
        <f t="shared" si="159"/>
        <v>6.77427243824896E-2</v>
      </c>
      <c r="AJ207" s="152">
        <f t="shared" si="160"/>
        <v>1657</v>
      </c>
      <c r="AK207" s="162">
        <f t="shared" si="161"/>
        <v>9.6708284131852063E-2</v>
      </c>
    </row>
    <row r="208" spans="2:37" outlineLevel="1" x14ac:dyDescent="0.35">
      <c r="B208" s="48" t="s">
        <v>81</v>
      </c>
      <c r="C208" s="62" t="s">
        <v>135</v>
      </c>
      <c r="D208" s="76">
        <v>547</v>
      </c>
      <c r="E208" s="77">
        <v>5953</v>
      </c>
      <c r="F208" s="76">
        <v>687</v>
      </c>
      <c r="G208" s="156">
        <f t="shared" si="122"/>
        <v>6640</v>
      </c>
      <c r="H208" s="160">
        <f t="shared" si="123"/>
        <v>0.11540399798420964</v>
      </c>
      <c r="I208" s="76">
        <v>629</v>
      </c>
      <c r="J208" s="156">
        <f t="shared" si="142"/>
        <v>7269</v>
      </c>
      <c r="K208" s="160">
        <f t="shared" si="143"/>
        <v>9.4728915662650598E-2</v>
      </c>
      <c r="L208" s="76">
        <v>356</v>
      </c>
      <c r="M208" s="156">
        <f t="shared" si="144"/>
        <v>7625</v>
      </c>
      <c r="N208" s="160">
        <f t="shared" si="145"/>
        <v>4.8975099738616037E-2</v>
      </c>
      <c r="O208" s="76">
        <v>328</v>
      </c>
      <c r="P208" s="156">
        <f t="shared" si="146"/>
        <v>7953</v>
      </c>
      <c r="Q208" s="160">
        <f t="shared" si="147"/>
        <v>4.3016393442622952E-2</v>
      </c>
      <c r="R208" s="152">
        <f t="shared" si="148"/>
        <v>2547</v>
      </c>
      <c r="S208" s="162">
        <f t="shared" si="149"/>
        <v>7.509978491754854E-2</v>
      </c>
      <c r="U208" s="76">
        <v>485</v>
      </c>
      <c r="V208" s="156">
        <f t="shared" si="150"/>
        <v>8438</v>
      </c>
      <c r="W208" s="160">
        <f t="shared" si="151"/>
        <v>6.0983276750911607E-2</v>
      </c>
      <c r="X208" s="76">
        <v>548</v>
      </c>
      <c r="Y208" s="156">
        <f t="shared" si="152"/>
        <v>8986</v>
      </c>
      <c r="Z208" s="160">
        <f t="shared" si="153"/>
        <v>6.4944299597060912E-2</v>
      </c>
      <c r="AA208" s="76">
        <v>579</v>
      </c>
      <c r="AB208" s="156">
        <f t="shared" si="154"/>
        <v>9565</v>
      </c>
      <c r="AC208" s="160">
        <f t="shared" si="155"/>
        <v>6.4433563320721116E-2</v>
      </c>
      <c r="AD208" s="76">
        <v>504</v>
      </c>
      <c r="AE208" s="156">
        <f t="shared" si="156"/>
        <v>10069</v>
      </c>
      <c r="AF208" s="160">
        <f t="shared" si="157"/>
        <v>5.2692106638787248E-2</v>
      </c>
      <c r="AG208" s="76">
        <v>402</v>
      </c>
      <c r="AH208" s="156">
        <f t="shared" si="158"/>
        <v>10471</v>
      </c>
      <c r="AI208" s="160">
        <f t="shared" si="159"/>
        <v>3.9924520806435597E-2</v>
      </c>
      <c r="AJ208" s="152">
        <f t="shared" si="160"/>
        <v>2518</v>
      </c>
      <c r="AK208" s="162">
        <f t="shared" si="161"/>
        <v>5.5448773705920162E-2</v>
      </c>
    </row>
    <row r="209" spans="2:37" outlineLevel="1" x14ac:dyDescent="0.35">
      <c r="B209" s="48" t="s">
        <v>82</v>
      </c>
      <c r="C209" s="62" t="s">
        <v>135</v>
      </c>
      <c r="D209" s="76">
        <v>3</v>
      </c>
      <c r="E209" s="77">
        <v>19</v>
      </c>
      <c r="F209" s="76">
        <v>1</v>
      </c>
      <c r="G209" s="156">
        <f t="shared" si="122"/>
        <v>20</v>
      </c>
      <c r="H209" s="160">
        <f t="shared" si="123"/>
        <v>5.2631578947368418E-2</v>
      </c>
      <c r="I209" s="76">
        <v>0</v>
      </c>
      <c r="J209" s="156">
        <f t="shared" si="142"/>
        <v>20</v>
      </c>
      <c r="K209" s="160">
        <f t="shared" si="143"/>
        <v>0</v>
      </c>
      <c r="L209" s="76">
        <v>-1</v>
      </c>
      <c r="M209" s="156">
        <f t="shared" si="144"/>
        <v>19</v>
      </c>
      <c r="N209" s="160">
        <f t="shared" si="145"/>
        <v>-0.05</v>
      </c>
      <c r="O209" s="76">
        <v>0</v>
      </c>
      <c r="P209" s="156">
        <f t="shared" si="146"/>
        <v>19</v>
      </c>
      <c r="Q209" s="160">
        <f t="shared" si="147"/>
        <v>0</v>
      </c>
      <c r="R209" s="152">
        <f t="shared" si="148"/>
        <v>3</v>
      </c>
      <c r="S209" s="162">
        <f t="shared" si="149"/>
        <v>0</v>
      </c>
      <c r="U209" s="76">
        <v>0</v>
      </c>
      <c r="V209" s="156">
        <f t="shared" si="150"/>
        <v>19</v>
      </c>
      <c r="W209" s="160">
        <f t="shared" si="151"/>
        <v>0</v>
      </c>
      <c r="X209" s="76">
        <v>0</v>
      </c>
      <c r="Y209" s="156">
        <f t="shared" si="152"/>
        <v>19</v>
      </c>
      <c r="Z209" s="160">
        <f t="shared" si="153"/>
        <v>0</v>
      </c>
      <c r="AA209" s="76">
        <v>0</v>
      </c>
      <c r="AB209" s="156">
        <f t="shared" si="154"/>
        <v>19</v>
      </c>
      <c r="AC209" s="160">
        <f t="shared" si="155"/>
        <v>0</v>
      </c>
      <c r="AD209" s="76">
        <v>0</v>
      </c>
      <c r="AE209" s="156">
        <f t="shared" si="156"/>
        <v>19</v>
      </c>
      <c r="AF209" s="160">
        <f t="shared" si="157"/>
        <v>0</v>
      </c>
      <c r="AG209" s="76">
        <v>0</v>
      </c>
      <c r="AH209" s="156">
        <f t="shared" si="158"/>
        <v>19</v>
      </c>
      <c r="AI209" s="160">
        <f t="shared" si="159"/>
        <v>0</v>
      </c>
      <c r="AJ209" s="152">
        <f t="shared" si="160"/>
        <v>0</v>
      </c>
      <c r="AK209" s="162">
        <f t="shared" si="161"/>
        <v>0</v>
      </c>
    </row>
    <row r="210" spans="2:37" outlineLevel="1" x14ac:dyDescent="0.35">
      <c r="B210" s="48" t="s">
        <v>83</v>
      </c>
      <c r="C210" s="62" t="s">
        <v>135</v>
      </c>
      <c r="D210" s="76">
        <v>75</v>
      </c>
      <c r="E210" s="77">
        <v>2864</v>
      </c>
      <c r="F210" s="76">
        <v>100</v>
      </c>
      <c r="G210" s="156">
        <f t="shared" si="122"/>
        <v>2964</v>
      </c>
      <c r="H210" s="160">
        <f t="shared" si="123"/>
        <v>3.4916201117318434E-2</v>
      </c>
      <c r="I210" s="76">
        <v>79</v>
      </c>
      <c r="J210" s="156">
        <f t="shared" si="142"/>
        <v>3043</v>
      </c>
      <c r="K210" s="160">
        <f t="shared" si="143"/>
        <v>2.6653171390013497E-2</v>
      </c>
      <c r="L210" s="76">
        <v>33</v>
      </c>
      <c r="M210" s="156">
        <f t="shared" si="144"/>
        <v>3076</v>
      </c>
      <c r="N210" s="160">
        <f t="shared" si="145"/>
        <v>1.0844561288202431E-2</v>
      </c>
      <c r="O210" s="76">
        <v>27</v>
      </c>
      <c r="P210" s="156">
        <f t="shared" si="146"/>
        <v>3103</v>
      </c>
      <c r="Q210" s="160">
        <f t="shared" si="147"/>
        <v>8.7776332899869962E-3</v>
      </c>
      <c r="R210" s="152">
        <f t="shared" si="148"/>
        <v>314</v>
      </c>
      <c r="S210" s="162">
        <f t="shared" si="149"/>
        <v>2.0239633076313934E-2</v>
      </c>
      <c r="U210" s="76">
        <v>61</v>
      </c>
      <c r="V210" s="156">
        <f t="shared" si="150"/>
        <v>3164</v>
      </c>
      <c r="W210" s="160">
        <f t="shared" si="151"/>
        <v>1.9658395101514663E-2</v>
      </c>
      <c r="X210" s="76">
        <v>112</v>
      </c>
      <c r="Y210" s="156">
        <f t="shared" si="152"/>
        <v>3276</v>
      </c>
      <c r="Z210" s="160">
        <f t="shared" si="153"/>
        <v>3.5398230088495575E-2</v>
      </c>
      <c r="AA210" s="76">
        <v>138</v>
      </c>
      <c r="AB210" s="156">
        <f t="shared" si="154"/>
        <v>3414</v>
      </c>
      <c r="AC210" s="160">
        <f t="shared" si="155"/>
        <v>4.2124542124542128E-2</v>
      </c>
      <c r="AD210" s="76">
        <v>147</v>
      </c>
      <c r="AE210" s="156">
        <f t="shared" si="156"/>
        <v>3561</v>
      </c>
      <c r="AF210" s="160">
        <f t="shared" si="157"/>
        <v>4.3057996485061513E-2</v>
      </c>
      <c r="AG210" s="76">
        <v>138</v>
      </c>
      <c r="AH210" s="156">
        <f t="shared" si="158"/>
        <v>3699</v>
      </c>
      <c r="AI210" s="160">
        <f t="shared" si="159"/>
        <v>3.8753159224936815E-2</v>
      </c>
      <c r="AJ210" s="152">
        <f t="shared" si="160"/>
        <v>596</v>
      </c>
      <c r="AK210" s="162">
        <f t="shared" si="161"/>
        <v>3.9829092730732762E-2</v>
      </c>
    </row>
    <row r="211" spans="2:37" outlineLevel="1" x14ac:dyDescent="0.35">
      <c r="B211" s="48" t="s">
        <v>84</v>
      </c>
      <c r="C211" s="62" t="s">
        <v>135</v>
      </c>
      <c r="D211" s="76">
        <v>142</v>
      </c>
      <c r="E211" s="77">
        <v>1154</v>
      </c>
      <c r="F211" s="76">
        <v>176</v>
      </c>
      <c r="G211" s="156">
        <f t="shared" si="122"/>
        <v>1330</v>
      </c>
      <c r="H211" s="160">
        <f t="shared" si="123"/>
        <v>0.15251299826689774</v>
      </c>
      <c r="I211" s="76">
        <v>159</v>
      </c>
      <c r="J211" s="156">
        <f t="shared" si="142"/>
        <v>1489</v>
      </c>
      <c r="K211" s="160">
        <f t="shared" si="143"/>
        <v>0.11954887218045113</v>
      </c>
      <c r="L211" s="76">
        <v>90</v>
      </c>
      <c r="M211" s="156">
        <f t="shared" si="144"/>
        <v>1579</v>
      </c>
      <c r="N211" s="160">
        <f t="shared" si="145"/>
        <v>6.0443250503693757E-2</v>
      </c>
      <c r="O211" s="76">
        <v>78</v>
      </c>
      <c r="P211" s="156">
        <f t="shared" si="146"/>
        <v>1657</v>
      </c>
      <c r="Q211" s="160">
        <f t="shared" si="147"/>
        <v>4.9398353388220392E-2</v>
      </c>
      <c r="R211" s="152">
        <f t="shared" si="148"/>
        <v>645</v>
      </c>
      <c r="S211" s="162">
        <f t="shared" si="149"/>
        <v>9.4659813710870511E-2</v>
      </c>
      <c r="U211" s="76">
        <v>126</v>
      </c>
      <c r="V211" s="156">
        <f t="shared" si="150"/>
        <v>1783</v>
      </c>
      <c r="W211" s="160">
        <f t="shared" si="151"/>
        <v>7.6041038020519008E-2</v>
      </c>
      <c r="X211" s="76">
        <v>187</v>
      </c>
      <c r="Y211" s="156">
        <f t="shared" si="152"/>
        <v>1970</v>
      </c>
      <c r="Z211" s="160">
        <f t="shared" si="153"/>
        <v>0.10487941671340438</v>
      </c>
      <c r="AA211" s="76">
        <v>284</v>
      </c>
      <c r="AB211" s="156">
        <f t="shared" si="154"/>
        <v>2254</v>
      </c>
      <c r="AC211" s="160">
        <f t="shared" si="155"/>
        <v>0.14416243654822336</v>
      </c>
      <c r="AD211" s="76">
        <v>321</v>
      </c>
      <c r="AE211" s="156">
        <f t="shared" si="156"/>
        <v>2575</v>
      </c>
      <c r="AF211" s="160">
        <f t="shared" si="157"/>
        <v>0.14241348713398402</v>
      </c>
      <c r="AG211" s="76">
        <v>276</v>
      </c>
      <c r="AH211" s="156">
        <f t="shared" si="158"/>
        <v>2851</v>
      </c>
      <c r="AI211" s="160">
        <f t="shared" si="159"/>
        <v>0.10718446601941747</v>
      </c>
      <c r="AJ211" s="152">
        <f t="shared" si="160"/>
        <v>1194</v>
      </c>
      <c r="AK211" s="162">
        <f t="shared" si="161"/>
        <v>0.1245052012126493</v>
      </c>
    </row>
    <row r="212" spans="2:37" outlineLevel="1" x14ac:dyDescent="0.35">
      <c r="B212" s="48" t="s">
        <v>85</v>
      </c>
      <c r="C212" s="62" t="s">
        <v>135</v>
      </c>
      <c r="D212" s="76">
        <v>590</v>
      </c>
      <c r="E212" s="77">
        <v>2074</v>
      </c>
      <c r="F212" s="76">
        <v>1048</v>
      </c>
      <c r="G212" s="156">
        <f t="shared" si="122"/>
        <v>3122</v>
      </c>
      <c r="H212" s="160">
        <f t="shared" si="123"/>
        <v>0.50530376084860174</v>
      </c>
      <c r="I212" s="76">
        <v>620</v>
      </c>
      <c r="J212" s="156">
        <f t="shared" si="142"/>
        <v>3742</v>
      </c>
      <c r="K212" s="160">
        <f t="shared" si="143"/>
        <v>0.19859064702114029</v>
      </c>
      <c r="L212" s="76">
        <v>201</v>
      </c>
      <c r="M212" s="156">
        <f t="shared" si="144"/>
        <v>3943</v>
      </c>
      <c r="N212" s="160">
        <f t="shared" si="145"/>
        <v>5.3714591127739179E-2</v>
      </c>
      <c r="O212" s="76">
        <v>199</v>
      </c>
      <c r="P212" s="156">
        <f t="shared" si="146"/>
        <v>4142</v>
      </c>
      <c r="Q212" s="160">
        <f t="shared" si="147"/>
        <v>5.046918589906163E-2</v>
      </c>
      <c r="R212" s="152">
        <f t="shared" si="148"/>
        <v>2658</v>
      </c>
      <c r="S212" s="162">
        <f t="shared" si="149"/>
        <v>0.18877684039270903</v>
      </c>
      <c r="U212" s="76">
        <v>238</v>
      </c>
      <c r="V212" s="156">
        <f t="shared" si="150"/>
        <v>4380</v>
      </c>
      <c r="W212" s="160">
        <f t="shared" si="151"/>
        <v>5.7460164171897636E-2</v>
      </c>
      <c r="X212" s="76">
        <v>295</v>
      </c>
      <c r="Y212" s="156">
        <f t="shared" si="152"/>
        <v>4675</v>
      </c>
      <c r="Z212" s="160">
        <f t="shared" si="153"/>
        <v>6.7351598173515978E-2</v>
      </c>
      <c r="AA212" s="76">
        <v>315</v>
      </c>
      <c r="AB212" s="156">
        <f t="shared" si="154"/>
        <v>4990</v>
      </c>
      <c r="AC212" s="160">
        <f t="shared" si="155"/>
        <v>6.737967914438503E-2</v>
      </c>
      <c r="AD212" s="76">
        <v>271</v>
      </c>
      <c r="AE212" s="156">
        <f t="shared" si="156"/>
        <v>5261</v>
      </c>
      <c r="AF212" s="160">
        <f t="shared" si="157"/>
        <v>5.4308617234468941E-2</v>
      </c>
      <c r="AG212" s="76">
        <v>219</v>
      </c>
      <c r="AH212" s="156">
        <f t="shared" si="158"/>
        <v>5480</v>
      </c>
      <c r="AI212" s="160">
        <f t="shared" si="159"/>
        <v>4.1627067097509976E-2</v>
      </c>
      <c r="AJ212" s="152">
        <f t="shared" si="160"/>
        <v>1338</v>
      </c>
      <c r="AK212" s="162">
        <f t="shared" si="161"/>
        <v>5.7612589774532097E-2</v>
      </c>
    </row>
    <row r="213" spans="2:37" outlineLevel="1" x14ac:dyDescent="0.35">
      <c r="B213" s="48" t="s">
        <v>86</v>
      </c>
      <c r="C213" s="62" t="s">
        <v>135</v>
      </c>
      <c r="D213" s="76">
        <v>167</v>
      </c>
      <c r="E213" s="77">
        <v>1245</v>
      </c>
      <c r="F213" s="76">
        <v>239</v>
      </c>
      <c r="G213" s="156">
        <f t="shared" si="122"/>
        <v>1484</v>
      </c>
      <c r="H213" s="160">
        <f t="shared" si="123"/>
        <v>0.19196787148594377</v>
      </c>
      <c r="I213" s="76">
        <v>448</v>
      </c>
      <c r="J213" s="156">
        <f t="shared" si="142"/>
        <v>1932</v>
      </c>
      <c r="K213" s="160">
        <f t="shared" si="143"/>
        <v>0.30188679245283018</v>
      </c>
      <c r="L213" s="76">
        <v>273</v>
      </c>
      <c r="M213" s="156">
        <f t="shared" si="144"/>
        <v>2205</v>
      </c>
      <c r="N213" s="160">
        <f t="shared" si="145"/>
        <v>0.14130434782608695</v>
      </c>
      <c r="O213" s="76">
        <v>156</v>
      </c>
      <c r="P213" s="156">
        <f t="shared" si="146"/>
        <v>2361</v>
      </c>
      <c r="Q213" s="160">
        <f t="shared" si="147"/>
        <v>7.0748299319727898E-2</v>
      </c>
      <c r="R213" s="152">
        <f t="shared" si="148"/>
        <v>1283</v>
      </c>
      <c r="S213" s="162">
        <f t="shared" si="149"/>
        <v>0.1734961224546383</v>
      </c>
      <c r="U213" s="76">
        <v>261</v>
      </c>
      <c r="V213" s="156">
        <f t="shared" si="150"/>
        <v>2622</v>
      </c>
      <c r="W213" s="160">
        <f t="shared" si="151"/>
        <v>0.11054637865311309</v>
      </c>
      <c r="X213" s="76">
        <v>505</v>
      </c>
      <c r="Y213" s="156">
        <f t="shared" si="152"/>
        <v>3127</v>
      </c>
      <c r="Z213" s="160">
        <f t="shared" si="153"/>
        <v>0.19260106788710907</v>
      </c>
      <c r="AA213" s="76">
        <v>745</v>
      </c>
      <c r="AB213" s="156">
        <f t="shared" si="154"/>
        <v>3872</v>
      </c>
      <c r="AC213" s="160">
        <f t="shared" si="155"/>
        <v>0.23824752158618484</v>
      </c>
      <c r="AD213" s="76">
        <v>732</v>
      </c>
      <c r="AE213" s="156">
        <f t="shared" si="156"/>
        <v>4604</v>
      </c>
      <c r="AF213" s="160">
        <f t="shared" si="157"/>
        <v>0.18904958677685951</v>
      </c>
      <c r="AG213" s="76">
        <v>601</v>
      </c>
      <c r="AH213" s="156">
        <f t="shared" si="158"/>
        <v>5205</v>
      </c>
      <c r="AI213" s="160">
        <f t="shared" si="159"/>
        <v>0.13053866203301476</v>
      </c>
      <c r="AJ213" s="152">
        <f t="shared" si="160"/>
        <v>2844</v>
      </c>
      <c r="AK213" s="162">
        <f t="shared" si="161"/>
        <v>0.18698986728163902</v>
      </c>
    </row>
    <row r="214" spans="2:37" outlineLevel="1" x14ac:dyDescent="0.35">
      <c r="B214" s="48" t="s">
        <v>87</v>
      </c>
      <c r="C214" s="62" t="s">
        <v>135</v>
      </c>
      <c r="D214" s="76">
        <v>382</v>
      </c>
      <c r="E214" s="77">
        <v>2696</v>
      </c>
      <c r="F214" s="76">
        <v>461</v>
      </c>
      <c r="G214" s="156">
        <f t="shared" si="122"/>
        <v>3157</v>
      </c>
      <c r="H214" s="160">
        <f t="shared" si="123"/>
        <v>0.17099406528189912</v>
      </c>
      <c r="I214" s="76">
        <v>347</v>
      </c>
      <c r="J214" s="156">
        <f t="shared" si="142"/>
        <v>3504</v>
      </c>
      <c r="K214" s="160">
        <f t="shared" si="143"/>
        <v>0.1099144757681343</v>
      </c>
      <c r="L214" s="76">
        <v>170</v>
      </c>
      <c r="M214" s="156">
        <f t="shared" si="144"/>
        <v>3674</v>
      </c>
      <c r="N214" s="160">
        <f t="shared" si="145"/>
        <v>4.8515981735159815E-2</v>
      </c>
      <c r="O214" s="76">
        <v>142</v>
      </c>
      <c r="P214" s="156">
        <f t="shared" si="146"/>
        <v>3816</v>
      </c>
      <c r="Q214" s="160">
        <f t="shared" si="147"/>
        <v>3.8649972781709306E-2</v>
      </c>
      <c r="R214" s="152">
        <f t="shared" si="148"/>
        <v>1502</v>
      </c>
      <c r="S214" s="162">
        <f t="shared" si="149"/>
        <v>9.0742208923189738E-2</v>
      </c>
      <c r="U214" s="76">
        <v>237</v>
      </c>
      <c r="V214" s="156">
        <f t="shared" si="150"/>
        <v>4053</v>
      </c>
      <c r="W214" s="160">
        <f t="shared" si="151"/>
        <v>6.2106918238993711E-2</v>
      </c>
      <c r="X214" s="76">
        <v>389</v>
      </c>
      <c r="Y214" s="156">
        <f t="shared" si="152"/>
        <v>4442</v>
      </c>
      <c r="Z214" s="160">
        <f t="shared" si="153"/>
        <v>9.5978287688132241E-2</v>
      </c>
      <c r="AA214" s="76">
        <v>429</v>
      </c>
      <c r="AB214" s="156">
        <f t="shared" si="154"/>
        <v>4871</v>
      </c>
      <c r="AC214" s="160">
        <f t="shared" si="155"/>
        <v>9.657811796488068E-2</v>
      </c>
      <c r="AD214" s="76">
        <v>339</v>
      </c>
      <c r="AE214" s="156">
        <f t="shared" si="156"/>
        <v>5210</v>
      </c>
      <c r="AF214" s="160">
        <f t="shared" si="157"/>
        <v>6.9595565592280847E-2</v>
      </c>
      <c r="AG214" s="76">
        <v>355</v>
      </c>
      <c r="AH214" s="156">
        <f t="shared" si="158"/>
        <v>5565</v>
      </c>
      <c r="AI214" s="160">
        <f t="shared" si="159"/>
        <v>6.8138195777351251E-2</v>
      </c>
      <c r="AJ214" s="152">
        <f t="shared" si="160"/>
        <v>1749</v>
      </c>
      <c r="AK214" s="162">
        <f t="shared" si="161"/>
        <v>8.2485633562165095E-2</v>
      </c>
    </row>
    <row r="215" spans="2:37" outlineLevel="1" x14ac:dyDescent="0.35">
      <c r="B215" s="48" t="s">
        <v>88</v>
      </c>
      <c r="C215" s="62" t="s">
        <v>135</v>
      </c>
      <c r="D215" s="76">
        <v>349</v>
      </c>
      <c r="E215" s="77">
        <v>2594</v>
      </c>
      <c r="F215" s="76">
        <v>525</v>
      </c>
      <c r="G215" s="156">
        <f t="shared" si="122"/>
        <v>3119</v>
      </c>
      <c r="H215" s="160">
        <f t="shared" si="123"/>
        <v>0.20239013107170392</v>
      </c>
      <c r="I215" s="76">
        <v>544</v>
      </c>
      <c r="J215" s="156">
        <f t="shared" si="142"/>
        <v>3663</v>
      </c>
      <c r="K215" s="160">
        <f t="shared" si="143"/>
        <v>0.17441487656300098</v>
      </c>
      <c r="L215" s="76">
        <v>265</v>
      </c>
      <c r="M215" s="156">
        <f t="shared" si="144"/>
        <v>3928</v>
      </c>
      <c r="N215" s="160">
        <f t="shared" si="145"/>
        <v>7.2345072345072342E-2</v>
      </c>
      <c r="O215" s="76">
        <v>269</v>
      </c>
      <c r="P215" s="156">
        <f t="shared" si="146"/>
        <v>4197</v>
      </c>
      <c r="Q215" s="160">
        <f t="shared" si="147"/>
        <v>6.8482688391038701E-2</v>
      </c>
      <c r="R215" s="152">
        <f t="shared" si="148"/>
        <v>1952</v>
      </c>
      <c r="S215" s="162">
        <f t="shared" si="149"/>
        <v>0.12782638205806696</v>
      </c>
      <c r="U215" s="76">
        <v>435</v>
      </c>
      <c r="V215" s="156">
        <f t="shared" si="150"/>
        <v>4632</v>
      </c>
      <c r="W215" s="160">
        <f t="shared" si="151"/>
        <v>0.10364546104360257</v>
      </c>
      <c r="X215" s="76">
        <v>601</v>
      </c>
      <c r="Y215" s="156">
        <f t="shared" si="152"/>
        <v>5233</v>
      </c>
      <c r="Z215" s="160">
        <f t="shared" si="153"/>
        <v>0.12974956822107081</v>
      </c>
      <c r="AA215" s="76">
        <v>756</v>
      </c>
      <c r="AB215" s="156">
        <f t="shared" si="154"/>
        <v>5989</v>
      </c>
      <c r="AC215" s="160">
        <f t="shared" si="155"/>
        <v>0.14446780049684693</v>
      </c>
      <c r="AD215" s="76">
        <v>667</v>
      </c>
      <c r="AE215" s="156">
        <f t="shared" si="156"/>
        <v>6656</v>
      </c>
      <c r="AF215" s="160">
        <f t="shared" si="157"/>
        <v>0.11137084655201203</v>
      </c>
      <c r="AG215" s="76">
        <v>620</v>
      </c>
      <c r="AH215" s="156">
        <f t="shared" si="158"/>
        <v>7276</v>
      </c>
      <c r="AI215" s="160">
        <f t="shared" si="159"/>
        <v>9.3149038461538464E-2</v>
      </c>
      <c r="AJ215" s="152">
        <f t="shared" si="160"/>
        <v>3079</v>
      </c>
      <c r="AK215" s="162">
        <f t="shared" si="161"/>
        <v>0.11951788196067215</v>
      </c>
    </row>
    <row r="216" spans="2:37" outlineLevel="1" x14ac:dyDescent="0.35">
      <c r="B216" s="48" t="s">
        <v>89</v>
      </c>
      <c r="C216" s="62" t="s">
        <v>135</v>
      </c>
      <c r="D216" s="76">
        <v>163</v>
      </c>
      <c r="E216" s="77">
        <v>2081</v>
      </c>
      <c r="F216" s="76">
        <v>213</v>
      </c>
      <c r="G216" s="156">
        <f t="shared" si="122"/>
        <v>2294</v>
      </c>
      <c r="H216" s="160">
        <f t="shared" si="123"/>
        <v>0.10235463719365689</v>
      </c>
      <c r="I216" s="76">
        <v>217</v>
      </c>
      <c r="J216" s="156">
        <f t="shared" si="142"/>
        <v>2511</v>
      </c>
      <c r="K216" s="160">
        <f t="shared" si="143"/>
        <v>9.45945945945946E-2</v>
      </c>
      <c r="L216" s="76">
        <v>121</v>
      </c>
      <c r="M216" s="156">
        <f t="shared" si="144"/>
        <v>2632</v>
      </c>
      <c r="N216" s="160">
        <f t="shared" si="145"/>
        <v>4.8187972919155712E-2</v>
      </c>
      <c r="O216" s="76">
        <v>82</v>
      </c>
      <c r="P216" s="156">
        <f t="shared" si="146"/>
        <v>2714</v>
      </c>
      <c r="Q216" s="160">
        <f t="shared" si="147"/>
        <v>3.115501519756839E-2</v>
      </c>
      <c r="R216" s="152">
        <f t="shared" si="148"/>
        <v>796</v>
      </c>
      <c r="S216" s="162">
        <f t="shared" si="149"/>
        <v>6.8647417995762794E-2</v>
      </c>
      <c r="U216" s="76">
        <v>166</v>
      </c>
      <c r="V216" s="156">
        <f t="shared" si="150"/>
        <v>2880</v>
      </c>
      <c r="W216" s="160">
        <f t="shared" si="151"/>
        <v>6.1164333087693444E-2</v>
      </c>
      <c r="X216" s="76">
        <v>207</v>
      </c>
      <c r="Y216" s="156">
        <f t="shared" si="152"/>
        <v>3087</v>
      </c>
      <c r="Z216" s="160">
        <f t="shared" si="153"/>
        <v>7.1874999999999994E-2</v>
      </c>
      <c r="AA216" s="76">
        <v>259</v>
      </c>
      <c r="AB216" s="156">
        <f t="shared" si="154"/>
        <v>3346</v>
      </c>
      <c r="AC216" s="160">
        <f t="shared" si="155"/>
        <v>8.390022675736962E-2</v>
      </c>
      <c r="AD216" s="76">
        <v>294</v>
      </c>
      <c r="AE216" s="156">
        <f t="shared" si="156"/>
        <v>3640</v>
      </c>
      <c r="AF216" s="160">
        <f t="shared" si="157"/>
        <v>8.7866108786610872E-2</v>
      </c>
      <c r="AG216" s="76">
        <v>271</v>
      </c>
      <c r="AH216" s="156">
        <f t="shared" si="158"/>
        <v>3911</v>
      </c>
      <c r="AI216" s="160">
        <f t="shared" si="159"/>
        <v>7.445054945054945E-2</v>
      </c>
      <c r="AJ216" s="152">
        <f t="shared" si="160"/>
        <v>1197</v>
      </c>
      <c r="AK216" s="162">
        <f t="shared" si="161"/>
        <v>7.950294642765221E-2</v>
      </c>
    </row>
    <row r="217" spans="2:37" outlineLevel="1" x14ac:dyDescent="0.35">
      <c r="B217" s="48" t="s">
        <v>90</v>
      </c>
      <c r="C217" s="62" t="s">
        <v>135</v>
      </c>
      <c r="D217" s="76">
        <v>1</v>
      </c>
      <c r="E217" s="77">
        <v>27</v>
      </c>
      <c r="F217" s="76">
        <v>1</v>
      </c>
      <c r="G217" s="156">
        <f t="shared" si="122"/>
        <v>28</v>
      </c>
      <c r="H217" s="160">
        <f t="shared" si="123"/>
        <v>3.7037037037037035E-2</v>
      </c>
      <c r="I217" s="76">
        <v>0</v>
      </c>
      <c r="J217" s="156">
        <f t="shared" si="142"/>
        <v>28</v>
      </c>
      <c r="K217" s="160">
        <f t="shared" si="143"/>
        <v>0</v>
      </c>
      <c r="L217" s="76">
        <v>0</v>
      </c>
      <c r="M217" s="156">
        <f t="shared" si="144"/>
        <v>28</v>
      </c>
      <c r="N217" s="160">
        <f t="shared" si="145"/>
        <v>0</v>
      </c>
      <c r="O217" s="76">
        <v>-1</v>
      </c>
      <c r="P217" s="156">
        <f t="shared" si="146"/>
        <v>27</v>
      </c>
      <c r="Q217" s="160">
        <f t="shared" si="147"/>
        <v>-3.5714285714285712E-2</v>
      </c>
      <c r="R217" s="152">
        <f t="shared" si="148"/>
        <v>1</v>
      </c>
      <c r="S217" s="162">
        <f t="shared" si="149"/>
        <v>0</v>
      </c>
      <c r="U217" s="76">
        <v>2</v>
      </c>
      <c r="V217" s="156">
        <f t="shared" si="150"/>
        <v>29</v>
      </c>
      <c r="W217" s="160">
        <f t="shared" si="151"/>
        <v>7.407407407407407E-2</v>
      </c>
      <c r="X217" s="76">
        <v>8</v>
      </c>
      <c r="Y217" s="156">
        <f t="shared" si="152"/>
        <v>37</v>
      </c>
      <c r="Z217" s="160">
        <f t="shared" si="153"/>
        <v>0.27586206896551724</v>
      </c>
      <c r="AA217" s="76">
        <v>10</v>
      </c>
      <c r="AB217" s="156">
        <f t="shared" si="154"/>
        <v>47</v>
      </c>
      <c r="AC217" s="160">
        <f t="shared" si="155"/>
        <v>0.27027027027027029</v>
      </c>
      <c r="AD217" s="76">
        <v>19</v>
      </c>
      <c r="AE217" s="156">
        <f t="shared" si="156"/>
        <v>66</v>
      </c>
      <c r="AF217" s="160">
        <f t="shared" si="157"/>
        <v>0.40425531914893614</v>
      </c>
      <c r="AG217" s="76">
        <v>18</v>
      </c>
      <c r="AH217" s="156">
        <f t="shared" si="158"/>
        <v>84</v>
      </c>
      <c r="AI217" s="160">
        <f t="shared" si="159"/>
        <v>0.27272727272727271</v>
      </c>
      <c r="AJ217" s="152">
        <f t="shared" si="160"/>
        <v>57</v>
      </c>
      <c r="AK217" s="162">
        <f t="shared" si="161"/>
        <v>0.30457881586109092</v>
      </c>
    </row>
    <row r="218" spans="2:37" outlineLevel="1" x14ac:dyDescent="0.35">
      <c r="B218" s="48" t="s">
        <v>91</v>
      </c>
      <c r="C218" s="62" t="s">
        <v>135</v>
      </c>
      <c r="D218" s="76">
        <v>22</v>
      </c>
      <c r="E218" s="77">
        <v>155</v>
      </c>
      <c r="F218" s="76">
        <v>21</v>
      </c>
      <c r="G218" s="156">
        <f t="shared" si="122"/>
        <v>176</v>
      </c>
      <c r="H218" s="160">
        <f t="shared" si="123"/>
        <v>0.13548387096774195</v>
      </c>
      <c r="I218" s="76">
        <v>48</v>
      </c>
      <c r="J218" s="156">
        <f t="shared" si="142"/>
        <v>224</v>
      </c>
      <c r="K218" s="160">
        <f t="shared" si="143"/>
        <v>0.27272727272727271</v>
      </c>
      <c r="L218" s="76">
        <v>41</v>
      </c>
      <c r="M218" s="156">
        <f t="shared" si="144"/>
        <v>265</v>
      </c>
      <c r="N218" s="160">
        <f t="shared" si="145"/>
        <v>0.18303571428571427</v>
      </c>
      <c r="O218" s="76">
        <v>12</v>
      </c>
      <c r="P218" s="156">
        <f t="shared" si="146"/>
        <v>277</v>
      </c>
      <c r="Q218" s="160">
        <f t="shared" si="147"/>
        <v>4.5283018867924525E-2</v>
      </c>
      <c r="R218" s="152">
        <f t="shared" si="148"/>
        <v>144</v>
      </c>
      <c r="S218" s="162">
        <f t="shared" si="149"/>
        <v>0.15621078930497778</v>
      </c>
      <c r="U218" s="76">
        <v>10</v>
      </c>
      <c r="V218" s="156">
        <f t="shared" si="150"/>
        <v>287</v>
      </c>
      <c r="W218" s="160">
        <f t="shared" si="151"/>
        <v>3.6101083032490974E-2</v>
      </c>
      <c r="X218" s="76">
        <v>16</v>
      </c>
      <c r="Y218" s="156">
        <f t="shared" si="152"/>
        <v>303</v>
      </c>
      <c r="Z218" s="160">
        <f t="shared" si="153"/>
        <v>5.5749128919860627E-2</v>
      </c>
      <c r="AA218" s="76">
        <v>22</v>
      </c>
      <c r="AB218" s="156">
        <f t="shared" si="154"/>
        <v>325</v>
      </c>
      <c r="AC218" s="160">
        <f t="shared" si="155"/>
        <v>7.2607260726072612E-2</v>
      </c>
      <c r="AD218" s="76">
        <v>20</v>
      </c>
      <c r="AE218" s="156">
        <f t="shared" si="156"/>
        <v>345</v>
      </c>
      <c r="AF218" s="160">
        <f t="shared" si="157"/>
        <v>6.1538461538461542E-2</v>
      </c>
      <c r="AG218" s="76">
        <v>20</v>
      </c>
      <c r="AH218" s="156">
        <f t="shared" si="158"/>
        <v>365</v>
      </c>
      <c r="AI218" s="160">
        <f t="shared" si="159"/>
        <v>5.7971014492753624E-2</v>
      </c>
      <c r="AJ218" s="152">
        <f t="shared" si="160"/>
        <v>88</v>
      </c>
      <c r="AK218" s="162">
        <f t="shared" si="161"/>
        <v>6.1946754392235626E-2</v>
      </c>
    </row>
    <row r="219" spans="2:37" outlineLevel="1" x14ac:dyDescent="0.35">
      <c r="B219" s="48" t="s">
        <v>92</v>
      </c>
      <c r="C219" s="62" t="s">
        <v>135</v>
      </c>
      <c r="D219" s="76">
        <v>159</v>
      </c>
      <c r="E219" s="77">
        <v>1109</v>
      </c>
      <c r="F219" s="76">
        <v>262</v>
      </c>
      <c r="G219" s="156">
        <f t="shared" si="122"/>
        <v>1371</v>
      </c>
      <c r="H219" s="160">
        <f t="shared" si="123"/>
        <v>0.23624887285843102</v>
      </c>
      <c r="I219" s="76">
        <v>642</v>
      </c>
      <c r="J219" s="156">
        <f t="shared" si="142"/>
        <v>2013</v>
      </c>
      <c r="K219" s="160">
        <f t="shared" si="143"/>
        <v>0.46827133479212252</v>
      </c>
      <c r="L219" s="76">
        <v>252</v>
      </c>
      <c r="M219" s="156">
        <f t="shared" si="144"/>
        <v>2265</v>
      </c>
      <c r="N219" s="160">
        <f t="shared" si="145"/>
        <v>0.12518628912071536</v>
      </c>
      <c r="O219" s="76">
        <v>211</v>
      </c>
      <c r="P219" s="156">
        <f t="shared" si="146"/>
        <v>2476</v>
      </c>
      <c r="Q219" s="160">
        <f t="shared" si="147"/>
        <v>9.3156732891832225E-2</v>
      </c>
      <c r="R219" s="152">
        <f t="shared" si="148"/>
        <v>1526</v>
      </c>
      <c r="S219" s="162">
        <f t="shared" si="149"/>
        <v>0.22237588495487093</v>
      </c>
      <c r="U219" s="76">
        <v>300</v>
      </c>
      <c r="V219" s="156">
        <f t="shared" si="150"/>
        <v>2776</v>
      </c>
      <c r="W219" s="160">
        <f t="shared" si="151"/>
        <v>0.12116316639741519</v>
      </c>
      <c r="X219" s="76">
        <v>384</v>
      </c>
      <c r="Y219" s="156">
        <f t="shared" si="152"/>
        <v>3160</v>
      </c>
      <c r="Z219" s="160">
        <f t="shared" si="153"/>
        <v>0.13832853025936601</v>
      </c>
      <c r="AA219" s="76">
        <v>464</v>
      </c>
      <c r="AB219" s="156">
        <f t="shared" si="154"/>
        <v>3624</v>
      </c>
      <c r="AC219" s="160">
        <f t="shared" si="155"/>
        <v>0.14683544303797469</v>
      </c>
      <c r="AD219" s="76">
        <v>411</v>
      </c>
      <c r="AE219" s="156">
        <f t="shared" si="156"/>
        <v>4035</v>
      </c>
      <c r="AF219" s="160">
        <f t="shared" si="157"/>
        <v>0.11341059602649006</v>
      </c>
      <c r="AG219" s="76">
        <v>327</v>
      </c>
      <c r="AH219" s="156">
        <f t="shared" si="158"/>
        <v>4362</v>
      </c>
      <c r="AI219" s="160">
        <f t="shared" si="159"/>
        <v>8.1040892193308553E-2</v>
      </c>
      <c r="AJ219" s="152">
        <f t="shared" si="160"/>
        <v>1886</v>
      </c>
      <c r="AK219" s="162">
        <f t="shared" si="161"/>
        <v>0.11960943560821535</v>
      </c>
    </row>
    <row r="220" spans="2:37" outlineLevel="1" x14ac:dyDescent="0.35">
      <c r="B220" s="48" t="s">
        <v>93</v>
      </c>
      <c r="C220" s="62" t="s">
        <v>135</v>
      </c>
      <c r="D220" s="76">
        <v>225</v>
      </c>
      <c r="E220" s="77">
        <v>1113</v>
      </c>
      <c r="F220" s="76">
        <v>428</v>
      </c>
      <c r="G220" s="156">
        <f t="shared" si="122"/>
        <v>1541</v>
      </c>
      <c r="H220" s="160">
        <f t="shared" si="123"/>
        <v>0.38454627133872415</v>
      </c>
      <c r="I220" s="76">
        <v>667</v>
      </c>
      <c r="J220" s="156">
        <f t="shared" si="142"/>
        <v>2208</v>
      </c>
      <c r="K220" s="160">
        <f t="shared" si="143"/>
        <v>0.43283582089552236</v>
      </c>
      <c r="L220" s="76">
        <v>396</v>
      </c>
      <c r="M220" s="156">
        <f t="shared" si="144"/>
        <v>2604</v>
      </c>
      <c r="N220" s="160">
        <f t="shared" si="145"/>
        <v>0.17934782608695651</v>
      </c>
      <c r="O220" s="76">
        <v>224</v>
      </c>
      <c r="P220" s="156">
        <f t="shared" si="146"/>
        <v>2828</v>
      </c>
      <c r="Q220" s="160">
        <f t="shared" si="147"/>
        <v>8.6021505376344093E-2</v>
      </c>
      <c r="R220" s="152">
        <f t="shared" si="148"/>
        <v>1940</v>
      </c>
      <c r="S220" s="162">
        <f t="shared" si="149"/>
        <v>0.26254265651502173</v>
      </c>
      <c r="U220" s="76">
        <v>415</v>
      </c>
      <c r="V220" s="156">
        <f t="shared" si="150"/>
        <v>3243</v>
      </c>
      <c r="W220" s="160">
        <f t="shared" si="151"/>
        <v>0.14674681753889673</v>
      </c>
      <c r="X220" s="76">
        <v>584</v>
      </c>
      <c r="Y220" s="156">
        <f t="shared" si="152"/>
        <v>3827</v>
      </c>
      <c r="Z220" s="160">
        <f t="shared" si="153"/>
        <v>0.18008017267961765</v>
      </c>
      <c r="AA220" s="76">
        <v>989</v>
      </c>
      <c r="AB220" s="156">
        <f t="shared" si="154"/>
        <v>4816</v>
      </c>
      <c r="AC220" s="160">
        <f t="shared" si="155"/>
        <v>0.25842696629213485</v>
      </c>
      <c r="AD220" s="76">
        <v>1047</v>
      </c>
      <c r="AE220" s="156">
        <f t="shared" si="156"/>
        <v>5863</v>
      </c>
      <c r="AF220" s="160">
        <f t="shared" si="157"/>
        <v>0.21740033222591362</v>
      </c>
      <c r="AG220" s="76">
        <v>892</v>
      </c>
      <c r="AH220" s="156">
        <f t="shared" si="158"/>
        <v>6755</v>
      </c>
      <c r="AI220" s="160">
        <f t="shared" si="159"/>
        <v>0.15214054238444483</v>
      </c>
      <c r="AJ220" s="152">
        <f t="shared" si="160"/>
        <v>3927</v>
      </c>
      <c r="AK220" s="162">
        <f t="shared" si="161"/>
        <v>0.2013501340299193</v>
      </c>
    </row>
    <row r="221" spans="2:37" outlineLevel="1" x14ac:dyDescent="0.35">
      <c r="B221" s="48" t="s">
        <v>94</v>
      </c>
      <c r="C221" s="62" t="s">
        <v>135</v>
      </c>
      <c r="D221" s="76">
        <v>316</v>
      </c>
      <c r="E221" s="77">
        <v>2956</v>
      </c>
      <c r="F221" s="76">
        <v>433</v>
      </c>
      <c r="G221" s="156">
        <f t="shared" si="122"/>
        <v>3389</v>
      </c>
      <c r="H221" s="160">
        <f t="shared" si="123"/>
        <v>0.14648173207036536</v>
      </c>
      <c r="I221" s="76">
        <v>374</v>
      </c>
      <c r="J221" s="156">
        <f t="shared" si="142"/>
        <v>3763</v>
      </c>
      <c r="K221" s="160">
        <f t="shared" si="143"/>
        <v>0.11035703747418117</v>
      </c>
      <c r="L221" s="76">
        <v>236</v>
      </c>
      <c r="M221" s="156">
        <f t="shared" si="144"/>
        <v>3999</v>
      </c>
      <c r="N221" s="160">
        <f t="shared" si="145"/>
        <v>6.2715918150411901E-2</v>
      </c>
      <c r="O221" s="76">
        <v>199</v>
      </c>
      <c r="P221" s="156">
        <f t="shared" si="146"/>
        <v>4198</v>
      </c>
      <c r="Q221" s="160">
        <f t="shared" si="147"/>
        <v>4.9762440610152538E-2</v>
      </c>
      <c r="R221" s="152">
        <f t="shared" si="148"/>
        <v>1558</v>
      </c>
      <c r="S221" s="162">
        <f t="shared" si="149"/>
        <v>9.1652719796017301E-2</v>
      </c>
      <c r="U221" s="76">
        <v>308</v>
      </c>
      <c r="V221" s="156">
        <f t="shared" si="150"/>
        <v>4506</v>
      </c>
      <c r="W221" s="160">
        <f t="shared" si="151"/>
        <v>7.3368270605050023E-2</v>
      </c>
      <c r="X221" s="76">
        <v>423</v>
      </c>
      <c r="Y221" s="156">
        <f t="shared" si="152"/>
        <v>4929</v>
      </c>
      <c r="Z221" s="160">
        <f t="shared" si="153"/>
        <v>9.3874833555259649E-2</v>
      </c>
      <c r="AA221" s="76">
        <v>513</v>
      </c>
      <c r="AB221" s="156">
        <f t="shared" si="154"/>
        <v>5442</v>
      </c>
      <c r="AC221" s="160">
        <f t="shared" si="155"/>
        <v>0.10407790626902008</v>
      </c>
      <c r="AD221" s="76">
        <v>501</v>
      </c>
      <c r="AE221" s="156">
        <f t="shared" si="156"/>
        <v>5943</v>
      </c>
      <c r="AF221" s="160">
        <f t="shared" si="157"/>
        <v>9.206174200661521E-2</v>
      </c>
      <c r="AG221" s="76">
        <v>450</v>
      </c>
      <c r="AH221" s="156">
        <f t="shared" si="158"/>
        <v>6393</v>
      </c>
      <c r="AI221" s="160">
        <f t="shared" si="159"/>
        <v>7.5719333669863706E-2</v>
      </c>
      <c r="AJ221" s="152">
        <f t="shared" si="160"/>
        <v>2195</v>
      </c>
      <c r="AK221" s="162">
        <f t="shared" si="161"/>
        <v>9.1386001982878717E-2</v>
      </c>
    </row>
    <row r="222" spans="2:37" outlineLevel="1" x14ac:dyDescent="0.35">
      <c r="B222" s="48" t="s">
        <v>95</v>
      </c>
      <c r="C222" s="62" t="s">
        <v>135</v>
      </c>
      <c r="D222" s="76">
        <v>294</v>
      </c>
      <c r="E222" s="77">
        <v>2561</v>
      </c>
      <c r="F222" s="76">
        <v>308</v>
      </c>
      <c r="G222" s="156">
        <f t="shared" si="122"/>
        <v>2869</v>
      </c>
      <c r="H222" s="160">
        <f t="shared" si="123"/>
        <v>0.1202655212807497</v>
      </c>
      <c r="I222" s="76">
        <v>382</v>
      </c>
      <c r="J222" s="156">
        <f t="shared" si="142"/>
        <v>3251</v>
      </c>
      <c r="K222" s="160">
        <f t="shared" si="143"/>
        <v>0.13314743813175323</v>
      </c>
      <c r="L222" s="76">
        <v>142</v>
      </c>
      <c r="M222" s="156">
        <f t="shared" si="144"/>
        <v>3393</v>
      </c>
      <c r="N222" s="160">
        <f t="shared" si="145"/>
        <v>4.3678868040602892E-2</v>
      </c>
      <c r="O222" s="76">
        <v>89</v>
      </c>
      <c r="P222" s="156">
        <f t="shared" si="146"/>
        <v>3482</v>
      </c>
      <c r="Q222" s="160">
        <f t="shared" si="147"/>
        <v>2.6230474506336577E-2</v>
      </c>
      <c r="R222" s="152">
        <f t="shared" si="148"/>
        <v>1215</v>
      </c>
      <c r="S222" s="162">
        <f t="shared" si="149"/>
        <v>7.9828528401419518E-2</v>
      </c>
      <c r="U222" s="76">
        <v>154</v>
      </c>
      <c r="V222" s="156">
        <f t="shared" si="150"/>
        <v>3636</v>
      </c>
      <c r="W222" s="160">
        <f t="shared" si="151"/>
        <v>4.4227455485353243E-2</v>
      </c>
      <c r="X222" s="76">
        <v>203</v>
      </c>
      <c r="Y222" s="156">
        <f t="shared" si="152"/>
        <v>3839</v>
      </c>
      <c r="Z222" s="160">
        <f t="shared" si="153"/>
        <v>5.5830583058305829E-2</v>
      </c>
      <c r="AA222" s="76">
        <v>272</v>
      </c>
      <c r="AB222" s="156">
        <f t="shared" si="154"/>
        <v>4111</v>
      </c>
      <c r="AC222" s="160">
        <f t="shared" si="155"/>
        <v>7.085178431883303E-2</v>
      </c>
      <c r="AD222" s="76">
        <v>290</v>
      </c>
      <c r="AE222" s="156">
        <f t="shared" si="156"/>
        <v>4401</v>
      </c>
      <c r="AF222" s="160">
        <f t="shared" si="157"/>
        <v>7.0542447093164679E-2</v>
      </c>
      <c r="AG222" s="76">
        <v>232</v>
      </c>
      <c r="AH222" s="156">
        <f t="shared" si="158"/>
        <v>4633</v>
      </c>
      <c r="AI222" s="160">
        <f t="shared" si="159"/>
        <v>5.2715291979095663E-2</v>
      </c>
      <c r="AJ222" s="152">
        <f t="shared" si="160"/>
        <v>1151</v>
      </c>
      <c r="AK222" s="162">
        <f t="shared" si="161"/>
        <v>6.2452704623139121E-2</v>
      </c>
    </row>
    <row r="223" spans="2:37" outlineLevel="1" x14ac:dyDescent="0.35">
      <c r="B223" s="48" t="s">
        <v>96</v>
      </c>
      <c r="C223" s="62" t="s">
        <v>135</v>
      </c>
      <c r="D223" s="76">
        <v>192</v>
      </c>
      <c r="E223" s="77">
        <v>1455</v>
      </c>
      <c r="F223" s="76">
        <v>202</v>
      </c>
      <c r="G223" s="156">
        <f t="shared" si="122"/>
        <v>1657</v>
      </c>
      <c r="H223" s="160">
        <f t="shared" si="123"/>
        <v>0.13883161512027492</v>
      </c>
      <c r="I223" s="76">
        <v>200</v>
      </c>
      <c r="J223" s="156">
        <f t="shared" si="142"/>
        <v>1857</v>
      </c>
      <c r="K223" s="160">
        <f t="shared" si="143"/>
        <v>0.12070006035003017</v>
      </c>
      <c r="L223" s="76">
        <v>109</v>
      </c>
      <c r="M223" s="156">
        <f t="shared" si="144"/>
        <v>1966</v>
      </c>
      <c r="N223" s="160">
        <f t="shared" si="145"/>
        <v>5.8696822832525579E-2</v>
      </c>
      <c r="O223" s="76">
        <v>141</v>
      </c>
      <c r="P223" s="156">
        <f t="shared" si="146"/>
        <v>2107</v>
      </c>
      <c r="Q223" s="160">
        <f t="shared" si="147"/>
        <v>7.1719226856561541E-2</v>
      </c>
      <c r="R223" s="152">
        <f t="shared" si="148"/>
        <v>844</v>
      </c>
      <c r="S223" s="162">
        <f t="shared" si="149"/>
        <v>9.698423321374805E-2</v>
      </c>
      <c r="U223" s="76">
        <v>172</v>
      </c>
      <c r="V223" s="156">
        <f t="shared" si="150"/>
        <v>2279</v>
      </c>
      <c r="W223" s="160">
        <f t="shared" si="151"/>
        <v>8.1632653061224483E-2</v>
      </c>
      <c r="X223" s="76">
        <v>233</v>
      </c>
      <c r="Y223" s="156">
        <f t="shared" si="152"/>
        <v>2512</v>
      </c>
      <c r="Z223" s="160">
        <f t="shared" si="153"/>
        <v>0.10223782360684511</v>
      </c>
      <c r="AA223" s="76">
        <v>317</v>
      </c>
      <c r="AB223" s="156">
        <f t="shared" si="154"/>
        <v>2829</v>
      </c>
      <c r="AC223" s="160">
        <f t="shared" si="155"/>
        <v>0.12619426751592358</v>
      </c>
      <c r="AD223" s="76">
        <v>291</v>
      </c>
      <c r="AE223" s="156">
        <f t="shared" si="156"/>
        <v>3120</v>
      </c>
      <c r="AF223" s="160">
        <f t="shared" si="157"/>
        <v>0.10286320254506894</v>
      </c>
      <c r="AG223" s="76">
        <v>252</v>
      </c>
      <c r="AH223" s="156">
        <f t="shared" si="158"/>
        <v>3372</v>
      </c>
      <c r="AI223" s="160">
        <f t="shared" si="159"/>
        <v>8.0769230769230774E-2</v>
      </c>
      <c r="AJ223" s="152">
        <f t="shared" si="160"/>
        <v>1265</v>
      </c>
      <c r="AK223" s="162">
        <f t="shared" si="161"/>
        <v>0.10289917077287147</v>
      </c>
    </row>
    <row r="224" spans="2:37" outlineLevel="1" x14ac:dyDescent="0.35">
      <c r="B224" s="48" t="s">
        <v>97</v>
      </c>
      <c r="C224" s="62" t="s">
        <v>135</v>
      </c>
      <c r="D224" s="76">
        <v>398</v>
      </c>
      <c r="E224" s="77">
        <v>3483</v>
      </c>
      <c r="F224" s="76">
        <v>497</v>
      </c>
      <c r="G224" s="156">
        <f t="shared" si="122"/>
        <v>3980</v>
      </c>
      <c r="H224" s="160">
        <f t="shared" si="123"/>
        <v>0.1426930806775768</v>
      </c>
      <c r="I224" s="76">
        <v>459</v>
      </c>
      <c r="J224" s="156">
        <f t="shared" si="142"/>
        <v>4439</v>
      </c>
      <c r="K224" s="160">
        <f t="shared" si="143"/>
        <v>0.11532663316582914</v>
      </c>
      <c r="L224" s="76">
        <v>306</v>
      </c>
      <c r="M224" s="156">
        <f t="shared" si="144"/>
        <v>4745</v>
      </c>
      <c r="N224" s="160">
        <f t="shared" si="145"/>
        <v>6.8934444694751074E-2</v>
      </c>
      <c r="O224" s="76">
        <v>202</v>
      </c>
      <c r="P224" s="156">
        <f t="shared" si="146"/>
        <v>4947</v>
      </c>
      <c r="Q224" s="160">
        <f t="shared" si="147"/>
        <v>4.2571127502634351E-2</v>
      </c>
      <c r="R224" s="152">
        <f t="shared" si="148"/>
        <v>1862</v>
      </c>
      <c r="S224" s="162">
        <f t="shared" si="149"/>
        <v>9.1684411630204021E-2</v>
      </c>
      <c r="U224" s="76">
        <v>396</v>
      </c>
      <c r="V224" s="156">
        <f t="shared" si="150"/>
        <v>5343</v>
      </c>
      <c r="W224" s="160">
        <f t="shared" si="151"/>
        <v>8.0048514251061242E-2</v>
      </c>
      <c r="X224" s="76">
        <v>662</v>
      </c>
      <c r="Y224" s="156">
        <f t="shared" si="152"/>
        <v>6005</v>
      </c>
      <c r="Z224" s="160">
        <f t="shared" si="153"/>
        <v>0.12390043046977353</v>
      </c>
      <c r="AA224" s="76">
        <v>760</v>
      </c>
      <c r="AB224" s="156">
        <f t="shared" si="154"/>
        <v>6765</v>
      </c>
      <c r="AC224" s="160">
        <f t="shared" si="155"/>
        <v>0.12656119900083265</v>
      </c>
      <c r="AD224" s="76">
        <v>615</v>
      </c>
      <c r="AE224" s="156">
        <f t="shared" si="156"/>
        <v>7380</v>
      </c>
      <c r="AF224" s="160">
        <f t="shared" si="157"/>
        <v>9.0909090909090912E-2</v>
      </c>
      <c r="AG224" s="76">
        <v>648</v>
      </c>
      <c r="AH224" s="156">
        <f t="shared" si="158"/>
        <v>8028</v>
      </c>
      <c r="AI224" s="160">
        <f t="shared" si="159"/>
        <v>8.7804878048780483E-2</v>
      </c>
      <c r="AJ224" s="152">
        <f t="shared" si="160"/>
        <v>3081</v>
      </c>
      <c r="AK224" s="162">
        <f t="shared" si="161"/>
        <v>0.10714766235220741</v>
      </c>
    </row>
    <row r="225" spans="2:37" outlineLevel="1" x14ac:dyDescent="0.35">
      <c r="B225" s="48" t="s">
        <v>98</v>
      </c>
      <c r="C225" s="62" t="s">
        <v>135</v>
      </c>
      <c r="D225" s="76">
        <v>88</v>
      </c>
      <c r="E225" s="77">
        <v>890</v>
      </c>
      <c r="F225" s="76">
        <v>78</v>
      </c>
      <c r="G225" s="156">
        <f t="shared" si="122"/>
        <v>968</v>
      </c>
      <c r="H225" s="160">
        <f t="shared" si="123"/>
        <v>8.7640449438202248E-2</v>
      </c>
      <c r="I225" s="76">
        <v>85</v>
      </c>
      <c r="J225" s="156">
        <f t="shared" si="142"/>
        <v>1053</v>
      </c>
      <c r="K225" s="160">
        <f t="shared" si="143"/>
        <v>8.78099173553719E-2</v>
      </c>
      <c r="L225" s="76">
        <v>67</v>
      </c>
      <c r="M225" s="156">
        <f t="shared" si="144"/>
        <v>1120</v>
      </c>
      <c r="N225" s="160">
        <f t="shared" si="145"/>
        <v>6.3627730294396959E-2</v>
      </c>
      <c r="O225" s="76">
        <v>18</v>
      </c>
      <c r="P225" s="156">
        <f t="shared" si="146"/>
        <v>1138</v>
      </c>
      <c r="Q225" s="160">
        <f t="shared" si="147"/>
        <v>1.607142857142857E-2</v>
      </c>
      <c r="R225" s="152">
        <f t="shared" si="148"/>
        <v>336</v>
      </c>
      <c r="S225" s="162">
        <f t="shared" si="149"/>
        <v>6.3378961798215006E-2</v>
      </c>
      <c r="U225" s="76">
        <v>85</v>
      </c>
      <c r="V225" s="156">
        <f t="shared" si="150"/>
        <v>1223</v>
      </c>
      <c r="W225" s="160">
        <f t="shared" si="151"/>
        <v>7.4692442882249563E-2</v>
      </c>
      <c r="X225" s="76">
        <v>164</v>
      </c>
      <c r="Y225" s="156">
        <f t="shared" si="152"/>
        <v>1387</v>
      </c>
      <c r="Z225" s="160">
        <f t="shared" si="153"/>
        <v>0.13409648405560098</v>
      </c>
      <c r="AA225" s="76">
        <v>238</v>
      </c>
      <c r="AB225" s="156">
        <f t="shared" si="154"/>
        <v>1625</v>
      </c>
      <c r="AC225" s="160">
        <f t="shared" si="155"/>
        <v>0.17159336697909156</v>
      </c>
      <c r="AD225" s="76">
        <v>242</v>
      </c>
      <c r="AE225" s="156">
        <f t="shared" si="156"/>
        <v>1867</v>
      </c>
      <c r="AF225" s="160">
        <f t="shared" si="157"/>
        <v>0.14892307692307694</v>
      </c>
      <c r="AG225" s="76">
        <v>249</v>
      </c>
      <c r="AH225" s="156">
        <f t="shared" si="158"/>
        <v>2116</v>
      </c>
      <c r="AI225" s="160">
        <f t="shared" si="159"/>
        <v>0.13336904124263524</v>
      </c>
      <c r="AJ225" s="152">
        <f t="shared" si="160"/>
        <v>978</v>
      </c>
      <c r="AK225" s="162">
        <f t="shared" si="161"/>
        <v>0.14689141426351693</v>
      </c>
    </row>
    <row r="226" spans="2:37" outlineLevel="1" x14ac:dyDescent="0.35">
      <c r="B226" s="48" t="s">
        <v>99</v>
      </c>
      <c r="C226" s="62" t="s">
        <v>135</v>
      </c>
      <c r="D226" s="76">
        <v>594</v>
      </c>
      <c r="E226" s="77">
        <v>5545</v>
      </c>
      <c r="F226" s="76">
        <v>837</v>
      </c>
      <c r="G226" s="156">
        <f t="shared" si="122"/>
        <v>6382</v>
      </c>
      <c r="H226" s="160">
        <f t="shared" si="123"/>
        <v>0.1509467989179441</v>
      </c>
      <c r="I226" s="76">
        <v>978</v>
      </c>
      <c r="J226" s="156">
        <f t="shared" si="142"/>
        <v>7360</v>
      </c>
      <c r="K226" s="160">
        <f t="shared" si="143"/>
        <v>0.15324349733625822</v>
      </c>
      <c r="L226" s="76">
        <v>358</v>
      </c>
      <c r="M226" s="156">
        <f t="shared" si="144"/>
        <v>7718</v>
      </c>
      <c r="N226" s="160">
        <f t="shared" si="145"/>
        <v>4.8641304347826084E-2</v>
      </c>
      <c r="O226" s="76">
        <v>255</v>
      </c>
      <c r="P226" s="156">
        <f t="shared" si="146"/>
        <v>7973</v>
      </c>
      <c r="Q226" s="160">
        <f t="shared" si="147"/>
        <v>3.3039647577092511E-2</v>
      </c>
      <c r="R226" s="152">
        <f t="shared" si="148"/>
        <v>3022</v>
      </c>
      <c r="S226" s="162">
        <f t="shared" si="149"/>
        <v>9.5040176189617798E-2</v>
      </c>
      <c r="U226" s="76">
        <v>387</v>
      </c>
      <c r="V226" s="156">
        <f t="shared" si="150"/>
        <v>8360</v>
      </c>
      <c r="W226" s="160">
        <f t="shared" si="151"/>
        <v>4.8538818512479619E-2</v>
      </c>
      <c r="X226" s="76">
        <v>475</v>
      </c>
      <c r="Y226" s="156">
        <f t="shared" si="152"/>
        <v>8835</v>
      </c>
      <c r="Z226" s="160">
        <f t="shared" si="153"/>
        <v>5.6818181818181816E-2</v>
      </c>
      <c r="AA226" s="76">
        <v>544</v>
      </c>
      <c r="AB226" s="156">
        <f t="shared" si="154"/>
        <v>9379</v>
      </c>
      <c r="AC226" s="160">
        <f t="shared" si="155"/>
        <v>6.1573288058856819E-2</v>
      </c>
      <c r="AD226" s="76">
        <v>545</v>
      </c>
      <c r="AE226" s="156">
        <f t="shared" si="156"/>
        <v>9924</v>
      </c>
      <c r="AF226" s="160">
        <f t="shared" si="157"/>
        <v>5.8108540356114721E-2</v>
      </c>
      <c r="AG226" s="76">
        <v>458</v>
      </c>
      <c r="AH226" s="156">
        <f t="shared" si="158"/>
        <v>10382</v>
      </c>
      <c r="AI226" s="160">
        <f t="shared" si="159"/>
        <v>4.6150745667069733E-2</v>
      </c>
      <c r="AJ226" s="152">
        <f t="shared" si="160"/>
        <v>2409</v>
      </c>
      <c r="AK226" s="162">
        <f t="shared" si="161"/>
        <v>5.5646924500321493E-2</v>
      </c>
    </row>
    <row r="227" spans="2:37" outlineLevel="1" x14ac:dyDescent="0.35">
      <c r="B227" s="48" t="s">
        <v>100</v>
      </c>
      <c r="C227" s="62" t="s">
        <v>135</v>
      </c>
      <c r="D227" s="76">
        <v>118</v>
      </c>
      <c r="E227" s="77">
        <v>1128</v>
      </c>
      <c r="F227" s="76">
        <v>143</v>
      </c>
      <c r="G227" s="156">
        <f t="shared" si="122"/>
        <v>1271</v>
      </c>
      <c r="H227" s="160">
        <f t="shared" si="123"/>
        <v>0.12677304964539007</v>
      </c>
      <c r="I227" s="76">
        <v>138</v>
      </c>
      <c r="J227" s="156">
        <f t="shared" si="142"/>
        <v>1409</v>
      </c>
      <c r="K227" s="160">
        <f t="shared" si="143"/>
        <v>0.10857592446892211</v>
      </c>
      <c r="L227" s="76">
        <v>63</v>
      </c>
      <c r="M227" s="156">
        <f t="shared" si="144"/>
        <v>1472</v>
      </c>
      <c r="N227" s="160">
        <f t="shared" si="145"/>
        <v>4.4712562100780694E-2</v>
      </c>
      <c r="O227" s="76">
        <v>38</v>
      </c>
      <c r="P227" s="156">
        <f t="shared" si="146"/>
        <v>1510</v>
      </c>
      <c r="Q227" s="160">
        <f t="shared" si="147"/>
        <v>2.5815217391304348E-2</v>
      </c>
      <c r="R227" s="152">
        <f t="shared" si="148"/>
        <v>500</v>
      </c>
      <c r="S227" s="162">
        <f t="shared" si="149"/>
        <v>7.5640044284871921E-2</v>
      </c>
      <c r="U227" s="76">
        <v>113</v>
      </c>
      <c r="V227" s="156">
        <f t="shared" si="150"/>
        <v>1623</v>
      </c>
      <c r="W227" s="160">
        <f t="shared" si="151"/>
        <v>7.483443708609272E-2</v>
      </c>
      <c r="X227" s="76">
        <v>230</v>
      </c>
      <c r="Y227" s="156">
        <f t="shared" si="152"/>
        <v>1853</v>
      </c>
      <c r="Z227" s="160">
        <f t="shared" si="153"/>
        <v>0.14171287738755392</v>
      </c>
      <c r="AA227" s="76">
        <v>317</v>
      </c>
      <c r="AB227" s="156">
        <f t="shared" si="154"/>
        <v>2170</v>
      </c>
      <c r="AC227" s="160">
        <f t="shared" si="155"/>
        <v>0.17107393416082028</v>
      </c>
      <c r="AD227" s="76">
        <v>307</v>
      </c>
      <c r="AE227" s="156">
        <f t="shared" si="156"/>
        <v>2477</v>
      </c>
      <c r="AF227" s="160">
        <f t="shared" si="157"/>
        <v>0.14147465437788018</v>
      </c>
      <c r="AG227" s="76">
        <v>410</v>
      </c>
      <c r="AH227" s="156">
        <f t="shared" si="158"/>
        <v>2887</v>
      </c>
      <c r="AI227" s="160">
        <f t="shared" si="159"/>
        <v>0.16552280985062576</v>
      </c>
      <c r="AJ227" s="152">
        <f t="shared" si="160"/>
        <v>1377</v>
      </c>
      <c r="AK227" s="162">
        <f t="shared" si="161"/>
        <v>0.15486725084744735</v>
      </c>
    </row>
    <row r="228" spans="2:37" outlineLevel="1" x14ac:dyDescent="0.35">
      <c r="B228" s="48" t="s">
        <v>101</v>
      </c>
      <c r="C228" s="62" t="s">
        <v>135</v>
      </c>
      <c r="D228" s="76">
        <v>6</v>
      </c>
      <c r="E228" s="77">
        <v>43</v>
      </c>
      <c r="F228" s="76">
        <v>6</v>
      </c>
      <c r="G228" s="156">
        <f t="shared" si="122"/>
        <v>49</v>
      </c>
      <c r="H228" s="160">
        <f t="shared" si="123"/>
        <v>0.13953488372093023</v>
      </c>
      <c r="I228" s="76">
        <v>7</v>
      </c>
      <c r="J228" s="156">
        <f t="shared" si="142"/>
        <v>56</v>
      </c>
      <c r="K228" s="160">
        <f t="shared" si="143"/>
        <v>0.14285714285714285</v>
      </c>
      <c r="L228" s="76">
        <v>3</v>
      </c>
      <c r="M228" s="156">
        <f t="shared" si="144"/>
        <v>59</v>
      </c>
      <c r="N228" s="160">
        <f t="shared" si="145"/>
        <v>5.3571428571428568E-2</v>
      </c>
      <c r="O228" s="76">
        <v>2</v>
      </c>
      <c r="P228" s="156">
        <f t="shared" si="146"/>
        <v>61</v>
      </c>
      <c r="Q228" s="160">
        <f t="shared" si="147"/>
        <v>3.3898305084745763E-2</v>
      </c>
      <c r="R228" s="152">
        <f t="shared" si="148"/>
        <v>24</v>
      </c>
      <c r="S228" s="162">
        <f t="shared" si="149"/>
        <v>9.135324689875457E-2</v>
      </c>
      <c r="U228" s="76">
        <v>6</v>
      </c>
      <c r="V228" s="156">
        <f t="shared" si="150"/>
        <v>67</v>
      </c>
      <c r="W228" s="160">
        <f t="shared" si="151"/>
        <v>9.8360655737704916E-2</v>
      </c>
      <c r="X228" s="76">
        <v>4</v>
      </c>
      <c r="Y228" s="156">
        <f t="shared" si="152"/>
        <v>71</v>
      </c>
      <c r="Z228" s="160">
        <f t="shared" si="153"/>
        <v>5.9701492537313432E-2</v>
      </c>
      <c r="AA228" s="76">
        <v>5</v>
      </c>
      <c r="AB228" s="156">
        <f t="shared" si="154"/>
        <v>76</v>
      </c>
      <c r="AC228" s="160">
        <f t="shared" si="155"/>
        <v>7.0422535211267609E-2</v>
      </c>
      <c r="AD228" s="76">
        <v>4</v>
      </c>
      <c r="AE228" s="156">
        <f t="shared" si="156"/>
        <v>80</v>
      </c>
      <c r="AF228" s="160">
        <f t="shared" si="157"/>
        <v>5.2631578947368418E-2</v>
      </c>
      <c r="AG228" s="76">
        <v>3</v>
      </c>
      <c r="AH228" s="156">
        <f t="shared" si="158"/>
        <v>83</v>
      </c>
      <c r="AI228" s="160">
        <f t="shared" si="159"/>
        <v>3.7499999999999999E-2</v>
      </c>
      <c r="AJ228" s="152">
        <f t="shared" si="160"/>
        <v>22</v>
      </c>
      <c r="AK228" s="162">
        <f t="shared" si="161"/>
        <v>5.4996022840410497E-2</v>
      </c>
    </row>
    <row r="229" spans="2:37" outlineLevel="1" x14ac:dyDescent="0.35">
      <c r="B229" s="48" t="s">
        <v>102</v>
      </c>
      <c r="C229" s="62" t="s">
        <v>135</v>
      </c>
      <c r="D229" s="76">
        <v>393</v>
      </c>
      <c r="E229" s="77">
        <v>2979</v>
      </c>
      <c r="F229" s="76">
        <v>390</v>
      </c>
      <c r="G229" s="156">
        <f t="shared" si="122"/>
        <v>3369</v>
      </c>
      <c r="H229" s="160">
        <f t="shared" si="123"/>
        <v>0.13091641490433031</v>
      </c>
      <c r="I229" s="76">
        <v>318</v>
      </c>
      <c r="J229" s="156">
        <f t="shared" si="142"/>
        <v>3687</v>
      </c>
      <c r="K229" s="160">
        <f t="shared" si="143"/>
        <v>9.4390026714158498E-2</v>
      </c>
      <c r="L229" s="76">
        <v>128</v>
      </c>
      <c r="M229" s="156">
        <f t="shared" si="144"/>
        <v>3815</v>
      </c>
      <c r="N229" s="160">
        <f t="shared" si="145"/>
        <v>3.471657173854082E-2</v>
      </c>
      <c r="O229" s="76">
        <v>108</v>
      </c>
      <c r="P229" s="156">
        <f t="shared" si="146"/>
        <v>3923</v>
      </c>
      <c r="Q229" s="160">
        <f t="shared" si="147"/>
        <v>2.8309305373525558E-2</v>
      </c>
      <c r="R229" s="152">
        <f t="shared" si="148"/>
        <v>1337</v>
      </c>
      <c r="S229" s="162">
        <f t="shared" si="149"/>
        <v>7.1240420329948817E-2</v>
      </c>
      <c r="U229" s="76">
        <v>156</v>
      </c>
      <c r="V229" s="156">
        <f t="shared" si="150"/>
        <v>4079</v>
      </c>
      <c r="W229" s="160">
        <f t="shared" si="151"/>
        <v>3.9765485597756819E-2</v>
      </c>
      <c r="X229" s="76">
        <v>174</v>
      </c>
      <c r="Y229" s="156">
        <f t="shared" si="152"/>
        <v>4253</v>
      </c>
      <c r="Z229" s="160">
        <f t="shared" si="153"/>
        <v>4.2657514096592304E-2</v>
      </c>
      <c r="AA229" s="76">
        <v>192</v>
      </c>
      <c r="AB229" s="156">
        <f t="shared" si="154"/>
        <v>4445</v>
      </c>
      <c r="AC229" s="160">
        <f t="shared" si="155"/>
        <v>4.5144603809075944E-2</v>
      </c>
      <c r="AD229" s="76">
        <v>171</v>
      </c>
      <c r="AE229" s="156">
        <f t="shared" si="156"/>
        <v>4616</v>
      </c>
      <c r="AF229" s="160">
        <f t="shared" si="157"/>
        <v>3.8470191226096739E-2</v>
      </c>
      <c r="AG229" s="76">
        <v>133</v>
      </c>
      <c r="AH229" s="156">
        <f t="shared" si="158"/>
        <v>4749</v>
      </c>
      <c r="AI229" s="160">
        <f t="shared" si="159"/>
        <v>2.8812824956672443E-2</v>
      </c>
      <c r="AJ229" s="152">
        <f t="shared" si="160"/>
        <v>826</v>
      </c>
      <c r="AK229" s="162">
        <f t="shared" si="161"/>
        <v>3.8752581421991783E-2</v>
      </c>
    </row>
    <row r="230" spans="2:37" outlineLevel="1" x14ac:dyDescent="0.35">
      <c r="B230" s="48" t="s">
        <v>103</v>
      </c>
      <c r="C230" s="62" t="s">
        <v>135</v>
      </c>
      <c r="D230" s="76">
        <v>-1</v>
      </c>
      <c r="E230" s="77">
        <v>17</v>
      </c>
      <c r="F230" s="76">
        <v>0</v>
      </c>
      <c r="G230" s="156">
        <f t="shared" si="122"/>
        <v>17</v>
      </c>
      <c r="H230" s="160">
        <f t="shared" si="123"/>
        <v>0</v>
      </c>
      <c r="I230" s="76">
        <v>0</v>
      </c>
      <c r="J230" s="156">
        <f t="shared" si="142"/>
        <v>17</v>
      </c>
      <c r="K230" s="160">
        <f t="shared" si="143"/>
        <v>0</v>
      </c>
      <c r="L230" s="76">
        <v>1</v>
      </c>
      <c r="M230" s="156">
        <f t="shared" si="144"/>
        <v>18</v>
      </c>
      <c r="N230" s="160">
        <f t="shared" si="145"/>
        <v>5.8823529411764705E-2</v>
      </c>
      <c r="O230" s="76">
        <v>0</v>
      </c>
      <c r="P230" s="156">
        <f t="shared" si="146"/>
        <v>18</v>
      </c>
      <c r="Q230" s="160">
        <f t="shared" si="147"/>
        <v>0</v>
      </c>
      <c r="R230" s="152">
        <f t="shared" si="148"/>
        <v>0</v>
      </c>
      <c r="S230" s="162">
        <f t="shared" si="149"/>
        <v>1.4392187891376196E-2</v>
      </c>
      <c r="U230" s="76">
        <v>0</v>
      </c>
      <c r="V230" s="156">
        <f t="shared" si="150"/>
        <v>18</v>
      </c>
      <c r="W230" s="160">
        <f t="shared" si="151"/>
        <v>0</v>
      </c>
      <c r="X230" s="76">
        <v>0</v>
      </c>
      <c r="Y230" s="156">
        <f t="shared" si="152"/>
        <v>18</v>
      </c>
      <c r="Z230" s="160">
        <f t="shared" si="153"/>
        <v>0</v>
      </c>
      <c r="AA230" s="76">
        <v>0</v>
      </c>
      <c r="AB230" s="156">
        <f t="shared" si="154"/>
        <v>18</v>
      </c>
      <c r="AC230" s="160">
        <f t="shared" si="155"/>
        <v>0</v>
      </c>
      <c r="AD230" s="76">
        <v>0</v>
      </c>
      <c r="AE230" s="156">
        <f t="shared" si="156"/>
        <v>18</v>
      </c>
      <c r="AF230" s="160">
        <f t="shared" si="157"/>
        <v>0</v>
      </c>
      <c r="AG230" s="76">
        <v>0</v>
      </c>
      <c r="AH230" s="156">
        <f t="shared" si="158"/>
        <v>18</v>
      </c>
      <c r="AI230" s="160">
        <f t="shared" si="159"/>
        <v>0</v>
      </c>
      <c r="AJ230" s="152">
        <f t="shared" si="160"/>
        <v>0</v>
      </c>
      <c r="AK230" s="162">
        <f t="shared" si="161"/>
        <v>0</v>
      </c>
    </row>
    <row r="231" spans="2:37" outlineLevel="1" x14ac:dyDescent="0.35">
      <c r="B231" s="48" t="s">
        <v>104</v>
      </c>
      <c r="C231" s="62" t="s">
        <v>135</v>
      </c>
      <c r="D231" s="76">
        <v>0</v>
      </c>
      <c r="E231" s="77">
        <v>1</v>
      </c>
      <c r="F231" s="76">
        <v>0</v>
      </c>
      <c r="G231" s="156">
        <f t="shared" si="122"/>
        <v>1</v>
      </c>
      <c r="H231" s="160">
        <f t="shared" si="123"/>
        <v>0</v>
      </c>
      <c r="I231" s="76">
        <v>0</v>
      </c>
      <c r="J231" s="156">
        <f t="shared" si="142"/>
        <v>1</v>
      </c>
      <c r="K231" s="160">
        <f t="shared" si="143"/>
        <v>0</v>
      </c>
      <c r="L231" s="76">
        <v>0</v>
      </c>
      <c r="M231" s="156">
        <f t="shared" si="144"/>
        <v>1</v>
      </c>
      <c r="N231" s="160">
        <f t="shared" si="145"/>
        <v>0</v>
      </c>
      <c r="O231" s="76">
        <v>0</v>
      </c>
      <c r="P231" s="156">
        <f t="shared" si="146"/>
        <v>1</v>
      </c>
      <c r="Q231" s="160">
        <f t="shared" si="147"/>
        <v>0</v>
      </c>
      <c r="R231" s="152">
        <f t="shared" si="148"/>
        <v>0</v>
      </c>
      <c r="S231" s="162">
        <f t="shared" si="149"/>
        <v>0</v>
      </c>
      <c r="U231" s="76">
        <v>0</v>
      </c>
      <c r="V231" s="156">
        <f t="shared" si="150"/>
        <v>1</v>
      </c>
      <c r="W231" s="160">
        <f t="shared" si="151"/>
        <v>0</v>
      </c>
      <c r="X231" s="76">
        <v>0</v>
      </c>
      <c r="Y231" s="156">
        <f t="shared" si="152"/>
        <v>1</v>
      </c>
      <c r="Z231" s="160">
        <f t="shared" si="153"/>
        <v>0</v>
      </c>
      <c r="AA231" s="76">
        <v>0</v>
      </c>
      <c r="AB231" s="156">
        <f t="shared" si="154"/>
        <v>1</v>
      </c>
      <c r="AC231" s="160">
        <f t="shared" si="155"/>
        <v>0</v>
      </c>
      <c r="AD231" s="76">
        <v>48</v>
      </c>
      <c r="AE231" s="156">
        <f t="shared" si="156"/>
        <v>49</v>
      </c>
      <c r="AF231" s="160">
        <f t="shared" si="157"/>
        <v>48</v>
      </c>
      <c r="AG231" s="76">
        <v>92</v>
      </c>
      <c r="AH231" s="156">
        <f t="shared" si="158"/>
        <v>141</v>
      </c>
      <c r="AI231" s="160">
        <f t="shared" si="159"/>
        <v>1.8775510204081634</v>
      </c>
      <c r="AJ231" s="152">
        <f t="shared" si="160"/>
        <v>140</v>
      </c>
      <c r="AK231" s="162">
        <f t="shared" si="161"/>
        <v>2.4459167266545947</v>
      </c>
    </row>
    <row r="232" spans="2:37" outlineLevel="1" x14ac:dyDescent="0.35">
      <c r="B232" s="48" t="s">
        <v>136</v>
      </c>
      <c r="C232" s="62" t="s">
        <v>135</v>
      </c>
      <c r="D232" s="76">
        <v>0</v>
      </c>
      <c r="E232" s="77">
        <v>0</v>
      </c>
      <c r="F232" s="76">
        <v>0</v>
      </c>
      <c r="G232" s="156">
        <f t="shared" si="122"/>
        <v>0</v>
      </c>
      <c r="H232" s="160">
        <f t="shared" si="123"/>
        <v>0</v>
      </c>
      <c r="I232" s="76">
        <v>0</v>
      </c>
      <c r="J232" s="156">
        <f t="shared" si="142"/>
        <v>0</v>
      </c>
      <c r="K232" s="160">
        <f t="shared" si="143"/>
        <v>0</v>
      </c>
      <c r="L232" s="76">
        <v>0</v>
      </c>
      <c r="M232" s="156">
        <f t="shared" si="144"/>
        <v>0</v>
      </c>
      <c r="N232" s="160">
        <f t="shared" si="145"/>
        <v>0</v>
      </c>
      <c r="O232" s="76">
        <v>0</v>
      </c>
      <c r="P232" s="156">
        <f t="shared" si="146"/>
        <v>0</v>
      </c>
      <c r="Q232" s="160">
        <f t="shared" si="147"/>
        <v>0</v>
      </c>
      <c r="R232" s="152">
        <f t="shared" si="148"/>
        <v>0</v>
      </c>
      <c r="S232" s="162">
        <f t="shared" si="149"/>
        <v>0</v>
      </c>
      <c r="U232" s="76">
        <v>0</v>
      </c>
      <c r="V232" s="156">
        <f t="shared" si="150"/>
        <v>0</v>
      </c>
      <c r="W232" s="160">
        <f t="shared" si="151"/>
        <v>0</v>
      </c>
      <c r="X232" s="76">
        <v>0</v>
      </c>
      <c r="Y232" s="156">
        <f t="shared" si="152"/>
        <v>0</v>
      </c>
      <c r="Z232" s="160">
        <f t="shared" si="153"/>
        <v>0</v>
      </c>
      <c r="AA232" s="76">
        <v>0</v>
      </c>
      <c r="AB232" s="156">
        <f t="shared" si="154"/>
        <v>0</v>
      </c>
      <c r="AC232" s="160">
        <f t="shared" si="155"/>
        <v>0</v>
      </c>
      <c r="AD232" s="76">
        <v>48</v>
      </c>
      <c r="AE232" s="156">
        <f t="shared" si="156"/>
        <v>48</v>
      </c>
      <c r="AF232" s="160">
        <f t="shared" si="157"/>
        <v>0</v>
      </c>
      <c r="AG232" s="76">
        <v>81</v>
      </c>
      <c r="AH232" s="156">
        <f t="shared" si="158"/>
        <v>129</v>
      </c>
      <c r="AI232" s="160">
        <f t="shared" si="159"/>
        <v>1.6875</v>
      </c>
      <c r="AJ232" s="152">
        <f t="shared" si="160"/>
        <v>129</v>
      </c>
      <c r="AK232" s="162">
        <f t="shared" si="161"/>
        <v>0</v>
      </c>
    </row>
    <row r="233" spans="2:37" outlineLevel="1" x14ac:dyDescent="0.35">
      <c r="B233" s="48" t="s">
        <v>106</v>
      </c>
      <c r="C233" s="62" t="s">
        <v>135</v>
      </c>
      <c r="D233" s="76">
        <v>182</v>
      </c>
      <c r="E233" s="77">
        <v>982</v>
      </c>
      <c r="F233" s="76">
        <v>173</v>
      </c>
      <c r="G233" s="156">
        <f t="shared" si="122"/>
        <v>1155</v>
      </c>
      <c r="H233" s="160">
        <f t="shared" si="123"/>
        <v>0.17617107942973523</v>
      </c>
      <c r="I233" s="76">
        <v>182</v>
      </c>
      <c r="J233" s="156">
        <f t="shared" si="142"/>
        <v>1337</v>
      </c>
      <c r="K233" s="160">
        <f t="shared" si="143"/>
        <v>0.15757575757575756</v>
      </c>
      <c r="L233" s="76">
        <v>67</v>
      </c>
      <c r="M233" s="156">
        <f t="shared" si="144"/>
        <v>1404</v>
      </c>
      <c r="N233" s="160">
        <f t="shared" si="145"/>
        <v>5.0112191473448017E-2</v>
      </c>
      <c r="O233" s="76">
        <v>68</v>
      </c>
      <c r="P233" s="156">
        <f t="shared" si="146"/>
        <v>1472</v>
      </c>
      <c r="Q233" s="160">
        <f t="shared" si="147"/>
        <v>4.843304843304843E-2</v>
      </c>
      <c r="R233" s="152">
        <f t="shared" si="148"/>
        <v>672</v>
      </c>
      <c r="S233" s="162">
        <f t="shared" si="149"/>
        <v>0.10649404397507389</v>
      </c>
      <c r="U233" s="76">
        <v>75</v>
      </c>
      <c r="V233" s="156">
        <f t="shared" si="150"/>
        <v>1547</v>
      </c>
      <c r="W233" s="160">
        <f t="shared" si="151"/>
        <v>5.0951086956521736E-2</v>
      </c>
      <c r="X233" s="76">
        <v>102</v>
      </c>
      <c r="Y233" s="156">
        <f t="shared" si="152"/>
        <v>1649</v>
      </c>
      <c r="Z233" s="160">
        <f t="shared" si="153"/>
        <v>6.5934065934065936E-2</v>
      </c>
      <c r="AA233" s="76">
        <v>108</v>
      </c>
      <c r="AB233" s="156">
        <f t="shared" si="154"/>
        <v>1757</v>
      </c>
      <c r="AC233" s="160">
        <f t="shared" si="155"/>
        <v>6.549423893268648E-2</v>
      </c>
      <c r="AD233" s="76">
        <v>100</v>
      </c>
      <c r="AE233" s="156">
        <f t="shared" si="156"/>
        <v>1857</v>
      </c>
      <c r="AF233" s="160">
        <f t="shared" si="157"/>
        <v>5.6915196357427436E-2</v>
      </c>
      <c r="AG233" s="76">
        <v>137</v>
      </c>
      <c r="AH233" s="156">
        <f t="shared" si="158"/>
        <v>1994</v>
      </c>
      <c r="AI233" s="160">
        <f t="shared" si="159"/>
        <v>7.3774905761981688E-2</v>
      </c>
      <c r="AJ233" s="152">
        <f t="shared" si="160"/>
        <v>522</v>
      </c>
      <c r="AK233" s="162">
        <f t="shared" si="161"/>
        <v>6.5512895217883393E-2</v>
      </c>
    </row>
    <row r="234" spans="2:37" outlineLevel="1" x14ac:dyDescent="0.35">
      <c r="B234" s="48" t="s">
        <v>107</v>
      </c>
      <c r="C234" s="62" t="s">
        <v>135</v>
      </c>
      <c r="D234" s="76">
        <v>108</v>
      </c>
      <c r="E234" s="77">
        <v>1374</v>
      </c>
      <c r="F234" s="76">
        <v>184</v>
      </c>
      <c r="G234" s="156">
        <f t="shared" si="122"/>
        <v>1558</v>
      </c>
      <c r="H234" s="160">
        <f t="shared" si="123"/>
        <v>0.1339155749636099</v>
      </c>
      <c r="I234" s="76">
        <v>251</v>
      </c>
      <c r="J234" s="156">
        <f t="shared" si="142"/>
        <v>1809</v>
      </c>
      <c r="K234" s="160">
        <f t="shared" si="143"/>
        <v>0.16110397946084723</v>
      </c>
      <c r="L234" s="76">
        <v>160</v>
      </c>
      <c r="M234" s="156">
        <f t="shared" si="144"/>
        <v>1969</v>
      </c>
      <c r="N234" s="160">
        <f t="shared" si="145"/>
        <v>8.8446655610834715E-2</v>
      </c>
      <c r="O234" s="76">
        <v>88</v>
      </c>
      <c r="P234" s="156">
        <f t="shared" si="146"/>
        <v>2057</v>
      </c>
      <c r="Q234" s="160">
        <f t="shared" si="147"/>
        <v>4.4692737430167599E-2</v>
      </c>
      <c r="R234" s="152">
        <f t="shared" si="148"/>
        <v>791</v>
      </c>
      <c r="S234" s="162">
        <f t="shared" si="149"/>
        <v>0.10614456488317003</v>
      </c>
      <c r="U234" s="76">
        <v>149</v>
      </c>
      <c r="V234" s="156">
        <f t="shared" si="150"/>
        <v>2206</v>
      </c>
      <c r="W234" s="160">
        <f t="shared" si="151"/>
        <v>7.2435585804569769E-2</v>
      </c>
      <c r="X234" s="76">
        <v>214</v>
      </c>
      <c r="Y234" s="156">
        <f t="shared" si="152"/>
        <v>2420</v>
      </c>
      <c r="Z234" s="160">
        <f t="shared" si="153"/>
        <v>9.7008159564823213E-2</v>
      </c>
      <c r="AA234" s="76">
        <v>236</v>
      </c>
      <c r="AB234" s="156">
        <f t="shared" si="154"/>
        <v>2656</v>
      </c>
      <c r="AC234" s="160">
        <f t="shared" si="155"/>
        <v>9.7520661157024791E-2</v>
      </c>
      <c r="AD234" s="76">
        <v>195</v>
      </c>
      <c r="AE234" s="156">
        <f t="shared" si="156"/>
        <v>2851</v>
      </c>
      <c r="AF234" s="160">
        <f t="shared" si="157"/>
        <v>7.3418674698795178E-2</v>
      </c>
      <c r="AG234" s="76">
        <v>155</v>
      </c>
      <c r="AH234" s="156">
        <f t="shared" si="158"/>
        <v>3006</v>
      </c>
      <c r="AI234" s="160">
        <f t="shared" si="159"/>
        <v>5.436688881094353E-2</v>
      </c>
      <c r="AJ234" s="152">
        <f t="shared" si="160"/>
        <v>949</v>
      </c>
      <c r="AK234" s="162">
        <f t="shared" si="161"/>
        <v>8.042809042867316E-2</v>
      </c>
    </row>
    <row r="235" spans="2:37" outlineLevel="1" x14ac:dyDescent="0.35">
      <c r="B235" s="48" t="s">
        <v>108</v>
      </c>
      <c r="C235" s="62" t="s">
        <v>135</v>
      </c>
      <c r="D235" s="76">
        <v>244</v>
      </c>
      <c r="E235" s="77">
        <v>2205</v>
      </c>
      <c r="F235" s="76">
        <v>394</v>
      </c>
      <c r="G235" s="156">
        <f t="shared" si="122"/>
        <v>2599</v>
      </c>
      <c r="H235" s="160">
        <f t="shared" si="123"/>
        <v>0.17868480725623584</v>
      </c>
      <c r="I235" s="76">
        <v>398</v>
      </c>
      <c r="J235" s="156">
        <f t="shared" si="142"/>
        <v>2997</v>
      </c>
      <c r="K235" s="160">
        <f t="shared" si="143"/>
        <v>0.15313582146979607</v>
      </c>
      <c r="L235" s="76">
        <v>219</v>
      </c>
      <c r="M235" s="156">
        <f t="shared" si="144"/>
        <v>3216</v>
      </c>
      <c r="N235" s="160">
        <f t="shared" si="145"/>
        <v>7.3073073073073078E-2</v>
      </c>
      <c r="O235" s="76">
        <v>140</v>
      </c>
      <c r="P235" s="156">
        <f t="shared" si="146"/>
        <v>3356</v>
      </c>
      <c r="Q235" s="160">
        <f t="shared" si="147"/>
        <v>4.3532338308457715E-2</v>
      </c>
      <c r="R235" s="152">
        <f t="shared" si="148"/>
        <v>1395</v>
      </c>
      <c r="S235" s="162">
        <f t="shared" si="149"/>
        <v>0.11071679694943892</v>
      </c>
      <c r="U235" s="76">
        <v>272</v>
      </c>
      <c r="V235" s="156">
        <f t="shared" si="150"/>
        <v>3628</v>
      </c>
      <c r="W235" s="160">
        <f t="shared" si="151"/>
        <v>8.1048867699642438E-2</v>
      </c>
      <c r="X235" s="76">
        <v>308</v>
      </c>
      <c r="Y235" s="156">
        <f t="shared" si="152"/>
        <v>3936</v>
      </c>
      <c r="Z235" s="160">
        <f t="shared" si="153"/>
        <v>8.4895259095920619E-2</v>
      </c>
      <c r="AA235" s="76">
        <v>484</v>
      </c>
      <c r="AB235" s="156">
        <f t="shared" si="154"/>
        <v>4420</v>
      </c>
      <c r="AC235" s="160">
        <f t="shared" si="155"/>
        <v>0.12296747967479675</v>
      </c>
      <c r="AD235" s="76">
        <v>618</v>
      </c>
      <c r="AE235" s="156">
        <f t="shared" si="156"/>
        <v>5038</v>
      </c>
      <c r="AF235" s="160">
        <f t="shared" si="157"/>
        <v>0.13981900452488688</v>
      </c>
      <c r="AG235" s="76">
        <v>558</v>
      </c>
      <c r="AH235" s="156">
        <f t="shared" si="158"/>
        <v>5596</v>
      </c>
      <c r="AI235" s="160">
        <f t="shared" si="159"/>
        <v>0.11075823739579198</v>
      </c>
      <c r="AJ235" s="152">
        <f t="shared" si="160"/>
        <v>2240</v>
      </c>
      <c r="AK235" s="162">
        <f t="shared" si="161"/>
        <v>0.11442951823269198</v>
      </c>
    </row>
    <row r="236" spans="2:37" outlineLevel="1" x14ac:dyDescent="0.35">
      <c r="B236" s="48" t="s">
        <v>109</v>
      </c>
      <c r="C236" s="62" t="s">
        <v>135</v>
      </c>
      <c r="D236" s="76">
        <v>495</v>
      </c>
      <c r="E236" s="77">
        <v>5306</v>
      </c>
      <c r="F236" s="76">
        <v>702</v>
      </c>
      <c r="G236" s="156">
        <f t="shared" si="122"/>
        <v>6008</v>
      </c>
      <c r="H236" s="160">
        <f t="shared" si="123"/>
        <v>0.13230305314738033</v>
      </c>
      <c r="I236" s="76">
        <v>608</v>
      </c>
      <c r="J236" s="156">
        <f t="shared" si="142"/>
        <v>6616</v>
      </c>
      <c r="K236" s="160">
        <f t="shared" si="143"/>
        <v>0.10119840213049268</v>
      </c>
      <c r="L236" s="76">
        <v>409</v>
      </c>
      <c r="M236" s="156">
        <f t="shared" si="144"/>
        <v>7025</v>
      </c>
      <c r="N236" s="160">
        <f t="shared" si="145"/>
        <v>6.1819830713422008E-2</v>
      </c>
      <c r="O236" s="76">
        <v>393</v>
      </c>
      <c r="P236" s="156">
        <f t="shared" si="146"/>
        <v>7418</v>
      </c>
      <c r="Q236" s="160">
        <f t="shared" si="147"/>
        <v>5.5943060498220641E-2</v>
      </c>
      <c r="R236" s="152">
        <f t="shared" si="148"/>
        <v>2607</v>
      </c>
      <c r="S236" s="162">
        <f t="shared" si="149"/>
        <v>8.737638204623388E-2</v>
      </c>
      <c r="U236" s="76">
        <v>590</v>
      </c>
      <c r="V236" s="156">
        <f t="shared" si="150"/>
        <v>8008</v>
      </c>
      <c r="W236" s="160">
        <f t="shared" si="151"/>
        <v>7.9536263143704503E-2</v>
      </c>
      <c r="X236" s="76">
        <v>655</v>
      </c>
      <c r="Y236" s="156">
        <f t="shared" si="152"/>
        <v>8663</v>
      </c>
      <c r="Z236" s="160">
        <f t="shared" si="153"/>
        <v>8.1793206793206799E-2</v>
      </c>
      <c r="AA236" s="76">
        <v>716</v>
      </c>
      <c r="AB236" s="156">
        <f t="shared" si="154"/>
        <v>9379</v>
      </c>
      <c r="AC236" s="160">
        <f t="shared" si="155"/>
        <v>8.2650352072030475E-2</v>
      </c>
      <c r="AD236" s="76">
        <v>639</v>
      </c>
      <c r="AE236" s="156">
        <f t="shared" si="156"/>
        <v>10018</v>
      </c>
      <c r="AF236" s="160">
        <f t="shared" si="157"/>
        <v>6.8130930802857453E-2</v>
      </c>
      <c r="AG236" s="76">
        <v>499</v>
      </c>
      <c r="AH236" s="156">
        <f t="shared" si="158"/>
        <v>10517</v>
      </c>
      <c r="AI236" s="160">
        <f t="shared" si="159"/>
        <v>4.9810341385506086E-2</v>
      </c>
      <c r="AJ236" s="152">
        <f t="shared" si="160"/>
        <v>3099</v>
      </c>
      <c r="AK236" s="162">
        <f t="shared" si="161"/>
        <v>7.0513016645801008E-2</v>
      </c>
    </row>
    <row r="237" spans="2:37" outlineLevel="1" x14ac:dyDescent="0.35">
      <c r="B237" s="48" t="s">
        <v>110</v>
      </c>
      <c r="C237" s="62" t="s">
        <v>135</v>
      </c>
      <c r="D237" s="76">
        <v>123</v>
      </c>
      <c r="E237" s="77">
        <v>998</v>
      </c>
      <c r="F237" s="76">
        <v>144</v>
      </c>
      <c r="G237" s="156">
        <f t="shared" si="122"/>
        <v>1142</v>
      </c>
      <c r="H237" s="160">
        <f t="shared" si="123"/>
        <v>0.14428857715430862</v>
      </c>
      <c r="I237" s="76">
        <v>121</v>
      </c>
      <c r="J237" s="156">
        <f t="shared" si="142"/>
        <v>1263</v>
      </c>
      <c r="K237" s="160">
        <f t="shared" si="143"/>
        <v>0.10595446584938704</v>
      </c>
      <c r="L237" s="76">
        <v>75</v>
      </c>
      <c r="M237" s="156">
        <f t="shared" si="144"/>
        <v>1338</v>
      </c>
      <c r="N237" s="160">
        <f t="shared" si="145"/>
        <v>5.9382422802850353E-2</v>
      </c>
      <c r="O237" s="76">
        <v>42</v>
      </c>
      <c r="P237" s="156">
        <f t="shared" si="146"/>
        <v>1380</v>
      </c>
      <c r="Q237" s="160">
        <f t="shared" si="147"/>
        <v>3.1390134529147982E-2</v>
      </c>
      <c r="R237" s="152">
        <f t="shared" si="148"/>
        <v>505</v>
      </c>
      <c r="S237" s="162">
        <f t="shared" si="149"/>
        <v>8.439407574115898E-2</v>
      </c>
      <c r="U237" s="76">
        <v>67</v>
      </c>
      <c r="V237" s="156">
        <f t="shared" si="150"/>
        <v>1447</v>
      </c>
      <c r="W237" s="160">
        <f t="shared" si="151"/>
        <v>4.8550724637681161E-2</v>
      </c>
      <c r="X237" s="76">
        <v>73</v>
      </c>
      <c r="Y237" s="156">
        <f t="shared" si="152"/>
        <v>1520</v>
      </c>
      <c r="Z237" s="160">
        <f t="shared" si="153"/>
        <v>5.0449205252246027E-2</v>
      </c>
      <c r="AA237" s="76">
        <v>88</v>
      </c>
      <c r="AB237" s="156">
        <f t="shared" si="154"/>
        <v>1608</v>
      </c>
      <c r="AC237" s="160">
        <f t="shared" si="155"/>
        <v>5.7894736842105263E-2</v>
      </c>
      <c r="AD237" s="76">
        <v>82</v>
      </c>
      <c r="AE237" s="156">
        <f t="shared" si="156"/>
        <v>1690</v>
      </c>
      <c r="AF237" s="160">
        <f t="shared" si="157"/>
        <v>5.0995024875621887E-2</v>
      </c>
      <c r="AG237" s="76">
        <v>96</v>
      </c>
      <c r="AH237" s="156">
        <f t="shared" si="158"/>
        <v>1786</v>
      </c>
      <c r="AI237" s="160">
        <f t="shared" si="159"/>
        <v>5.6804733727810648E-2</v>
      </c>
      <c r="AJ237" s="152">
        <f t="shared" si="160"/>
        <v>406</v>
      </c>
      <c r="AK237" s="162">
        <f t="shared" si="161"/>
        <v>5.403062819050497E-2</v>
      </c>
    </row>
    <row r="238" spans="2:37" outlineLevel="1" x14ac:dyDescent="0.35">
      <c r="B238" s="48" t="s">
        <v>111</v>
      </c>
      <c r="C238" s="62" t="s">
        <v>135</v>
      </c>
      <c r="D238" s="76">
        <v>146</v>
      </c>
      <c r="E238" s="77">
        <v>1064</v>
      </c>
      <c r="F238" s="76">
        <v>222</v>
      </c>
      <c r="G238" s="156">
        <f t="shared" si="122"/>
        <v>1286</v>
      </c>
      <c r="H238" s="160">
        <f t="shared" si="123"/>
        <v>0.20864661654135339</v>
      </c>
      <c r="I238" s="76">
        <v>194</v>
      </c>
      <c r="J238" s="156">
        <f t="shared" si="142"/>
        <v>1480</v>
      </c>
      <c r="K238" s="160">
        <f t="shared" si="143"/>
        <v>0.15085536547433903</v>
      </c>
      <c r="L238" s="76">
        <v>99</v>
      </c>
      <c r="M238" s="156">
        <f t="shared" si="144"/>
        <v>1579</v>
      </c>
      <c r="N238" s="160">
        <f t="shared" si="145"/>
        <v>6.6891891891891889E-2</v>
      </c>
      <c r="O238" s="76">
        <v>67</v>
      </c>
      <c r="P238" s="156">
        <f t="shared" si="146"/>
        <v>1646</v>
      </c>
      <c r="Q238" s="160">
        <f t="shared" si="147"/>
        <v>4.2431918936035463E-2</v>
      </c>
      <c r="R238" s="152">
        <f t="shared" si="148"/>
        <v>728</v>
      </c>
      <c r="S238" s="162">
        <f t="shared" si="149"/>
        <v>0.11524953472629451</v>
      </c>
      <c r="U238" s="76">
        <v>96</v>
      </c>
      <c r="V238" s="156">
        <f t="shared" si="150"/>
        <v>1742</v>
      </c>
      <c r="W238" s="160">
        <f t="shared" si="151"/>
        <v>5.8323207776427702E-2</v>
      </c>
      <c r="X238" s="76">
        <v>139</v>
      </c>
      <c r="Y238" s="156">
        <f t="shared" si="152"/>
        <v>1881</v>
      </c>
      <c r="Z238" s="160">
        <f t="shared" si="153"/>
        <v>7.9793340987370842E-2</v>
      </c>
      <c r="AA238" s="76">
        <v>205</v>
      </c>
      <c r="AB238" s="156">
        <f t="shared" si="154"/>
        <v>2086</v>
      </c>
      <c r="AC238" s="160">
        <f t="shared" si="155"/>
        <v>0.1089845826687932</v>
      </c>
      <c r="AD238" s="76">
        <v>190</v>
      </c>
      <c r="AE238" s="156">
        <f t="shared" si="156"/>
        <v>2276</v>
      </c>
      <c r="AF238" s="160">
        <f t="shared" si="157"/>
        <v>9.1083413231064239E-2</v>
      </c>
      <c r="AG238" s="76">
        <v>150</v>
      </c>
      <c r="AH238" s="156">
        <f t="shared" si="158"/>
        <v>2426</v>
      </c>
      <c r="AI238" s="160">
        <f t="shared" si="159"/>
        <v>6.5905096660808432E-2</v>
      </c>
      <c r="AJ238" s="152">
        <f t="shared" si="160"/>
        <v>780</v>
      </c>
      <c r="AK238" s="162">
        <f t="shared" si="161"/>
        <v>8.6327219287915202E-2</v>
      </c>
    </row>
    <row r="239" spans="2:37" outlineLevel="1" x14ac:dyDescent="0.35">
      <c r="B239" s="48" t="s">
        <v>112</v>
      </c>
      <c r="C239" s="62" t="s">
        <v>135</v>
      </c>
      <c r="D239" s="76">
        <v>194</v>
      </c>
      <c r="E239" s="77">
        <v>1839</v>
      </c>
      <c r="F239" s="76">
        <v>211</v>
      </c>
      <c r="G239" s="156">
        <f t="shared" si="122"/>
        <v>2050</v>
      </c>
      <c r="H239" s="160">
        <f t="shared" si="123"/>
        <v>0.11473626971179988</v>
      </c>
      <c r="I239" s="76">
        <v>237</v>
      </c>
      <c r="J239" s="156">
        <f t="shared" si="142"/>
        <v>2287</v>
      </c>
      <c r="K239" s="160">
        <f t="shared" si="143"/>
        <v>0.11560975609756098</v>
      </c>
      <c r="L239" s="76">
        <v>141</v>
      </c>
      <c r="M239" s="156">
        <f t="shared" si="144"/>
        <v>2428</v>
      </c>
      <c r="N239" s="160">
        <f t="shared" si="145"/>
        <v>6.1652820288587672E-2</v>
      </c>
      <c r="O239" s="76">
        <v>67</v>
      </c>
      <c r="P239" s="156">
        <f t="shared" si="146"/>
        <v>2495</v>
      </c>
      <c r="Q239" s="160">
        <f t="shared" si="147"/>
        <v>2.7594728171334432E-2</v>
      </c>
      <c r="R239" s="152">
        <f t="shared" si="148"/>
        <v>850</v>
      </c>
      <c r="S239" s="162">
        <f t="shared" si="149"/>
        <v>7.9250367421955792E-2</v>
      </c>
      <c r="U239" s="76">
        <v>168</v>
      </c>
      <c r="V239" s="156">
        <f t="shared" si="150"/>
        <v>2663</v>
      </c>
      <c r="W239" s="160">
        <f t="shared" si="151"/>
        <v>6.733466933867735E-2</v>
      </c>
      <c r="X239" s="76">
        <v>251</v>
      </c>
      <c r="Y239" s="156">
        <f t="shared" si="152"/>
        <v>2914</v>
      </c>
      <c r="Z239" s="160">
        <f t="shared" si="153"/>
        <v>9.4254600075103265E-2</v>
      </c>
      <c r="AA239" s="76">
        <v>323</v>
      </c>
      <c r="AB239" s="156">
        <f t="shared" si="154"/>
        <v>3237</v>
      </c>
      <c r="AC239" s="160">
        <f t="shared" si="155"/>
        <v>0.11084420041180508</v>
      </c>
      <c r="AD239" s="76">
        <v>322</v>
      </c>
      <c r="AE239" s="156">
        <f t="shared" si="156"/>
        <v>3559</v>
      </c>
      <c r="AF239" s="160">
        <f t="shared" si="157"/>
        <v>9.9474822366388632E-2</v>
      </c>
      <c r="AG239" s="76">
        <v>326</v>
      </c>
      <c r="AH239" s="156">
        <f t="shared" si="158"/>
        <v>3885</v>
      </c>
      <c r="AI239" s="160">
        <f t="shared" si="159"/>
        <v>9.1598763697667882E-2</v>
      </c>
      <c r="AJ239" s="152">
        <f t="shared" si="160"/>
        <v>1390</v>
      </c>
      <c r="AK239" s="162">
        <f t="shared" si="161"/>
        <v>9.9018401618247376E-2</v>
      </c>
    </row>
    <row r="240" spans="2:37" outlineLevel="1" x14ac:dyDescent="0.35">
      <c r="B240" s="48" t="s">
        <v>113</v>
      </c>
      <c r="C240" s="62" t="s">
        <v>135</v>
      </c>
      <c r="D240" s="76">
        <v>0</v>
      </c>
      <c r="E240" s="77">
        <v>0</v>
      </c>
      <c r="F240" s="76">
        <v>0</v>
      </c>
      <c r="G240" s="156">
        <f t="shared" si="122"/>
        <v>0</v>
      </c>
      <c r="H240" s="160">
        <f t="shared" si="123"/>
        <v>0</v>
      </c>
      <c r="I240" s="76">
        <v>0</v>
      </c>
      <c r="J240" s="156">
        <f t="shared" si="142"/>
        <v>0</v>
      </c>
      <c r="K240" s="160">
        <f t="shared" si="143"/>
        <v>0</v>
      </c>
      <c r="L240" s="76">
        <v>0</v>
      </c>
      <c r="M240" s="156">
        <f t="shared" si="144"/>
        <v>0</v>
      </c>
      <c r="N240" s="160">
        <f t="shared" si="145"/>
        <v>0</v>
      </c>
      <c r="O240" s="76">
        <v>1</v>
      </c>
      <c r="P240" s="156">
        <f t="shared" si="146"/>
        <v>1</v>
      </c>
      <c r="Q240" s="160">
        <f t="shared" si="147"/>
        <v>0</v>
      </c>
      <c r="R240" s="152">
        <f t="shared" si="148"/>
        <v>1</v>
      </c>
      <c r="S240" s="162">
        <f t="shared" si="149"/>
        <v>0</v>
      </c>
      <c r="U240" s="76">
        <v>0</v>
      </c>
      <c r="V240" s="156">
        <f t="shared" si="150"/>
        <v>1</v>
      </c>
      <c r="W240" s="160">
        <f t="shared" si="151"/>
        <v>0</v>
      </c>
      <c r="X240" s="76">
        <v>0</v>
      </c>
      <c r="Y240" s="156">
        <f t="shared" si="152"/>
        <v>1</v>
      </c>
      <c r="Z240" s="160">
        <f t="shared" si="153"/>
        <v>0</v>
      </c>
      <c r="AA240" s="76">
        <v>1</v>
      </c>
      <c r="AB240" s="156">
        <f t="shared" si="154"/>
        <v>2</v>
      </c>
      <c r="AC240" s="160">
        <f t="shared" si="155"/>
        <v>1</v>
      </c>
      <c r="AD240" s="76">
        <v>0</v>
      </c>
      <c r="AE240" s="156">
        <f t="shared" si="156"/>
        <v>2</v>
      </c>
      <c r="AF240" s="160">
        <f t="shared" si="157"/>
        <v>0</v>
      </c>
      <c r="AG240" s="76">
        <v>0</v>
      </c>
      <c r="AH240" s="156">
        <f t="shared" si="158"/>
        <v>2</v>
      </c>
      <c r="AI240" s="160">
        <f t="shared" si="159"/>
        <v>0</v>
      </c>
      <c r="AJ240" s="152">
        <f t="shared" si="160"/>
        <v>1</v>
      </c>
      <c r="AK240" s="162">
        <f t="shared" si="161"/>
        <v>0.18920711500272103</v>
      </c>
    </row>
    <row r="241" spans="2:37" outlineLevel="1" x14ac:dyDescent="0.35">
      <c r="B241" s="48" t="s">
        <v>114</v>
      </c>
      <c r="C241" s="62" t="s">
        <v>135</v>
      </c>
      <c r="D241" s="76">
        <v>420</v>
      </c>
      <c r="E241" s="77">
        <v>5113</v>
      </c>
      <c r="F241" s="76">
        <v>670</v>
      </c>
      <c r="G241" s="156">
        <f t="shared" si="122"/>
        <v>5783</v>
      </c>
      <c r="H241" s="160">
        <f t="shared" si="123"/>
        <v>0.13103852923919421</v>
      </c>
      <c r="I241" s="76">
        <v>571</v>
      </c>
      <c r="J241" s="156">
        <f t="shared" si="142"/>
        <v>6354</v>
      </c>
      <c r="K241" s="160">
        <f t="shared" si="143"/>
        <v>9.8737679405153031E-2</v>
      </c>
      <c r="L241" s="76">
        <v>316</v>
      </c>
      <c r="M241" s="156">
        <f t="shared" si="144"/>
        <v>6670</v>
      </c>
      <c r="N241" s="160">
        <f t="shared" si="145"/>
        <v>4.9732451998740948E-2</v>
      </c>
      <c r="O241" s="76">
        <v>273</v>
      </c>
      <c r="P241" s="156">
        <f t="shared" si="146"/>
        <v>6943</v>
      </c>
      <c r="Q241" s="160">
        <f t="shared" si="147"/>
        <v>4.092953523238381E-2</v>
      </c>
      <c r="R241" s="152">
        <f t="shared" si="148"/>
        <v>2250</v>
      </c>
      <c r="S241" s="162">
        <f t="shared" si="149"/>
        <v>7.9488060197548727E-2</v>
      </c>
      <c r="U241" s="76">
        <v>583</v>
      </c>
      <c r="V241" s="156">
        <f t="shared" si="150"/>
        <v>7526</v>
      </c>
      <c r="W241" s="160">
        <f t="shared" si="151"/>
        <v>8.3969465648854963E-2</v>
      </c>
      <c r="X241" s="76">
        <v>646</v>
      </c>
      <c r="Y241" s="156">
        <f t="shared" si="152"/>
        <v>8172</v>
      </c>
      <c r="Z241" s="160">
        <f t="shared" si="153"/>
        <v>8.5835769332979012E-2</v>
      </c>
      <c r="AA241" s="76">
        <v>679</v>
      </c>
      <c r="AB241" s="156">
        <f t="shared" si="154"/>
        <v>8851</v>
      </c>
      <c r="AC241" s="160">
        <f t="shared" si="155"/>
        <v>8.3088595203132651E-2</v>
      </c>
      <c r="AD241" s="76">
        <v>595</v>
      </c>
      <c r="AE241" s="156">
        <f t="shared" si="156"/>
        <v>9446</v>
      </c>
      <c r="AF241" s="160">
        <f t="shared" si="157"/>
        <v>6.722404248107558E-2</v>
      </c>
      <c r="AG241" s="76">
        <v>469</v>
      </c>
      <c r="AH241" s="156">
        <f t="shared" si="158"/>
        <v>9915</v>
      </c>
      <c r="AI241" s="160">
        <f t="shared" si="159"/>
        <v>4.9650645775989835E-2</v>
      </c>
      <c r="AJ241" s="152">
        <f t="shared" si="160"/>
        <v>2972</v>
      </c>
      <c r="AK241" s="162">
        <f t="shared" si="161"/>
        <v>7.1351855564305122E-2</v>
      </c>
    </row>
    <row r="242" spans="2:37" outlineLevel="1" x14ac:dyDescent="0.35">
      <c r="B242" s="48" t="s">
        <v>115</v>
      </c>
      <c r="C242" s="62" t="s">
        <v>135</v>
      </c>
      <c r="D242" s="76">
        <v>354</v>
      </c>
      <c r="E242" s="77">
        <v>564</v>
      </c>
      <c r="F242" s="76">
        <v>772</v>
      </c>
      <c r="G242" s="156">
        <f t="shared" si="122"/>
        <v>1336</v>
      </c>
      <c r="H242" s="160">
        <f t="shared" si="123"/>
        <v>1.3687943262411348</v>
      </c>
      <c r="I242" s="76">
        <v>523</v>
      </c>
      <c r="J242" s="156">
        <f t="shared" si="142"/>
        <v>1859</v>
      </c>
      <c r="K242" s="160">
        <f t="shared" si="143"/>
        <v>0.39146706586826346</v>
      </c>
      <c r="L242" s="76">
        <v>248</v>
      </c>
      <c r="M242" s="156">
        <f t="shared" si="144"/>
        <v>2107</v>
      </c>
      <c r="N242" s="160">
        <f t="shared" si="145"/>
        <v>0.13340505648197956</v>
      </c>
      <c r="O242" s="76">
        <v>134</v>
      </c>
      <c r="P242" s="156">
        <f t="shared" si="146"/>
        <v>2241</v>
      </c>
      <c r="Q242" s="160">
        <f t="shared" si="147"/>
        <v>6.3597532036070242E-2</v>
      </c>
      <c r="R242" s="152">
        <f t="shared" si="148"/>
        <v>2031</v>
      </c>
      <c r="S242" s="162">
        <f t="shared" si="149"/>
        <v>0.41185692435388943</v>
      </c>
      <c r="U242" s="76">
        <v>219</v>
      </c>
      <c r="V242" s="156">
        <f t="shared" si="150"/>
        <v>2460</v>
      </c>
      <c r="W242" s="160">
        <f t="shared" si="151"/>
        <v>9.772423025435073E-2</v>
      </c>
      <c r="X242" s="76">
        <v>288</v>
      </c>
      <c r="Y242" s="156">
        <f t="shared" si="152"/>
        <v>2748</v>
      </c>
      <c r="Z242" s="160">
        <f t="shared" si="153"/>
        <v>0.11707317073170732</v>
      </c>
      <c r="AA242" s="76">
        <v>330</v>
      </c>
      <c r="AB242" s="156">
        <f t="shared" si="154"/>
        <v>3078</v>
      </c>
      <c r="AC242" s="160">
        <f t="shared" si="155"/>
        <v>0.12008733624454149</v>
      </c>
      <c r="AD242" s="76">
        <v>322</v>
      </c>
      <c r="AE242" s="156">
        <f t="shared" si="156"/>
        <v>3400</v>
      </c>
      <c r="AF242" s="160">
        <f t="shared" si="157"/>
        <v>0.1046133853151397</v>
      </c>
      <c r="AG242" s="76">
        <v>294</v>
      </c>
      <c r="AH242" s="156">
        <f t="shared" si="158"/>
        <v>3694</v>
      </c>
      <c r="AI242" s="160">
        <f t="shared" si="159"/>
        <v>8.6470588235294119E-2</v>
      </c>
      <c r="AJ242" s="152">
        <f t="shared" si="160"/>
        <v>1453</v>
      </c>
      <c r="AK242" s="162">
        <f t="shared" si="161"/>
        <v>0.1069817116605547</v>
      </c>
    </row>
    <row r="243" spans="2:37" outlineLevel="1" x14ac:dyDescent="0.35">
      <c r="B243" s="48" t="s">
        <v>116</v>
      </c>
      <c r="C243" s="62" t="s">
        <v>135</v>
      </c>
      <c r="D243" s="76">
        <v>512</v>
      </c>
      <c r="E243" s="77">
        <v>5756</v>
      </c>
      <c r="F243" s="76">
        <v>649</v>
      </c>
      <c r="G243" s="156">
        <f t="shared" si="122"/>
        <v>6405</v>
      </c>
      <c r="H243" s="160">
        <f t="shared" si="123"/>
        <v>0.11275191104933982</v>
      </c>
      <c r="I243" s="76">
        <v>523</v>
      </c>
      <c r="J243" s="156">
        <f t="shared" si="142"/>
        <v>6928</v>
      </c>
      <c r="K243" s="160">
        <f t="shared" si="143"/>
        <v>8.1654957064793129E-2</v>
      </c>
      <c r="L243" s="76">
        <v>287</v>
      </c>
      <c r="M243" s="156">
        <f t="shared" si="144"/>
        <v>7215</v>
      </c>
      <c r="N243" s="160">
        <f t="shared" si="145"/>
        <v>4.142609699769053E-2</v>
      </c>
      <c r="O243" s="76">
        <v>320</v>
      </c>
      <c r="P243" s="156">
        <f t="shared" si="146"/>
        <v>7535</v>
      </c>
      <c r="Q243" s="160">
        <f t="shared" si="147"/>
        <v>4.4352044352044352E-2</v>
      </c>
      <c r="R243" s="152">
        <f t="shared" si="148"/>
        <v>2291</v>
      </c>
      <c r="S243" s="162">
        <f t="shared" si="149"/>
        <v>6.9647345777044567E-2</v>
      </c>
      <c r="U243" s="76">
        <v>431</v>
      </c>
      <c r="V243" s="156">
        <f t="shared" si="150"/>
        <v>7966</v>
      </c>
      <c r="W243" s="160">
        <f t="shared" si="151"/>
        <v>5.7199734571997347E-2</v>
      </c>
      <c r="X243" s="76">
        <v>477</v>
      </c>
      <c r="Y243" s="156">
        <f t="shared" si="152"/>
        <v>8443</v>
      </c>
      <c r="Z243" s="160">
        <f t="shared" si="153"/>
        <v>5.9879487823248805E-2</v>
      </c>
      <c r="AA243" s="76">
        <v>501</v>
      </c>
      <c r="AB243" s="156">
        <f t="shared" si="154"/>
        <v>8944</v>
      </c>
      <c r="AC243" s="160">
        <f t="shared" si="155"/>
        <v>5.9339097477200051E-2</v>
      </c>
      <c r="AD243" s="76">
        <v>439</v>
      </c>
      <c r="AE243" s="156">
        <f t="shared" si="156"/>
        <v>9383</v>
      </c>
      <c r="AF243" s="160">
        <f t="shared" si="157"/>
        <v>4.9083184257602865E-2</v>
      </c>
      <c r="AG243" s="76">
        <v>346</v>
      </c>
      <c r="AH243" s="156">
        <f t="shared" si="158"/>
        <v>9729</v>
      </c>
      <c r="AI243" s="160">
        <f t="shared" si="159"/>
        <v>3.6875199829478844E-2</v>
      </c>
      <c r="AJ243" s="152">
        <f t="shared" si="160"/>
        <v>2194</v>
      </c>
      <c r="AK243" s="162">
        <f t="shared" si="161"/>
        <v>5.1252339563093274E-2</v>
      </c>
    </row>
    <row r="244" spans="2:37" outlineLevel="1" x14ac:dyDescent="0.35">
      <c r="B244" s="48" t="s">
        <v>117</v>
      </c>
      <c r="C244" s="62" t="s">
        <v>135</v>
      </c>
      <c r="D244" s="76">
        <v>360</v>
      </c>
      <c r="E244" s="77">
        <v>3604</v>
      </c>
      <c r="F244" s="76">
        <v>445</v>
      </c>
      <c r="G244" s="156">
        <f t="shared" si="122"/>
        <v>4049</v>
      </c>
      <c r="H244" s="160">
        <f t="shared" si="123"/>
        <v>0.1234739178690344</v>
      </c>
      <c r="I244" s="76">
        <v>476</v>
      </c>
      <c r="J244" s="156">
        <f t="shared" si="142"/>
        <v>4525</v>
      </c>
      <c r="K244" s="160">
        <f t="shared" si="143"/>
        <v>0.11755989133119289</v>
      </c>
      <c r="L244" s="76">
        <v>308</v>
      </c>
      <c r="M244" s="156">
        <f t="shared" si="144"/>
        <v>4833</v>
      </c>
      <c r="N244" s="160">
        <f t="shared" si="145"/>
        <v>6.8066298342541437E-2</v>
      </c>
      <c r="O244" s="76">
        <v>237</v>
      </c>
      <c r="P244" s="156">
        <f t="shared" si="146"/>
        <v>5070</v>
      </c>
      <c r="Q244" s="160">
        <f t="shared" si="147"/>
        <v>4.9037864680322778E-2</v>
      </c>
      <c r="R244" s="152">
        <f t="shared" si="148"/>
        <v>1826</v>
      </c>
      <c r="S244" s="162">
        <f t="shared" si="149"/>
        <v>8.9069998283685337E-2</v>
      </c>
      <c r="U244" s="76">
        <v>498</v>
      </c>
      <c r="V244" s="156">
        <f t="shared" si="150"/>
        <v>5568</v>
      </c>
      <c r="W244" s="160">
        <f t="shared" si="151"/>
        <v>9.8224852071005911E-2</v>
      </c>
      <c r="X244" s="76">
        <v>762</v>
      </c>
      <c r="Y244" s="156">
        <f t="shared" si="152"/>
        <v>6330</v>
      </c>
      <c r="Z244" s="160">
        <f t="shared" si="153"/>
        <v>0.13685344827586207</v>
      </c>
      <c r="AA244" s="76">
        <v>935</v>
      </c>
      <c r="AB244" s="156">
        <f t="shared" si="154"/>
        <v>7265</v>
      </c>
      <c r="AC244" s="160">
        <f t="shared" si="155"/>
        <v>0.14770932069510267</v>
      </c>
      <c r="AD244" s="76">
        <v>1040</v>
      </c>
      <c r="AE244" s="156">
        <f t="shared" si="156"/>
        <v>8305</v>
      </c>
      <c r="AF244" s="160">
        <f t="shared" si="157"/>
        <v>0.14315209910529939</v>
      </c>
      <c r="AG244" s="76">
        <v>961</v>
      </c>
      <c r="AH244" s="156">
        <f t="shared" si="158"/>
        <v>9266</v>
      </c>
      <c r="AI244" s="160">
        <f t="shared" si="159"/>
        <v>0.11571342564720048</v>
      </c>
      <c r="AJ244" s="152">
        <f t="shared" si="160"/>
        <v>4196</v>
      </c>
      <c r="AK244" s="162">
        <f t="shared" si="161"/>
        <v>0.13579059280883787</v>
      </c>
    </row>
    <row r="245" spans="2:37" outlineLevel="1" x14ac:dyDescent="0.35">
      <c r="B245" s="48" t="s">
        <v>118</v>
      </c>
      <c r="C245" s="62" t="s">
        <v>135</v>
      </c>
      <c r="D245" s="76">
        <v>351</v>
      </c>
      <c r="E245" s="77">
        <v>2088</v>
      </c>
      <c r="F245" s="76">
        <v>703</v>
      </c>
      <c r="G245" s="156">
        <f t="shared" si="122"/>
        <v>2791</v>
      </c>
      <c r="H245" s="160">
        <f t="shared" si="123"/>
        <v>0.33668582375478928</v>
      </c>
      <c r="I245" s="76">
        <v>458</v>
      </c>
      <c r="J245" s="156">
        <f t="shared" si="142"/>
        <v>3249</v>
      </c>
      <c r="K245" s="160">
        <f t="shared" si="143"/>
        <v>0.1640988892869939</v>
      </c>
      <c r="L245" s="76">
        <v>192</v>
      </c>
      <c r="M245" s="156">
        <f t="shared" si="144"/>
        <v>3441</v>
      </c>
      <c r="N245" s="160">
        <f t="shared" si="145"/>
        <v>5.9095106186518927E-2</v>
      </c>
      <c r="O245" s="76">
        <v>176</v>
      </c>
      <c r="P245" s="156">
        <f t="shared" si="146"/>
        <v>3617</v>
      </c>
      <c r="Q245" s="160">
        <f t="shared" si="147"/>
        <v>5.1147922115664053E-2</v>
      </c>
      <c r="R245" s="152">
        <f t="shared" si="148"/>
        <v>1880</v>
      </c>
      <c r="S245" s="162">
        <f t="shared" si="149"/>
        <v>0.14724058850965549</v>
      </c>
      <c r="U245" s="76">
        <v>196</v>
      </c>
      <c r="V245" s="156">
        <f t="shared" si="150"/>
        <v>3813</v>
      </c>
      <c r="W245" s="160">
        <f t="shared" si="151"/>
        <v>5.4188554050317944E-2</v>
      </c>
      <c r="X245" s="76">
        <v>217</v>
      </c>
      <c r="Y245" s="156">
        <f t="shared" si="152"/>
        <v>4030</v>
      </c>
      <c r="Z245" s="160">
        <f t="shared" si="153"/>
        <v>5.6910569105691054E-2</v>
      </c>
      <c r="AA245" s="76">
        <v>227</v>
      </c>
      <c r="AB245" s="156">
        <f t="shared" si="154"/>
        <v>4257</v>
      </c>
      <c r="AC245" s="160">
        <f t="shared" si="155"/>
        <v>5.6327543424317617E-2</v>
      </c>
      <c r="AD245" s="76">
        <v>198</v>
      </c>
      <c r="AE245" s="156">
        <f t="shared" si="156"/>
        <v>4455</v>
      </c>
      <c r="AF245" s="160">
        <f t="shared" si="157"/>
        <v>4.6511627906976744E-2</v>
      </c>
      <c r="AG245" s="76">
        <v>172</v>
      </c>
      <c r="AH245" s="156">
        <f t="shared" si="158"/>
        <v>4627</v>
      </c>
      <c r="AI245" s="160">
        <f t="shared" si="159"/>
        <v>3.8608305274971944E-2</v>
      </c>
      <c r="AJ245" s="152">
        <f t="shared" si="160"/>
        <v>1010</v>
      </c>
      <c r="AK245" s="162">
        <f t="shared" si="161"/>
        <v>4.9562181551523254E-2</v>
      </c>
    </row>
    <row r="246" spans="2:37" outlineLevel="1" x14ac:dyDescent="0.35">
      <c r="B246" s="48" t="s">
        <v>119</v>
      </c>
      <c r="C246" s="62" t="s">
        <v>135</v>
      </c>
      <c r="D246" s="76">
        <v>0</v>
      </c>
      <c r="E246" s="77">
        <v>7</v>
      </c>
      <c r="F246" s="76">
        <v>1</v>
      </c>
      <c r="G246" s="156">
        <f t="shared" si="122"/>
        <v>8</v>
      </c>
      <c r="H246" s="160">
        <f t="shared" si="123"/>
        <v>0.14285714285714285</v>
      </c>
      <c r="I246" s="76">
        <v>3</v>
      </c>
      <c r="J246" s="156">
        <f t="shared" si="142"/>
        <v>11</v>
      </c>
      <c r="K246" s="160">
        <f t="shared" si="143"/>
        <v>0.375</v>
      </c>
      <c r="L246" s="76">
        <v>-1</v>
      </c>
      <c r="M246" s="156">
        <f t="shared" si="144"/>
        <v>10</v>
      </c>
      <c r="N246" s="160">
        <f t="shared" si="145"/>
        <v>-9.0909090909090912E-2</v>
      </c>
      <c r="O246" s="76">
        <v>0</v>
      </c>
      <c r="P246" s="156">
        <f t="shared" si="146"/>
        <v>10</v>
      </c>
      <c r="Q246" s="160">
        <f t="shared" si="147"/>
        <v>0</v>
      </c>
      <c r="R246" s="152">
        <f t="shared" si="148"/>
        <v>3</v>
      </c>
      <c r="S246" s="162">
        <f t="shared" si="149"/>
        <v>9.3265113929093424E-2</v>
      </c>
      <c r="U246" s="76">
        <v>0</v>
      </c>
      <c r="V246" s="156">
        <f t="shared" si="150"/>
        <v>10</v>
      </c>
      <c r="W246" s="160">
        <f t="shared" si="151"/>
        <v>0</v>
      </c>
      <c r="X246" s="76">
        <v>0</v>
      </c>
      <c r="Y246" s="156">
        <f t="shared" si="152"/>
        <v>10</v>
      </c>
      <c r="Z246" s="160">
        <f t="shared" si="153"/>
        <v>0</v>
      </c>
      <c r="AA246" s="76">
        <v>0</v>
      </c>
      <c r="AB246" s="156">
        <f t="shared" si="154"/>
        <v>10</v>
      </c>
      <c r="AC246" s="160">
        <f t="shared" si="155"/>
        <v>0</v>
      </c>
      <c r="AD246" s="76">
        <v>0</v>
      </c>
      <c r="AE246" s="156">
        <f t="shared" si="156"/>
        <v>10</v>
      </c>
      <c r="AF246" s="160">
        <f t="shared" si="157"/>
        <v>0</v>
      </c>
      <c r="AG246" s="76">
        <v>0</v>
      </c>
      <c r="AH246" s="156">
        <f t="shared" si="158"/>
        <v>10</v>
      </c>
      <c r="AI246" s="160">
        <f t="shared" si="159"/>
        <v>0</v>
      </c>
      <c r="AJ246" s="152">
        <f t="shared" si="160"/>
        <v>0</v>
      </c>
      <c r="AK246" s="162">
        <f t="shared" si="161"/>
        <v>0</v>
      </c>
    </row>
    <row r="247" spans="2:37" outlineLevel="1" x14ac:dyDescent="0.35">
      <c r="B247" s="48" t="s">
        <v>120</v>
      </c>
      <c r="C247" s="62" t="s">
        <v>135</v>
      </c>
      <c r="D247" s="76">
        <v>519</v>
      </c>
      <c r="E247" s="77">
        <v>5061</v>
      </c>
      <c r="F247" s="76">
        <v>593</v>
      </c>
      <c r="G247" s="156">
        <f t="shared" si="122"/>
        <v>5654</v>
      </c>
      <c r="H247" s="160">
        <f t="shared" si="123"/>
        <v>0.11717051966014622</v>
      </c>
      <c r="I247" s="76">
        <v>651</v>
      </c>
      <c r="J247" s="156">
        <f t="shared" si="142"/>
        <v>6305</v>
      </c>
      <c r="K247" s="160">
        <f t="shared" si="143"/>
        <v>0.11513972408914043</v>
      </c>
      <c r="L247" s="76">
        <v>385</v>
      </c>
      <c r="M247" s="156">
        <f t="shared" si="144"/>
        <v>6690</v>
      </c>
      <c r="N247" s="160">
        <f t="shared" si="145"/>
        <v>6.1062648691514669E-2</v>
      </c>
      <c r="O247" s="76">
        <v>327</v>
      </c>
      <c r="P247" s="156">
        <f t="shared" si="146"/>
        <v>7017</v>
      </c>
      <c r="Q247" s="160">
        <f t="shared" si="147"/>
        <v>4.8878923766816143E-2</v>
      </c>
      <c r="R247" s="152">
        <f t="shared" si="148"/>
        <v>2475</v>
      </c>
      <c r="S247" s="162">
        <f t="shared" si="149"/>
        <v>8.5122540327941421E-2</v>
      </c>
      <c r="U247" s="76">
        <v>500</v>
      </c>
      <c r="V247" s="156">
        <f t="shared" si="150"/>
        <v>7517</v>
      </c>
      <c r="W247" s="160">
        <f t="shared" si="151"/>
        <v>7.1255522302978477E-2</v>
      </c>
      <c r="X247" s="76">
        <v>597</v>
      </c>
      <c r="Y247" s="156">
        <f t="shared" si="152"/>
        <v>8114</v>
      </c>
      <c r="Z247" s="160">
        <f t="shared" si="153"/>
        <v>7.9419981375548759E-2</v>
      </c>
      <c r="AA247" s="76">
        <v>687</v>
      </c>
      <c r="AB247" s="156">
        <f t="shared" si="154"/>
        <v>8801</v>
      </c>
      <c r="AC247" s="160">
        <f t="shared" si="155"/>
        <v>8.4668474242050776E-2</v>
      </c>
      <c r="AD247" s="76">
        <v>628</v>
      </c>
      <c r="AE247" s="156">
        <f t="shared" si="156"/>
        <v>9429</v>
      </c>
      <c r="AF247" s="160">
        <f t="shared" si="157"/>
        <v>7.1355527780933986E-2</v>
      </c>
      <c r="AG247" s="76">
        <v>551</v>
      </c>
      <c r="AH247" s="156">
        <f t="shared" si="158"/>
        <v>9980</v>
      </c>
      <c r="AI247" s="160">
        <f t="shared" si="159"/>
        <v>5.8436737724042849E-2</v>
      </c>
      <c r="AJ247" s="152">
        <f t="shared" si="160"/>
        <v>2963</v>
      </c>
      <c r="AK247" s="162">
        <f t="shared" si="161"/>
        <v>7.3424485898017089E-2</v>
      </c>
    </row>
    <row r="248" spans="2:37" outlineLevel="1" x14ac:dyDescent="0.35">
      <c r="B248" s="48" t="s">
        <v>121</v>
      </c>
      <c r="C248" s="62" t="s">
        <v>135</v>
      </c>
      <c r="D248" s="76">
        <v>106</v>
      </c>
      <c r="E248" s="77">
        <v>489</v>
      </c>
      <c r="F248" s="76">
        <v>182</v>
      </c>
      <c r="G248" s="156">
        <f t="shared" si="122"/>
        <v>671</v>
      </c>
      <c r="H248" s="160">
        <f t="shared" si="123"/>
        <v>0.3721881390593047</v>
      </c>
      <c r="I248" s="76">
        <v>316</v>
      </c>
      <c r="J248" s="156">
        <f t="shared" si="142"/>
        <v>987</v>
      </c>
      <c r="K248" s="160">
        <f t="shared" si="143"/>
        <v>0.47093889716840537</v>
      </c>
      <c r="L248" s="76">
        <v>226</v>
      </c>
      <c r="M248" s="156">
        <f t="shared" si="144"/>
        <v>1213</v>
      </c>
      <c r="N248" s="160">
        <f t="shared" si="145"/>
        <v>0.22897669706180346</v>
      </c>
      <c r="O248" s="76">
        <v>91</v>
      </c>
      <c r="P248" s="156">
        <f t="shared" si="146"/>
        <v>1304</v>
      </c>
      <c r="Q248" s="160">
        <f t="shared" si="147"/>
        <v>7.5020610057708159E-2</v>
      </c>
      <c r="R248" s="152">
        <f t="shared" si="148"/>
        <v>921</v>
      </c>
      <c r="S248" s="162">
        <f t="shared" si="149"/>
        <v>0.27788620849254486</v>
      </c>
      <c r="U248" s="76">
        <v>159</v>
      </c>
      <c r="V248" s="156">
        <f t="shared" si="150"/>
        <v>1463</v>
      </c>
      <c r="W248" s="160">
        <f t="shared" si="151"/>
        <v>0.12193251533742332</v>
      </c>
      <c r="X248" s="76">
        <v>215</v>
      </c>
      <c r="Y248" s="156">
        <f t="shared" si="152"/>
        <v>1678</v>
      </c>
      <c r="Z248" s="160">
        <f t="shared" si="153"/>
        <v>0.1469583048530417</v>
      </c>
      <c r="AA248" s="76">
        <v>281</v>
      </c>
      <c r="AB248" s="156">
        <f t="shared" si="154"/>
        <v>1959</v>
      </c>
      <c r="AC248" s="160">
        <f t="shared" si="155"/>
        <v>0.16746126340882003</v>
      </c>
      <c r="AD248" s="76">
        <v>281</v>
      </c>
      <c r="AE248" s="156">
        <f t="shared" si="156"/>
        <v>2240</v>
      </c>
      <c r="AF248" s="160">
        <f t="shared" si="157"/>
        <v>0.14344053088310363</v>
      </c>
      <c r="AG248" s="76">
        <v>307</v>
      </c>
      <c r="AH248" s="156">
        <f t="shared" si="158"/>
        <v>2547</v>
      </c>
      <c r="AI248" s="160">
        <f t="shared" si="159"/>
        <v>0.13705357142857144</v>
      </c>
      <c r="AJ248" s="152">
        <f t="shared" si="160"/>
        <v>1243</v>
      </c>
      <c r="AK248" s="162">
        <f t="shared" si="161"/>
        <v>0.14867231703186334</v>
      </c>
    </row>
    <row r="249" spans="2:37" outlineLevel="1" x14ac:dyDescent="0.35">
      <c r="B249" s="48" t="s">
        <v>137</v>
      </c>
      <c r="C249" s="62" t="s">
        <v>135</v>
      </c>
      <c r="D249" s="76">
        <v>0</v>
      </c>
      <c r="E249" s="77">
        <v>0</v>
      </c>
      <c r="F249" s="76">
        <v>0</v>
      </c>
      <c r="G249" s="156">
        <f t="shared" si="122"/>
        <v>0</v>
      </c>
      <c r="H249" s="160">
        <f t="shared" si="123"/>
        <v>0</v>
      </c>
      <c r="I249" s="76">
        <v>0</v>
      </c>
      <c r="J249" s="156">
        <f t="shared" si="142"/>
        <v>0</v>
      </c>
      <c r="K249" s="160">
        <f t="shared" si="143"/>
        <v>0</v>
      </c>
      <c r="L249" s="76">
        <v>0</v>
      </c>
      <c r="M249" s="156">
        <f t="shared" si="144"/>
        <v>0</v>
      </c>
      <c r="N249" s="160">
        <f t="shared" si="145"/>
        <v>0</v>
      </c>
      <c r="O249" s="76">
        <v>0</v>
      </c>
      <c r="P249" s="156">
        <f t="shared" si="146"/>
        <v>0</v>
      </c>
      <c r="Q249" s="160">
        <f t="shared" si="147"/>
        <v>0</v>
      </c>
      <c r="R249" s="152">
        <f t="shared" si="148"/>
        <v>0</v>
      </c>
      <c r="S249" s="162">
        <f t="shared" si="149"/>
        <v>0</v>
      </c>
      <c r="U249" s="76">
        <v>0</v>
      </c>
      <c r="V249" s="156">
        <f t="shared" si="150"/>
        <v>0</v>
      </c>
      <c r="W249" s="160">
        <f t="shared" si="151"/>
        <v>0</v>
      </c>
      <c r="X249" s="76">
        <v>0</v>
      </c>
      <c r="Y249" s="156">
        <f t="shared" si="152"/>
        <v>0</v>
      </c>
      <c r="Z249" s="160">
        <f t="shared" si="153"/>
        <v>0</v>
      </c>
      <c r="AA249" s="76">
        <v>0</v>
      </c>
      <c r="AB249" s="156">
        <f t="shared" si="154"/>
        <v>0</v>
      </c>
      <c r="AC249" s="160">
        <f t="shared" si="155"/>
        <v>0</v>
      </c>
      <c r="AD249" s="76">
        <v>0</v>
      </c>
      <c r="AE249" s="156">
        <f t="shared" si="156"/>
        <v>0</v>
      </c>
      <c r="AF249" s="160">
        <f t="shared" si="157"/>
        <v>0</v>
      </c>
      <c r="AG249" s="76">
        <v>0</v>
      </c>
      <c r="AH249" s="156">
        <f t="shared" si="158"/>
        <v>0</v>
      </c>
      <c r="AI249" s="160">
        <f t="shared" si="159"/>
        <v>0</v>
      </c>
      <c r="AJ249" s="152">
        <f t="shared" si="160"/>
        <v>0</v>
      </c>
      <c r="AK249" s="162">
        <f t="shared" si="161"/>
        <v>0</v>
      </c>
    </row>
    <row r="250" spans="2:37" outlineLevel="1" x14ac:dyDescent="0.35">
      <c r="B250" s="48" t="s">
        <v>123</v>
      </c>
      <c r="C250" s="62" t="s">
        <v>135</v>
      </c>
      <c r="D250" s="76">
        <v>268</v>
      </c>
      <c r="E250" s="77">
        <v>3239</v>
      </c>
      <c r="F250" s="76">
        <v>414</v>
      </c>
      <c r="G250" s="156">
        <f t="shared" si="122"/>
        <v>3653</v>
      </c>
      <c r="H250" s="160">
        <f t="shared" si="123"/>
        <v>0.127817227539364</v>
      </c>
      <c r="I250" s="76">
        <v>357</v>
      </c>
      <c r="J250" s="156">
        <f t="shared" si="142"/>
        <v>4010</v>
      </c>
      <c r="K250" s="160">
        <f t="shared" si="143"/>
        <v>9.7727894880919791E-2</v>
      </c>
      <c r="L250" s="76">
        <v>286</v>
      </c>
      <c r="M250" s="156">
        <f t="shared" si="144"/>
        <v>4296</v>
      </c>
      <c r="N250" s="160">
        <f t="shared" si="145"/>
        <v>7.1321695760598505E-2</v>
      </c>
      <c r="O250" s="76">
        <v>148</v>
      </c>
      <c r="P250" s="156">
        <f t="shared" si="146"/>
        <v>4444</v>
      </c>
      <c r="Q250" s="160">
        <f t="shared" si="147"/>
        <v>3.4450651769087522E-2</v>
      </c>
      <c r="R250" s="152">
        <f t="shared" si="148"/>
        <v>1473</v>
      </c>
      <c r="S250" s="162">
        <f t="shared" si="149"/>
        <v>8.2282847388881697E-2</v>
      </c>
      <c r="U250" s="76">
        <v>236</v>
      </c>
      <c r="V250" s="156">
        <f t="shared" si="150"/>
        <v>4680</v>
      </c>
      <c r="W250" s="160">
        <f t="shared" si="151"/>
        <v>5.3105310531053107E-2</v>
      </c>
      <c r="X250" s="76">
        <v>278</v>
      </c>
      <c r="Y250" s="156">
        <f t="shared" si="152"/>
        <v>4958</v>
      </c>
      <c r="Z250" s="160">
        <f t="shared" si="153"/>
        <v>5.9401709401709399E-2</v>
      </c>
      <c r="AA250" s="76">
        <v>332</v>
      </c>
      <c r="AB250" s="156">
        <f t="shared" si="154"/>
        <v>5290</v>
      </c>
      <c r="AC250" s="160">
        <f t="shared" si="155"/>
        <v>6.6962484872932632E-2</v>
      </c>
      <c r="AD250" s="76">
        <v>301</v>
      </c>
      <c r="AE250" s="156">
        <f t="shared" si="156"/>
        <v>5591</v>
      </c>
      <c r="AF250" s="160">
        <f t="shared" si="157"/>
        <v>5.6899810964083176E-2</v>
      </c>
      <c r="AG250" s="76">
        <v>261</v>
      </c>
      <c r="AH250" s="156">
        <f t="shared" si="158"/>
        <v>5852</v>
      </c>
      <c r="AI250" s="160">
        <f t="shared" si="159"/>
        <v>4.6682167769629759E-2</v>
      </c>
      <c r="AJ250" s="152">
        <f t="shared" si="160"/>
        <v>1408</v>
      </c>
      <c r="AK250" s="162">
        <f t="shared" si="161"/>
        <v>5.7461625468773647E-2</v>
      </c>
    </row>
    <row r="251" spans="2:37" outlineLevel="1" x14ac:dyDescent="0.35">
      <c r="B251" s="48" t="s">
        <v>124</v>
      </c>
      <c r="C251" s="62" t="s">
        <v>135</v>
      </c>
      <c r="D251" s="76">
        <v>31</v>
      </c>
      <c r="E251" s="77">
        <v>40</v>
      </c>
      <c r="F251" s="76">
        <v>48</v>
      </c>
      <c r="G251" s="156">
        <f t="shared" si="122"/>
        <v>88</v>
      </c>
      <c r="H251" s="160">
        <f t="shared" si="123"/>
        <v>1.2</v>
      </c>
      <c r="I251" s="76">
        <v>30</v>
      </c>
      <c r="J251" s="156">
        <f t="shared" si="142"/>
        <v>118</v>
      </c>
      <c r="K251" s="160">
        <f t="shared" si="143"/>
        <v>0.34090909090909088</v>
      </c>
      <c r="L251" s="76">
        <v>19</v>
      </c>
      <c r="M251" s="156">
        <f t="shared" si="144"/>
        <v>137</v>
      </c>
      <c r="N251" s="160">
        <f t="shared" si="145"/>
        <v>0.16101694915254236</v>
      </c>
      <c r="O251" s="76">
        <v>5</v>
      </c>
      <c r="P251" s="156">
        <f t="shared" si="146"/>
        <v>142</v>
      </c>
      <c r="Q251" s="160">
        <f t="shared" si="147"/>
        <v>3.6496350364963501E-2</v>
      </c>
      <c r="R251" s="152">
        <f t="shared" si="148"/>
        <v>133</v>
      </c>
      <c r="S251" s="162">
        <f t="shared" si="149"/>
        <v>0.37264138366205368</v>
      </c>
      <c r="U251" s="76">
        <v>9</v>
      </c>
      <c r="V251" s="156">
        <f t="shared" si="150"/>
        <v>151</v>
      </c>
      <c r="W251" s="160">
        <f t="shared" si="151"/>
        <v>6.3380281690140844E-2</v>
      </c>
      <c r="X251" s="76">
        <v>8</v>
      </c>
      <c r="Y251" s="156">
        <f t="shared" si="152"/>
        <v>159</v>
      </c>
      <c r="Z251" s="160">
        <f t="shared" si="153"/>
        <v>5.2980132450331126E-2</v>
      </c>
      <c r="AA251" s="76">
        <v>9</v>
      </c>
      <c r="AB251" s="156">
        <f t="shared" si="154"/>
        <v>168</v>
      </c>
      <c r="AC251" s="160">
        <f t="shared" si="155"/>
        <v>5.6603773584905662E-2</v>
      </c>
      <c r="AD251" s="76">
        <v>8</v>
      </c>
      <c r="AE251" s="156">
        <f t="shared" si="156"/>
        <v>176</v>
      </c>
      <c r="AF251" s="160">
        <f t="shared" si="157"/>
        <v>4.7619047619047616E-2</v>
      </c>
      <c r="AG251" s="76">
        <v>6</v>
      </c>
      <c r="AH251" s="156">
        <f t="shared" si="158"/>
        <v>182</v>
      </c>
      <c r="AI251" s="160">
        <f t="shared" si="159"/>
        <v>3.4090909090909088E-2</v>
      </c>
      <c r="AJ251" s="152">
        <f t="shared" si="160"/>
        <v>40</v>
      </c>
      <c r="AK251" s="162">
        <f t="shared" si="161"/>
        <v>4.7788458099667697E-2</v>
      </c>
    </row>
    <row r="252" spans="2:37" outlineLevel="1" x14ac:dyDescent="0.35">
      <c r="B252" s="48" t="s">
        <v>125</v>
      </c>
      <c r="C252" s="62" t="s">
        <v>135</v>
      </c>
      <c r="D252" s="76">
        <v>124</v>
      </c>
      <c r="E252" s="77">
        <v>819</v>
      </c>
      <c r="F252" s="76">
        <v>142</v>
      </c>
      <c r="G252" s="156">
        <f t="shared" si="122"/>
        <v>961</v>
      </c>
      <c r="H252" s="160">
        <f t="shared" si="123"/>
        <v>0.17338217338217338</v>
      </c>
      <c r="I252" s="76">
        <v>192</v>
      </c>
      <c r="J252" s="156">
        <f t="shared" si="142"/>
        <v>1153</v>
      </c>
      <c r="K252" s="160">
        <f t="shared" si="143"/>
        <v>0.19979188345473464</v>
      </c>
      <c r="L252" s="76">
        <v>82</v>
      </c>
      <c r="M252" s="156">
        <f t="shared" si="144"/>
        <v>1235</v>
      </c>
      <c r="N252" s="160">
        <f t="shared" si="145"/>
        <v>7.1118820468343447E-2</v>
      </c>
      <c r="O252" s="76">
        <v>64</v>
      </c>
      <c r="P252" s="156">
        <f t="shared" si="146"/>
        <v>1299</v>
      </c>
      <c r="Q252" s="160">
        <f t="shared" si="147"/>
        <v>5.1821862348178135E-2</v>
      </c>
      <c r="R252" s="152">
        <f t="shared" si="148"/>
        <v>604</v>
      </c>
      <c r="S252" s="162">
        <f t="shared" si="149"/>
        <v>0.12222854786263015</v>
      </c>
      <c r="U252" s="76">
        <v>101</v>
      </c>
      <c r="V252" s="156">
        <f t="shared" si="150"/>
        <v>1400</v>
      </c>
      <c r="W252" s="160">
        <f t="shared" si="151"/>
        <v>7.7752117013086985E-2</v>
      </c>
      <c r="X252" s="76">
        <v>116</v>
      </c>
      <c r="Y252" s="156">
        <f t="shared" si="152"/>
        <v>1516</v>
      </c>
      <c r="Z252" s="160">
        <f t="shared" si="153"/>
        <v>8.2857142857142851E-2</v>
      </c>
      <c r="AA252" s="76">
        <v>125</v>
      </c>
      <c r="AB252" s="156">
        <f t="shared" si="154"/>
        <v>1641</v>
      </c>
      <c r="AC252" s="160">
        <f t="shared" si="155"/>
        <v>8.2453825857519786E-2</v>
      </c>
      <c r="AD252" s="76">
        <v>113</v>
      </c>
      <c r="AE252" s="156">
        <f t="shared" si="156"/>
        <v>1754</v>
      </c>
      <c r="AF252" s="160">
        <f t="shared" si="157"/>
        <v>6.8860450944546014E-2</v>
      </c>
      <c r="AG252" s="76">
        <v>88</v>
      </c>
      <c r="AH252" s="156">
        <f t="shared" si="158"/>
        <v>1842</v>
      </c>
      <c r="AI252" s="160">
        <f t="shared" si="159"/>
        <v>5.0171037628278223E-2</v>
      </c>
      <c r="AJ252" s="152">
        <f t="shared" si="160"/>
        <v>543</v>
      </c>
      <c r="AK252" s="162">
        <f t="shared" si="161"/>
        <v>7.1002285342254945E-2</v>
      </c>
    </row>
    <row r="253" spans="2:37" outlineLevel="1" x14ac:dyDescent="0.35">
      <c r="B253" s="48" t="s">
        <v>126</v>
      </c>
      <c r="C253" s="62" t="s">
        <v>135</v>
      </c>
      <c r="D253" s="76">
        <v>515</v>
      </c>
      <c r="E253" s="77">
        <v>4064</v>
      </c>
      <c r="F253" s="76">
        <v>851</v>
      </c>
      <c r="G253" s="156">
        <f t="shared" si="122"/>
        <v>4915</v>
      </c>
      <c r="H253" s="160">
        <f t="shared" si="123"/>
        <v>0.20939960629921259</v>
      </c>
      <c r="I253" s="76">
        <v>1170</v>
      </c>
      <c r="J253" s="156">
        <f t="shared" si="142"/>
        <v>6085</v>
      </c>
      <c r="K253" s="160">
        <f t="shared" si="143"/>
        <v>0.2380467955239064</v>
      </c>
      <c r="L253" s="76">
        <v>465</v>
      </c>
      <c r="M253" s="156">
        <f t="shared" si="144"/>
        <v>6550</v>
      </c>
      <c r="N253" s="160">
        <f t="shared" si="145"/>
        <v>7.641741988496302E-2</v>
      </c>
      <c r="O253" s="76">
        <v>407</v>
      </c>
      <c r="P253" s="156">
        <f t="shared" si="146"/>
        <v>6957</v>
      </c>
      <c r="Q253" s="160">
        <f t="shared" si="147"/>
        <v>6.2137404580152669E-2</v>
      </c>
      <c r="R253" s="152">
        <f t="shared" si="148"/>
        <v>3408</v>
      </c>
      <c r="S253" s="162">
        <f t="shared" si="149"/>
        <v>0.143844731080639</v>
      </c>
      <c r="U253" s="76">
        <v>549</v>
      </c>
      <c r="V253" s="156">
        <f t="shared" si="150"/>
        <v>7506</v>
      </c>
      <c r="W253" s="160">
        <f t="shared" si="151"/>
        <v>7.8913324708926258E-2</v>
      </c>
      <c r="X253" s="76">
        <v>665</v>
      </c>
      <c r="Y253" s="156">
        <f t="shared" si="152"/>
        <v>8171</v>
      </c>
      <c r="Z253" s="160">
        <f t="shared" si="153"/>
        <v>8.8595790034638952E-2</v>
      </c>
      <c r="AA253" s="76">
        <v>726</v>
      </c>
      <c r="AB253" s="156">
        <f t="shared" si="154"/>
        <v>8897</v>
      </c>
      <c r="AC253" s="160">
        <f t="shared" si="155"/>
        <v>8.8850813853873459E-2</v>
      </c>
      <c r="AD253" s="76">
        <v>625</v>
      </c>
      <c r="AE253" s="156">
        <f t="shared" si="156"/>
        <v>9522</v>
      </c>
      <c r="AF253" s="160">
        <f t="shared" si="157"/>
        <v>7.0248398336517928E-2</v>
      </c>
      <c r="AG253" s="76">
        <v>539</v>
      </c>
      <c r="AH253" s="156">
        <f t="shared" si="158"/>
        <v>10061</v>
      </c>
      <c r="AI253" s="160">
        <f t="shared" si="159"/>
        <v>5.6605755093467762E-2</v>
      </c>
      <c r="AJ253" s="152">
        <f t="shared" si="160"/>
        <v>3104</v>
      </c>
      <c r="AK253" s="162">
        <f t="shared" si="161"/>
        <v>7.5989782255328375E-2</v>
      </c>
    </row>
    <row r="254" spans="2:37" outlineLevel="1" x14ac:dyDescent="0.35">
      <c r="B254" s="48" t="s">
        <v>127</v>
      </c>
      <c r="C254" s="62" t="s">
        <v>135</v>
      </c>
      <c r="D254" s="76">
        <v>0</v>
      </c>
      <c r="E254" s="77">
        <v>1</v>
      </c>
      <c r="F254" s="76">
        <v>0</v>
      </c>
      <c r="G254" s="156">
        <f t="shared" si="122"/>
        <v>1</v>
      </c>
      <c r="H254" s="160">
        <f t="shared" si="123"/>
        <v>0</v>
      </c>
      <c r="I254" s="76">
        <v>0</v>
      </c>
      <c r="J254" s="156">
        <f t="shared" si="142"/>
        <v>1</v>
      </c>
      <c r="K254" s="160">
        <f t="shared" si="143"/>
        <v>0</v>
      </c>
      <c r="L254" s="76">
        <v>0</v>
      </c>
      <c r="M254" s="156">
        <f t="shared" si="144"/>
        <v>1</v>
      </c>
      <c r="N254" s="160">
        <f t="shared" si="145"/>
        <v>0</v>
      </c>
      <c r="O254" s="76">
        <v>0</v>
      </c>
      <c r="P254" s="156">
        <f t="shared" si="146"/>
        <v>1</v>
      </c>
      <c r="Q254" s="160">
        <f t="shared" si="147"/>
        <v>0</v>
      </c>
      <c r="R254" s="152">
        <f t="shared" si="148"/>
        <v>0</v>
      </c>
      <c r="S254" s="162">
        <f t="shared" si="149"/>
        <v>0</v>
      </c>
      <c r="U254" s="76">
        <v>1</v>
      </c>
      <c r="V254" s="156">
        <f t="shared" si="150"/>
        <v>2</v>
      </c>
      <c r="W254" s="160">
        <f t="shared" si="151"/>
        <v>1</v>
      </c>
      <c r="X254" s="76">
        <v>0</v>
      </c>
      <c r="Y254" s="156">
        <f t="shared" si="152"/>
        <v>2</v>
      </c>
      <c r="Z254" s="160">
        <f t="shared" si="153"/>
        <v>0</v>
      </c>
      <c r="AA254" s="76">
        <v>0</v>
      </c>
      <c r="AB254" s="156">
        <f t="shared" si="154"/>
        <v>2</v>
      </c>
      <c r="AC254" s="160">
        <f t="shared" si="155"/>
        <v>0</v>
      </c>
      <c r="AD254" s="76">
        <v>0</v>
      </c>
      <c r="AE254" s="156">
        <f t="shared" si="156"/>
        <v>2</v>
      </c>
      <c r="AF254" s="160">
        <f t="shared" si="157"/>
        <v>0</v>
      </c>
      <c r="AG254" s="76">
        <v>0</v>
      </c>
      <c r="AH254" s="156">
        <f t="shared" si="158"/>
        <v>2</v>
      </c>
      <c r="AI254" s="160">
        <f t="shared" si="159"/>
        <v>0</v>
      </c>
      <c r="AJ254" s="152">
        <f t="shared" si="160"/>
        <v>1</v>
      </c>
      <c r="AK254" s="162">
        <f t="shared" si="161"/>
        <v>0</v>
      </c>
    </row>
    <row r="255" spans="2:37" outlineLevel="1" x14ac:dyDescent="0.35">
      <c r="B255" s="48" t="s">
        <v>138</v>
      </c>
      <c r="C255" s="59">
        <v>54</v>
      </c>
      <c r="D255" s="158">
        <f>SUM(D201:D254)</f>
        <v>14713</v>
      </c>
      <c r="E255" s="158">
        <f>SUM(E201:E254)</f>
        <v>135028</v>
      </c>
      <c r="F255" s="158">
        <f>SUM(F201:F254)</f>
        <v>20461</v>
      </c>
      <c r="G255" s="158">
        <f>SUM(G201:G254)</f>
        <v>155489</v>
      </c>
      <c r="H255" s="161">
        <f>IFERROR((G255-E255)/E255,0)</f>
        <v>0.15153153420031401</v>
      </c>
      <c r="I255" s="158">
        <f>SUM(I201:I254)</f>
        <v>20111</v>
      </c>
      <c r="J255" s="158">
        <f>SUM(J201:J254)</f>
        <v>175600</v>
      </c>
      <c r="K255" s="161">
        <f>IFERROR((J255-G255)/G255,0)</f>
        <v>0.12934033918798116</v>
      </c>
      <c r="L255" s="158">
        <f>SUM(L201:L254)</f>
        <v>10915</v>
      </c>
      <c r="M255" s="158">
        <f>SUM(M201:M254)</f>
        <v>186515</v>
      </c>
      <c r="N255" s="161">
        <f>IFERROR((M255-J255)/J255,0)</f>
        <v>6.2158314350797265E-2</v>
      </c>
      <c r="O255" s="158">
        <f>SUM(O201:O254)</f>
        <v>8201</v>
      </c>
      <c r="P255" s="157">
        <f>M255+O255</f>
        <v>194716</v>
      </c>
      <c r="Q255" s="161">
        <f>IFERROR((P255-M255)/M255,0)</f>
        <v>4.3969653915234698E-2</v>
      </c>
      <c r="R255" s="152">
        <f>D255+F255+I255+L255+O255</f>
        <v>74401</v>
      </c>
      <c r="S255" s="162">
        <f>IFERROR((P255/E255)^(1/4)-1,0)</f>
        <v>9.5833192800404587E-2</v>
      </c>
      <c r="U255" s="387">
        <f>SUM(U201:U254)</f>
        <v>13887</v>
      </c>
      <c r="V255" s="158">
        <f>SUM(V201:V254)</f>
        <v>208603</v>
      </c>
      <c r="W255" s="161">
        <f>IFERROR((V255-P255)/P255,0)</f>
        <v>7.131925470942295E-2</v>
      </c>
      <c r="X255" s="387">
        <f>SUM(X201:X254)</f>
        <v>17924.625</v>
      </c>
      <c r="Y255" s="158">
        <f>SUM(Y201:Y254)</f>
        <v>226527.625</v>
      </c>
      <c r="Z255" s="161">
        <f t="shared" ref="Z255" si="162">IFERROR((Y255-V255)/V255,0)</f>
        <v>8.5926976122107548E-2</v>
      </c>
      <c r="AA255" s="387">
        <f>SUM(AA201:AA254)</f>
        <v>21524.083333333332</v>
      </c>
      <c r="AB255" s="158">
        <f>SUM(AB201:AB254)</f>
        <v>248051.70833333331</v>
      </c>
      <c r="AC255" s="161">
        <f t="shared" ref="AC255" si="163">IFERROR((AB255-Y255)/Y255,0)</f>
        <v>9.5017476713196963E-2</v>
      </c>
      <c r="AD255" s="387">
        <f>SUM(AD201:AD254)</f>
        <v>20635.583333333332</v>
      </c>
      <c r="AE255" s="158">
        <f>SUM(AE201:AE254)</f>
        <v>268687.29166666663</v>
      </c>
      <c r="AF255" s="161">
        <f t="shared" ref="AF255" si="164">IFERROR((AE255-AB255)/AB255,0)</f>
        <v>8.319065194908111E-2</v>
      </c>
      <c r="AG255" s="387">
        <f>SUM(AG201:AG254)</f>
        <v>18372</v>
      </c>
      <c r="AH255" s="158">
        <f>SUM(AH201:AH254)</f>
        <v>287059.29166666663</v>
      </c>
      <c r="AI255" s="161">
        <f t="shared" ref="AI255" si="165">IFERROR((AH255-AE255)/AE255,0)</f>
        <v>6.8376884839020588E-2</v>
      </c>
      <c r="AJ255" s="158">
        <f>SUM(AJ201:AJ254)</f>
        <v>92343.291666666657</v>
      </c>
      <c r="AK255" s="162">
        <f t="shared" ref="AK255" si="166">IFERROR((AH255/V255)^(1/4)-1,0)</f>
        <v>8.3085557527128318E-2</v>
      </c>
    </row>
    <row r="256" spans="2:37" x14ac:dyDescent="0.35">
      <c r="V256" s="390"/>
      <c r="Y256" s="388"/>
      <c r="AB256" s="389"/>
      <c r="AE256" s="389"/>
      <c r="AH256" s="401"/>
    </row>
    <row r="257" spans="2:37" ht="17.25" customHeight="1" x14ac:dyDescent="0.35">
      <c r="B257" s="419" t="s">
        <v>194</v>
      </c>
      <c r="C257" s="419"/>
      <c r="D257" s="419"/>
      <c r="E257" s="419"/>
      <c r="F257" s="419"/>
      <c r="G257" s="419"/>
      <c r="H257" s="419"/>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c r="AJ257" s="419"/>
      <c r="AK257" s="442"/>
    </row>
    <row r="258" spans="2:37" ht="5.9" customHeight="1" outlineLevel="1" x14ac:dyDescent="0.35">
      <c r="B258" s="103"/>
      <c r="C258" s="103"/>
      <c r="D258" s="103"/>
      <c r="E258" s="103"/>
      <c r="F258" s="103"/>
      <c r="G258" s="103"/>
      <c r="H258" s="103"/>
      <c r="I258" s="103"/>
      <c r="J258" s="103"/>
      <c r="K258" s="103"/>
      <c r="L258" s="103"/>
      <c r="M258" s="103"/>
      <c r="N258" s="103"/>
      <c r="O258" s="441"/>
      <c r="P258" s="441"/>
      <c r="Q258" s="441"/>
      <c r="R258" s="103"/>
      <c r="S258" s="103"/>
      <c r="T258" s="103"/>
      <c r="U258" s="103"/>
      <c r="V258" s="103"/>
      <c r="W258" s="103"/>
      <c r="X258" s="103"/>
      <c r="Y258" s="103"/>
      <c r="Z258" s="103"/>
      <c r="AA258" s="103"/>
      <c r="AB258" s="103"/>
      <c r="AC258" s="103"/>
      <c r="AD258" s="103"/>
      <c r="AE258" s="103"/>
      <c r="AF258" s="103"/>
      <c r="AG258" s="103"/>
      <c r="AH258" s="103"/>
      <c r="AI258" s="103"/>
      <c r="AJ258" s="103"/>
      <c r="AK258" s="103"/>
    </row>
    <row r="259" spans="2:37" ht="15" customHeight="1" outlineLevel="1" x14ac:dyDescent="0.35">
      <c r="B259" s="443"/>
      <c r="C259" s="444" t="s">
        <v>134</v>
      </c>
      <c r="D259" s="435" t="s">
        <v>169</v>
      </c>
      <c r="E259" s="436"/>
      <c r="F259" s="436"/>
      <c r="G259" s="436"/>
      <c r="H259" s="436"/>
      <c r="I259" s="436"/>
      <c r="J259" s="436"/>
      <c r="K259" s="436"/>
      <c r="L259" s="436"/>
      <c r="M259" s="436"/>
      <c r="N259" s="436"/>
      <c r="O259" s="453"/>
      <c r="P259" s="454"/>
      <c r="Q259" s="455"/>
      <c r="R259" s="431" t="str">
        <f xml:space="preserve"> D260&amp;" - "&amp;O260</f>
        <v>2019 - 2023</v>
      </c>
      <c r="S259" s="432"/>
      <c r="U259" s="435" t="s">
        <v>170</v>
      </c>
      <c r="V259" s="436"/>
      <c r="W259" s="436"/>
      <c r="X259" s="436"/>
      <c r="Y259" s="436"/>
      <c r="Z259" s="436"/>
      <c r="AA259" s="436"/>
      <c r="AB259" s="436"/>
      <c r="AC259" s="436"/>
      <c r="AD259" s="436"/>
      <c r="AE259" s="436"/>
      <c r="AF259" s="436"/>
      <c r="AG259" s="436"/>
      <c r="AH259" s="436"/>
      <c r="AI259" s="436"/>
      <c r="AJ259" s="436"/>
      <c r="AK259" s="438"/>
    </row>
    <row r="260" spans="2:37" ht="15" customHeight="1" outlineLevel="1" x14ac:dyDescent="0.35">
      <c r="B260" s="443"/>
      <c r="C260" s="445"/>
      <c r="D260" s="435">
        <f>$C$3-5</f>
        <v>2019</v>
      </c>
      <c r="E260" s="437"/>
      <c r="F260" s="435">
        <f>$C$3-4</f>
        <v>2020</v>
      </c>
      <c r="G260" s="436"/>
      <c r="H260" s="437"/>
      <c r="I260" s="435">
        <f>$C$3-3</f>
        <v>2021</v>
      </c>
      <c r="J260" s="436"/>
      <c r="K260" s="437"/>
      <c r="L260" s="435">
        <f>$C$3-2</f>
        <v>2022</v>
      </c>
      <c r="M260" s="436"/>
      <c r="N260" s="437"/>
      <c r="O260" s="435">
        <f>$C$3-1</f>
        <v>2023</v>
      </c>
      <c r="P260" s="436"/>
      <c r="Q260" s="437"/>
      <c r="R260" s="433"/>
      <c r="S260" s="434"/>
      <c r="U260" s="435">
        <f>$C$3</f>
        <v>2024</v>
      </c>
      <c r="V260" s="436"/>
      <c r="W260" s="437"/>
      <c r="X260" s="435">
        <f>$C$3+1</f>
        <v>2025</v>
      </c>
      <c r="Y260" s="436"/>
      <c r="Z260" s="437"/>
      <c r="AA260" s="435">
        <f>$C$3+2</f>
        <v>2026</v>
      </c>
      <c r="AB260" s="436"/>
      <c r="AC260" s="437"/>
      <c r="AD260" s="435">
        <f>$C$3+3</f>
        <v>2027</v>
      </c>
      <c r="AE260" s="436"/>
      <c r="AF260" s="437"/>
      <c r="AG260" s="435">
        <f>$C$3+4</f>
        <v>2028</v>
      </c>
      <c r="AH260" s="436"/>
      <c r="AI260" s="437"/>
      <c r="AJ260" s="439" t="str">
        <f>U260&amp;" - "&amp;AG260</f>
        <v>2024 - 2028</v>
      </c>
      <c r="AK260" s="440"/>
    </row>
    <row r="261" spans="2:37" ht="29" outlineLevel="1" x14ac:dyDescent="0.35">
      <c r="B261" s="443"/>
      <c r="C261" s="446"/>
      <c r="D261" s="66" t="s">
        <v>192</v>
      </c>
      <c r="E261" s="67" t="s">
        <v>193</v>
      </c>
      <c r="F261" s="66" t="s">
        <v>192</v>
      </c>
      <c r="G261" s="9" t="s">
        <v>193</v>
      </c>
      <c r="H261" s="67" t="s">
        <v>173</v>
      </c>
      <c r="I261" s="66" t="s">
        <v>192</v>
      </c>
      <c r="J261" s="9" t="s">
        <v>193</v>
      </c>
      <c r="K261" s="67" t="s">
        <v>173</v>
      </c>
      <c r="L261" s="66" t="s">
        <v>192</v>
      </c>
      <c r="M261" s="9" t="s">
        <v>193</v>
      </c>
      <c r="N261" s="67" t="s">
        <v>173</v>
      </c>
      <c r="O261" s="66" t="s">
        <v>171</v>
      </c>
      <c r="P261" s="9" t="s">
        <v>172</v>
      </c>
      <c r="Q261" s="67" t="s">
        <v>173</v>
      </c>
      <c r="R261" s="9" t="s">
        <v>164</v>
      </c>
      <c r="S261" s="57" t="s">
        <v>174</v>
      </c>
      <c r="U261" s="66" t="s">
        <v>192</v>
      </c>
      <c r="V261" s="9" t="s">
        <v>193</v>
      </c>
      <c r="W261" s="67" t="s">
        <v>173</v>
      </c>
      <c r="X261" s="66" t="s">
        <v>192</v>
      </c>
      <c r="Y261" s="9" t="s">
        <v>193</v>
      </c>
      <c r="Z261" s="67" t="s">
        <v>173</v>
      </c>
      <c r="AA261" s="66" t="s">
        <v>192</v>
      </c>
      <c r="AB261" s="9" t="s">
        <v>193</v>
      </c>
      <c r="AC261" s="67" t="s">
        <v>173</v>
      </c>
      <c r="AD261" s="66" t="s">
        <v>192</v>
      </c>
      <c r="AE261" s="9" t="s">
        <v>193</v>
      </c>
      <c r="AF261" s="67" t="s">
        <v>173</v>
      </c>
      <c r="AG261" s="66" t="s">
        <v>192</v>
      </c>
      <c r="AH261" s="9" t="s">
        <v>193</v>
      </c>
      <c r="AI261" s="67" t="s">
        <v>173</v>
      </c>
      <c r="AJ261" s="9" t="s">
        <v>164</v>
      </c>
      <c r="AK261" s="57" t="s">
        <v>174</v>
      </c>
    </row>
    <row r="262" spans="2:37" outlineLevel="1" x14ac:dyDescent="0.35">
      <c r="B262" s="48" t="s">
        <v>195</v>
      </c>
      <c r="C262" s="62" t="s">
        <v>196</v>
      </c>
      <c r="D262" s="76">
        <v>2</v>
      </c>
      <c r="E262" s="77">
        <v>152</v>
      </c>
      <c r="F262" s="76">
        <v>3</v>
      </c>
      <c r="G262" s="156">
        <f>E262+F262</f>
        <v>155</v>
      </c>
      <c r="H262" s="160">
        <f>IFERROR((G262-E262)/E262,0)</f>
        <v>1.9736842105263157E-2</v>
      </c>
      <c r="I262" s="76">
        <v>2</v>
      </c>
      <c r="J262" s="156">
        <f>G262+I262</f>
        <v>157</v>
      </c>
      <c r="K262" s="160">
        <f>IFERROR((J262-G262)/G262,0)</f>
        <v>1.2903225806451613E-2</v>
      </c>
      <c r="L262" s="76">
        <v>2</v>
      </c>
      <c r="M262" s="156">
        <f>J262+L262</f>
        <v>159</v>
      </c>
      <c r="N262" s="160">
        <v>0.02</v>
      </c>
      <c r="O262" s="76">
        <v>7</v>
      </c>
      <c r="P262" s="156">
        <f>M262+O262</f>
        <v>166</v>
      </c>
      <c r="Q262" s="160">
        <f>IFERROR((P262-M262)/M262,0)</f>
        <v>4.40251572327044E-2</v>
      </c>
      <c r="R262" s="152">
        <f>D262+F262+I262+L262+O262</f>
        <v>16</v>
      </c>
      <c r="S262" s="162">
        <f>IFERROR((P262/E262)^(1/4)-1,0)</f>
        <v>2.2271198224423694E-2</v>
      </c>
      <c r="U262" s="76">
        <v>10</v>
      </c>
      <c r="V262" s="156">
        <f t="shared" ref="V262" si="167">P262+U262</f>
        <v>176</v>
      </c>
      <c r="W262" s="160">
        <f t="shared" ref="W262" si="168">IFERROR((V262-P262)/P262,0)</f>
        <v>6.0240963855421686E-2</v>
      </c>
      <c r="X262" s="76">
        <v>6</v>
      </c>
      <c r="Y262" s="156">
        <f t="shared" ref="Y262" si="169">V262+X262</f>
        <v>182</v>
      </c>
      <c r="Z262" s="160">
        <f t="shared" ref="Z262" si="170">IFERROR((Y262-V262)/V262,0)</f>
        <v>3.4090909090909088E-2</v>
      </c>
      <c r="AA262" s="76">
        <v>5</v>
      </c>
      <c r="AB262" s="156">
        <f t="shared" ref="AB262" si="171">Y262+AA262</f>
        <v>187</v>
      </c>
      <c r="AC262" s="160">
        <f t="shared" ref="AC262" si="172">IFERROR((AB262-Y262)/Y262,0)</f>
        <v>2.7472527472527472E-2</v>
      </c>
      <c r="AD262" s="76">
        <v>3</v>
      </c>
      <c r="AE262" s="156">
        <f t="shared" ref="AE262" si="173">AB262+AD262</f>
        <v>190</v>
      </c>
      <c r="AF262" s="160">
        <f t="shared" ref="AF262" si="174">IFERROR((AE262-AB262)/AB262,0)</f>
        <v>1.6042780748663103E-2</v>
      </c>
      <c r="AG262" s="76">
        <v>2</v>
      </c>
      <c r="AH262" s="156">
        <f t="shared" ref="AH262" si="175">AE262+AG262</f>
        <v>192</v>
      </c>
      <c r="AI262" s="160">
        <f t="shared" ref="AI262" si="176">IFERROR((AH262-AE262)/AE262,0)</f>
        <v>1.0526315789473684E-2</v>
      </c>
      <c r="AJ262" s="163">
        <f>U262+X262+AA262+AD262+AG262</f>
        <v>26</v>
      </c>
      <c r="AK262" s="162">
        <f>IFERROR((AH262/V262)^(1/4)-1,0)</f>
        <v>2.1991162258356844E-2</v>
      </c>
    </row>
    <row r="263" spans="2:37" outlineLevel="1" x14ac:dyDescent="0.35">
      <c r="B263" s="48" t="s">
        <v>138</v>
      </c>
      <c r="C263" s="59" t="s">
        <v>141</v>
      </c>
      <c r="D263" s="158">
        <f>SUM(D262)</f>
        <v>2</v>
      </c>
      <c r="E263" s="158">
        <f>SUM(E262)</f>
        <v>152</v>
      </c>
      <c r="F263" s="158">
        <f>SUM(F262)</f>
        <v>3</v>
      </c>
      <c r="G263" s="158">
        <f>SUM(G262)</f>
        <v>155</v>
      </c>
      <c r="H263" s="161">
        <f>IFERROR((G263-E263)/E263,0)</f>
        <v>1.9736842105263157E-2</v>
      </c>
      <c r="I263" s="158">
        <f>SUM(I262)</f>
        <v>2</v>
      </c>
      <c r="J263" s="158">
        <f>SUM(J262)</f>
        <v>157</v>
      </c>
      <c r="K263" s="161">
        <f>IFERROR((J263-G263)/G263,0)</f>
        <v>1.2903225806451613E-2</v>
      </c>
      <c r="L263" s="158">
        <f>SUM(L262)</f>
        <v>2</v>
      </c>
      <c r="M263" s="158">
        <f>SUM(M262)</f>
        <v>159</v>
      </c>
      <c r="N263" s="161">
        <f>IFERROR((M263-J263)/J263,0)</f>
        <v>1.2738853503184714E-2</v>
      </c>
      <c r="O263" s="158">
        <f>SUM(O262)</f>
        <v>7</v>
      </c>
      <c r="P263" s="157">
        <f>M263+O263</f>
        <v>166</v>
      </c>
      <c r="Q263" s="161">
        <f>IFERROR((P263-M263)/M263,0)</f>
        <v>4.40251572327044E-2</v>
      </c>
      <c r="R263" s="152">
        <f>D263+F263+I263+L263+O263</f>
        <v>16</v>
      </c>
      <c r="S263" s="162">
        <f>IFERROR((P263/E263)^(1/4)-1,0)</f>
        <v>2.2271198224423694E-2</v>
      </c>
      <c r="U263" s="152">
        <f>SUM(U262)</f>
        <v>10</v>
      </c>
      <c r="V263" s="152">
        <f>SUM(V262)</f>
        <v>176</v>
      </c>
      <c r="W263" s="161">
        <f>IFERROR((V263-P263)/P263,0)</f>
        <v>6.0240963855421686E-2</v>
      </c>
      <c r="X263" s="152">
        <f>SUM(X262)</f>
        <v>6</v>
      </c>
      <c r="Y263" s="152">
        <f>SUM(Y262)</f>
        <v>182</v>
      </c>
      <c r="Z263" s="161">
        <f t="shared" ref="Z263" si="177">IFERROR((Y263-V263)/V263,0)</f>
        <v>3.4090909090909088E-2</v>
      </c>
      <c r="AA263" s="152">
        <f>SUM(AA262)</f>
        <v>5</v>
      </c>
      <c r="AB263" s="152">
        <f>SUM(AB262)</f>
        <v>187</v>
      </c>
      <c r="AC263" s="161">
        <f t="shared" ref="AC263" si="178">IFERROR((AB263-Y263)/Y263,0)</f>
        <v>2.7472527472527472E-2</v>
      </c>
      <c r="AD263" s="152">
        <f>SUM(AD262)</f>
        <v>3</v>
      </c>
      <c r="AE263" s="152">
        <f>SUM(AE262)</f>
        <v>190</v>
      </c>
      <c r="AF263" s="161">
        <f t="shared" ref="AF263" si="179">IFERROR((AE263-AB263)/AB263,0)</f>
        <v>1.6042780748663103E-2</v>
      </c>
      <c r="AG263" s="152">
        <f>SUM(AG262)</f>
        <v>2</v>
      </c>
      <c r="AH263" s="152">
        <f>SUM(AH262)</f>
        <v>192</v>
      </c>
      <c r="AI263" s="161">
        <f t="shared" ref="AI263" si="180">IFERROR((AH263-AE263)/AE263,0)</f>
        <v>1.0526315789473684E-2</v>
      </c>
      <c r="AJ263" s="157">
        <f>SUM(U263+X263+AA263+AD263+AG263)</f>
        <v>26</v>
      </c>
      <c r="AK263" s="162">
        <f t="shared" ref="AK263" si="181">IFERROR((AH263/V263)^(1/4)-1,0)</f>
        <v>2.1991162258356844E-2</v>
      </c>
    </row>
    <row r="265" spans="2:37" ht="17.25" customHeight="1" x14ac:dyDescent="0.35">
      <c r="B265" s="419" t="s">
        <v>197</v>
      </c>
      <c r="C265" s="41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c r="AJ265" s="419"/>
      <c r="AK265" s="442"/>
    </row>
    <row r="266" spans="2:37" ht="12.75" customHeight="1" outlineLevel="1" x14ac:dyDescent="0.35">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row>
    <row r="268" spans="2:37" ht="17.25" customHeight="1" x14ac:dyDescent="0.35">
      <c r="B268" s="419" t="s">
        <v>198</v>
      </c>
      <c r="C268" s="419"/>
      <c r="D268" s="419"/>
      <c r="E268" s="419"/>
      <c r="F268" s="419"/>
      <c r="G268" s="419"/>
      <c r="H268" s="419"/>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c r="AJ268" s="419"/>
      <c r="AK268" s="442"/>
    </row>
    <row r="269" spans="2:37" ht="5.9" customHeight="1" outlineLevel="1" x14ac:dyDescent="0.35">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row>
    <row r="271" spans="2:37" ht="17.25" customHeight="1" x14ac:dyDescent="0.35">
      <c r="B271" s="419" t="s">
        <v>199</v>
      </c>
      <c r="C271" s="419"/>
      <c r="D271" s="419"/>
      <c r="E271" s="419"/>
      <c r="F271" s="419"/>
      <c r="G271" s="419"/>
      <c r="H271" s="419"/>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c r="AJ271" s="419"/>
      <c r="AK271" s="442"/>
    </row>
    <row r="272" spans="2:37" ht="5.9" customHeight="1" outlineLevel="1" x14ac:dyDescent="0.35">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103"/>
      <c r="AF272" s="103"/>
      <c r="AG272" s="103"/>
      <c r="AH272" s="103"/>
      <c r="AI272" s="103"/>
      <c r="AJ272" s="103"/>
      <c r="AK272" s="103"/>
    </row>
  </sheetData>
  <autoFilter ref="A76:AK132" xr:uid="{74965C4B-B4C9-49A9-9464-D75A0503D6BE}"/>
  <mergeCells count="97">
    <mergeCell ref="B271:AK271"/>
    <mergeCell ref="C2:H2"/>
    <mergeCell ref="B9:AK9"/>
    <mergeCell ref="B268:AK268"/>
    <mergeCell ref="B265:AK265"/>
    <mergeCell ref="B259:B261"/>
    <mergeCell ref="C259:C261"/>
    <mergeCell ref="O259:Q259"/>
    <mergeCell ref="O260:Q260"/>
    <mergeCell ref="D259:N259"/>
    <mergeCell ref="U259:AK259"/>
    <mergeCell ref="D260:E260"/>
    <mergeCell ref="F260:H260"/>
    <mergeCell ref="I260:K260"/>
    <mergeCell ref="L260:N260"/>
    <mergeCell ref="U260:W260"/>
    <mergeCell ref="J2:L2"/>
    <mergeCell ref="B72:AK72"/>
    <mergeCell ref="AJ12:AK12"/>
    <mergeCell ref="D12:E12"/>
    <mergeCell ref="F12:H12"/>
    <mergeCell ref="I12:K12"/>
    <mergeCell ref="L12:N12"/>
    <mergeCell ref="U12:W12"/>
    <mergeCell ref="O12:Q12"/>
    <mergeCell ref="X12:Z12"/>
    <mergeCell ref="AA12:AC12"/>
    <mergeCell ref="AD12:AF12"/>
    <mergeCell ref="AG12:AI12"/>
    <mergeCell ref="U11:AK11"/>
    <mergeCell ref="R11:S12"/>
    <mergeCell ref="O74:Q74"/>
    <mergeCell ref="B74:B76"/>
    <mergeCell ref="C74:C76"/>
    <mergeCell ref="B5:I5"/>
    <mergeCell ref="C198:C200"/>
    <mergeCell ref="B136:B138"/>
    <mergeCell ref="D11:N11"/>
    <mergeCell ref="O11:Q11"/>
    <mergeCell ref="B11:B13"/>
    <mergeCell ref="C11:C13"/>
    <mergeCell ref="D74:N74"/>
    <mergeCell ref="D199:E199"/>
    <mergeCell ref="F199:H199"/>
    <mergeCell ref="I199:K199"/>
    <mergeCell ref="L199:N199"/>
    <mergeCell ref="C136:C138"/>
    <mergeCell ref="U74:AK74"/>
    <mergeCell ref="R74:S75"/>
    <mergeCell ref="R136:S137"/>
    <mergeCell ref="AJ137:AK137"/>
    <mergeCell ref="D75:E75"/>
    <mergeCell ref="F75:H75"/>
    <mergeCell ref="I75:K75"/>
    <mergeCell ref="L75:N75"/>
    <mergeCell ref="U136:AK136"/>
    <mergeCell ref="D137:E137"/>
    <mergeCell ref="F137:H137"/>
    <mergeCell ref="I137:K137"/>
    <mergeCell ref="L137:N137"/>
    <mergeCell ref="U137:W137"/>
    <mergeCell ref="X137:Z137"/>
    <mergeCell ref="AA137:AC137"/>
    <mergeCell ref="X260:Z260"/>
    <mergeCell ref="AA260:AC260"/>
    <mergeCell ref="AD260:AF260"/>
    <mergeCell ref="AG260:AI260"/>
    <mergeCell ref="AJ260:AK260"/>
    <mergeCell ref="O136:Q136"/>
    <mergeCell ref="O137:Q137"/>
    <mergeCell ref="O75:Q75"/>
    <mergeCell ref="O258:Q258"/>
    <mergeCell ref="B257:AK257"/>
    <mergeCell ref="B196:AK196"/>
    <mergeCell ref="B134:AK134"/>
    <mergeCell ref="B198:B200"/>
    <mergeCell ref="D136:N136"/>
    <mergeCell ref="O199:Q199"/>
    <mergeCell ref="R198:S199"/>
    <mergeCell ref="D198:N198"/>
    <mergeCell ref="O198:Q198"/>
    <mergeCell ref="R259:S260"/>
    <mergeCell ref="X75:Z75"/>
    <mergeCell ref="AA75:AC75"/>
    <mergeCell ref="AD75:AF75"/>
    <mergeCell ref="U198:AK198"/>
    <mergeCell ref="X199:Z199"/>
    <mergeCell ref="AA199:AC199"/>
    <mergeCell ref="AD199:AF199"/>
    <mergeCell ref="AG199:AI199"/>
    <mergeCell ref="AJ199:AK199"/>
    <mergeCell ref="U75:W75"/>
    <mergeCell ref="AG75:AI75"/>
    <mergeCell ref="AJ75:AK75"/>
    <mergeCell ref="AD137:AF137"/>
    <mergeCell ref="AG137:AI137"/>
    <mergeCell ref="U199:W199"/>
  </mergeCells>
  <hyperlinks>
    <hyperlink ref="J2" location="'Αρχική σελίδα'!A1" display="Πίσω στην αρχική σελίδα" xr:uid="{E9DC5E92-1C66-4376-BCDF-456BE1D74828}"/>
  </hyperlinks>
  <pageMargins left="0.7" right="0.7" top="0.75" bottom="0.75" header="0.3" footer="0.3"/>
  <pageSetup orientation="portrait" r:id="rId1"/>
  <customProperties>
    <customPr name="_pios_id" r:id="rId2"/>
  </customPropertie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0C664-4776-4F00-AB1D-568E9B640E5F}">
  <sheetPr codeName="Sheet6">
    <tabColor theme="4" tint="0.79998168889431442"/>
  </sheetPr>
  <dimension ref="A2:AY315"/>
  <sheetViews>
    <sheetView showGridLines="0" view="pageBreakPreview" topLeftCell="A51" zoomScale="80" zoomScaleNormal="70" zoomScaleSheetLayoutView="80" workbookViewId="0">
      <pane xSplit="2" topLeftCell="D1" activePane="topRight" state="frozen"/>
      <selection pane="topRight" activeCell="E68" sqref="E68"/>
    </sheetView>
  </sheetViews>
  <sheetFormatPr defaultColWidth="8.54296875" defaultRowHeight="14.5" outlineLevelRow="1" x14ac:dyDescent="0.35"/>
  <cols>
    <col min="1" max="1" width="2.54296875" customWidth="1"/>
    <col min="2" max="2" width="33" customWidth="1"/>
    <col min="3" max="18" width="13.453125" customWidth="1"/>
    <col min="19" max="19" width="18.453125" customWidth="1"/>
    <col min="20" max="20" width="2.1796875" customWidth="1"/>
    <col min="21" max="46" width="13.453125" customWidth="1"/>
    <col min="47" max="47" width="18.453125" customWidth="1"/>
  </cols>
  <sheetData>
    <row r="2" spans="2:47" ht="18.5" x14ac:dyDescent="0.45">
      <c r="B2" s="1" t="s">
        <v>0</v>
      </c>
      <c r="C2" s="420">
        <f>'Αρχική σελίδα'!C3</f>
        <v>0</v>
      </c>
      <c r="D2" s="420"/>
      <c r="E2" s="420"/>
      <c r="F2" s="420"/>
      <c r="G2" s="420"/>
      <c r="H2" s="420"/>
      <c r="J2" s="421" t="s">
        <v>58</v>
      </c>
      <c r="K2" s="421"/>
      <c r="L2" s="421"/>
    </row>
    <row r="3" spans="2:47" ht="18.5" x14ac:dyDescent="0.45">
      <c r="B3" s="2" t="s">
        <v>1</v>
      </c>
      <c r="C3" s="99">
        <v>2024</v>
      </c>
      <c r="D3" s="46" t="s">
        <v>2</v>
      </c>
      <c r="E3" s="46">
        <f>C3+4</f>
        <v>2028</v>
      </c>
    </row>
    <row r="4" spans="2:47" ht="14.9" customHeight="1" x14ac:dyDescent="0.45">
      <c r="C4" s="2"/>
      <c r="D4" s="46"/>
      <c r="E4" s="46"/>
    </row>
    <row r="5" spans="2:47" ht="72" customHeight="1" x14ac:dyDescent="0.35">
      <c r="B5" s="422" t="s">
        <v>200</v>
      </c>
      <c r="C5" s="422"/>
      <c r="D5" s="422"/>
      <c r="E5" s="422"/>
      <c r="F5" s="422"/>
      <c r="G5" s="422"/>
      <c r="H5" s="422"/>
      <c r="I5" s="422"/>
    </row>
    <row r="6" spans="2:47" x14ac:dyDescent="0.35">
      <c r="B6" s="226"/>
      <c r="C6" s="226"/>
      <c r="D6" s="226"/>
      <c r="E6" s="226"/>
      <c r="F6" s="226"/>
      <c r="G6" s="226"/>
      <c r="H6" s="226"/>
      <c r="N6" s="39">
        <f>E14/'Ανάπτυξη δικτύου'!E77</f>
        <v>3.1743722030647341E-2</v>
      </c>
    </row>
    <row r="7" spans="2:47" ht="18.5" x14ac:dyDescent="0.45">
      <c r="B7" s="100" t="str">
        <f>"Εξέλιξη ενεργών συνδέσεων στο υφιστάμενο δίκτυο διανομής ("&amp;(C3-5)&amp;" - "&amp;(C3-1)&amp;") και εξέλιξη σύμφωνα με το Πρόγραμμα Ανάπτυξης  "&amp;C3&amp;" - "&amp;E3</f>
        <v>Εξέλιξη ενεργών συνδέσεων στο υφιστάμενο δίκτυο διανομής (2019 - 2023) και εξέλιξη σύμφωνα με το Πρόγραμμα Ανάπτυξης  2024 - 2028</v>
      </c>
      <c r="C7" s="101"/>
      <c r="D7" s="101"/>
      <c r="E7" s="101"/>
      <c r="F7" s="101"/>
      <c r="G7" s="101"/>
      <c r="H7" s="101"/>
      <c r="I7" s="101"/>
      <c r="J7" s="102"/>
      <c r="K7" s="98"/>
    </row>
    <row r="8" spans="2:47" ht="18.5" x14ac:dyDescent="0.45">
      <c r="B8" s="232"/>
      <c r="C8" s="54"/>
      <c r="D8" s="54"/>
      <c r="E8" s="54"/>
      <c r="F8" s="54"/>
      <c r="G8" s="54"/>
      <c r="H8" s="54"/>
      <c r="I8" s="54"/>
      <c r="J8" s="23"/>
    </row>
    <row r="9" spans="2:47" ht="15.5" x14ac:dyDescent="0.35">
      <c r="B9" s="419" t="s">
        <v>201</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row>
    <row r="10" spans="2:47" ht="5.9" customHeight="1" outlineLevel="1" x14ac:dyDescent="0.3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row>
    <row r="11" spans="2:47" outlineLevel="1" x14ac:dyDescent="0.35">
      <c r="B11" s="459"/>
      <c r="C11" s="450" t="s">
        <v>134</v>
      </c>
      <c r="D11" s="435" t="s">
        <v>169</v>
      </c>
      <c r="E11" s="436"/>
      <c r="F11" s="436"/>
      <c r="G11" s="436"/>
      <c r="H11" s="436"/>
      <c r="I11" s="436"/>
      <c r="J11" s="436"/>
      <c r="K11" s="436"/>
      <c r="L11" s="436"/>
      <c r="M11" s="436"/>
      <c r="N11" s="436"/>
      <c r="O11" s="435"/>
      <c r="P11" s="436"/>
      <c r="Q11" s="437"/>
      <c r="R11" s="431" t="str">
        <f xml:space="preserve"> D12&amp;" - "&amp;O12</f>
        <v>2019 - 2023</v>
      </c>
      <c r="S11" s="456"/>
      <c r="U11" s="435" t="s">
        <v>170</v>
      </c>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7"/>
    </row>
    <row r="12" spans="2:47" outlineLevel="1" x14ac:dyDescent="0.35">
      <c r="B12" s="460"/>
      <c r="C12" s="451"/>
      <c r="D12" s="435">
        <f>$C$3-5</f>
        <v>2019</v>
      </c>
      <c r="E12" s="437"/>
      <c r="F12" s="435">
        <f>$C$3-4</f>
        <v>2020</v>
      </c>
      <c r="G12" s="436"/>
      <c r="H12" s="437"/>
      <c r="I12" s="435">
        <f>$C$3-3</f>
        <v>2021</v>
      </c>
      <c r="J12" s="436"/>
      <c r="K12" s="437"/>
      <c r="L12" s="435">
        <f>$C$3-2</f>
        <v>2022</v>
      </c>
      <c r="M12" s="436"/>
      <c r="N12" s="437"/>
      <c r="O12" s="435">
        <f>$C$3-1</f>
        <v>2023</v>
      </c>
      <c r="P12" s="436"/>
      <c r="Q12" s="437"/>
      <c r="R12" s="433"/>
      <c r="S12" s="457"/>
      <c r="U12" s="435">
        <f>$C$3</f>
        <v>2024</v>
      </c>
      <c r="V12" s="436"/>
      <c r="W12" s="436"/>
      <c r="X12" s="436"/>
      <c r="Y12" s="437"/>
      <c r="Z12" s="435">
        <f>$C$3+1</f>
        <v>2025</v>
      </c>
      <c r="AA12" s="436"/>
      <c r="AB12" s="436"/>
      <c r="AC12" s="436"/>
      <c r="AD12" s="437"/>
      <c r="AE12" s="435">
        <f>$C$3+2</f>
        <v>2026</v>
      </c>
      <c r="AF12" s="436"/>
      <c r="AG12" s="436"/>
      <c r="AH12" s="436"/>
      <c r="AI12" s="437"/>
      <c r="AJ12" s="435">
        <f>$C$3+3</f>
        <v>2027</v>
      </c>
      <c r="AK12" s="436"/>
      <c r="AL12" s="436"/>
      <c r="AM12" s="436"/>
      <c r="AN12" s="437"/>
      <c r="AO12" s="435">
        <f>$C$3+4</f>
        <v>2028</v>
      </c>
      <c r="AP12" s="436"/>
      <c r="AQ12" s="436"/>
      <c r="AR12" s="436"/>
      <c r="AS12" s="437"/>
      <c r="AT12" s="439" t="str">
        <f>U12&amp;" - "&amp;AO12</f>
        <v>2024 - 2028</v>
      </c>
      <c r="AU12" s="458"/>
    </row>
    <row r="13" spans="2:47" ht="43.5" outlineLevel="1" x14ac:dyDescent="0.35">
      <c r="B13" s="461"/>
      <c r="C13" s="452"/>
      <c r="D13" s="66" t="s">
        <v>192</v>
      </c>
      <c r="E13" s="67" t="s">
        <v>193</v>
      </c>
      <c r="F13" s="66" t="s">
        <v>192</v>
      </c>
      <c r="G13" s="9" t="s">
        <v>193</v>
      </c>
      <c r="H13" s="67" t="s">
        <v>173</v>
      </c>
      <c r="I13" s="66" t="s">
        <v>192</v>
      </c>
      <c r="J13" s="9" t="s">
        <v>193</v>
      </c>
      <c r="K13" s="67" t="s">
        <v>173</v>
      </c>
      <c r="L13" s="66" t="s">
        <v>192</v>
      </c>
      <c r="M13" s="9" t="s">
        <v>193</v>
      </c>
      <c r="N13" s="67" t="s">
        <v>173</v>
      </c>
      <c r="O13" s="66" t="s">
        <v>192</v>
      </c>
      <c r="P13" s="9" t="s">
        <v>193</v>
      </c>
      <c r="Q13" s="67" t="s">
        <v>173</v>
      </c>
      <c r="R13" s="66" t="s">
        <v>164</v>
      </c>
      <c r="S13" s="134" t="s">
        <v>174</v>
      </c>
      <c r="U13" s="66" t="s">
        <v>192</v>
      </c>
      <c r="V13" s="105" t="s">
        <v>202</v>
      </c>
      <c r="W13" s="105" t="s">
        <v>203</v>
      </c>
      <c r="X13" s="9" t="s">
        <v>193</v>
      </c>
      <c r="Y13" s="67" t="s">
        <v>173</v>
      </c>
      <c r="Z13" s="66" t="s">
        <v>192</v>
      </c>
      <c r="AA13" s="105" t="s">
        <v>202</v>
      </c>
      <c r="AB13" s="105" t="s">
        <v>203</v>
      </c>
      <c r="AC13" s="9" t="s">
        <v>193</v>
      </c>
      <c r="AD13" s="67" t="s">
        <v>173</v>
      </c>
      <c r="AE13" s="66" t="s">
        <v>192</v>
      </c>
      <c r="AF13" s="105" t="s">
        <v>202</v>
      </c>
      <c r="AG13" s="105" t="s">
        <v>203</v>
      </c>
      <c r="AH13" s="9" t="s">
        <v>193</v>
      </c>
      <c r="AI13" s="67" t="s">
        <v>173</v>
      </c>
      <c r="AJ13" s="66" t="s">
        <v>192</v>
      </c>
      <c r="AK13" s="105" t="s">
        <v>202</v>
      </c>
      <c r="AL13" s="105" t="s">
        <v>203</v>
      </c>
      <c r="AM13" s="9" t="s">
        <v>193</v>
      </c>
      <c r="AN13" s="67" t="s">
        <v>173</v>
      </c>
      <c r="AO13" s="66" t="s">
        <v>192</v>
      </c>
      <c r="AP13" s="105" t="s">
        <v>202</v>
      </c>
      <c r="AQ13" s="105" t="s">
        <v>203</v>
      </c>
      <c r="AR13" s="9" t="s">
        <v>193</v>
      </c>
      <c r="AS13" s="67" t="s">
        <v>173</v>
      </c>
      <c r="AT13" s="66" t="s">
        <v>164</v>
      </c>
      <c r="AU13" s="134" t="s">
        <v>174</v>
      </c>
    </row>
    <row r="14" spans="2:47" outlineLevel="1" x14ac:dyDescent="0.35">
      <c r="B14" s="48" t="s">
        <v>74</v>
      </c>
      <c r="C14" s="62" t="s">
        <v>135</v>
      </c>
      <c r="D14" s="158">
        <f>D76+D138+D200+D261</f>
        <v>55</v>
      </c>
      <c r="E14" s="158">
        <f>E76+E138+E200+E261</f>
        <v>661</v>
      </c>
      <c r="F14" s="158">
        <f>F76+F138+F200+F261</f>
        <v>44</v>
      </c>
      <c r="G14" s="156">
        <f t="shared" ref="G14" si="0">E14+F14</f>
        <v>705</v>
      </c>
      <c r="H14" s="160">
        <f>IFERROR((G14-E14)/E14,0)</f>
        <v>6.6565809379727683E-2</v>
      </c>
      <c r="I14" s="158">
        <f>I76+I138+I200+I261</f>
        <v>35</v>
      </c>
      <c r="J14" s="156">
        <f>I14+G14</f>
        <v>740</v>
      </c>
      <c r="K14" s="160">
        <f t="shared" ref="K14" si="1">IFERROR((J14-G14)/G14,0)</f>
        <v>4.9645390070921988E-2</v>
      </c>
      <c r="L14" s="158">
        <f>L76+L138+L200+L261</f>
        <v>23</v>
      </c>
      <c r="M14" s="156">
        <f t="shared" ref="M14" si="2">J14+L14</f>
        <v>763</v>
      </c>
      <c r="N14" s="160">
        <f t="shared" ref="N14:N68" si="3">IFERROR((M14-J14)/J14,0)</f>
        <v>3.1081081081081083E-2</v>
      </c>
      <c r="O14" s="158">
        <f>O76+O138+O200+O261</f>
        <v>19</v>
      </c>
      <c r="P14" s="156">
        <f t="shared" ref="P14" si="4">M14+O14</f>
        <v>782</v>
      </c>
      <c r="Q14" s="160">
        <f t="shared" ref="Q14" si="5">IFERROR((P14-M14)/M14,0)</f>
        <v>2.4901703800786368E-2</v>
      </c>
      <c r="R14" s="164">
        <f>D14+F14+I14+L14+O14</f>
        <v>176</v>
      </c>
      <c r="S14" s="165">
        <f t="shared" ref="S14" si="6">IFERROR((P14/E14)^(1/4)-1,0)</f>
        <v>4.2920786276638756E-2</v>
      </c>
      <c r="U14" s="158">
        <f t="shared" ref="U14:W33" si="7">U76+U138+U200+U261</f>
        <v>9.7200000000000006</v>
      </c>
      <c r="V14" s="158">
        <f t="shared" si="7"/>
        <v>9.7200000000000006</v>
      </c>
      <c r="W14" s="158">
        <f t="shared" si="7"/>
        <v>0</v>
      </c>
      <c r="X14" s="157">
        <f t="shared" ref="X14:X45" si="8">X76+X138++X200+X261</f>
        <v>791.72</v>
      </c>
      <c r="Y14" s="167">
        <f t="shared" ref="Y14:Y68" si="9">IFERROR((X14-P14)/P14,0)</f>
        <v>1.242966751918162E-2</v>
      </c>
      <c r="Z14" s="158">
        <f t="shared" ref="Z14:AC33" si="10">Z76++Z138++Z200+Z261</f>
        <v>29.200000000000003</v>
      </c>
      <c r="AA14" s="158">
        <f t="shared" si="10"/>
        <v>12.22</v>
      </c>
      <c r="AB14" s="158">
        <f t="shared" si="10"/>
        <v>16.98</v>
      </c>
      <c r="AC14" s="158">
        <f t="shared" si="10"/>
        <v>820.92000000000007</v>
      </c>
      <c r="AD14" s="167">
        <f t="shared" ref="AD14" si="11">IFERROR((AC14-X14)/X14,0)</f>
        <v>3.688172586267878E-2</v>
      </c>
      <c r="AE14" s="158">
        <f t="shared" ref="AE14:AH33" si="12">AE76+AE138+AE200+AE261</f>
        <v>52.769999999999996</v>
      </c>
      <c r="AF14" s="158">
        <f t="shared" si="12"/>
        <v>11.7</v>
      </c>
      <c r="AG14" s="158">
        <f t="shared" si="12"/>
        <v>41.07</v>
      </c>
      <c r="AH14" s="158">
        <f t="shared" si="12"/>
        <v>873.69</v>
      </c>
      <c r="AI14" s="167">
        <f t="shared" ref="AI14:AI68" si="13">IFERROR((AH14-AC14)/AC14,0)</f>
        <v>6.4281537786873233E-2</v>
      </c>
      <c r="AJ14" s="158">
        <f t="shared" ref="AJ14:AM33" si="14">AJ76+AJ138+AJ200+AJ261</f>
        <v>47.24</v>
      </c>
      <c r="AK14" s="158">
        <f t="shared" si="14"/>
        <v>9.18</v>
      </c>
      <c r="AL14" s="158">
        <f t="shared" si="14"/>
        <v>38.06</v>
      </c>
      <c r="AM14" s="158">
        <f t="shared" si="14"/>
        <v>920.93000000000006</v>
      </c>
      <c r="AN14" s="167">
        <f t="shared" ref="AN14:AN68" si="15">IFERROR((AM14-AH14)/AH14,0)</f>
        <v>5.406952122606417E-2</v>
      </c>
      <c r="AO14" s="158">
        <f t="shared" ref="AO14:AR33" si="16">AO76+AO138+AO200+AO261</f>
        <v>37.03</v>
      </c>
      <c r="AP14" s="158">
        <f t="shared" si="16"/>
        <v>6.9</v>
      </c>
      <c r="AQ14" s="158">
        <f t="shared" si="16"/>
        <v>30.13</v>
      </c>
      <c r="AR14" s="158">
        <f t="shared" si="16"/>
        <v>957.96</v>
      </c>
      <c r="AS14" s="167">
        <f t="shared" ref="AS14" si="17">IFERROR((AR14-AM14)/AM14,0)</f>
        <v>4.0209353588220573E-2</v>
      </c>
      <c r="AT14" s="164">
        <f>U14+Z14+AE14+AJ14+AO14</f>
        <v>175.96</v>
      </c>
      <c r="AU14" s="165">
        <f t="shared" ref="AU14" si="18">IFERROR((AR14/X14)^(1/4)-1,0)</f>
        <v>4.8803045620972263E-2</v>
      </c>
    </row>
    <row r="15" spans="2:47" outlineLevel="1" x14ac:dyDescent="0.35">
      <c r="B15" s="48" t="s">
        <v>75</v>
      </c>
      <c r="C15" s="62" t="s">
        <v>135</v>
      </c>
      <c r="D15" s="158">
        <f t="shared" ref="D15:F67" si="19">D77+D139+D201+D262</f>
        <v>264</v>
      </c>
      <c r="E15" s="158">
        <f t="shared" si="19"/>
        <v>2214</v>
      </c>
      <c r="F15" s="158">
        <f t="shared" si="19"/>
        <v>299</v>
      </c>
      <c r="G15" s="156">
        <f t="shared" ref="G15:G68" si="20">E15+F15</f>
        <v>2513</v>
      </c>
      <c r="H15" s="160">
        <f t="shared" ref="H15:H68" si="21">IFERROR((G15-E15)/E15,0)</f>
        <v>0.13504968383017163</v>
      </c>
      <c r="I15" s="158">
        <f t="shared" ref="I15:I68" si="22">I77+I139+I201+I262</f>
        <v>253</v>
      </c>
      <c r="J15" s="156">
        <f t="shared" ref="J15:J68" si="23">I15+G15</f>
        <v>2766</v>
      </c>
      <c r="K15" s="160">
        <f t="shared" ref="K15:K68" si="24">IFERROR((J15-G15)/G15,0)</f>
        <v>0.10067648229208118</v>
      </c>
      <c r="L15" s="158">
        <f t="shared" ref="L15:L67" si="25">L77+L139+L201+L262</f>
        <v>125</v>
      </c>
      <c r="M15" s="156">
        <f t="shared" ref="M15:M67" si="26">J15+L15</f>
        <v>2891</v>
      </c>
      <c r="N15" s="160">
        <f t="shared" ref="N15:N67" si="27">IFERROR((M15-J15)/J15,0)</f>
        <v>4.519161243673174E-2</v>
      </c>
      <c r="O15" s="158">
        <f t="shared" ref="O15:O67" si="28">O77+O139+O201+O262</f>
        <v>80</v>
      </c>
      <c r="P15" s="156">
        <f t="shared" ref="P15:P67" si="29">M15+O15</f>
        <v>2971</v>
      </c>
      <c r="Q15" s="160">
        <f t="shared" ref="Q15:Q67" si="30">IFERROR((P15-M15)/M15,0)</f>
        <v>2.767208578346593E-2</v>
      </c>
      <c r="R15" s="164">
        <f t="shared" ref="R15:R67" si="31">D15+F15+I15+L15+O15</f>
        <v>1021</v>
      </c>
      <c r="S15" s="165">
        <f t="shared" ref="S15:S67" si="32">IFERROR((P15/E15)^(1/4)-1,0)</f>
        <v>7.6294841586720175E-2</v>
      </c>
      <c r="U15" s="158">
        <f t="shared" si="7"/>
        <v>121.28</v>
      </c>
      <c r="V15" s="158">
        <f t="shared" si="7"/>
        <v>120.63</v>
      </c>
      <c r="W15" s="158">
        <f t="shared" si="7"/>
        <v>0.65</v>
      </c>
      <c r="X15" s="157">
        <f t="shared" si="8"/>
        <v>3092.28</v>
      </c>
      <c r="Y15" s="167">
        <f t="shared" si="9"/>
        <v>4.0821272298889329E-2</v>
      </c>
      <c r="Z15" s="158">
        <f t="shared" si="10"/>
        <v>179.95000000000002</v>
      </c>
      <c r="AA15" s="158">
        <f t="shared" si="10"/>
        <v>151.15</v>
      </c>
      <c r="AB15" s="158">
        <f t="shared" si="10"/>
        <v>28.8</v>
      </c>
      <c r="AC15" s="158">
        <f t="shared" si="10"/>
        <v>3272.23</v>
      </c>
      <c r="AD15" s="167">
        <f t="shared" ref="AD15:AD68" si="33">IFERROR((AC15-X15)/X15,0)</f>
        <v>5.8193307203746041E-2</v>
      </c>
      <c r="AE15" s="158">
        <f t="shared" si="12"/>
        <v>185.66</v>
      </c>
      <c r="AF15" s="158">
        <f t="shared" si="12"/>
        <v>143.76</v>
      </c>
      <c r="AG15" s="158">
        <f t="shared" si="12"/>
        <v>41.9</v>
      </c>
      <c r="AH15" s="158">
        <f t="shared" si="12"/>
        <v>3457.89</v>
      </c>
      <c r="AI15" s="167">
        <f t="shared" si="13"/>
        <v>5.6738065478282348E-2</v>
      </c>
      <c r="AJ15" s="158">
        <f t="shared" si="14"/>
        <v>153.6</v>
      </c>
      <c r="AK15" s="158">
        <f t="shared" si="14"/>
        <v>113.06</v>
      </c>
      <c r="AL15" s="158">
        <f t="shared" si="14"/>
        <v>40.54</v>
      </c>
      <c r="AM15" s="158">
        <f t="shared" si="14"/>
        <v>3611.49</v>
      </c>
      <c r="AN15" s="167">
        <f t="shared" si="15"/>
        <v>4.4420152173724414E-2</v>
      </c>
      <c r="AO15" s="158">
        <f t="shared" si="16"/>
        <v>119.01</v>
      </c>
      <c r="AP15" s="158">
        <f t="shared" si="16"/>
        <v>85.29</v>
      </c>
      <c r="AQ15" s="158">
        <f t="shared" si="16"/>
        <v>33.72</v>
      </c>
      <c r="AR15" s="158">
        <f t="shared" si="16"/>
        <v>3730.5</v>
      </c>
      <c r="AS15" s="167">
        <f t="shared" ref="AS15:AS68" si="34">IFERROR((AR15-AM15)/AM15,0)</f>
        <v>3.2953157837900759E-2</v>
      </c>
      <c r="AT15" s="164">
        <f t="shared" ref="AT15:AT68" si="35">U15+Z15+AE15+AJ15+AO15</f>
        <v>759.5</v>
      </c>
      <c r="AU15" s="165">
        <f t="shared" ref="AU15:AU68" si="36">IFERROR((AR15/X15)^(1/4)-1,0)</f>
        <v>4.8026002888442942E-2</v>
      </c>
    </row>
    <row r="16" spans="2:47" outlineLevel="1" x14ac:dyDescent="0.35">
      <c r="B16" s="48" t="s">
        <v>76</v>
      </c>
      <c r="C16" s="62" t="s">
        <v>135</v>
      </c>
      <c r="D16" s="158">
        <f t="shared" si="19"/>
        <v>157</v>
      </c>
      <c r="E16" s="158">
        <f t="shared" si="19"/>
        <v>1181</v>
      </c>
      <c r="F16" s="158">
        <f t="shared" si="19"/>
        <v>147</v>
      </c>
      <c r="G16" s="156">
        <f t="shared" si="20"/>
        <v>1328</v>
      </c>
      <c r="H16" s="160">
        <f t="shared" si="21"/>
        <v>0.12447078746824725</v>
      </c>
      <c r="I16" s="158">
        <f t="shared" si="22"/>
        <v>181</v>
      </c>
      <c r="J16" s="156">
        <f t="shared" si="23"/>
        <v>1509</v>
      </c>
      <c r="K16" s="160">
        <f t="shared" si="24"/>
        <v>0.13629518072289157</v>
      </c>
      <c r="L16" s="158">
        <f t="shared" si="25"/>
        <v>99</v>
      </c>
      <c r="M16" s="156">
        <f t="shared" si="26"/>
        <v>1608</v>
      </c>
      <c r="N16" s="160">
        <f t="shared" si="27"/>
        <v>6.560636182902585E-2</v>
      </c>
      <c r="O16" s="158">
        <f t="shared" si="28"/>
        <v>66</v>
      </c>
      <c r="P16" s="156">
        <f t="shared" si="29"/>
        <v>1674</v>
      </c>
      <c r="Q16" s="160">
        <f t="shared" si="30"/>
        <v>4.1044776119402986E-2</v>
      </c>
      <c r="R16" s="164">
        <f t="shared" si="31"/>
        <v>650</v>
      </c>
      <c r="S16" s="165">
        <f t="shared" si="32"/>
        <v>9.1129729643925517E-2</v>
      </c>
      <c r="U16" s="158">
        <f t="shared" si="7"/>
        <v>58.260000000000005</v>
      </c>
      <c r="V16" s="158">
        <f t="shared" si="7"/>
        <v>55.13</v>
      </c>
      <c r="W16" s="158">
        <f t="shared" si="7"/>
        <v>3.13</v>
      </c>
      <c r="X16" s="157">
        <f t="shared" si="8"/>
        <v>1732.26</v>
      </c>
      <c r="Y16" s="167">
        <f t="shared" si="9"/>
        <v>3.4802867383512542E-2</v>
      </c>
      <c r="Z16" s="158">
        <f t="shared" si="10"/>
        <v>92.11</v>
      </c>
      <c r="AA16" s="158">
        <f t="shared" si="10"/>
        <v>67.55</v>
      </c>
      <c r="AB16" s="158">
        <f t="shared" si="10"/>
        <v>24.56</v>
      </c>
      <c r="AC16" s="158">
        <f t="shared" si="10"/>
        <v>1824.37</v>
      </c>
      <c r="AD16" s="167">
        <f t="shared" si="33"/>
        <v>5.3173311165760281E-2</v>
      </c>
      <c r="AE16" s="158">
        <f t="shared" si="12"/>
        <v>135.74</v>
      </c>
      <c r="AF16" s="158">
        <f t="shared" si="12"/>
        <v>64.539999999999992</v>
      </c>
      <c r="AG16" s="158">
        <f t="shared" si="12"/>
        <v>71.2</v>
      </c>
      <c r="AH16" s="158">
        <f t="shared" si="12"/>
        <v>1960.11</v>
      </c>
      <c r="AI16" s="167">
        <f t="shared" si="13"/>
        <v>7.4403766779765082E-2</v>
      </c>
      <c r="AJ16" s="158">
        <f t="shared" si="14"/>
        <v>132.30000000000001</v>
      </c>
      <c r="AK16" s="158">
        <f t="shared" si="14"/>
        <v>50.35</v>
      </c>
      <c r="AL16" s="158">
        <f t="shared" si="14"/>
        <v>81.95</v>
      </c>
      <c r="AM16" s="158">
        <f t="shared" si="14"/>
        <v>2092.41</v>
      </c>
      <c r="AN16" s="167">
        <f t="shared" si="15"/>
        <v>6.7496211947288651E-2</v>
      </c>
      <c r="AO16" s="158">
        <f t="shared" si="16"/>
        <v>120.52</v>
      </c>
      <c r="AP16" s="158">
        <f t="shared" si="16"/>
        <v>38.450000000000003</v>
      </c>
      <c r="AQ16" s="158">
        <f t="shared" si="16"/>
        <v>82.07</v>
      </c>
      <c r="AR16" s="158">
        <f t="shared" si="16"/>
        <v>2212.9299999999998</v>
      </c>
      <c r="AS16" s="167">
        <f t="shared" si="34"/>
        <v>5.7598654183453522E-2</v>
      </c>
      <c r="AT16" s="164">
        <f t="shared" si="35"/>
        <v>538.93000000000006</v>
      </c>
      <c r="AU16" s="165">
        <f t="shared" si="36"/>
        <v>6.313557237339662E-2</v>
      </c>
    </row>
    <row r="17" spans="2:47" outlineLevel="1" x14ac:dyDescent="0.35">
      <c r="B17" s="48" t="s">
        <v>77</v>
      </c>
      <c r="C17" s="62" t="s">
        <v>135</v>
      </c>
      <c r="D17" s="158">
        <f t="shared" si="19"/>
        <v>29</v>
      </c>
      <c r="E17" s="158">
        <f t="shared" si="19"/>
        <v>285</v>
      </c>
      <c r="F17" s="158">
        <f t="shared" si="19"/>
        <v>47</v>
      </c>
      <c r="G17" s="156">
        <f t="shared" si="20"/>
        <v>332</v>
      </c>
      <c r="H17" s="160">
        <f t="shared" si="21"/>
        <v>0.1649122807017544</v>
      </c>
      <c r="I17" s="158">
        <f t="shared" si="22"/>
        <v>62</v>
      </c>
      <c r="J17" s="156">
        <f t="shared" si="23"/>
        <v>394</v>
      </c>
      <c r="K17" s="160">
        <f t="shared" si="24"/>
        <v>0.18674698795180722</v>
      </c>
      <c r="L17" s="158">
        <f t="shared" si="25"/>
        <v>45</v>
      </c>
      <c r="M17" s="156">
        <f t="shared" si="26"/>
        <v>439</v>
      </c>
      <c r="N17" s="160">
        <f t="shared" si="27"/>
        <v>0.11421319796954314</v>
      </c>
      <c r="O17" s="158">
        <f t="shared" si="28"/>
        <v>10</v>
      </c>
      <c r="P17" s="156">
        <f t="shared" si="29"/>
        <v>449</v>
      </c>
      <c r="Q17" s="160">
        <f t="shared" si="30"/>
        <v>2.2779043280182234E-2</v>
      </c>
      <c r="R17" s="164">
        <f t="shared" si="31"/>
        <v>193</v>
      </c>
      <c r="S17" s="165">
        <f t="shared" si="32"/>
        <v>0.12034136255980354</v>
      </c>
      <c r="U17" s="158">
        <f t="shared" si="7"/>
        <v>11.88</v>
      </c>
      <c r="V17" s="158">
        <f t="shared" si="7"/>
        <v>11.88</v>
      </c>
      <c r="W17" s="158">
        <f t="shared" si="7"/>
        <v>0</v>
      </c>
      <c r="X17" s="157">
        <f t="shared" si="8"/>
        <v>460.88</v>
      </c>
      <c r="Y17" s="167">
        <f t="shared" si="9"/>
        <v>2.6458797327394198E-2</v>
      </c>
      <c r="Z17" s="158">
        <f t="shared" si="10"/>
        <v>14.63</v>
      </c>
      <c r="AA17" s="158">
        <f t="shared" si="10"/>
        <v>14.63</v>
      </c>
      <c r="AB17" s="158">
        <f t="shared" si="10"/>
        <v>0</v>
      </c>
      <c r="AC17" s="158">
        <f t="shared" si="10"/>
        <v>475.51</v>
      </c>
      <c r="AD17" s="167">
        <f t="shared" si="33"/>
        <v>3.1743620899149443E-2</v>
      </c>
      <c r="AE17" s="158">
        <f t="shared" si="12"/>
        <v>19.059999999999999</v>
      </c>
      <c r="AF17" s="158">
        <f t="shared" si="12"/>
        <v>14.02</v>
      </c>
      <c r="AG17" s="158">
        <f t="shared" si="12"/>
        <v>5.04</v>
      </c>
      <c r="AH17" s="158">
        <f t="shared" si="12"/>
        <v>494.57</v>
      </c>
      <c r="AI17" s="167">
        <f t="shared" si="13"/>
        <v>4.0083279005699149E-2</v>
      </c>
      <c r="AJ17" s="158">
        <f t="shared" si="14"/>
        <v>19.98</v>
      </c>
      <c r="AK17" s="158">
        <f t="shared" si="14"/>
        <v>11.21</v>
      </c>
      <c r="AL17" s="158">
        <f t="shared" si="14"/>
        <v>8.77</v>
      </c>
      <c r="AM17" s="158">
        <f t="shared" si="14"/>
        <v>514.54999999999995</v>
      </c>
      <c r="AN17" s="167">
        <f t="shared" si="15"/>
        <v>4.0398730210081404E-2</v>
      </c>
      <c r="AO17" s="158">
        <f t="shared" si="16"/>
        <v>14.65</v>
      </c>
      <c r="AP17" s="158">
        <f t="shared" si="16"/>
        <v>7.67</v>
      </c>
      <c r="AQ17" s="158">
        <f t="shared" si="16"/>
        <v>6.98</v>
      </c>
      <c r="AR17" s="158">
        <f t="shared" si="16"/>
        <v>529.20000000000005</v>
      </c>
      <c r="AS17" s="167">
        <f t="shared" si="34"/>
        <v>2.8471479933923023E-2</v>
      </c>
      <c r="AT17" s="164">
        <f t="shared" si="35"/>
        <v>80.2</v>
      </c>
      <c r="AU17" s="165">
        <f t="shared" si="36"/>
        <v>3.5161218966378138E-2</v>
      </c>
    </row>
    <row r="18" spans="2:47" outlineLevel="1" x14ac:dyDescent="0.35">
      <c r="B18" s="48" t="s">
        <v>78</v>
      </c>
      <c r="C18" s="62" t="s">
        <v>135</v>
      </c>
      <c r="D18" s="158">
        <f t="shared" si="19"/>
        <v>1347</v>
      </c>
      <c r="E18" s="158">
        <f t="shared" si="19"/>
        <v>20562</v>
      </c>
      <c r="F18" s="158">
        <f t="shared" si="19"/>
        <v>1204</v>
      </c>
      <c r="G18" s="156">
        <f t="shared" si="20"/>
        <v>21766</v>
      </c>
      <c r="H18" s="160">
        <f t="shared" si="21"/>
        <v>5.8554615309794764E-2</v>
      </c>
      <c r="I18" s="158">
        <f t="shared" si="22"/>
        <v>1064</v>
      </c>
      <c r="J18" s="156">
        <f t="shared" si="23"/>
        <v>22830</v>
      </c>
      <c r="K18" s="160">
        <f t="shared" si="24"/>
        <v>4.8883579895249468E-2</v>
      </c>
      <c r="L18" s="158">
        <f t="shared" si="25"/>
        <v>742</v>
      </c>
      <c r="M18" s="156">
        <f t="shared" si="26"/>
        <v>23572</v>
      </c>
      <c r="N18" s="160">
        <f t="shared" si="27"/>
        <v>3.2501095050372318E-2</v>
      </c>
      <c r="O18" s="158">
        <f t="shared" si="28"/>
        <v>625</v>
      </c>
      <c r="P18" s="156">
        <f t="shared" si="29"/>
        <v>24197</v>
      </c>
      <c r="Q18" s="160">
        <f t="shared" si="30"/>
        <v>2.6514508739182079E-2</v>
      </c>
      <c r="R18" s="164">
        <f t="shared" si="31"/>
        <v>4982</v>
      </c>
      <c r="S18" s="165">
        <f t="shared" si="32"/>
        <v>4.1535416689860494E-2</v>
      </c>
      <c r="U18" s="158">
        <f t="shared" si="7"/>
        <v>792.95999999999992</v>
      </c>
      <c r="V18" s="158">
        <f t="shared" si="7"/>
        <v>747.53</v>
      </c>
      <c r="W18" s="158">
        <f t="shared" si="7"/>
        <v>45.43</v>
      </c>
      <c r="X18" s="157">
        <f t="shared" si="8"/>
        <v>24989.96</v>
      </c>
      <c r="Y18" s="167">
        <f t="shared" si="9"/>
        <v>3.2771004670000374E-2</v>
      </c>
      <c r="Z18" s="158">
        <f t="shared" si="10"/>
        <v>1062.6799999999998</v>
      </c>
      <c r="AA18" s="158">
        <f t="shared" si="10"/>
        <v>895.54</v>
      </c>
      <c r="AB18" s="158">
        <f t="shared" si="10"/>
        <v>167.14</v>
      </c>
      <c r="AC18" s="158">
        <f t="shared" si="10"/>
        <v>26052.639999999999</v>
      </c>
      <c r="AD18" s="167">
        <f t="shared" si="33"/>
        <v>4.2524277749944391E-2</v>
      </c>
      <c r="AE18" s="158">
        <f t="shared" si="12"/>
        <v>1128.48</v>
      </c>
      <c r="AF18" s="158">
        <f t="shared" si="12"/>
        <v>848.61</v>
      </c>
      <c r="AG18" s="158">
        <f t="shared" si="12"/>
        <v>279.87</v>
      </c>
      <c r="AH18" s="158">
        <f t="shared" si="12"/>
        <v>27181.119999999999</v>
      </c>
      <c r="AI18" s="167">
        <f t="shared" si="13"/>
        <v>4.3315379938463038E-2</v>
      </c>
      <c r="AJ18" s="158">
        <f t="shared" si="14"/>
        <v>1037.42</v>
      </c>
      <c r="AK18" s="158">
        <f t="shared" si="14"/>
        <v>667.82</v>
      </c>
      <c r="AL18" s="158">
        <f t="shared" si="14"/>
        <v>369.6</v>
      </c>
      <c r="AM18" s="158">
        <f t="shared" si="14"/>
        <v>28218.54</v>
      </c>
      <c r="AN18" s="167">
        <f t="shared" si="15"/>
        <v>3.8166933518560014E-2</v>
      </c>
      <c r="AO18" s="158">
        <f t="shared" si="16"/>
        <v>899.33</v>
      </c>
      <c r="AP18" s="158">
        <f t="shared" si="16"/>
        <v>505.91</v>
      </c>
      <c r="AQ18" s="158">
        <f t="shared" si="16"/>
        <v>393.42</v>
      </c>
      <c r="AR18" s="158">
        <f t="shared" si="16"/>
        <v>29117.870000000003</v>
      </c>
      <c r="AS18" s="167">
        <f t="shared" si="34"/>
        <v>3.1870181802460429E-2</v>
      </c>
      <c r="AT18" s="164">
        <f t="shared" si="35"/>
        <v>4920.87</v>
      </c>
      <c r="AU18" s="165">
        <f t="shared" si="36"/>
        <v>3.8959241446413273E-2</v>
      </c>
    </row>
    <row r="19" spans="2:47" outlineLevel="1" x14ac:dyDescent="0.35">
      <c r="B19" s="48" t="s">
        <v>79</v>
      </c>
      <c r="C19" s="62" t="s">
        <v>135</v>
      </c>
      <c r="D19" s="158">
        <f t="shared" si="19"/>
        <v>285</v>
      </c>
      <c r="E19" s="158">
        <f t="shared" si="19"/>
        <v>2737</v>
      </c>
      <c r="F19" s="158">
        <f t="shared" si="19"/>
        <v>257</v>
      </c>
      <c r="G19" s="156">
        <f t="shared" si="20"/>
        <v>2994</v>
      </c>
      <c r="H19" s="160">
        <f t="shared" si="21"/>
        <v>9.3898428936792108E-2</v>
      </c>
      <c r="I19" s="158">
        <f t="shared" si="22"/>
        <v>317</v>
      </c>
      <c r="J19" s="156">
        <f t="shared" si="23"/>
        <v>3311</v>
      </c>
      <c r="K19" s="160">
        <f t="shared" si="24"/>
        <v>0.10587842351369406</v>
      </c>
      <c r="L19" s="158">
        <f t="shared" si="25"/>
        <v>166</v>
      </c>
      <c r="M19" s="156">
        <f t="shared" si="26"/>
        <v>3477</v>
      </c>
      <c r="N19" s="160">
        <f t="shared" si="27"/>
        <v>5.013591060102688E-2</v>
      </c>
      <c r="O19" s="158">
        <f t="shared" si="28"/>
        <v>101</v>
      </c>
      <c r="P19" s="156">
        <f t="shared" si="29"/>
        <v>3578</v>
      </c>
      <c r="Q19" s="160">
        <f t="shared" si="30"/>
        <v>2.9048029910842682E-2</v>
      </c>
      <c r="R19" s="164">
        <f t="shared" si="31"/>
        <v>1126</v>
      </c>
      <c r="S19" s="165">
        <f t="shared" si="32"/>
        <v>6.9279854552666498E-2</v>
      </c>
      <c r="U19" s="158">
        <f t="shared" si="7"/>
        <v>66.7</v>
      </c>
      <c r="V19" s="158">
        <f t="shared" si="7"/>
        <v>65.680000000000007</v>
      </c>
      <c r="W19" s="158">
        <f t="shared" si="7"/>
        <v>1.02</v>
      </c>
      <c r="X19" s="157">
        <f t="shared" si="8"/>
        <v>3644.7</v>
      </c>
      <c r="Y19" s="167">
        <f t="shared" si="9"/>
        <v>1.864169927333701E-2</v>
      </c>
      <c r="Z19" s="158">
        <f t="shared" si="10"/>
        <v>83.67</v>
      </c>
      <c r="AA19" s="158">
        <f t="shared" si="10"/>
        <v>82.44</v>
      </c>
      <c r="AB19" s="158">
        <f t="shared" si="10"/>
        <v>1.23</v>
      </c>
      <c r="AC19" s="158">
        <f t="shared" si="10"/>
        <v>3728.37</v>
      </c>
      <c r="AD19" s="167">
        <f t="shared" si="33"/>
        <v>2.295662194419296E-2</v>
      </c>
      <c r="AE19" s="158">
        <f t="shared" si="12"/>
        <v>79.800000000000011</v>
      </c>
      <c r="AF19" s="158">
        <f t="shared" si="12"/>
        <v>79.010000000000005</v>
      </c>
      <c r="AG19" s="158">
        <f t="shared" si="12"/>
        <v>0.79</v>
      </c>
      <c r="AH19" s="158">
        <f t="shared" si="12"/>
        <v>3808.17</v>
      </c>
      <c r="AI19" s="167">
        <f t="shared" si="13"/>
        <v>2.1403455129185189E-2</v>
      </c>
      <c r="AJ19" s="158">
        <f t="shared" si="14"/>
        <v>62.71</v>
      </c>
      <c r="AK19" s="158">
        <f t="shared" si="14"/>
        <v>62.26</v>
      </c>
      <c r="AL19" s="158">
        <f t="shared" si="14"/>
        <v>0.45</v>
      </c>
      <c r="AM19" s="158">
        <f t="shared" si="14"/>
        <v>3870.88</v>
      </c>
      <c r="AN19" s="167">
        <f t="shared" si="15"/>
        <v>1.6467227040809638E-2</v>
      </c>
      <c r="AO19" s="158">
        <f t="shared" si="16"/>
        <v>62.47</v>
      </c>
      <c r="AP19" s="158">
        <f t="shared" si="16"/>
        <v>47.12</v>
      </c>
      <c r="AQ19" s="158">
        <f t="shared" si="16"/>
        <v>15.35</v>
      </c>
      <c r="AR19" s="158">
        <f t="shared" si="16"/>
        <v>3933.35</v>
      </c>
      <c r="AS19" s="167">
        <f t="shared" si="34"/>
        <v>1.6138449138180414E-2</v>
      </c>
      <c r="AT19" s="164">
        <f t="shared" si="35"/>
        <v>355.35</v>
      </c>
      <c r="AU19" s="165">
        <f t="shared" si="36"/>
        <v>1.9237048387710676E-2</v>
      </c>
    </row>
    <row r="20" spans="2:47" outlineLevel="1" x14ac:dyDescent="0.35">
      <c r="B20" s="48" t="s">
        <v>80</v>
      </c>
      <c r="C20" s="62" t="s">
        <v>135</v>
      </c>
      <c r="D20" s="158">
        <f t="shared" si="19"/>
        <v>111</v>
      </c>
      <c r="E20" s="158">
        <f t="shared" si="19"/>
        <v>899</v>
      </c>
      <c r="F20" s="158">
        <f t="shared" si="19"/>
        <v>121</v>
      </c>
      <c r="G20" s="156">
        <f t="shared" si="20"/>
        <v>1020</v>
      </c>
      <c r="H20" s="160">
        <f t="shared" si="21"/>
        <v>0.13459399332591768</v>
      </c>
      <c r="I20" s="158">
        <f t="shared" si="22"/>
        <v>248</v>
      </c>
      <c r="J20" s="156">
        <f t="shared" si="23"/>
        <v>1268</v>
      </c>
      <c r="K20" s="160">
        <f t="shared" si="24"/>
        <v>0.24313725490196078</v>
      </c>
      <c r="L20" s="158">
        <f t="shared" si="25"/>
        <v>72</v>
      </c>
      <c r="M20" s="156">
        <f t="shared" si="26"/>
        <v>1340</v>
      </c>
      <c r="N20" s="160">
        <f t="shared" si="27"/>
        <v>5.6782334384858045E-2</v>
      </c>
      <c r="O20" s="158">
        <f t="shared" si="28"/>
        <v>56</v>
      </c>
      <c r="P20" s="156">
        <f t="shared" si="29"/>
        <v>1396</v>
      </c>
      <c r="Q20" s="160">
        <f t="shared" si="30"/>
        <v>4.1791044776119404E-2</v>
      </c>
      <c r="R20" s="164">
        <f t="shared" si="31"/>
        <v>608</v>
      </c>
      <c r="S20" s="165">
        <f t="shared" si="32"/>
        <v>0.11630130291723595</v>
      </c>
      <c r="U20" s="158">
        <f t="shared" si="7"/>
        <v>76.069999999999993</v>
      </c>
      <c r="V20" s="158">
        <f t="shared" si="7"/>
        <v>72.19</v>
      </c>
      <c r="W20" s="158">
        <f t="shared" si="7"/>
        <v>3.88</v>
      </c>
      <c r="X20" s="157">
        <f t="shared" si="8"/>
        <v>1472.07</v>
      </c>
      <c r="Y20" s="167">
        <f t="shared" si="9"/>
        <v>5.449140401146127E-2</v>
      </c>
      <c r="Z20" s="158">
        <f t="shared" si="10"/>
        <v>100.34</v>
      </c>
      <c r="AA20" s="158">
        <f t="shared" si="10"/>
        <v>88.56</v>
      </c>
      <c r="AB20" s="158">
        <f t="shared" si="10"/>
        <v>11.78</v>
      </c>
      <c r="AC20" s="158">
        <f t="shared" si="10"/>
        <v>1572.4099999999999</v>
      </c>
      <c r="AD20" s="167">
        <f t="shared" si="33"/>
        <v>6.8162519445406758E-2</v>
      </c>
      <c r="AE20" s="158">
        <f t="shared" si="12"/>
        <v>96.47</v>
      </c>
      <c r="AF20" s="158">
        <f t="shared" si="12"/>
        <v>83.6</v>
      </c>
      <c r="AG20" s="158">
        <f t="shared" si="12"/>
        <v>12.87</v>
      </c>
      <c r="AH20" s="158">
        <f t="shared" si="12"/>
        <v>1668.8799999999999</v>
      </c>
      <c r="AI20" s="167">
        <f t="shared" si="13"/>
        <v>6.1351683085200448E-2</v>
      </c>
      <c r="AJ20" s="158">
        <f t="shared" si="14"/>
        <v>75.41</v>
      </c>
      <c r="AK20" s="158">
        <f t="shared" si="14"/>
        <v>66.19</v>
      </c>
      <c r="AL20" s="158">
        <f t="shared" si="14"/>
        <v>9.2200000000000006</v>
      </c>
      <c r="AM20" s="158">
        <f t="shared" si="14"/>
        <v>1744.29</v>
      </c>
      <c r="AN20" s="167">
        <f t="shared" si="15"/>
        <v>4.5185993001294333E-2</v>
      </c>
      <c r="AO20" s="158">
        <f t="shared" si="16"/>
        <v>62.31</v>
      </c>
      <c r="AP20" s="158">
        <f t="shared" si="16"/>
        <v>49.52</v>
      </c>
      <c r="AQ20" s="158">
        <f t="shared" si="16"/>
        <v>12.79</v>
      </c>
      <c r="AR20" s="158">
        <f t="shared" si="16"/>
        <v>1806.6</v>
      </c>
      <c r="AS20" s="167">
        <f t="shared" si="34"/>
        <v>3.5722270952651194E-2</v>
      </c>
      <c r="AT20" s="164">
        <f t="shared" si="35"/>
        <v>410.59999999999997</v>
      </c>
      <c r="AU20" s="165">
        <f t="shared" si="36"/>
        <v>5.2527340598244487E-2</v>
      </c>
    </row>
    <row r="21" spans="2:47" outlineLevel="1" x14ac:dyDescent="0.35">
      <c r="B21" s="48" t="s">
        <v>81</v>
      </c>
      <c r="C21" s="62" t="s">
        <v>135</v>
      </c>
      <c r="D21" s="158">
        <f t="shared" si="19"/>
        <v>226</v>
      </c>
      <c r="E21" s="158">
        <f t="shared" si="19"/>
        <v>3362</v>
      </c>
      <c r="F21" s="158">
        <f t="shared" si="19"/>
        <v>211</v>
      </c>
      <c r="G21" s="156">
        <f t="shared" si="20"/>
        <v>3573</v>
      </c>
      <c r="H21" s="160">
        <f t="shared" si="21"/>
        <v>6.2760261748958948E-2</v>
      </c>
      <c r="I21" s="158">
        <f t="shared" si="22"/>
        <v>180</v>
      </c>
      <c r="J21" s="156">
        <f t="shared" si="23"/>
        <v>3753</v>
      </c>
      <c r="K21" s="160">
        <f t="shared" si="24"/>
        <v>5.0377833753148617E-2</v>
      </c>
      <c r="L21" s="158">
        <f t="shared" si="25"/>
        <v>122</v>
      </c>
      <c r="M21" s="156">
        <f t="shared" si="26"/>
        <v>3875</v>
      </c>
      <c r="N21" s="160">
        <f t="shared" si="27"/>
        <v>3.2507327471356248E-2</v>
      </c>
      <c r="O21" s="158">
        <f t="shared" si="28"/>
        <v>76</v>
      </c>
      <c r="P21" s="156">
        <f t="shared" si="29"/>
        <v>3951</v>
      </c>
      <c r="Q21" s="160">
        <f t="shared" si="30"/>
        <v>1.9612903225806451E-2</v>
      </c>
      <c r="R21" s="164">
        <f t="shared" si="31"/>
        <v>815</v>
      </c>
      <c r="S21" s="165">
        <f t="shared" si="32"/>
        <v>4.1183627230029884E-2</v>
      </c>
      <c r="U21" s="158">
        <f t="shared" si="7"/>
        <v>116.55000000000001</v>
      </c>
      <c r="V21" s="158">
        <f t="shared" si="7"/>
        <v>111.93</v>
      </c>
      <c r="W21" s="158">
        <f t="shared" si="7"/>
        <v>4.62</v>
      </c>
      <c r="X21" s="157">
        <f t="shared" si="8"/>
        <v>4067.55</v>
      </c>
      <c r="Y21" s="167">
        <f t="shared" si="9"/>
        <v>2.9498861047836038E-2</v>
      </c>
      <c r="Z21" s="158">
        <f t="shared" si="10"/>
        <v>147.69</v>
      </c>
      <c r="AA21" s="158">
        <f t="shared" si="10"/>
        <v>139.79</v>
      </c>
      <c r="AB21" s="158">
        <f t="shared" si="10"/>
        <v>7.9</v>
      </c>
      <c r="AC21" s="158">
        <f t="shared" si="10"/>
        <v>4215.24</v>
      </c>
      <c r="AD21" s="167">
        <f t="shared" si="33"/>
        <v>3.6309326252903985E-2</v>
      </c>
      <c r="AE21" s="158">
        <f t="shared" si="12"/>
        <v>142.85000000000002</v>
      </c>
      <c r="AF21" s="158">
        <f t="shared" si="12"/>
        <v>133.02000000000001</v>
      </c>
      <c r="AG21" s="158">
        <f t="shared" si="12"/>
        <v>9.83</v>
      </c>
      <c r="AH21" s="158">
        <f t="shared" si="12"/>
        <v>4358.09</v>
      </c>
      <c r="AI21" s="167">
        <f t="shared" si="13"/>
        <v>3.3888936335772189E-2</v>
      </c>
      <c r="AJ21" s="158">
        <f t="shared" si="14"/>
        <v>111.32</v>
      </c>
      <c r="AK21" s="158">
        <f t="shared" si="14"/>
        <v>103.89</v>
      </c>
      <c r="AL21" s="158">
        <f t="shared" si="14"/>
        <v>7.43</v>
      </c>
      <c r="AM21" s="158">
        <f t="shared" si="14"/>
        <v>4469.41</v>
      </c>
      <c r="AN21" s="167">
        <f t="shared" si="15"/>
        <v>2.554329993185081E-2</v>
      </c>
      <c r="AO21" s="158">
        <f t="shared" si="16"/>
        <v>85</v>
      </c>
      <c r="AP21" s="158">
        <f t="shared" si="16"/>
        <v>78.66</v>
      </c>
      <c r="AQ21" s="158">
        <f t="shared" si="16"/>
        <v>6.34</v>
      </c>
      <c r="AR21" s="158">
        <f t="shared" si="16"/>
        <v>4554.41</v>
      </c>
      <c r="AS21" s="167">
        <f t="shared" si="34"/>
        <v>1.9018170183536531E-2</v>
      </c>
      <c r="AT21" s="164">
        <f t="shared" si="35"/>
        <v>603.41000000000008</v>
      </c>
      <c r="AU21" s="165">
        <f t="shared" si="36"/>
        <v>2.8666996004970802E-2</v>
      </c>
    </row>
    <row r="22" spans="2:47" outlineLevel="1" x14ac:dyDescent="0.35">
      <c r="B22" s="48" t="s">
        <v>82</v>
      </c>
      <c r="C22" s="62" t="s">
        <v>135</v>
      </c>
      <c r="D22" s="158">
        <f t="shared" si="19"/>
        <v>1</v>
      </c>
      <c r="E22" s="158">
        <f t="shared" si="19"/>
        <v>19</v>
      </c>
      <c r="F22" s="158">
        <f t="shared" si="19"/>
        <v>1</v>
      </c>
      <c r="G22" s="156">
        <f t="shared" si="20"/>
        <v>20</v>
      </c>
      <c r="H22" s="160">
        <f t="shared" si="21"/>
        <v>5.2631578947368418E-2</v>
      </c>
      <c r="I22" s="158">
        <f t="shared" si="22"/>
        <v>1</v>
      </c>
      <c r="J22" s="156">
        <f t="shared" si="23"/>
        <v>21</v>
      </c>
      <c r="K22" s="160">
        <f t="shared" si="24"/>
        <v>0.05</v>
      </c>
      <c r="L22" s="158">
        <f t="shared" si="25"/>
        <v>0</v>
      </c>
      <c r="M22" s="156">
        <f t="shared" si="26"/>
        <v>21</v>
      </c>
      <c r="N22" s="160">
        <f t="shared" si="27"/>
        <v>0</v>
      </c>
      <c r="O22" s="158">
        <f t="shared" si="28"/>
        <v>-1</v>
      </c>
      <c r="P22" s="156">
        <f t="shared" si="29"/>
        <v>20</v>
      </c>
      <c r="Q22" s="160">
        <f t="shared" si="30"/>
        <v>-4.7619047619047616E-2</v>
      </c>
      <c r="R22" s="164">
        <f t="shared" si="31"/>
        <v>2</v>
      </c>
      <c r="S22" s="165">
        <f t="shared" si="32"/>
        <v>1.2905894979960086E-2</v>
      </c>
      <c r="U22" s="158">
        <f t="shared" si="7"/>
        <v>0</v>
      </c>
      <c r="V22" s="158">
        <f t="shared" si="7"/>
        <v>0</v>
      </c>
      <c r="W22" s="158">
        <f t="shared" si="7"/>
        <v>0</v>
      </c>
      <c r="X22" s="157">
        <f t="shared" si="8"/>
        <v>20</v>
      </c>
      <c r="Y22" s="167">
        <f t="shared" si="9"/>
        <v>0</v>
      </c>
      <c r="Z22" s="158">
        <f t="shared" si="10"/>
        <v>0</v>
      </c>
      <c r="AA22" s="158">
        <f t="shared" si="10"/>
        <v>0</v>
      </c>
      <c r="AB22" s="158">
        <f t="shared" si="10"/>
        <v>0</v>
      </c>
      <c r="AC22" s="158">
        <f t="shared" si="10"/>
        <v>20</v>
      </c>
      <c r="AD22" s="167">
        <f t="shared" si="33"/>
        <v>0</v>
      </c>
      <c r="AE22" s="158">
        <f t="shared" si="12"/>
        <v>0</v>
      </c>
      <c r="AF22" s="158">
        <f t="shared" si="12"/>
        <v>0</v>
      </c>
      <c r="AG22" s="158">
        <f t="shared" si="12"/>
        <v>0</v>
      </c>
      <c r="AH22" s="158">
        <f t="shared" si="12"/>
        <v>20</v>
      </c>
      <c r="AI22" s="167">
        <f t="shared" si="13"/>
        <v>0</v>
      </c>
      <c r="AJ22" s="158">
        <f t="shared" si="14"/>
        <v>0</v>
      </c>
      <c r="AK22" s="158">
        <f t="shared" si="14"/>
        <v>0</v>
      </c>
      <c r="AL22" s="158">
        <f t="shared" si="14"/>
        <v>0</v>
      </c>
      <c r="AM22" s="158">
        <f t="shared" si="14"/>
        <v>20</v>
      </c>
      <c r="AN22" s="167">
        <f t="shared" si="15"/>
        <v>0</v>
      </c>
      <c r="AO22" s="158">
        <f t="shared" si="16"/>
        <v>0</v>
      </c>
      <c r="AP22" s="158">
        <f t="shared" si="16"/>
        <v>0</v>
      </c>
      <c r="AQ22" s="158">
        <f t="shared" si="16"/>
        <v>0</v>
      </c>
      <c r="AR22" s="158">
        <f t="shared" si="16"/>
        <v>20</v>
      </c>
      <c r="AS22" s="167">
        <f t="shared" si="34"/>
        <v>0</v>
      </c>
      <c r="AT22" s="164">
        <f t="shared" si="35"/>
        <v>0</v>
      </c>
      <c r="AU22" s="165">
        <f t="shared" si="36"/>
        <v>0</v>
      </c>
    </row>
    <row r="23" spans="2:47" outlineLevel="1" x14ac:dyDescent="0.35">
      <c r="B23" s="48" t="s">
        <v>83</v>
      </c>
      <c r="C23" s="62" t="s">
        <v>135</v>
      </c>
      <c r="D23" s="158">
        <f t="shared" si="19"/>
        <v>70</v>
      </c>
      <c r="E23" s="158">
        <f t="shared" si="19"/>
        <v>1072</v>
      </c>
      <c r="F23" s="158">
        <f t="shared" si="19"/>
        <v>62</v>
      </c>
      <c r="G23" s="156">
        <f t="shared" si="20"/>
        <v>1134</v>
      </c>
      <c r="H23" s="160">
        <f t="shared" si="21"/>
        <v>5.7835820895522388E-2</v>
      </c>
      <c r="I23" s="158">
        <f t="shared" si="22"/>
        <v>48</v>
      </c>
      <c r="J23" s="156">
        <f t="shared" si="23"/>
        <v>1182</v>
      </c>
      <c r="K23" s="160">
        <f t="shared" si="24"/>
        <v>4.2328042328042326E-2</v>
      </c>
      <c r="L23" s="158">
        <f t="shared" si="25"/>
        <v>35</v>
      </c>
      <c r="M23" s="156">
        <f t="shared" si="26"/>
        <v>1217</v>
      </c>
      <c r="N23" s="160">
        <f t="shared" si="27"/>
        <v>2.961082910321489E-2</v>
      </c>
      <c r="O23" s="158">
        <f t="shared" si="28"/>
        <v>16</v>
      </c>
      <c r="P23" s="156">
        <f t="shared" si="29"/>
        <v>1233</v>
      </c>
      <c r="Q23" s="160">
        <f t="shared" si="30"/>
        <v>1.314708299096138E-2</v>
      </c>
      <c r="R23" s="164">
        <f t="shared" si="31"/>
        <v>231</v>
      </c>
      <c r="S23" s="165">
        <f t="shared" si="32"/>
        <v>3.5600074033134588E-2</v>
      </c>
      <c r="U23" s="158">
        <f t="shared" si="7"/>
        <v>16.920000000000002</v>
      </c>
      <c r="V23" s="158">
        <f t="shared" si="7"/>
        <v>16.920000000000002</v>
      </c>
      <c r="W23" s="158">
        <f t="shared" si="7"/>
        <v>0</v>
      </c>
      <c r="X23" s="157">
        <f t="shared" si="8"/>
        <v>1249.92</v>
      </c>
      <c r="Y23" s="167">
        <f t="shared" si="9"/>
        <v>1.3722627737226337E-2</v>
      </c>
      <c r="Z23" s="158">
        <f t="shared" si="10"/>
        <v>35.159999999999997</v>
      </c>
      <c r="AA23" s="158">
        <f t="shared" si="10"/>
        <v>19.2</v>
      </c>
      <c r="AB23" s="158">
        <f t="shared" si="10"/>
        <v>15.96</v>
      </c>
      <c r="AC23" s="158">
        <f t="shared" si="10"/>
        <v>1285.0800000000002</v>
      </c>
      <c r="AD23" s="167">
        <f t="shared" si="33"/>
        <v>2.8129800307219725E-2</v>
      </c>
      <c r="AE23" s="158">
        <f t="shared" si="12"/>
        <v>41.120000000000005</v>
      </c>
      <c r="AF23" s="158">
        <f t="shared" si="12"/>
        <v>18.48</v>
      </c>
      <c r="AG23" s="158">
        <f t="shared" si="12"/>
        <v>22.64</v>
      </c>
      <c r="AH23" s="158">
        <f t="shared" si="12"/>
        <v>1326.2000000000003</v>
      </c>
      <c r="AI23" s="167">
        <f t="shared" si="13"/>
        <v>3.1998007906122665E-2</v>
      </c>
      <c r="AJ23" s="158">
        <f t="shared" si="14"/>
        <v>42.16</v>
      </c>
      <c r="AK23" s="158">
        <f t="shared" si="14"/>
        <v>14.14</v>
      </c>
      <c r="AL23" s="158">
        <f t="shared" si="14"/>
        <v>28.02</v>
      </c>
      <c r="AM23" s="158">
        <f t="shared" si="14"/>
        <v>1368.3600000000004</v>
      </c>
      <c r="AN23" s="167">
        <f t="shared" si="15"/>
        <v>3.1790076911476457E-2</v>
      </c>
      <c r="AO23" s="158">
        <f t="shared" si="16"/>
        <v>38.519999999999996</v>
      </c>
      <c r="AP23" s="158">
        <f t="shared" si="16"/>
        <v>10.119999999999999</v>
      </c>
      <c r="AQ23" s="158">
        <f t="shared" si="16"/>
        <v>28.4</v>
      </c>
      <c r="AR23" s="158">
        <f t="shared" si="16"/>
        <v>1406.8800000000003</v>
      </c>
      <c r="AS23" s="167">
        <f t="shared" si="34"/>
        <v>2.8150486714022604E-2</v>
      </c>
      <c r="AT23" s="164">
        <f t="shared" si="35"/>
        <v>173.88</v>
      </c>
      <c r="AU23" s="165">
        <f t="shared" si="36"/>
        <v>3.0015380182014662E-2</v>
      </c>
    </row>
    <row r="24" spans="2:47" outlineLevel="1" x14ac:dyDescent="0.35">
      <c r="B24" s="48" t="s">
        <v>84</v>
      </c>
      <c r="C24" s="62" t="s">
        <v>135</v>
      </c>
      <c r="D24" s="158">
        <f t="shared" si="19"/>
        <v>63</v>
      </c>
      <c r="E24" s="158">
        <f t="shared" si="19"/>
        <v>737</v>
      </c>
      <c r="F24" s="158">
        <f t="shared" si="19"/>
        <v>85</v>
      </c>
      <c r="G24" s="156">
        <f t="shared" si="20"/>
        <v>822</v>
      </c>
      <c r="H24" s="160">
        <f t="shared" si="21"/>
        <v>0.11533242876526459</v>
      </c>
      <c r="I24" s="158">
        <f t="shared" si="22"/>
        <v>70</v>
      </c>
      <c r="J24" s="156">
        <f t="shared" si="23"/>
        <v>892</v>
      </c>
      <c r="K24" s="160">
        <f t="shared" si="24"/>
        <v>8.5158150851581502E-2</v>
      </c>
      <c r="L24" s="158">
        <f t="shared" si="25"/>
        <v>28</v>
      </c>
      <c r="M24" s="156">
        <f t="shared" si="26"/>
        <v>920</v>
      </c>
      <c r="N24" s="160">
        <f t="shared" si="27"/>
        <v>3.1390134529147982E-2</v>
      </c>
      <c r="O24" s="158">
        <f t="shared" si="28"/>
        <v>39</v>
      </c>
      <c r="P24" s="156">
        <f t="shared" si="29"/>
        <v>959</v>
      </c>
      <c r="Q24" s="160">
        <f t="shared" si="30"/>
        <v>4.2391304347826085E-2</v>
      </c>
      <c r="R24" s="164">
        <f t="shared" si="31"/>
        <v>285</v>
      </c>
      <c r="S24" s="165">
        <f t="shared" si="32"/>
        <v>6.8040643658082933E-2</v>
      </c>
      <c r="U24" s="158">
        <f t="shared" si="7"/>
        <v>32.950000000000003</v>
      </c>
      <c r="V24" s="158">
        <f t="shared" si="7"/>
        <v>32.72</v>
      </c>
      <c r="W24" s="158">
        <f t="shared" si="7"/>
        <v>0.23</v>
      </c>
      <c r="X24" s="157">
        <f t="shared" si="8"/>
        <v>991.95</v>
      </c>
      <c r="Y24" s="167">
        <f t="shared" si="9"/>
        <v>3.4358706986444262E-2</v>
      </c>
      <c r="Z24" s="158">
        <f t="shared" si="10"/>
        <v>54.160000000000004</v>
      </c>
      <c r="AA24" s="158">
        <f t="shared" si="10"/>
        <v>36.74</v>
      </c>
      <c r="AB24" s="158">
        <f t="shared" si="10"/>
        <v>17.420000000000002</v>
      </c>
      <c r="AC24" s="158">
        <f t="shared" si="10"/>
        <v>1046.1100000000001</v>
      </c>
      <c r="AD24" s="167">
        <f t="shared" si="33"/>
        <v>5.4599526185795735E-2</v>
      </c>
      <c r="AE24" s="158">
        <f t="shared" si="12"/>
        <v>80.81</v>
      </c>
      <c r="AF24" s="158">
        <f t="shared" si="12"/>
        <v>34.19</v>
      </c>
      <c r="AG24" s="158">
        <f t="shared" si="12"/>
        <v>46.62</v>
      </c>
      <c r="AH24" s="158">
        <f t="shared" si="12"/>
        <v>1126.92</v>
      </c>
      <c r="AI24" s="167">
        <f t="shared" si="13"/>
        <v>7.724809054497131E-2</v>
      </c>
      <c r="AJ24" s="158">
        <f t="shared" si="14"/>
        <v>89.71</v>
      </c>
      <c r="AK24" s="158">
        <f t="shared" si="14"/>
        <v>26.88</v>
      </c>
      <c r="AL24" s="158">
        <f t="shared" si="14"/>
        <v>62.83</v>
      </c>
      <c r="AM24" s="158">
        <f t="shared" si="14"/>
        <v>1216.6300000000001</v>
      </c>
      <c r="AN24" s="167">
        <f t="shared" si="15"/>
        <v>7.9606360699960979E-2</v>
      </c>
      <c r="AO24" s="158">
        <f t="shared" si="16"/>
        <v>75.95</v>
      </c>
      <c r="AP24" s="158">
        <f t="shared" si="16"/>
        <v>20.49</v>
      </c>
      <c r="AQ24" s="158">
        <f t="shared" si="16"/>
        <v>55.46</v>
      </c>
      <c r="AR24" s="158">
        <f t="shared" si="16"/>
        <v>1292.5800000000002</v>
      </c>
      <c r="AS24" s="167">
        <f t="shared" si="34"/>
        <v>6.2426538881993739E-2</v>
      </c>
      <c r="AT24" s="164">
        <f t="shared" si="35"/>
        <v>333.58</v>
      </c>
      <c r="AU24" s="165">
        <f t="shared" si="36"/>
        <v>6.8419762434982045E-2</v>
      </c>
    </row>
    <row r="25" spans="2:47" outlineLevel="1" x14ac:dyDescent="0.35">
      <c r="B25" s="48" t="s">
        <v>85</v>
      </c>
      <c r="C25" s="62" t="s">
        <v>135</v>
      </c>
      <c r="D25" s="158">
        <f t="shared" si="19"/>
        <v>283</v>
      </c>
      <c r="E25" s="158">
        <f t="shared" si="19"/>
        <v>1105</v>
      </c>
      <c r="F25" s="158">
        <f t="shared" si="19"/>
        <v>337</v>
      </c>
      <c r="G25" s="156">
        <f t="shared" si="20"/>
        <v>1442</v>
      </c>
      <c r="H25" s="160">
        <f t="shared" si="21"/>
        <v>0.30497737556561089</v>
      </c>
      <c r="I25" s="158">
        <f t="shared" si="22"/>
        <v>208</v>
      </c>
      <c r="J25" s="156">
        <f t="shared" si="23"/>
        <v>1650</v>
      </c>
      <c r="K25" s="160">
        <f t="shared" si="24"/>
        <v>0.14424410540915394</v>
      </c>
      <c r="L25" s="158">
        <f t="shared" si="25"/>
        <v>63</v>
      </c>
      <c r="M25" s="156">
        <f t="shared" si="26"/>
        <v>1713</v>
      </c>
      <c r="N25" s="160">
        <f t="shared" si="27"/>
        <v>3.8181818181818185E-2</v>
      </c>
      <c r="O25" s="158">
        <f t="shared" si="28"/>
        <v>46</v>
      </c>
      <c r="P25" s="156">
        <f t="shared" si="29"/>
        <v>1759</v>
      </c>
      <c r="Q25" s="160">
        <f t="shared" si="30"/>
        <v>2.6853473438412143E-2</v>
      </c>
      <c r="R25" s="164">
        <f t="shared" si="31"/>
        <v>937</v>
      </c>
      <c r="S25" s="165">
        <f t="shared" si="32"/>
        <v>0.12324861135866461</v>
      </c>
      <c r="U25" s="158">
        <f t="shared" si="7"/>
        <v>55.3</v>
      </c>
      <c r="V25" s="158">
        <f t="shared" si="7"/>
        <v>53.9</v>
      </c>
      <c r="W25" s="158">
        <f t="shared" si="7"/>
        <v>1.4</v>
      </c>
      <c r="X25" s="157">
        <f t="shared" si="8"/>
        <v>1814.3</v>
      </c>
      <c r="Y25" s="167">
        <f t="shared" si="9"/>
        <v>3.1438317225696392E-2</v>
      </c>
      <c r="Z25" s="158">
        <f t="shared" si="10"/>
        <v>80.12</v>
      </c>
      <c r="AA25" s="158">
        <f t="shared" si="10"/>
        <v>68.010000000000005</v>
      </c>
      <c r="AB25" s="158">
        <f t="shared" si="10"/>
        <v>12.11</v>
      </c>
      <c r="AC25" s="158">
        <f t="shared" si="10"/>
        <v>1894.42</v>
      </c>
      <c r="AD25" s="167">
        <f t="shared" si="33"/>
        <v>4.4160282202502406E-2</v>
      </c>
      <c r="AE25" s="158">
        <f t="shared" si="12"/>
        <v>78.47999999999999</v>
      </c>
      <c r="AF25" s="158">
        <f t="shared" si="12"/>
        <v>65.069999999999993</v>
      </c>
      <c r="AG25" s="158">
        <f t="shared" si="12"/>
        <v>13.41</v>
      </c>
      <c r="AH25" s="158">
        <f t="shared" si="12"/>
        <v>1972.9</v>
      </c>
      <c r="AI25" s="167">
        <f t="shared" si="13"/>
        <v>4.1426927502876881E-2</v>
      </c>
      <c r="AJ25" s="158">
        <f t="shared" si="14"/>
        <v>60.97</v>
      </c>
      <c r="AK25" s="158">
        <f t="shared" si="14"/>
        <v>50.9</v>
      </c>
      <c r="AL25" s="158">
        <f t="shared" si="14"/>
        <v>10.07</v>
      </c>
      <c r="AM25" s="158">
        <f t="shared" si="14"/>
        <v>2033.8700000000001</v>
      </c>
      <c r="AN25" s="167">
        <f t="shared" si="15"/>
        <v>3.0903745754979992E-2</v>
      </c>
      <c r="AO25" s="158">
        <f t="shared" si="16"/>
        <v>47.77</v>
      </c>
      <c r="AP25" s="158">
        <f t="shared" si="16"/>
        <v>38.31</v>
      </c>
      <c r="AQ25" s="158">
        <f t="shared" si="16"/>
        <v>9.4600000000000009</v>
      </c>
      <c r="AR25" s="158">
        <f t="shared" si="16"/>
        <v>2081.6400000000003</v>
      </c>
      <c r="AS25" s="167">
        <f t="shared" si="34"/>
        <v>2.3487243530805904E-2</v>
      </c>
      <c r="AT25" s="164">
        <f t="shared" si="35"/>
        <v>322.64</v>
      </c>
      <c r="AU25" s="165">
        <f t="shared" si="36"/>
        <v>3.4961348469709996E-2</v>
      </c>
    </row>
    <row r="26" spans="2:47" outlineLevel="1" x14ac:dyDescent="0.35">
      <c r="B26" s="48" t="s">
        <v>86</v>
      </c>
      <c r="C26" s="62" t="s">
        <v>135</v>
      </c>
      <c r="D26" s="158">
        <f t="shared" si="19"/>
        <v>88</v>
      </c>
      <c r="E26" s="158">
        <f t="shared" si="19"/>
        <v>797</v>
      </c>
      <c r="F26" s="158">
        <f t="shared" si="19"/>
        <v>119</v>
      </c>
      <c r="G26" s="156">
        <f t="shared" si="20"/>
        <v>916</v>
      </c>
      <c r="H26" s="160">
        <f t="shared" si="21"/>
        <v>0.14930991217063991</v>
      </c>
      <c r="I26" s="158">
        <f t="shared" si="22"/>
        <v>220</v>
      </c>
      <c r="J26" s="156">
        <f t="shared" si="23"/>
        <v>1136</v>
      </c>
      <c r="K26" s="160">
        <f t="shared" si="24"/>
        <v>0.24017467248908297</v>
      </c>
      <c r="L26" s="158">
        <f t="shared" si="25"/>
        <v>109</v>
      </c>
      <c r="M26" s="156">
        <f t="shared" si="26"/>
        <v>1245</v>
      </c>
      <c r="N26" s="160">
        <f t="shared" si="27"/>
        <v>9.595070422535211E-2</v>
      </c>
      <c r="O26" s="158">
        <f t="shared" si="28"/>
        <v>66</v>
      </c>
      <c r="P26" s="156">
        <f t="shared" si="29"/>
        <v>1311</v>
      </c>
      <c r="Q26" s="160">
        <f t="shared" si="30"/>
        <v>5.3012048192771083E-2</v>
      </c>
      <c r="R26" s="164">
        <f t="shared" si="31"/>
        <v>602</v>
      </c>
      <c r="S26" s="165">
        <f t="shared" si="32"/>
        <v>0.13249447666184055</v>
      </c>
      <c r="U26" s="158">
        <f t="shared" si="7"/>
        <v>63.5</v>
      </c>
      <c r="V26" s="158">
        <f t="shared" si="7"/>
        <v>56.94</v>
      </c>
      <c r="W26" s="158">
        <f t="shared" si="7"/>
        <v>6.56</v>
      </c>
      <c r="X26" s="157">
        <f t="shared" si="8"/>
        <v>1374.5</v>
      </c>
      <c r="Y26" s="167">
        <f t="shared" si="9"/>
        <v>4.8436308161708616E-2</v>
      </c>
      <c r="Z26" s="158">
        <f t="shared" si="10"/>
        <v>150.9</v>
      </c>
      <c r="AA26" s="158">
        <f t="shared" si="10"/>
        <v>71</v>
      </c>
      <c r="AB26" s="158">
        <f t="shared" si="10"/>
        <v>79.900000000000006</v>
      </c>
      <c r="AC26" s="158">
        <f t="shared" si="10"/>
        <v>1525.4</v>
      </c>
      <c r="AD26" s="167">
        <f t="shared" si="33"/>
        <v>0.10978537650054572</v>
      </c>
      <c r="AE26" s="158">
        <f t="shared" si="12"/>
        <v>218.86</v>
      </c>
      <c r="AF26" s="158">
        <f t="shared" si="12"/>
        <v>67.77</v>
      </c>
      <c r="AG26" s="158">
        <f t="shared" si="12"/>
        <v>151.09</v>
      </c>
      <c r="AH26" s="158">
        <f t="shared" si="12"/>
        <v>1744.2600000000002</v>
      </c>
      <c r="AI26" s="167">
        <f t="shared" si="13"/>
        <v>0.14347712075521182</v>
      </c>
      <c r="AJ26" s="158">
        <f t="shared" si="14"/>
        <v>206.53</v>
      </c>
      <c r="AK26" s="158">
        <f t="shared" si="14"/>
        <v>52.81</v>
      </c>
      <c r="AL26" s="158">
        <f t="shared" si="14"/>
        <v>153.72</v>
      </c>
      <c r="AM26" s="158">
        <f t="shared" si="14"/>
        <v>1950.7900000000002</v>
      </c>
      <c r="AN26" s="167">
        <f t="shared" si="15"/>
        <v>0.11840551293958466</v>
      </c>
      <c r="AO26" s="158">
        <f t="shared" si="16"/>
        <v>165.81</v>
      </c>
      <c r="AP26" s="158">
        <f t="shared" si="16"/>
        <v>39.79</v>
      </c>
      <c r="AQ26" s="158">
        <f t="shared" si="16"/>
        <v>126.02</v>
      </c>
      <c r="AR26" s="158">
        <f t="shared" si="16"/>
        <v>2116.6000000000004</v>
      </c>
      <c r="AS26" s="167">
        <f t="shared" si="34"/>
        <v>8.4996334818201943E-2</v>
      </c>
      <c r="AT26" s="164">
        <f t="shared" si="35"/>
        <v>805.59999999999991</v>
      </c>
      <c r="AU26" s="165">
        <f t="shared" si="36"/>
        <v>0.11397004300275615</v>
      </c>
    </row>
    <row r="27" spans="2:47" outlineLevel="1" x14ac:dyDescent="0.35">
      <c r="B27" s="48" t="s">
        <v>87</v>
      </c>
      <c r="C27" s="62" t="s">
        <v>135</v>
      </c>
      <c r="D27" s="158">
        <f t="shared" si="19"/>
        <v>170</v>
      </c>
      <c r="E27" s="158">
        <f t="shared" si="19"/>
        <v>1582</v>
      </c>
      <c r="F27" s="158">
        <f t="shared" si="19"/>
        <v>170</v>
      </c>
      <c r="G27" s="156">
        <f t="shared" si="20"/>
        <v>1752</v>
      </c>
      <c r="H27" s="160">
        <f t="shared" si="21"/>
        <v>0.10745891276864729</v>
      </c>
      <c r="I27" s="158">
        <f t="shared" si="22"/>
        <v>99</v>
      </c>
      <c r="J27" s="156">
        <f t="shared" si="23"/>
        <v>1851</v>
      </c>
      <c r="K27" s="160">
        <f t="shared" si="24"/>
        <v>5.650684931506849E-2</v>
      </c>
      <c r="L27" s="158">
        <f t="shared" si="25"/>
        <v>61</v>
      </c>
      <c r="M27" s="156">
        <f t="shared" si="26"/>
        <v>1912</v>
      </c>
      <c r="N27" s="160">
        <f t="shared" si="27"/>
        <v>3.2955159373311727E-2</v>
      </c>
      <c r="O27" s="158">
        <f t="shared" si="28"/>
        <v>36</v>
      </c>
      <c r="P27" s="156">
        <f t="shared" si="29"/>
        <v>1948</v>
      </c>
      <c r="Q27" s="160">
        <f t="shared" si="30"/>
        <v>1.8828451882845189E-2</v>
      </c>
      <c r="R27" s="164">
        <f t="shared" si="31"/>
        <v>536</v>
      </c>
      <c r="S27" s="165">
        <f t="shared" si="32"/>
        <v>5.3405589251540153E-2</v>
      </c>
      <c r="U27" s="158">
        <f t="shared" si="7"/>
        <v>58.44</v>
      </c>
      <c r="V27" s="158">
        <f t="shared" si="7"/>
        <v>55.58</v>
      </c>
      <c r="W27" s="158">
        <f t="shared" si="7"/>
        <v>2.86</v>
      </c>
      <c r="X27" s="157">
        <f t="shared" si="8"/>
        <v>2006.44</v>
      </c>
      <c r="Y27" s="167">
        <f t="shared" si="9"/>
        <v>3.0000000000000027E-2</v>
      </c>
      <c r="Z27" s="158">
        <f t="shared" si="10"/>
        <v>113.57</v>
      </c>
      <c r="AA27" s="158">
        <f t="shared" si="10"/>
        <v>67.94</v>
      </c>
      <c r="AB27" s="158">
        <f t="shared" si="10"/>
        <v>45.63</v>
      </c>
      <c r="AC27" s="158">
        <f t="shared" si="10"/>
        <v>2120.0100000000002</v>
      </c>
      <c r="AD27" s="167">
        <f t="shared" si="33"/>
        <v>5.6602739179840995E-2</v>
      </c>
      <c r="AE27" s="158">
        <f t="shared" si="12"/>
        <v>117.72</v>
      </c>
      <c r="AF27" s="158">
        <f t="shared" si="12"/>
        <v>64.22</v>
      </c>
      <c r="AG27" s="158">
        <f t="shared" si="12"/>
        <v>53.5</v>
      </c>
      <c r="AH27" s="158">
        <f t="shared" si="12"/>
        <v>2237.73</v>
      </c>
      <c r="AI27" s="167">
        <f t="shared" si="13"/>
        <v>5.5528039962075552E-2</v>
      </c>
      <c r="AJ27" s="158">
        <f t="shared" si="14"/>
        <v>84.91</v>
      </c>
      <c r="AK27" s="158">
        <f t="shared" si="14"/>
        <v>50.69</v>
      </c>
      <c r="AL27" s="158">
        <f t="shared" si="14"/>
        <v>34.22</v>
      </c>
      <c r="AM27" s="158">
        <f t="shared" si="14"/>
        <v>2322.64</v>
      </c>
      <c r="AN27" s="167">
        <f t="shared" si="15"/>
        <v>3.7944702890875953E-2</v>
      </c>
      <c r="AO27" s="158">
        <f t="shared" si="16"/>
        <v>90.61</v>
      </c>
      <c r="AP27" s="158">
        <f t="shared" si="16"/>
        <v>37.67</v>
      </c>
      <c r="AQ27" s="158">
        <f t="shared" si="16"/>
        <v>52.94</v>
      </c>
      <c r="AR27" s="158">
        <f t="shared" si="16"/>
        <v>2413.25</v>
      </c>
      <c r="AS27" s="167">
        <f t="shared" si="34"/>
        <v>3.9011641924706422E-2</v>
      </c>
      <c r="AT27" s="164">
        <f t="shared" si="35"/>
        <v>465.25</v>
      </c>
      <c r="AU27" s="165">
        <f t="shared" si="36"/>
        <v>4.7234724897943448E-2</v>
      </c>
    </row>
    <row r="28" spans="2:47" outlineLevel="1" x14ac:dyDescent="0.35">
      <c r="B28" s="48" t="s">
        <v>88</v>
      </c>
      <c r="C28" s="62" t="s">
        <v>135</v>
      </c>
      <c r="D28" s="158">
        <f t="shared" si="19"/>
        <v>170</v>
      </c>
      <c r="E28" s="158">
        <f t="shared" si="19"/>
        <v>1709</v>
      </c>
      <c r="F28" s="158">
        <f t="shared" si="19"/>
        <v>207</v>
      </c>
      <c r="G28" s="156">
        <f t="shared" si="20"/>
        <v>1916</v>
      </c>
      <c r="H28" s="160">
        <f t="shared" si="21"/>
        <v>0.12112346401404329</v>
      </c>
      <c r="I28" s="158">
        <f t="shared" si="22"/>
        <v>224</v>
      </c>
      <c r="J28" s="156">
        <f t="shared" si="23"/>
        <v>2140</v>
      </c>
      <c r="K28" s="160">
        <f t="shared" si="24"/>
        <v>0.11691022964509394</v>
      </c>
      <c r="L28" s="158">
        <f t="shared" si="25"/>
        <v>91</v>
      </c>
      <c r="M28" s="156">
        <f t="shared" si="26"/>
        <v>2231</v>
      </c>
      <c r="N28" s="160">
        <f t="shared" si="27"/>
        <v>4.2523364485981312E-2</v>
      </c>
      <c r="O28" s="158">
        <f t="shared" si="28"/>
        <v>132</v>
      </c>
      <c r="P28" s="156">
        <f t="shared" si="29"/>
        <v>2363</v>
      </c>
      <c r="Q28" s="160">
        <f t="shared" si="30"/>
        <v>5.9166293142088752E-2</v>
      </c>
      <c r="R28" s="164">
        <f t="shared" si="31"/>
        <v>824</v>
      </c>
      <c r="S28" s="165">
        <f t="shared" si="32"/>
        <v>8.4377292766691259E-2</v>
      </c>
      <c r="U28" s="158">
        <f t="shared" si="7"/>
        <v>107.76</v>
      </c>
      <c r="V28" s="158">
        <f t="shared" si="7"/>
        <v>100.4</v>
      </c>
      <c r="W28" s="158">
        <f t="shared" si="7"/>
        <v>7.36</v>
      </c>
      <c r="X28" s="157">
        <f t="shared" si="8"/>
        <v>2470.7600000000002</v>
      </c>
      <c r="Y28" s="167">
        <f t="shared" si="9"/>
        <v>4.5603046974185449E-2</v>
      </c>
      <c r="Z28" s="158">
        <f t="shared" si="10"/>
        <v>172.46</v>
      </c>
      <c r="AA28" s="158">
        <f t="shared" si="10"/>
        <v>123.33</v>
      </c>
      <c r="AB28" s="158">
        <f t="shared" si="10"/>
        <v>49.13</v>
      </c>
      <c r="AC28" s="158">
        <f t="shared" si="10"/>
        <v>2643.2200000000003</v>
      </c>
      <c r="AD28" s="167">
        <f t="shared" si="33"/>
        <v>6.9800385306545365E-2</v>
      </c>
      <c r="AE28" s="158">
        <f t="shared" si="12"/>
        <v>208.5</v>
      </c>
      <c r="AF28" s="158">
        <f t="shared" si="12"/>
        <v>116.28</v>
      </c>
      <c r="AG28" s="158">
        <f t="shared" si="12"/>
        <v>92.22</v>
      </c>
      <c r="AH28" s="158">
        <f t="shared" si="12"/>
        <v>2851.7200000000003</v>
      </c>
      <c r="AI28" s="167">
        <f t="shared" si="13"/>
        <v>7.8881061735307692E-2</v>
      </c>
      <c r="AJ28" s="158">
        <f t="shared" si="14"/>
        <v>171.15</v>
      </c>
      <c r="AK28" s="158">
        <f t="shared" si="14"/>
        <v>91.14</v>
      </c>
      <c r="AL28" s="158">
        <f t="shared" si="14"/>
        <v>80.010000000000005</v>
      </c>
      <c r="AM28" s="158">
        <f t="shared" si="14"/>
        <v>3022.8700000000003</v>
      </c>
      <c r="AN28" s="167">
        <f t="shared" si="15"/>
        <v>6.0016411148359615E-2</v>
      </c>
      <c r="AO28" s="158">
        <f t="shared" si="16"/>
        <v>159.16</v>
      </c>
      <c r="AP28" s="158">
        <f t="shared" si="16"/>
        <v>68.75</v>
      </c>
      <c r="AQ28" s="158">
        <f t="shared" si="16"/>
        <v>90.41</v>
      </c>
      <c r="AR28" s="158">
        <f t="shared" si="16"/>
        <v>3182.03</v>
      </c>
      <c r="AS28" s="167">
        <f t="shared" si="34"/>
        <v>5.2651949968076643E-2</v>
      </c>
      <c r="AT28" s="164">
        <f t="shared" si="35"/>
        <v>819.03</v>
      </c>
      <c r="AU28" s="165">
        <f t="shared" si="36"/>
        <v>6.5291414713653628E-2</v>
      </c>
    </row>
    <row r="29" spans="2:47" outlineLevel="1" x14ac:dyDescent="0.35">
      <c r="B29" s="48" t="s">
        <v>89</v>
      </c>
      <c r="C29" s="62" t="s">
        <v>135</v>
      </c>
      <c r="D29" s="158">
        <f t="shared" si="19"/>
        <v>93</v>
      </c>
      <c r="E29" s="158">
        <f t="shared" si="19"/>
        <v>1342</v>
      </c>
      <c r="F29" s="158">
        <f t="shared" si="19"/>
        <v>116</v>
      </c>
      <c r="G29" s="156">
        <f t="shared" si="20"/>
        <v>1458</v>
      </c>
      <c r="H29" s="160">
        <f t="shared" si="21"/>
        <v>8.6438152011922509E-2</v>
      </c>
      <c r="I29" s="158">
        <f t="shared" si="22"/>
        <v>114</v>
      </c>
      <c r="J29" s="156">
        <f t="shared" si="23"/>
        <v>1572</v>
      </c>
      <c r="K29" s="160">
        <f t="shared" si="24"/>
        <v>7.8189300411522639E-2</v>
      </c>
      <c r="L29" s="158">
        <f t="shared" si="25"/>
        <v>47</v>
      </c>
      <c r="M29" s="156">
        <f t="shared" si="26"/>
        <v>1619</v>
      </c>
      <c r="N29" s="160">
        <f t="shared" si="27"/>
        <v>2.989821882951654E-2</v>
      </c>
      <c r="O29" s="158">
        <f t="shared" si="28"/>
        <v>60</v>
      </c>
      <c r="P29" s="156">
        <f t="shared" si="29"/>
        <v>1679</v>
      </c>
      <c r="Q29" s="160">
        <f t="shared" si="30"/>
        <v>3.7059913526868438E-2</v>
      </c>
      <c r="R29" s="164">
        <f t="shared" si="31"/>
        <v>430</v>
      </c>
      <c r="S29" s="165">
        <f t="shared" si="32"/>
        <v>5.7607556337008425E-2</v>
      </c>
      <c r="U29" s="158">
        <f t="shared" si="7"/>
        <v>42.7</v>
      </c>
      <c r="V29" s="158">
        <f t="shared" si="7"/>
        <v>34.380000000000003</v>
      </c>
      <c r="W29" s="158">
        <f t="shared" si="7"/>
        <v>8.32</v>
      </c>
      <c r="X29" s="157">
        <f t="shared" si="8"/>
        <v>1721.7</v>
      </c>
      <c r="Y29" s="167">
        <f t="shared" si="9"/>
        <v>2.5431804645622422E-2</v>
      </c>
      <c r="Z29" s="158">
        <f t="shared" si="10"/>
        <v>59.14</v>
      </c>
      <c r="AA29" s="158">
        <f t="shared" si="10"/>
        <v>42.76</v>
      </c>
      <c r="AB29" s="158">
        <f t="shared" si="10"/>
        <v>16.380000000000003</v>
      </c>
      <c r="AC29" s="158">
        <f t="shared" si="10"/>
        <v>1780.8400000000001</v>
      </c>
      <c r="AD29" s="167">
        <f t="shared" si="33"/>
        <v>3.4349770575593949E-2</v>
      </c>
      <c r="AE29" s="158">
        <f t="shared" si="12"/>
        <v>71.5</v>
      </c>
      <c r="AF29" s="158">
        <f t="shared" si="12"/>
        <v>41.05</v>
      </c>
      <c r="AG29" s="158">
        <f t="shared" si="12"/>
        <v>30.45</v>
      </c>
      <c r="AH29" s="158">
        <f t="shared" si="12"/>
        <v>1852.3400000000001</v>
      </c>
      <c r="AI29" s="167">
        <f t="shared" si="13"/>
        <v>4.014959232721637E-2</v>
      </c>
      <c r="AJ29" s="158">
        <f t="shared" si="14"/>
        <v>79.03</v>
      </c>
      <c r="AK29" s="158">
        <f t="shared" si="14"/>
        <v>31.65</v>
      </c>
      <c r="AL29" s="158">
        <f t="shared" si="14"/>
        <v>47.38</v>
      </c>
      <c r="AM29" s="158">
        <f t="shared" si="14"/>
        <v>1931.3700000000001</v>
      </c>
      <c r="AN29" s="167">
        <f t="shared" si="15"/>
        <v>4.2664953518252571E-2</v>
      </c>
      <c r="AO29" s="158">
        <f t="shared" si="16"/>
        <v>72.13</v>
      </c>
      <c r="AP29" s="158">
        <f t="shared" si="16"/>
        <v>24.05</v>
      </c>
      <c r="AQ29" s="158">
        <f t="shared" si="16"/>
        <v>48.08</v>
      </c>
      <c r="AR29" s="158">
        <f t="shared" si="16"/>
        <v>2003.5</v>
      </c>
      <c r="AS29" s="167">
        <f t="shared" si="34"/>
        <v>3.7346546751787529E-2</v>
      </c>
      <c r="AT29" s="164">
        <f t="shared" si="35"/>
        <v>324.5</v>
      </c>
      <c r="AU29" s="165">
        <f t="shared" si="36"/>
        <v>3.8623074464190221E-2</v>
      </c>
    </row>
    <row r="30" spans="2:47" outlineLevel="1" x14ac:dyDescent="0.35">
      <c r="B30" s="48" t="s">
        <v>90</v>
      </c>
      <c r="C30" s="62" t="s">
        <v>135</v>
      </c>
      <c r="D30" s="158">
        <f t="shared" si="19"/>
        <v>-2</v>
      </c>
      <c r="E30" s="158">
        <f t="shared" si="19"/>
        <v>23</v>
      </c>
      <c r="F30" s="158">
        <f t="shared" si="19"/>
        <v>1</v>
      </c>
      <c r="G30" s="156">
        <f t="shared" si="20"/>
        <v>24</v>
      </c>
      <c r="H30" s="160">
        <f t="shared" si="21"/>
        <v>4.3478260869565216E-2</v>
      </c>
      <c r="I30" s="158">
        <f t="shared" si="22"/>
        <v>0</v>
      </c>
      <c r="J30" s="156">
        <f t="shared" si="23"/>
        <v>24</v>
      </c>
      <c r="K30" s="160">
        <f t="shared" si="24"/>
        <v>0</v>
      </c>
      <c r="L30" s="158">
        <f t="shared" si="25"/>
        <v>2</v>
      </c>
      <c r="M30" s="156">
        <f t="shared" si="26"/>
        <v>26</v>
      </c>
      <c r="N30" s="160">
        <f t="shared" si="27"/>
        <v>8.3333333333333329E-2</v>
      </c>
      <c r="O30" s="158">
        <f t="shared" si="28"/>
        <v>0</v>
      </c>
      <c r="P30" s="156">
        <f t="shared" si="29"/>
        <v>26</v>
      </c>
      <c r="Q30" s="160">
        <f t="shared" si="30"/>
        <v>0</v>
      </c>
      <c r="R30" s="164">
        <f t="shared" si="31"/>
        <v>1</v>
      </c>
      <c r="S30" s="165">
        <f t="shared" si="32"/>
        <v>3.1125145723054137E-2</v>
      </c>
      <c r="U30" s="158">
        <f t="shared" si="7"/>
        <v>1.1499999999999999</v>
      </c>
      <c r="V30" s="158">
        <f t="shared" si="7"/>
        <v>1.1499999999999999</v>
      </c>
      <c r="W30" s="158">
        <f t="shared" si="7"/>
        <v>0</v>
      </c>
      <c r="X30" s="157">
        <f t="shared" si="8"/>
        <v>27.15</v>
      </c>
      <c r="Y30" s="167">
        <f t="shared" si="9"/>
        <v>4.4230769230769178E-2</v>
      </c>
      <c r="Z30" s="158">
        <f t="shared" si="10"/>
        <v>2.52</v>
      </c>
      <c r="AA30" s="158">
        <f t="shared" si="10"/>
        <v>0.19</v>
      </c>
      <c r="AB30" s="158">
        <f t="shared" si="10"/>
        <v>2.33</v>
      </c>
      <c r="AC30" s="158">
        <f t="shared" si="10"/>
        <v>29.67</v>
      </c>
      <c r="AD30" s="167">
        <f t="shared" si="33"/>
        <v>9.2817679558011165E-2</v>
      </c>
      <c r="AE30" s="158">
        <f t="shared" si="12"/>
        <v>2.99</v>
      </c>
      <c r="AF30" s="158">
        <f t="shared" si="12"/>
        <v>0.18</v>
      </c>
      <c r="AG30" s="158">
        <f t="shared" si="12"/>
        <v>2.81</v>
      </c>
      <c r="AH30" s="158">
        <f t="shared" si="12"/>
        <v>32.659999999999997</v>
      </c>
      <c r="AI30" s="167">
        <f t="shared" si="13"/>
        <v>0.10077519379844943</v>
      </c>
      <c r="AJ30" s="158">
        <f t="shared" si="14"/>
        <v>5.4799999999999995</v>
      </c>
      <c r="AK30" s="158">
        <f t="shared" si="14"/>
        <v>0.14000000000000001</v>
      </c>
      <c r="AL30" s="158">
        <f t="shared" si="14"/>
        <v>5.34</v>
      </c>
      <c r="AM30" s="158">
        <f t="shared" si="14"/>
        <v>38.14</v>
      </c>
      <c r="AN30" s="167">
        <f t="shared" si="15"/>
        <v>0.16778934476423774</v>
      </c>
      <c r="AO30" s="158">
        <f t="shared" si="16"/>
        <v>5.3900000000000006</v>
      </c>
      <c r="AP30" s="158">
        <f t="shared" si="16"/>
        <v>0.11</v>
      </c>
      <c r="AQ30" s="158">
        <f t="shared" si="16"/>
        <v>5.28</v>
      </c>
      <c r="AR30" s="158">
        <f t="shared" si="16"/>
        <v>43.53</v>
      </c>
      <c r="AS30" s="167">
        <f t="shared" si="34"/>
        <v>0.1413214472994232</v>
      </c>
      <c r="AT30" s="164">
        <f t="shared" si="35"/>
        <v>17.53</v>
      </c>
      <c r="AU30" s="165">
        <f t="shared" si="36"/>
        <v>0.12526473423829732</v>
      </c>
    </row>
    <row r="31" spans="2:47" outlineLevel="1" x14ac:dyDescent="0.35">
      <c r="B31" s="48" t="s">
        <v>91</v>
      </c>
      <c r="C31" s="62" t="s">
        <v>135</v>
      </c>
      <c r="D31" s="158">
        <f t="shared" si="19"/>
        <v>17</v>
      </c>
      <c r="E31" s="158">
        <f t="shared" si="19"/>
        <v>125</v>
      </c>
      <c r="F31" s="158">
        <f t="shared" si="19"/>
        <v>19</v>
      </c>
      <c r="G31" s="156">
        <f t="shared" si="20"/>
        <v>144</v>
      </c>
      <c r="H31" s="160">
        <f t="shared" si="21"/>
        <v>0.152</v>
      </c>
      <c r="I31" s="158">
        <f t="shared" si="22"/>
        <v>21</v>
      </c>
      <c r="J31" s="156">
        <f t="shared" si="23"/>
        <v>165</v>
      </c>
      <c r="K31" s="160">
        <f t="shared" si="24"/>
        <v>0.14583333333333334</v>
      </c>
      <c r="L31" s="158">
        <f t="shared" si="25"/>
        <v>5</v>
      </c>
      <c r="M31" s="156">
        <f t="shared" si="26"/>
        <v>170</v>
      </c>
      <c r="N31" s="160">
        <f t="shared" si="27"/>
        <v>3.0303030303030304E-2</v>
      </c>
      <c r="O31" s="158">
        <f t="shared" si="28"/>
        <v>5</v>
      </c>
      <c r="P31" s="156">
        <f t="shared" si="29"/>
        <v>175</v>
      </c>
      <c r="Q31" s="160">
        <f t="shared" si="30"/>
        <v>2.9411764705882353E-2</v>
      </c>
      <c r="R31" s="164">
        <f t="shared" si="31"/>
        <v>67</v>
      </c>
      <c r="S31" s="165">
        <f t="shared" si="32"/>
        <v>8.7757305937277152E-2</v>
      </c>
      <c r="U31" s="158">
        <f t="shared" si="7"/>
        <v>3.06</v>
      </c>
      <c r="V31" s="158">
        <f t="shared" si="7"/>
        <v>3.06</v>
      </c>
      <c r="W31" s="158">
        <f t="shared" si="7"/>
        <v>0</v>
      </c>
      <c r="X31" s="157">
        <f t="shared" si="8"/>
        <v>178.06</v>
      </c>
      <c r="Y31" s="167">
        <f t="shared" si="9"/>
        <v>1.7485714285714299E-2</v>
      </c>
      <c r="Z31" s="158">
        <f t="shared" si="10"/>
        <v>4.42</v>
      </c>
      <c r="AA31" s="158">
        <f t="shared" si="10"/>
        <v>2.6</v>
      </c>
      <c r="AB31" s="158">
        <f t="shared" si="10"/>
        <v>1.82</v>
      </c>
      <c r="AC31" s="158">
        <f t="shared" si="10"/>
        <v>182.48</v>
      </c>
      <c r="AD31" s="167">
        <f t="shared" si="33"/>
        <v>2.4823093339323754E-2</v>
      </c>
      <c r="AE31" s="158">
        <f t="shared" si="12"/>
        <v>6.36</v>
      </c>
      <c r="AF31" s="158">
        <f t="shared" si="12"/>
        <v>2.4900000000000002</v>
      </c>
      <c r="AG31" s="158">
        <f t="shared" si="12"/>
        <v>3.87</v>
      </c>
      <c r="AH31" s="158">
        <f t="shared" si="12"/>
        <v>188.84</v>
      </c>
      <c r="AI31" s="167">
        <f t="shared" si="13"/>
        <v>3.4853134590092143E-2</v>
      </c>
      <c r="AJ31" s="158">
        <f t="shared" si="14"/>
        <v>5.41</v>
      </c>
      <c r="AK31" s="158">
        <f t="shared" si="14"/>
        <v>1.96</v>
      </c>
      <c r="AL31" s="158">
        <f t="shared" si="14"/>
        <v>3.45</v>
      </c>
      <c r="AM31" s="158">
        <f t="shared" si="14"/>
        <v>194.25</v>
      </c>
      <c r="AN31" s="167">
        <f t="shared" si="15"/>
        <v>2.8648591400127075E-2</v>
      </c>
      <c r="AO31" s="158">
        <f t="shared" si="16"/>
        <v>5.31</v>
      </c>
      <c r="AP31" s="158">
        <f t="shared" si="16"/>
        <v>1.47</v>
      </c>
      <c r="AQ31" s="158">
        <f t="shared" si="16"/>
        <v>3.84</v>
      </c>
      <c r="AR31" s="158">
        <f t="shared" si="16"/>
        <v>199.56</v>
      </c>
      <c r="AS31" s="167">
        <f t="shared" si="34"/>
        <v>2.7335907335907347E-2</v>
      </c>
      <c r="AT31" s="164">
        <f t="shared" si="35"/>
        <v>24.56</v>
      </c>
      <c r="AU31" s="165">
        <f t="shared" si="36"/>
        <v>2.8908562862654419E-2</v>
      </c>
    </row>
    <row r="32" spans="2:47" outlineLevel="1" x14ac:dyDescent="0.35">
      <c r="B32" s="48" t="s">
        <v>92</v>
      </c>
      <c r="C32" s="62" t="s">
        <v>135</v>
      </c>
      <c r="D32" s="158">
        <f t="shared" si="19"/>
        <v>100</v>
      </c>
      <c r="E32" s="158">
        <f t="shared" si="19"/>
        <v>755</v>
      </c>
      <c r="F32" s="158">
        <f t="shared" si="19"/>
        <v>150</v>
      </c>
      <c r="G32" s="156">
        <f t="shared" si="20"/>
        <v>905</v>
      </c>
      <c r="H32" s="160">
        <f t="shared" si="21"/>
        <v>0.19867549668874171</v>
      </c>
      <c r="I32" s="158">
        <f t="shared" si="22"/>
        <v>370</v>
      </c>
      <c r="J32" s="156">
        <f t="shared" si="23"/>
        <v>1275</v>
      </c>
      <c r="K32" s="160">
        <f t="shared" si="24"/>
        <v>0.40883977900552487</v>
      </c>
      <c r="L32" s="158">
        <f t="shared" si="25"/>
        <v>83</v>
      </c>
      <c r="M32" s="156">
        <f t="shared" si="26"/>
        <v>1358</v>
      </c>
      <c r="N32" s="160">
        <f t="shared" si="27"/>
        <v>6.5098039215686271E-2</v>
      </c>
      <c r="O32" s="158">
        <f t="shared" si="28"/>
        <v>84</v>
      </c>
      <c r="P32" s="156">
        <f t="shared" si="29"/>
        <v>1442</v>
      </c>
      <c r="Q32" s="160">
        <f t="shared" si="30"/>
        <v>6.1855670103092786E-2</v>
      </c>
      <c r="R32" s="164">
        <f t="shared" si="31"/>
        <v>787</v>
      </c>
      <c r="S32" s="165">
        <f t="shared" si="32"/>
        <v>0.17558646490882168</v>
      </c>
      <c r="U32" s="158">
        <f t="shared" si="7"/>
        <v>72.75</v>
      </c>
      <c r="V32" s="158">
        <f t="shared" si="7"/>
        <v>70.69</v>
      </c>
      <c r="W32" s="158">
        <f t="shared" si="7"/>
        <v>2.06</v>
      </c>
      <c r="X32" s="157">
        <f t="shared" si="8"/>
        <v>1514.75</v>
      </c>
      <c r="Y32" s="167">
        <f t="shared" si="9"/>
        <v>5.0450762829403605E-2</v>
      </c>
      <c r="Z32" s="158">
        <f t="shared" si="10"/>
        <v>106.85000000000001</v>
      </c>
      <c r="AA32" s="158">
        <f t="shared" si="10"/>
        <v>87.04</v>
      </c>
      <c r="AB32" s="158">
        <f t="shared" si="10"/>
        <v>19.809999999999999</v>
      </c>
      <c r="AC32" s="158">
        <f t="shared" si="10"/>
        <v>1621.6</v>
      </c>
      <c r="AD32" s="167">
        <f t="shared" si="33"/>
        <v>7.0539693018649888E-2</v>
      </c>
      <c r="AE32" s="158">
        <f t="shared" si="12"/>
        <v>123.19</v>
      </c>
      <c r="AF32" s="158">
        <f t="shared" si="12"/>
        <v>83.15</v>
      </c>
      <c r="AG32" s="158">
        <f t="shared" si="12"/>
        <v>40.04</v>
      </c>
      <c r="AH32" s="158">
        <f t="shared" si="12"/>
        <v>1744.79</v>
      </c>
      <c r="AI32" s="167">
        <f t="shared" si="13"/>
        <v>7.5968179575727712E-2</v>
      </c>
      <c r="AJ32" s="158">
        <f t="shared" si="14"/>
        <v>100.50999999999999</v>
      </c>
      <c r="AK32" s="158">
        <f t="shared" si="14"/>
        <v>64.89</v>
      </c>
      <c r="AL32" s="158">
        <f t="shared" si="14"/>
        <v>35.619999999999997</v>
      </c>
      <c r="AM32" s="158">
        <f t="shared" si="14"/>
        <v>1845.3</v>
      </c>
      <c r="AN32" s="167">
        <f t="shared" si="15"/>
        <v>5.7605786369706376E-2</v>
      </c>
      <c r="AO32" s="158">
        <f t="shared" si="16"/>
        <v>78.489999999999995</v>
      </c>
      <c r="AP32" s="158">
        <f t="shared" si="16"/>
        <v>49.47</v>
      </c>
      <c r="AQ32" s="158">
        <f t="shared" si="16"/>
        <v>29.02</v>
      </c>
      <c r="AR32" s="158">
        <f t="shared" si="16"/>
        <v>1923.79</v>
      </c>
      <c r="AS32" s="167">
        <f t="shared" si="34"/>
        <v>4.2535089145396415E-2</v>
      </c>
      <c r="AT32" s="164">
        <f t="shared" si="35"/>
        <v>481.79</v>
      </c>
      <c r="AU32" s="165">
        <f t="shared" si="36"/>
        <v>6.1583538345204802E-2</v>
      </c>
    </row>
    <row r="33" spans="2:47" outlineLevel="1" x14ac:dyDescent="0.35">
      <c r="B33" s="48" t="s">
        <v>93</v>
      </c>
      <c r="C33" s="62" t="s">
        <v>135</v>
      </c>
      <c r="D33" s="158">
        <f t="shared" si="19"/>
        <v>106</v>
      </c>
      <c r="E33" s="158">
        <f t="shared" si="19"/>
        <v>633</v>
      </c>
      <c r="F33" s="158">
        <f t="shared" si="19"/>
        <v>200</v>
      </c>
      <c r="G33" s="156">
        <f t="shared" si="20"/>
        <v>833</v>
      </c>
      <c r="H33" s="160">
        <f t="shared" si="21"/>
        <v>0.31595576619273302</v>
      </c>
      <c r="I33" s="158">
        <f t="shared" si="22"/>
        <v>261</v>
      </c>
      <c r="J33" s="156">
        <f t="shared" si="23"/>
        <v>1094</v>
      </c>
      <c r="K33" s="160">
        <f t="shared" si="24"/>
        <v>0.31332533013205283</v>
      </c>
      <c r="L33" s="158">
        <f t="shared" si="25"/>
        <v>128</v>
      </c>
      <c r="M33" s="156">
        <f t="shared" si="26"/>
        <v>1222</v>
      </c>
      <c r="N33" s="160">
        <f t="shared" si="27"/>
        <v>0.1170018281535649</v>
      </c>
      <c r="O33" s="158">
        <f t="shared" si="28"/>
        <v>86</v>
      </c>
      <c r="P33" s="156">
        <f t="shared" si="29"/>
        <v>1308</v>
      </c>
      <c r="Q33" s="160">
        <f t="shared" si="30"/>
        <v>7.0376432078559745E-2</v>
      </c>
      <c r="R33" s="164">
        <f t="shared" si="31"/>
        <v>781</v>
      </c>
      <c r="S33" s="165">
        <f t="shared" si="32"/>
        <v>0.19894982460590649</v>
      </c>
      <c r="U33" s="158">
        <f t="shared" si="7"/>
        <v>105.37</v>
      </c>
      <c r="V33" s="158">
        <f t="shared" si="7"/>
        <v>85.55</v>
      </c>
      <c r="W33" s="158">
        <f t="shared" si="7"/>
        <v>19.82</v>
      </c>
      <c r="X33" s="157">
        <f t="shared" si="8"/>
        <v>1413.37</v>
      </c>
      <c r="Y33" s="167">
        <f t="shared" si="9"/>
        <v>8.0558103975535089E-2</v>
      </c>
      <c r="Z33" s="158">
        <f t="shared" si="10"/>
        <v>168.78</v>
      </c>
      <c r="AA33" s="158">
        <f t="shared" si="10"/>
        <v>106.5</v>
      </c>
      <c r="AB33" s="158">
        <f t="shared" si="10"/>
        <v>62.28</v>
      </c>
      <c r="AC33" s="158">
        <f t="shared" si="10"/>
        <v>1582.1499999999999</v>
      </c>
      <c r="AD33" s="167">
        <f t="shared" si="33"/>
        <v>0.11941671324564691</v>
      </c>
      <c r="AE33" s="158">
        <f t="shared" si="12"/>
        <v>286.20999999999998</v>
      </c>
      <c r="AF33" s="158">
        <f t="shared" si="12"/>
        <v>101.07</v>
      </c>
      <c r="AG33" s="158">
        <f t="shared" si="12"/>
        <v>185.14</v>
      </c>
      <c r="AH33" s="158">
        <f t="shared" si="12"/>
        <v>1868.36</v>
      </c>
      <c r="AI33" s="167">
        <f t="shared" si="13"/>
        <v>0.18089940903201343</v>
      </c>
      <c r="AJ33" s="158">
        <f t="shared" si="14"/>
        <v>294.23</v>
      </c>
      <c r="AK33" s="158">
        <f t="shared" si="14"/>
        <v>78.959999999999994</v>
      </c>
      <c r="AL33" s="158">
        <f t="shared" si="14"/>
        <v>215.27</v>
      </c>
      <c r="AM33" s="158">
        <f t="shared" si="14"/>
        <v>2162.59</v>
      </c>
      <c r="AN33" s="167">
        <f t="shared" si="15"/>
        <v>0.15748035710462666</v>
      </c>
      <c r="AO33" s="158">
        <f t="shared" si="16"/>
        <v>245.56</v>
      </c>
      <c r="AP33" s="158">
        <f t="shared" si="16"/>
        <v>59.85</v>
      </c>
      <c r="AQ33" s="158">
        <f t="shared" si="16"/>
        <v>185.71</v>
      </c>
      <c r="AR33" s="158">
        <f t="shared" si="16"/>
        <v>2408.15</v>
      </c>
      <c r="AS33" s="167">
        <f t="shared" si="34"/>
        <v>0.11354903148539479</v>
      </c>
      <c r="AT33" s="164">
        <f t="shared" si="35"/>
        <v>1100.1499999999999</v>
      </c>
      <c r="AU33" s="165">
        <f t="shared" si="36"/>
        <v>0.14250186201515347</v>
      </c>
    </row>
    <row r="34" spans="2:47" outlineLevel="1" x14ac:dyDescent="0.35">
      <c r="B34" s="48" t="s">
        <v>94</v>
      </c>
      <c r="C34" s="62" t="s">
        <v>135</v>
      </c>
      <c r="D34" s="158">
        <f t="shared" si="19"/>
        <v>187</v>
      </c>
      <c r="E34" s="158">
        <f t="shared" si="19"/>
        <v>1919</v>
      </c>
      <c r="F34" s="158">
        <f t="shared" si="19"/>
        <v>159</v>
      </c>
      <c r="G34" s="156">
        <f t="shared" si="20"/>
        <v>2078</v>
      </c>
      <c r="H34" s="160">
        <f t="shared" si="21"/>
        <v>8.2855653986451283E-2</v>
      </c>
      <c r="I34" s="158">
        <f t="shared" si="22"/>
        <v>159</v>
      </c>
      <c r="J34" s="156">
        <f t="shared" si="23"/>
        <v>2237</v>
      </c>
      <c r="K34" s="160">
        <f t="shared" si="24"/>
        <v>7.6515880654475454E-2</v>
      </c>
      <c r="L34" s="158">
        <f t="shared" si="25"/>
        <v>70</v>
      </c>
      <c r="M34" s="156">
        <f t="shared" si="26"/>
        <v>2307</v>
      </c>
      <c r="N34" s="160">
        <f t="shared" si="27"/>
        <v>3.1291908806437195E-2</v>
      </c>
      <c r="O34" s="158">
        <f t="shared" si="28"/>
        <v>99</v>
      </c>
      <c r="P34" s="156">
        <f t="shared" si="29"/>
        <v>2406</v>
      </c>
      <c r="Q34" s="160">
        <f t="shared" si="30"/>
        <v>4.2912873862158647E-2</v>
      </c>
      <c r="R34" s="164">
        <f t="shared" si="31"/>
        <v>674</v>
      </c>
      <c r="S34" s="165">
        <f t="shared" si="32"/>
        <v>5.8169311209918417E-2</v>
      </c>
      <c r="U34" s="158">
        <f t="shared" ref="U34:W53" si="37">U96+U158+U220+U281</f>
        <v>72.790000000000006</v>
      </c>
      <c r="V34" s="158">
        <f t="shared" si="37"/>
        <v>71.87</v>
      </c>
      <c r="W34" s="158">
        <f t="shared" si="37"/>
        <v>0.92</v>
      </c>
      <c r="X34" s="157">
        <f t="shared" si="8"/>
        <v>2478.79</v>
      </c>
      <c r="Y34" s="167">
        <f t="shared" si="9"/>
        <v>3.02535328345802E-2</v>
      </c>
      <c r="Z34" s="158">
        <f t="shared" ref="Z34:AC53" si="38">Z96++Z158++Z220+Z281</f>
        <v>117.52</v>
      </c>
      <c r="AA34" s="158">
        <f t="shared" si="38"/>
        <v>89.89</v>
      </c>
      <c r="AB34" s="158">
        <f t="shared" si="38"/>
        <v>27.63</v>
      </c>
      <c r="AC34" s="158">
        <f t="shared" si="38"/>
        <v>2596.31</v>
      </c>
      <c r="AD34" s="167">
        <f t="shared" si="33"/>
        <v>4.7410228377555173E-2</v>
      </c>
      <c r="AE34" s="158">
        <f t="shared" ref="AE34:AH53" si="39">AE96+AE158+AE220+AE281</f>
        <v>137.31</v>
      </c>
      <c r="AF34" s="158">
        <f t="shared" si="39"/>
        <v>86.14</v>
      </c>
      <c r="AG34" s="158">
        <f t="shared" si="39"/>
        <v>51.17</v>
      </c>
      <c r="AH34" s="158">
        <f t="shared" si="39"/>
        <v>2733.62</v>
      </c>
      <c r="AI34" s="167">
        <f t="shared" si="13"/>
        <v>5.2886596746921574E-2</v>
      </c>
      <c r="AJ34" s="158">
        <f t="shared" ref="AJ34:AM53" si="40">AJ96+AJ158+AJ220+AJ281</f>
        <v>126.5</v>
      </c>
      <c r="AK34" s="158">
        <f t="shared" si="40"/>
        <v>67.03</v>
      </c>
      <c r="AL34" s="158">
        <f t="shared" si="40"/>
        <v>59.47</v>
      </c>
      <c r="AM34" s="158">
        <f t="shared" si="40"/>
        <v>2860.12</v>
      </c>
      <c r="AN34" s="167">
        <f t="shared" si="15"/>
        <v>4.6275634506624919E-2</v>
      </c>
      <c r="AO34" s="158">
        <f t="shared" ref="AO34:AR53" si="41">AO96+AO158+AO220+AO281</f>
        <v>113.37</v>
      </c>
      <c r="AP34" s="158">
        <f t="shared" si="41"/>
        <v>50.65</v>
      </c>
      <c r="AQ34" s="158">
        <f t="shared" si="41"/>
        <v>62.72</v>
      </c>
      <c r="AR34" s="158">
        <f t="shared" si="41"/>
        <v>2973.49</v>
      </c>
      <c r="AS34" s="167">
        <f t="shared" si="34"/>
        <v>3.9638196998727289E-2</v>
      </c>
      <c r="AT34" s="164">
        <f t="shared" si="35"/>
        <v>567.49</v>
      </c>
      <c r="AU34" s="165">
        <f t="shared" si="36"/>
        <v>4.6542059056293494E-2</v>
      </c>
    </row>
    <row r="35" spans="2:47" outlineLevel="1" x14ac:dyDescent="0.35">
      <c r="B35" s="48" t="s">
        <v>95</v>
      </c>
      <c r="C35" s="62" t="s">
        <v>135</v>
      </c>
      <c r="D35" s="158">
        <f t="shared" si="19"/>
        <v>135</v>
      </c>
      <c r="E35" s="158">
        <f t="shared" si="19"/>
        <v>1424</v>
      </c>
      <c r="F35" s="158">
        <f t="shared" si="19"/>
        <v>109</v>
      </c>
      <c r="G35" s="156">
        <f t="shared" si="20"/>
        <v>1533</v>
      </c>
      <c r="H35" s="160">
        <f t="shared" si="21"/>
        <v>7.6544943820224726E-2</v>
      </c>
      <c r="I35" s="158">
        <f t="shared" si="22"/>
        <v>145</v>
      </c>
      <c r="J35" s="156">
        <f t="shared" si="23"/>
        <v>1678</v>
      </c>
      <c r="K35" s="160">
        <f t="shared" si="24"/>
        <v>9.4585779517286361E-2</v>
      </c>
      <c r="L35" s="158">
        <f t="shared" si="25"/>
        <v>58</v>
      </c>
      <c r="M35" s="156">
        <f t="shared" si="26"/>
        <v>1736</v>
      </c>
      <c r="N35" s="160">
        <f t="shared" si="27"/>
        <v>3.4564958283671038E-2</v>
      </c>
      <c r="O35" s="158">
        <f t="shared" si="28"/>
        <v>47</v>
      </c>
      <c r="P35" s="156">
        <f t="shared" si="29"/>
        <v>1783</v>
      </c>
      <c r="Q35" s="160">
        <f t="shared" si="30"/>
        <v>2.707373271889401E-2</v>
      </c>
      <c r="R35" s="164">
        <f t="shared" si="31"/>
        <v>494</v>
      </c>
      <c r="S35" s="165">
        <f t="shared" si="32"/>
        <v>5.781650373717917E-2</v>
      </c>
      <c r="U35" s="158">
        <f t="shared" si="37"/>
        <v>37.589999999999996</v>
      </c>
      <c r="V35" s="158">
        <f t="shared" si="37"/>
        <v>35.79</v>
      </c>
      <c r="W35" s="158">
        <f t="shared" si="37"/>
        <v>1.8</v>
      </c>
      <c r="X35" s="157">
        <f t="shared" si="8"/>
        <v>1819.59</v>
      </c>
      <c r="Y35" s="167">
        <f t="shared" si="9"/>
        <v>2.0521592821088008E-2</v>
      </c>
      <c r="Z35" s="158">
        <f t="shared" si="38"/>
        <v>56.269999999999996</v>
      </c>
      <c r="AA35" s="158">
        <f t="shared" si="38"/>
        <v>42.68</v>
      </c>
      <c r="AB35" s="158">
        <f t="shared" si="38"/>
        <v>13.59</v>
      </c>
      <c r="AC35" s="158">
        <f t="shared" si="38"/>
        <v>1875.86</v>
      </c>
      <c r="AD35" s="167">
        <f t="shared" si="33"/>
        <v>3.0924548936848404E-2</v>
      </c>
      <c r="AE35" s="158">
        <f t="shared" si="39"/>
        <v>73.319999999999993</v>
      </c>
      <c r="AF35" s="158">
        <f t="shared" si="39"/>
        <v>40.799999999999997</v>
      </c>
      <c r="AG35" s="158">
        <f t="shared" si="39"/>
        <v>32.519999999999996</v>
      </c>
      <c r="AH35" s="158">
        <f t="shared" si="39"/>
        <v>1949.1799999999998</v>
      </c>
      <c r="AI35" s="167">
        <f t="shared" si="13"/>
        <v>3.9086072521403482E-2</v>
      </c>
      <c r="AJ35" s="158">
        <f t="shared" si="40"/>
        <v>76.25</v>
      </c>
      <c r="AK35" s="158">
        <f t="shared" si="40"/>
        <v>31.82</v>
      </c>
      <c r="AL35" s="158">
        <f t="shared" si="40"/>
        <v>44.43</v>
      </c>
      <c r="AM35" s="158">
        <f t="shared" si="40"/>
        <v>2025.4299999999998</v>
      </c>
      <c r="AN35" s="167">
        <f t="shared" si="15"/>
        <v>3.9119014149539812E-2</v>
      </c>
      <c r="AO35" s="158">
        <f t="shared" si="41"/>
        <v>58.85</v>
      </c>
      <c r="AP35" s="158">
        <f t="shared" si="41"/>
        <v>23.92</v>
      </c>
      <c r="AQ35" s="158">
        <f t="shared" si="41"/>
        <v>34.93</v>
      </c>
      <c r="AR35" s="158">
        <f t="shared" si="41"/>
        <v>2084.2799999999997</v>
      </c>
      <c r="AS35" s="167">
        <f t="shared" si="34"/>
        <v>2.9055558572747473E-2</v>
      </c>
      <c r="AT35" s="164">
        <f t="shared" si="35"/>
        <v>302.27999999999997</v>
      </c>
      <c r="AU35" s="165">
        <f t="shared" si="36"/>
        <v>3.4536052454747113E-2</v>
      </c>
    </row>
    <row r="36" spans="2:47" outlineLevel="1" x14ac:dyDescent="0.35">
      <c r="B36" s="48" t="s">
        <v>96</v>
      </c>
      <c r="C36" s="62" t="s">
        <v>135</v>
      </c>
      <c r="D36" s="158">
        <f t="shared" si="19"/>
        <v>91</v>
      </c>
      <c r="E36" s="158">
        <f t="shared" si="19"/>
        <v>857</v>
      </c>
      <c r="F36" s="158">
        <f t="shared" si="19"/>
        <v>69</v>
      </c>
      <c r="G36" s="156">
        <f t="shared" si="20"/>
        <v>926</v>
      </c>
      <c r="H36" s="160">
        <f t="shared" si="21"/>
        <v>8.051341890315053E-2</v>
      </c>
      <c r="I36" s="158">
        <f t="shared" si="22"/>
        <v>70</v>
      </c>
      <c r="J36" s="156">
        <f t="shared" si="23"/>
        <v>996</v>
      </c>
      <c r="K36" s="160">
        <f t="shared" si="24"/>
        <v>7.5593952483801297E-2</v>
      </c>
      <c r="L36" s="158">
        <f t="shared" si="25"/>
        <v>37</v>
      </c>
      <c r="M36" s="156">
        <f t="shared" si="26"/>
        <v>1033</v>
      </c>
      <c r="N36" s="160">
        <f t="shared" si="27"/>
        <v>3.7148594377510037E-2</v>
      </c>
      <c r="O36" s="158">
        <f t="shared" si="28"/>
        <v>32</v>
      </c>
      <c r="P36" s="156">
        <f t="shared" si="29"/>
        <v>1065</v>
      </c>
      <c r="Q36" s="160">
        <f t="shared" si="30"/>
        <v>3.0977734753146177E-2</v>
      </c>
      <c r="R36" s="164">
        <f t="shared" si="31"/>
        <v>299</v>
      </c>
      <c r="S36" s="165">
        <f t="shared" si="32"/>
        <v>5.5825620859451863E-2</v>
      </c>
      <c r="U36" s="158">
        <f t="shared" si="37"/>
        <v>40.49</v>
      </c>
      <c r="V36" s="158">
        <f t="shared" si="37"/>
        <v>40.49</v>
      </c>
      <c r="W36" s="158">
        <f t="shared" si="37"/>
        <v>0</v>
      </c>
      <c r="X36" s="157">
        <f t="shared" si="8"/>
        <v>1105.49</v>
      </c>
      <c r="Y36" s="167">
        <f t="shared" si="9"/>
        <v>3.8018779342723012E-2</v>
      </c>
      <c r="Z36" s="158">
        <f t="shared" si="38"/>
        <v>64.78</v>
      </c>
      <c r="AA36" s="158">
        <f t="shared" si="38"/>
        <v>50.7</v>
      </c>
      <c r="AB36" s="158">
        <f t="shared" si="38"/>
        <v>14.08</v>
      </c>
      <c r="AC36" s="158">
        <f t="shared" si="38"/>
        <v>1170.27</v>
      </c>
      <c r="AD36" s="167">
        <f t="shared" si="33"/>
        <v>5.8598449556305325E-2</v>
      </c>
      <c r="AE36" s="158">
        <f t="shared" si="39"/>
        <v>86.23</v>
      </c>
      <c r="AF36" s="158">
        <f t="shared" si="39"/>
        <v>48.6</v>
      </c>
      <c r="AG36" s="158">
        <f t="shared" si="39"/>
        <v>37.630000000000003</v>
      </c>
      <c r="AH36" s="158">
        <f t="shared" si="39"/>
        <v>1256.5</v>
      </c>
      <c r="AI36" s="167">
        <f t="shared" si="13"/>
        <v>7.3683850735300413E-2</v>
      </c>
      <c r="AJ36" s="158">
        <f t="shared" si="40"/>
        <v>74.319999999999993</v>
      </c>
      <c r="AK36" s="158">
        <f t="shared" si="40"/>
        <v>38.36</v>
      </c>
      <c r="AL36" s="158">
        <f t="shared" si="40"/>
        <v>35.96</v>
      </c>
      <c r="AM36" s="158">
        <f t="shared" si="40"/>
        <v>1330.82</v>
      </c>
      <c r="AN36" s="167">
        <f t="shared" si="15"/>
        <v>5.9148428173497761E-2</v>
      </c>
      <c r="AO36" s="158">
        <f t="shared" si="41"/>
        <v>63.61</v>
      </c>
      <c r="AP36" s="158">
        <f t="shared" si="41"/>
        <v>29.1</v>
      </c>
      <c r="AQ36" s="158">
        <f t="shared" si="41"/>
        <v>34.51</v>
      </c>
      <c r="AR36" s="158">
        <f t="shared" si="41"/>
        <v>1394.4299999999998</v>
      </c>
      <c r="AS36" s="167">
        <f t="shared" si="34"/>
        <v>4.7797598473121761E-2</v>
      </c>
      <c r="AT36" s="164">
        <f t="shared" si="35"/>
        <v>329.43</v>
      </c>
      <c r="AU36" s="165">
        <f t="shared" si="36"/>
        <v>5.9767202273437237E-2</v>
      </c>
    </row>
    <row r="37" spans="2:47" outlineLevel="1" x14ac:dyDescent="0.35">
      <c r="B37" s="48" t="s">
        <v>97</v>
      </c>
      <c r="C37" s="62" t="s">
        <v>135</v>
      </c>
      <c r="D37" s="158">
        <f t="shared" si="19"/>
        <v>236</v>
      </c>
      <c r="E37" s="158">
        <f t="shared" si="19"/>
        <v>1929</v>
      </c>
      <c r="F37" s="158">
        <f t="shared" si="19"/>
        <v>192</v>
      </c>
      <c r="G37" s="156">
        <f t="shared" si="20"/>
        <v>2121</v>
      </c>
      <c r="H37" s="160">
        <f t="shared" si="21"/>
        <v>9.9533437013996889E-2</v>
      </c>
      <c r="I37" s="158">
        <f t="shared" si="22"/>
        <v>224</v>
      </c>
      <c r="J37" s="156">
        <f t="shared" si="23"/>
        <v>2345</v>
      </c>
      <c r="K37" s="160">
        <f t="shared" si="24"/>
        <v>0.10561056105610561</v>
      </c>
      <c r="L37" s="158">
        <f t="shared" si="25"/>
        <v>102</v>
      </c>
      <c r="M37" s="156">
        <f t="shared" si="26"/>
        <v>2447</v>
      </c>
      <c r="N37" s="160">
        <f t="shared" si="27"/>
        <v>4.3496801705756927E-2</v>
      </c>
      <c r="O37" s="158">
        <f t="shared" si="28"/>
        <v>94</v>
      </c>
      <c r="P37" s="156">
        <f t="shared" si="29"/>
        <v>2541</v>
      </c>
      <c r="Q37" s="160">
        <f t="shared" si="30"/>
        <v>3.8414384961176953E-2</v>
      </c>
      <c r="R37" s="164">
        <f t="shared" si="31"/>
        <v>848</v>
      </c>
      <c r="S37" s="165">
        <f t="shared" si="32"/>
        <v>7.1317278405587547E-2</v>
      </c>
      <c r="U37" s="158">
        <f t="shared" si="37"/>
        <v>100.13</v>
      </c>
      <c r="V37" s="158">
        <f t="shared" si="37"/>
        <v>96.71</v>
      </c>
      <c r="W37" s="158">
        <f t="shared" si="37"/>
        <v>3.42</v>
      </c>
      <c r="X37" s="157">
        <f t="shared" si="8"/>
        <v>2641.13</v>
      </c>
      <c r="Y37" s="167">
        <f t="shared" si="9"/>
        <v>3.9405745769382175E-2</v>
      </c>
      <c r="Z37" s="158">
        <f t="shared" si="38"/>
        <v>196.57</v>
      </c>
      <c r="AA37" s="158">
        <f t="shared" si="38"/>
        <v>117.05</v>
      </c>
      <c r="AB37" s="158">
        <f t="shared" si="38"/>
        <v>79.52</v>
      </c>
      <c r="AC37" s="158">
        <f t="shared" si="38"/>
        <v>2837.7000000000003</v>
      </c>
      <c r="AD37" s="167">
        <f t="shared" si="33"/>
        <v>7.4426476546023926E-2</v>
      </c>
      <c r="AE37" s="158">
        <f t="shared" si="39"/>
        <v>213.64</v>
      </c>
      <c r="AF37" s="158">
        <f t="shared" si="39"/>
        <v>111.16</v>
      </c>
      <c r="AG37" s="158">
        <f t="shared" si="39"/>
        <v>102.48</v>
      </c>
      <c r="AH37" s="158">
        <f t="shared" si="39"/>
        <v>3051.34</v>
      </c>
      <c r="AI37" s="167">
        <f t="shared" si="13"/>
        <v>7.5286323430947544E-2</v>
      </c>
      <c r="AJ37" s="158">
        <f t="shared" si="40"/>
        <v>158.38999999999999</v>
      </c>
      <c r="AK37" s="158">
        <f t="shared" si="40"/>
        <v>86.99</v>
      </c>
      <c r="AL37" s="158">
        <f t="shared" si="40"/>
        <v>71.400000000000006</v>
      </c>
      <c r="AM37" s="158">
        <f t="shared" si="40"/>
        <v>3209.73</v>
      </c>
      <c r="AN37" s="167">
        <f t="shared" si="15"/>
        <v>5.1908341908800677E-2</v>
      </c>
      <c r="AO37" s="158">
        <f t="shared" si="41"/>
        <v>170.91</v>
      </c>
      <c r="AP37" s="158">
        <f t="shared" si="41"/>
        <v>65.539999999999992</v>
      </c>
      <c r="AQ37" s="158">
        <f t="shared" si="41"/>
        <v>105.37</v>
      </c>
      <c r="AR37" s="158">
        <f t="shared" si="41"/>
        <v>3380.64</v>
      </c>
      <c r="AS37" s="167">
        <f t="shared" si="34"/>
        <v>5.3247469413315096E-2</v>
      </c>
      <c r="AT37" s="164">
        <f t="shared" si="35"/>
        <v>839.64</v>
      </c>
      <c r="AU37" s="165">
        <f t="shared" si="36"/>
        <v>6.3658675977610102E-2</v>
      </c>
    </row>
    <row r="38" spans="2:47" outlineLevel="1" x14ac:dyDescent="0.35">
      <c r="B38" s="48" t="s">
        <v>98</v>
      </c>
      <c r="C38" s="62" t="s">
        <v>135</v>
      </c>
      <c r="D38" s="158">
        <f t="shared" si="19"/>
        <v>64</v>
      </c>
      <c r="E38" s="158">
        <f t="shared" si="19"/>
        <v>691</v>
      </c>
      <c r="F38" s="158">
        <f t="shared" si="19"/>
        <v>50</v>
      </c>
      <c r="G38" s="156">
        <f t="shared" si="20"/>
        <v>741</v>
      </c>
      <c r="H38" s="160">
        <f t="shared" si="21"/>
        <v>7.2358900144717797E-2</v>
      </c>
      <c r="I38" s="158">
        <f t="shared" si="22"/>
        <v>65</v>
      </c>
      <c r="J38" s="156">
        <f t="shared" si="23"/>
        <v>806</v>
      </c>
      <c r="K38" s="160">
        <f t="shared" si="24"/>
        <v>8.771929824561403E-2</v>
      </c>
      <c r="L38" s="158">
        <f t="shared" si="25"/>
        <v>34</v>
      </c>
      <c r="M38" s="156">
        <f t="shared" si="26"/>
        <v>840</v>
      </c>
      <c r="N38" s="160">
        <f t="shared" si="27"/>
        <v>4.2183622828784122E-2</v>
      </c>
      <c r="O38" s="158">
        <f t="shared" si="28"/>
        <v>20</v>
      </c>
      <c r="P38" s="156">
        <f t="shared" si="29"/>
        <v>860</v>
      </c>
      <c r="Q38" s="160">
        <f t="shared" si="30"/>
        <v>2.3809523809523808E-2</v>
      </c>
      <c r="R38" s="164">
        <f t="shared" si="31"/>
        <v>233</v>
      </c>
      <c r="S38" s="165">
        <f t="shared" si="32"/>
        <v>5.6221736903403263E-2</v>
      </c>
      <c r="U38" s="158">
        <f t="shared" si="37"/>
        <v>21.14</v>
      </c>
      <c r="V38" s="158">
        <f t="shared" si="37"/>
        <v>18.82</v>
      </c>
      <c r="W38" s="158">
        <f t="shared" si="37"/>
        <v>2.3199999999999998</v>
      </c>
      <c r="X38" s="157">
        <f t="shared" si="8"/>
        <v>881.14</v>
      </c>
      <c r="Y38" s="167">
        <f t="shared" si="9"/>
        <v>2.4581395348837194E-2</v>
      </c>
      <c r="Z38" s="158">
        <f t="shared" si="38"/>
        <v>49.65</v>
      </c>
      <c r="AA38" s="158">
        <f t="shared" si="38"/>
        <v>23.7</v>
      </c>
      <c r="AB38" s="158">
        <f t="shared" si="38"/>
        <v>25.95</v>
      </c>
      <c r="AC38" s="158">
        <f t="shared" si="38"/>
        <v>930.79</v>
      </c>
      <c r="AD38" s="167">
        <f t="shared" si="33"/>
        <v>5.6347458973602355E-2</v>
      </c>
      <c r="AE38" s="158">
        <f t="shared" si="39"/>
        <v>70.7</v>
      </c>
      <c r="AF38" s="158">
        <f t="shared" si="39"/>
        <v>22.73</v>
      </c>
      <c r="AG38" s="158">
        <f t="shared" si="39"/>
        <v>47.97</v>
      </c>
      <c r="AH38" s="158">
        <f t="shared" si="39"/>
        <v>1001.49</v>
      </c>
      <c r="AI38" s="167">
        <f t="shared" si="13"/>
        <v>7.5956982778070295E-2</v>
      </c>
      <c r="AJ38" s="158">
        <f t="shared" si="40"/>
        <v>69.62</v>
      </c>
      <c r="AK38" s="158">
        <f t="shared" si="40"/>
        <v>17.87</v>
      </c>
      <c r="AL38" s="158">
        <f t="shared" si="40"/>
        <v>51.75</v>
      </c>
      <c r="AM38" s="158">
        <f t="shared" si="40"/>
        <v>1071.1100000000001</v>
      </c>
      <c r="AN38" s="167">
        <f t="shared" si="15"/>
        <v>6.9516420533405343E-2</v>
      </c>
      <c r="AO38" s="158">
        <f t="shared" si="41"/>
        <v>71.61</v>
      </c>
      <c r="AP38" s="158">
        <f t="shared" si="41"/>
        <v>13.69</v>
      </c>
      <c r="AQ38" s="158">
        <f t="shared" si="41"/>
        <v>57.92</v>
      </c>
      <c r="AR38" s="158">
        <f t="shared" si="41"/>
        <v>1142.72</v>
      </c>
      <c r="AS38" s="167">
        <f t="shared" si="34"/>
        <v>6.6855878481201642E-2</v>
      </c>
      <c r="AT38" s="164">
        <f t="shared" si="35"/>
        <v>282.72000000000003</v>
      </c>
      <c r="AU38" s="165">
        <f t="shared" si="36"/>
        <v>6.7145722534121655E-2</v>
      </c>
    </row>
    <row r="39" spans="2:47" outlineLevel="1" x14ac:dyDescent="0.35">
      <c r="B39" s="48" t="s">
        <v>99</v>
      </c>
      <c r="C39" s="62" t="s">
        <v>135</v>
      </c>
      <c r="D39" s="158">
        <f t="shared" si="19"/>
        <v>386</v>
      </c>
      <c r="E39" s="158">
        <f t="shared" si="19"/>
        <v>3786</v>
      </c>
      <c r="F39" s="158">
        <f t="shared" si="19"/>
        <v>389</v>
      </c>
      <c r="G39" s="156">
        <f t="shared" si="20"/>
        <v>4175</v>
      </c>
      <c r="H39" s="160">
        <f t="shared" si="21"/>
        <v>0.10274696249339672</v>
      </c>
      <c r="I39" s="158">
        <f t="shared" si="22"/>
        <v>473</v>
      </c>
      <c r="J39" s="156">
        <f t="shared" si="23"/>
        <v>4648</v>
      </c>
      <c r="K39" s="160">
        <f t="shared" si="24"/>
        <v>0.1132934131736527</v>
      </c>
      <c r="L39" s="158">
        <f t="shared" si="25"/>
        <v>176</v>
      </c>
      <c r="M39" s="156">
        <f t="shared" si="26"/>
        <v>4824</v>
      </c>
      <c r="N39" s="160">
        <f t="shared" si="27"/>
        <v>3.7865748709122203E-2</v>
      </c>
      <c r="O39" s="158">
        <f t="shared" si="28"/>
        <v>103</v>
      </c>
      <c r="P39" s="156">
        <f t="shared" si="29"/>
        <v>4927</v>
      </c>
      <c r="Q39" s="160">
        <f t="shared" si="30"/>
        <v>2.1351575456053068E-2</v>
      </c>
      <c r="R39" s="164">
        <f t="shared" si="31"/>
        <v>1527</v>
      </c>
      <c r="S39" s="165">
        <f t="shared" si="32"/>
        <v>6.8071897142184756E-2</v>
      </c>
      <c r="U39" s="158">
        <f t="shared" si="37"/>
        <v>97.54</v>
      </c>
      <c r="V39" s="158">
        <f t="shared" si="37"/>
        <v>97.54</v>
      </c>
      <c r="W39" s="158">
        <f t="shared" si="37"/>
        <v>0</v>
      </c>
      <c r="X39" s="157">
        <f t="shared" si="8"/>
        <v>5024.54</v>
      </c>
      <c r="Y39" s="167">
        <f t="shared" si="9"/>
        <v>1.9797036736350714E-2</v>
      </c>
      <c r="Z39" s="158">
        <f t="shared" si="38"/>
        <v>134.44</v>
      </c>
      <c r="AA39" s="158">
        <f t="shared" si="38"/>
        <v>117.65</v>
      </c>
      <c r="AB39" s="158">
        <f t="shared" si="38"/>
        <v>16.79</v>
      </c>
      <c r="AC39" s="158">
        <f t="shared" si="38"/>
        <v>5158.9799999999996</v>
      </c>
      <c r="AD39" s="167">
        <f t="shared" si="33"/>
        <v>2.675667822328006E-2</v>
      </c>
      <c r="AE39" s="158">
        <f t="shared" si="39"/>
        <v>144.18</v>
      </c>
      <c r="AF39" s="158">
        <f t="shared" si="39"/>
        <v>111.3</v>
      </c>
      <c r="AG39" s="158">
        <f t="shared" si="39"/>
        <v>32.879999999999995</v>
      </c>
      <c r="AH39" s="158">
        <f t="shared" si="39"/>
        <v>5303.16</v>
      </c>
      <c r="AI39" s="167">
        <f t="shared" si="13"/>
        <v>2.7947384948187493E-2</v>
      </c>
      <c r="AJ39" s="158">
        <f t="shared" si="40"/>
        <v>137.39999999999998</v>
      </c>
      <c r="AK39" s="158">
        <f t="shared" si="40"/>
        <v>87.07</v>
      </c>
      <c r="AL39" s="158">
        <f t="shared" si="40"/>
        <v>50.33</v>
      </c>
      <c r="AM39" s="158">
        <f t="shared" si="40"/>
        <v>5440.5599999999995</v>
      </c>
      <c r="AN39" s="167">
        <f t="shared" si="15"/>
        <v>2.5909080623628108E-2</v>
      </c>
      <c r="AO39" s="158">
        <f t="shared" si="41"/>
        <v>112.92</v>
      </c>
      <c r="AP39" s="158">
        <f t="shared" si="41"/>
        <v>66.08</v>
      </c>
      <c r="AQ39" s="158">
        <f t="shared" si="41"/>
        <v>46.84</v>
      </c>
      <c r="AR39" s="158">
        <f t="shared" si="41"/>
        <v>5553.48</v>
      </c>
      <c r="AS39" s="167">
        <f t="shared" si="34"/>
        <v>2.0755216374784963E-2</v>
      </c>
      <c r="AT39" s="164">
        <f t="shared" si="35"/>
        <v>626.4799999999999</v>
      </c>
      <c r="AU39" s="165">
        <f t="shared" si="36"/>
        <v>2.5338408468688955E-2</v>
      </c>
    </row>
    <row r="40" spans="2:47" outlineLevel="1" x14ac:dyDescent="0.35">
      <c r="B40" s="48" t="s">
        <v>100</v>
      </c>
      <c r="C40" s="62" t="s">
        <v>135</v>
      </c>
      <c r="D40" s="158">
        <f t="shared" si="19"/>
        <v>69</v>
      </c>
      <c r="E40" s="158">
        <f t="shared" si="19"/>
        <v>802</v>
      </c>
      <c r="F40" s="158">
        <f t="shared" si="19"/>
        <v>80</v>
      </c>
      <c r="G40" s="156">
        <f t="shared" si="20"/>
        <v>882</v>
      </c>
      <c r="H40" s="160">
        <f t="shared" si="21"/>
        <v>9.9750623441396513E-2</v>
      </c>
      <c r="I40" s="158">
        <f t="shared" si="22"/>
        <v>73</v>
      </c>
      <c r="J40" s="156">
        <f t="shared" si="23"/>
        <v>955</v>
      </c>
      <c r="K40" s="160">
        <f t="shared" si="24"/>
        <v>8.2766439909297052E-2</v>
      </c>
      <c r="L40" s="158">
        <f t="shared" si="25"/>
        <v>41</v>
      </c>
      <c r="M40" s="156">
        <f t="shared" si="26"/>
        <v>996</v>
      </c>
      <c r="N40" s="160">
        <f t="shared" si="27"/>
        <v>4.2931937172774867E-2</v>
      </c>
      <c r="O40" s="158">
        <f t="shared" si="28"/>
        <v>27</v>
      </c>
      <c r="P40" s="156">
        <f t="shared" si="29"/>
        <v>1023</v>
      </c>
      <c r="Q40" s="160">
        <f t="shared" si="30"/>
        <v>2.710843373493976E-2</v>
      </c>
      <c r="R40" s="164">
        <f t="shared" si="31"/>
        <v>290</v>
      </c>
      <c r="S40" s="165">
        <f t="shared" si="32"/>
        <v>6.2735813726048528E-2</v>
      </c>
      <c r="U40" s="158">
        <f t="shared" si="37"/>
        <v>31.740000000000002</v>
      </c>
      <c r="V40" s="158">
        <f t="shared" si="37"/>
        <v>26.91</v>
      </c>
      <c r="W40" s="158">
        <f t="shared" si="37"/>
        <v>4.83</v>
      </c>
      <c r="X40" s="157">
        <f t="shared" si="8"/>
        <v>1054.74</v>
      </c>
      <c r="Y40" s="167">
        <f t="shared" si="9"/>
        <v>3.1026392961876842E-2</v>
      </c>
      <c r="Z40" s="158">
        <f t="shared" si="38"/>
        <v>72.19</v>
      </c>
      <c r="AA40" s="158">
        <f t="shared" si="38"/>
        <v>31.56</v>
      </c>
      <c r="AB40" s="158">
        <f t="shared" si="38"/>
        <v>40.630000000000003</v>
      </c>
      <c r="AC40" s="158">
        <f t="shared" si="38"/>
        <v>1126.93</v>
      </c>
      <c r="AD40" s="167">
        <f t="shared" si="33"/>
        <v>6.8443407854068355E-2</v>
      </c>
      <c r="AE40" s="158">
        <f t="shared" si="39"/>
        <v>97.02000000000001</v>
      </c>
      <c r="AF40" s="158">
        <f t="shared" si="39"/>
        <v>30.39</v>
      </c>
      <c r="AG40" s="158">
        <f t="shared" si="39"/>
        <v>66.63</v>
      </c>
      <c r="AH40" s="158">
        <f t="shared" si="39"/>
        <v>1223.95</v>
      </c>
      <c r="AI40" s="167">
        <f t="shared" si="13"/>
        <v>8.6092303869805556E-2</v>
      </c>
      <c r="AJ40" s="158">
        <f t="shared" si="40"/>
        <v>89.86</v>
      </c>
      <c r="AK40" s="158">
        <f t="shared" si="40"/>
        <v>23.71</v>
      </c>
      <c r="AL40" s="158">
        <f t="shared" si="40"/>
        <v>66.150000000000006</v>
      </c>
      <c r="AM40" s="158">
        <f t="shared" si="40"/>
        <v>1313.81</v>
      </c>
      <c r="AN40" s="167">
        <f t="shared" si="15"/>
        <v>7.3418031782343962E-2</v>
      </c>
      <c r="AO40" s="158">
        <f t="shared" si="41"/>
        <v>120.53999999999999</v>
      </c>
      <c r="AP40" s="158">
        <f t="shared" si="41"/>
        <v>17.57</v>
      </c>
      <c r="AQ40" s="158">
        <f t="shared" si="41"/>
        <v>102.97</v>
      </c>
      <c r="AR40" s="158">
        <f t="shared" si="41"/>
        <v>1434.35</v>
      </c>
      <c r="AS40" s="167">
        <f t="shared" si="34"/>
        <v>9.1748426332574698E-2</v>
      </c>
      <c r="AT40" s="164">
        <f t="shared" si="35"/>
        <v>411.35</v>
      </c>
      <c r="AU40" s="165">
        <f t="shared" si="36"/>
        <v>7.9884805059960096E-2</v>
      </c>
    </row>
    <row r="41" spans="2:47" outlineLevel="1" x14ac:dyDescent="0.35">
      <c r="B41" s="48" t="s">
        <v>176</v>
      </c>
      <c r="C41" s="62" t="s">
        <v>135</v>
      </c>
      <c r="D41" s="158">
        <f t="shared" si="19"/>
        <v>7</v>
      </c>
      <c r="E41" s="158">
        <f t="shared" si="19"/>
        <v>39</v>
      </c>
      <c r="F41" s="158">
        <f t="shared" si="19"/>
        <v>3</v>
      </c>
      <c r="G41" s="156">
        <f t="shared" si="20"/>
        <v>42</v>
      </c>
      <c r="H41" s="160">
        <f t="shared" si="21"/>
        <v>7.6923076923076927E-2</v>
      </c>
      <c r="I41" s="158">
        <f t="shared" si="22"/>
        <v>5</v>
      </c>
      <c r="J41" s="156">
        <f t="shared" si="23"/>
        <v>47</v>
      </c>
      <c r="K41" s="160">
        <f t="shared" si="24"/>
        <v>0.11904761904761904</v>
      </c>
      <c r="L41" s="158">
        <f t="shared" si="25"/>
        <v>0</v>
      </c>
      <c r="M41" s="156">
        <f t="shared" si="26"/>
        <v>47</v>
      </c>
      <c r="N41" s="160">
        <f t="shared" si="27"/>
        <v>0</v>
      </c>
      <c r="O41" s="158">
        <f t="shared" si="28"/>
        <v>1</v>
      </c>
      <c r="P41" s="156">
        <f t="shared" si="29"/>
        <v>48</v>
      </c>
      <c r="Q41" s="160">
        <f t="shared" si="30"/>
        <v>2.1276595744680851E-2</v>
      </c>
      <c r="R41" s="164">
        <f t="shared" si="31"/>
        <v>16</v>
      </c>
      <c r="S41" s="165">
        <f t="shared" si="32"/>
        <v>5.3280775695853322E-2</v>
      </c>
      <c r="U41" s="158">
        <f t="shared" si="37"/>
        <v>2.91</v>
      </c>
      <c r="V41" s="158">
        <f t="shared" si="37"/>
        <v>1.9100000000000001</v>
      </c>
      <c r="W41" s="158">
        <f t="shared" si="37"/>
        <v>1</v>
      </c>
      <c r="X41" s="157">
        <f t="shared" si="8"/>
        <v>50.91</v>
      </c>
      <c r="Y41" s="167">
        <f t="shared" si="9"/>
        <v>6.0624999999999929E-2</v>
      </c>
      <c r="Z41" s="158">
        <f t="shared" si="38"/>
        <v>1.1499999999999999</v>
      </c>
      <c r="AA41" s="158">
        <f t="shared" si="38"/>
        <v>1.1499999999999999</v>
      </c>
      <c r="AB41" s="158">
        <f t="shared" si="38"/>
        <v>0</v>
      </c>
      <c r="AC41" s="158">
        <f t="shared" si="38"/>
        <v>52.06</v>
      </c>
      <c r="AD41" s="167">
        <f t="shared" si="33"/>
        <v>2.2588882341386875E-2</v>
      </c>
      <c r="AE41" s="158">
        <f t="shared" si="39"/>
        <v>1.1000000000000001</v>
      </c>
      <c r="AF41" s="158">
        <f t="shared" si="39"/>
        <v>1.1000000000000001</v>
      </c>
      <c r="AG41" s="158">
        <f t="shared" si="39"/>
        <v>0</v>
      </c>
      <c r="AH41" s="158">
        <f t="shared" si="39"/>
        <v>53.16</v>
      </c>
      <c r="AI41" s="167">
        <f t="shared" si="13"/>
        <v>2.1129466000768236E-2</v>
      </c>
      <c r="AJ41" s="158">
        <f t="shared" si="40"/>
        <v>0.87</v>
      </c>
      <c r="AK41" s="158">
        <f t="shared" si="40"/>
        <v>0.87</v>
      </c>
      <c r="AL41" s="158">
        <f t="shared" si="40"/>
        <v>0</v>
      </c>
      <c r="AM41" s="158">
        <f t="shared" si="40"/>
        <v>54.03</v>
      </c>
      <c r="AN41" s="167">
        <f t="shared" si="15"/>
        <v>1.6365688487584736E-2</v>
      </c>
      <c r="AO41" s="158">
        <f t="shared" si="41"/>
        <v>0.65</v>
      </c>
      <c r="AP41" s="158">
        <f t="shared" si="41"/>
        <v>0.65</v>
      </c>
      <c r="AQ41" s="158">
        <f t="shared" si="41"/>
        <v>0</v>
      </c>
      <c r="AR41" s="158">
        <f t="shared" si="41"/>
        <v>54.68</v>
      </c>
      <c r="AS41" s="167">
        <f t="shared" si="34"/>
        <v>1.2030353507310727E-2</v>
      </c>
      <c r="AT41" s="164">
        <f t="shared" si="35"/>
        <v>6.6800000000000006</v>
      </c>
      <c r="AU41" s="165">
        <f t="shared" si="36"/>
        <v>1.8020098426871467E-2</v>
      </c>
    </row>
    <row r="42" spans="2:47" outlineLevel="1" x14ac:dyDescent="0.35">
      <c r="B42" s="48" t="s">
        <v>102</v>
      </c>
      <c r="C42" s="62" t="s">
        <v>135</v>
      </c>
      <c r="D42" s="158">
        <f t="shared" si="19"/>
        <v>153</v>
      </c>
      <c r="E42" s="158">
        <f t="shared" si="19"/>
        <v>1595</v>
      </c>
      <c r="F42" s="158">
        <f t="shared" si="19"/>
        <v>120</v>
      </c>
      <c r="G42" s="156">
        <f t="shared" si="20"/>
        <v>1715</v>
      </c>
      <c r="H42" s="160">
        <f t="shared" si="21"/>
        <v>7.5235109717868343E-2</v>
      </c>
      <c r="I42" s="158">
        <f t="shared" si="22"/>
        <v>100</v>
      </c>
      <c r="J42" s="156">
        <f t="shared" si="23"/>
        <v>1815</v>
      </c>
      <c r="K42" s="160">
        <f t="shared" si="24"/>
        <v>5.8309037900874633E-2</v>
      </c>
      <c r="L42" s="158">
        <f t="shared" si="25"/>
        <v>44</v>
      </c>
      <c r="M42" s="156">
        <f t="shared" si="26"/>
        <v>1859</v>
      </c>
      <c r="N42" s="160">
        <f t="shared" si="27"/>
        <v>2.4242424242424242E-2</v>
      </c>
      <c r="O42" s="158">
        <f t="shared" si="28"/>
        <v>31</v>
      </c>
      <c r="P42" s="156">
        <f t="shared" si="29"/>
        <v>1890</v>
      </c>
      <c r="Q42" s="160">
        <f t="shared" si="30"/>
        <v>1.6675632060247445E-2</v>
      </c>
      <c r="R42" s="164">
        <f t="shared" si="31"/>
        <v>448</v>
      </c>
      <c r="S42" s="165">
        <f t="shared" si="32"/>
        <v>4.3338609822147767E-2</v>
      </c>
      <c r="U42" s="158">
        <f t="shared" si="37"/>
        <v>37.93</v>
      </c>
      <c r="V42" s="158">
        <f t="shared" si="37"/>
        <v>36.44</v>
      </c>
      <c r="W42" s="158">
        <f t="shared" si="37"/>
        <v>1.49</v>
      </c>
      <c r="X42" s="157">
        <f t="shared" si="8"/>
        <v>1927.93</v>
      </c>
      <c r="Y42" s="167">
        <f t="shared" si="9"/>
        <v>2.0068783068783104E-2</v>
      </c>
      <c r="Z42" s="158">
        <f t="shared" si="38"/>
        <v>47.12</v>
      </c>
      <c r="AA42" s="158">
        <f t="shared" si="38"/>
        <v>45.33</v>
      </c>
      <c r="AB42" s="158">
        <f t="shared" si="38"/>
        <v>1.79</v>
      </c>
      <c r="AC42" s="158">
        <f t="shared" si="38"/>
        <v>1975.05</v>
      </c>
      <c r="AD42" s="167">
        <f t="shared" si="33"/>
        <v>2.4440721395486292E-2</v>
      </c>
      <c r="AE42" s="158">
        <f t="shared" si="39"/>
        <v>48.160000000000004</v>
      </c>
      <c r="AF42" s="158">
        <f t="shared" si="39"/>
        <v>43.49</v>
      </c>
      <c r="AG42" s="158">
        <f t="shared" si="39"/>
        <v>4.67</v>
      </c>
      <c r="AH42" s="158">
        <f t="shared" si="39"/>
        <v>2023.21</v>
      </c>
      <c r="AI42" s="167">
        <f t="shared" si="13"/>
        <v>2.438419280524548E-2</v>
      </c>
      <c r="AJ42" s="158">
        <f t="shared" si="40"/>
        <v>39.46</v>
      </c>
      <c r="AK42" s="158">
        <f t="shared" si="40"/>
        <v>34.57</v>
      </c>
      <c r="AL42" s="158">
        <f t="shared" si="40"/>
        <v>4.8899999999999997</v>
      </c>
      <c r="AM42" s="158">
        <f t="shared" si="40"/>
        <v>2062.67</v>
      </c>
      <c r="AN42" s="167">
        <f t="shared" si="15"/>
        <v>1.9503660025405191E-2</v>
      </c>
      <c r="AO42" s="158">
        <f t="shared" si="41"/>
        <v>28.599999999999998</v>
      </c>
      <c r="AP42" s="158">
        <f t="shared" si="41"/>
        <v>25.49</v>
      </c>
      <c r="AQ42" s="158">
        <f t="shared" si="41"/>
        <v>3.11</v>
      </c>
      <c r="AR42" s="158">
        <f t="shared" si="41"/>
        <v>2091.27</v>
      </c>
      <c r="AS42" s="167">
        <f t="shared" si="34"/>
        <v>1.3865523811370654E-2</v>
      </c>
      <c r="AT42" s="164">
        <f t="shared" si="35"/>
        <v>201.27</v>
      </c>
      <c r="AU42" s="165">
        <f t="shared" si="36"/>
        <v>2.0539248007289457E-2</v>
      </c>
    </row>
    <row r="43" spans="2:47" outlineLevel="1" x14ac:dyDescent="0.35">
      <c r="B43" s="48" t="s">
        <v>103</v>
      </c>
      <c r="C43" s="62" t="s">
        <v>135</v>
      </c>
      <c r="D43" s="158">
        <f t="shared" si="19"/>
        <v>0</v>
      </c>
      <c r="E43" s="158">
        <f t="shared" si="19"/>
        <v>17</v>
      </c>
      <c r="F43" s="158">
        <f t="shared" si="19"/>
        <v>0</v>
      </c>
      <c r="G43" s="156">
        <f t="shared" si="20"/>
        <v>17</v>
      </c>
      <c r="H43" s="160">
        <f t="shared" si="21"/>
        <v>0</v>
      </c>
      <c r="I43" s="158">
        <f t="shared" si="22"/>
        <v>1</v>
      </c>
      <c r="J43" s="156">
        <f t="shared" si="23"/>
        <v>18</v>
      </c>
      <c r="K43" s="160">
        <f t="shared" si="24"/>
        <v>5.8823529411764705E-2</v>
      </c>
      <c r="L43" s="158">
        <f t="shared" si="25"/>
        <v>0</v>
      </c>
      <c r="M43" s="156">
        <f t="shared" si="26"/>
        <v>18</v>
      </c>
      <c r="N43" s="160">
        <f t="shared" si="27"/>
        <v>0</v>
      </c>
      <c r="O43" s="158">
        <f t="shared" si="28"/>
        <v>-1</v>
      </c>
      <c r="P43" s="156">
        <f t="shared" si="29"/>
        <v>17</v>
      </c>
      <c r="Q43" s="160">
        <f t="shared" si="30"/>
        <v>-5.5555555555555552E-2</v>
      </c>
      <c r="R43" s="164">
        <f t="shared" si="31"/>
        <v>0</v>
      </c>
      <c r="S43" s="165">
        <f t="shared" si="32"/>
        <v>0</v>
      </c>
      <c r="U43" s="158">
        <f t="shared" si="37"/>
        <v>0</v>
      </c>
      <c r="V43" s="158">
        <f t="shared" si="37"/>
        <v>0</v>
      </c>
      <c r="W43" s="158">
        <f t="shared" si="37"/>
        <v>0</v>
      </c>
      <c r="X43" s="157">
        <f t="shared" si="8"/>
        <v>17</v>
      </c>
      <c r="Y43" s="167">
        <f t="shared" si="9"/>
        <v>0</v>
      </c>
      <c r="Z43" s="158">
        <f t="shared" si="38"/>
        <v>0</v>
      </c>
      <c r="AA43" s="158">
        <f t="shared" si="38"/>
        <v>0</v>
      </c>
      <c r="AB43" s="158">
        <f t="shared" si="38"/>
        <v>0</v>
      </c>
      <c r="AC43" s="158">
        <f t="shared" si="38"/>
        <v>17</v>
      </c>
      <c r="AD43" s="167">
        <f t="shared" si="33"/>
        <v>0</v>
      </c>
      <c r="AE43" s="158">
        <f t="shared" si="39"/>
        <v>0</v>
      </c>
      <c r="AF43" s="158">
        <f t="shared" si="39"/>
        <v>0</v>
      </c>
      <c r="AG43" s="158">
        <f t="shared" si="39"/>
        <v>0</v>
      </c>
      <c r="AH43" s="158">
        <f t="shared" si="39"/>
        <v>17</v>
      </c>
      <c r="AI43" s="167">
        <f t="shared" si="13"/>
        <v>0</v>
      </c>
      <c r="AJ43" s="158">
        <f t="shared" si="40"/>
        <v>0</v>
      </c>
      <c r="AK43" s="158">
        <f t="shared" si="40"/>
        <v>0</v>
      </c>
      <c r="AL43" s="158">
        <f t="shared" si="40"/>
        <v>0</v>
      </c>
      <c r="AM43" s="158">
        <f t="shared" si="40"/>
        <v>17</v>
      </c>
      <c r="AN43" s="167">
        <f t="shared" si="15"/>
        <v>0</v>
      </c>
      <c r="AO43" s="158">
        <f t="shared" si="41"/>
        <v>0</v>
      </c>
      <c r="AP43" s="158">
        <f t="shared" si="41"/>
        <v>0</v>
      </c>
      <c r="AQ43" s="158">
        <f t="shared" si="41"/>
        <v>0</v>
      </c>
      <c r="AR43" s="158">
        <f t="shared" si="41"/>
        <v>17</v>
      </c>
      <c r="AS43" s="167">
        <f t="shared" si="34"/>
        <v>0</v>
      </c>
      <c r="AT43" s="164">
        <f t="shared" si="35"/>
        <v>0</v>
      </c>
      <c r="AU43" s="165">
        <f t="shared" si="36"/>
        <v>0</v>
      </c>
    </row>
    <row r="44" spans="2:47" outlineLevel="1" x14ac:dyDescent="0.35">
      <c r="B44" s="48" t="s">
        <v>177</v>
      </c>
      <c r="C44" s="62" t="s">
        <v>135</v>
      </c>
      <c r="D44" s="158">
        <f t="shared" si="19"/>
        <v>0</v>
      </c>
      <c r="E44" s="158">
        <f t="shared" si="19"/>
        <v>1</v>
      </c>
      <c r="F44" s="158">
        <f t="shared" si="19"/>
        <v>0</v>
      </c>
      <c r="G44" s="156">
        <f t="shared" si="20"/>
        <v>1</v>
      </c>
      <c r="H44" s="160">
        <f t="shared" si="21"/>
        <v>0</v>
      </c>
      <c r="I44" s="158">
        <f t="shared" si="22"/>
        <v>0</v>
      </c>
      <c r="J44" s="156">
        <f t="shared" si="23"/>
        <v>1</v>
      </c>
      <c r="K44" s="160">
        <f t="shared" si="24"/>
        <v>0</v>
      </c>
      <c r="L44" s="158">
        <f t="shared" si="25"/>
        <v>0</v>
      </c>
      <c r="M44" s="156">
        <f t="shared" si="26"/>
        <v>1</v>
      </c>
      <c r="N44" s="160">
        <f t="shared" si="27"/>
        <v>0</v>
      </c>
      <c r="O44" s="158">
        <f t="shared" si="28"/>
        <v>0</v>
      </c>
      <c r="P44" s="156">
        <f t="shared" si="29"/>
        <v>1</v>
      </c>
      <c r="Q44" s="160">
        <f t="shared" si="30"/>
        <v>0</v>
      </c>
      <c r="R44" s="164">
        <f t="shared" si="31"/>
        <v>0</v>
      </c>
      <c r="S44" s="165">
        <f t="shared" si="32"/>
        <v>0</v>
      </c>
      <c r="U44" s="158">
        <f t="shared" si="37"/>
        <v>0</v>
      </c>
      <c r="V44" s="158">
        <f t="shared" si="37"/>
        <v>0</v>
      </c>
      <c r="W44" s="158">
        <f t="shared" si="37"/>
        <v>0</v>
      </c>
      <c r="X44" s="157">
        <f t="shared" si="8"/>
        <v>1</v>
      </c>
      <c r="Y44" s="167">
        <f t="shared" si="9"/>
        <v>0</v>
      </c>
      <c r="Z44" s="158">
        <f t="shared" si="38"/>
        <v>0</v>
      </c>
      <c r="AA44" s="158">
        <f t="shared" si="38"/>
        <v>0</v>
      </c>
      <c r="AB44" s="158">
        <f t="shared" si="38"/>
        <v>0</v>
      </c>
      <c r="AC44" s="158">
        <f t="shared" si="38"/>
        <v>1</v>
      </c>
      <c r="AD44" s="167">
        <f t="shared" si="33"/>
        <v>0</v>
      </c>
      <c r="AE44" s="158">
        <f t="shared" si="39"/>
        <v>0</v>
      </c>
      <c r="AF44" s="158">
        <f t="shared" si="39"/>
        <v>0</v>
      </c>
      <c r="AG44" s="158">
        <f t="shared" si="39"/>
        <v>0</v>
      </c>
      <c r="AH44" s="158">
        <f t="shared" si="39"/>
        <v>1</v>
      </c>
      <c r="AI44" s="167">
        <f t="shared" si="13"/>
        <v>0</v>
      </c>
      <c r="AJ44" s="158">
        <f t="shared" si="40"/>
        <v>15.2</v>
      </c>
      <c r="AK44" s="158">
        <f t="shared" si="40"/>
        <v>0</v>
      </c>
      <c r="AL44" s="158">
        <f t="shared" si="40"/>
        <v>15.2</v>
      </c>
      <c r="AM44" s="158">
        <f t="shared" si="40"/>
        <v>16.2</v>
      </c>
      <c r="AN44" s="167">
        <f t="shared" si="15"/>
        <v>15.2</v>
      </c>
      <c r="AO44" s="158">
        <f t="shared" si="41"/>
        <v>28.33</v>
      </c>
      <c r="AP44" s="158">
        <f t="shared" si="41"/>
        <v>0</v>
      </c>
      <c r="AQ44" s="158">
        <f t="shared" si="41"/>
        <v>28.33</v>
      </c>
      <c r="AR44" s="158">
        <f t="shared" si="41"/>
        <v>44.53</v>
      </c>
      <c r="AS44" s="167">
        <f t="shared" si="34"/>
        <v>1.7487654320987656</v>
      </c>
      <c r="AT44" s="164">
        <f t="shared" si="35"/>
        <v>43.53</v>
      </c>
      <c r="AU44" s="165">
        <f t="shared" si="36"/>
        <v>1.5832305836454377</v>
      </c>
    </row>
    <row r="45" spans="2:47" outlineLevel="1" x14ac:dyDescent="0.35">
      <c r="B45" s="48" t="s">
        <v>136</v>
      </c>
      <c r="C45" s="62" t="s">
        <v>135</v>
      </c>
      <c r="D45" s="158">
        <f t="shared" si="19"/>
        <v>0</v>
      </c>
      <c r="E45" s="158">
        <f t="shared" si="19"/>
        <v>0</v>
      </c>
      <c r="F45" s="158">
        <f t="shared" si="19"/>
        <v>0</v>
      </c>
      <c r="G45" s="156">
        <f t="shared" si="20"/>
        <v>0</v>
      </c>
      <c r="H45" s="160">
        <f t="shared" si="21"/>
        <v>0</v>
      </c>
      <c r="I45" s="158">
        <f t="shared" si="22"/>
        <v>0</v>
      </c>
      <c r="J45" s="156">
        <f t="shared" si="23"/>
        <v>0</v>
      </c>
      <c r="K45" s="160">
        <f t="shared" si="24"/>
        <v>0</v>
      </c>
      <c r="L45" s="158">
        <f t="shared" si="25"/>
        <v>0</v>
      </c>
      <c r="M45" s="156">
        <f t="shared" si="26"/>
        <v>0</v>
      </c>
      <c r="N45" s="160">
        <f t="shared" si="27"/>
        <v>0</v>
      </c>
      <c r="O45" s="158">
        <f t="shared" si="28"/>
        <v>0</v>
      </c>
      <c r="P45" s="156">
        <f t="shared" si="29"/>
        <v>0</v>
      </c>
      <c r="Q45" s="160">
        <f t="shared" si="30"/>
        <v>0</v>
      </c>
      <c r="R45" s="164">
        <f t="shared" si="31"/>
        <v>0</v>
      </c>
      <c r="S45" s="165">
        <f t="shared" si="32"/>
        <v>0</v>
      </c>
      <c r="U45" s="158">
        <f t="shared" si="37"/>
        <v>0</v>
      </c>
      <c r="V45" s="158">
        <f t="shared" si="37"/>
        <v>0</v>
      </c>
      <c r="W45" s="158">
        <f t="shared" si="37"/>
        <v>0</v>
      </c>
      <c r="X45" s="157">
        <f t="shared" si="8"/>
        <v>0</v>
      </c>
      <c r="Y45" s="167">
        <f t="shared" si="9"/>
        <v>0</v>
      </c>
      <c r="Z45" s="158">
        <f t="shared" si="38"/>
        <v>0</v>
      </c>
      <c r="AA45" s="158">
        <f t="shared" si="38"/>
        <v>0</v>
      </c>
      <c r="AB45" s="158">
        <f t="shared" si="38"/>
        <v>0</v>
      </c>
      <c r="AC45" s="158">
        <f t="shared" si="38"/>
        <v>0</v>
      </c>
      <c r="AD45" s="167">
        <f t="shared" si="33"/>
        <v>0</v>
      </c>
      <c r="AE45" s="158">
        <f t="shared" si="39"/>
        <v>0</v>
      </c>
      <c r="AF45" s="158">
        <f t="shared" si="39"/>
        <v>0</v>
      </c>
      <c r="AG45" s="158">
        <f t="shared" si="39"/>
        <v>0</v>
      </c>
      <c r="AH45" s="158">
        <f t="shared" si="39"/>
        <v>0</v>
      </c>
      <c r="AI45" s="167">
        <f t="shared" si="13"/>
        <v>0</v>
      </c>
      <c r="AJ45" s="158">
        <f t="shared" si="40"/>
        <v>15.2</v>
      </c>
      <c r="AK45" s="158">
        <f t="shared" si="40"/>
        <v>0</v>
      </c>
      <c r="AL45" s="158">
        <f t="shared" si="40"/>
        <v>15.2</v>
      </c>
      <c r="AM45" s="158">
        <f t="shared" si="40"/>
        <v>15.2</v>
      </c>
      <c r="AN45" s="167">
        <f t="shared" si="15"/>
        <v>0</v>
      </c>
      <c r="AO45" s="158">
        <f t="shared" si="41"/>
        <v>24.6</v>
      </c>
      <c r="AP45" s="158">
        <f t="shared" si="41"/>
        <v>0</v>
      </c>
      <c r="AQ45" s="158">
        <f t="shared" si="41"/>
        <v>24.6</v>
      </c>
      <c r="AR45" s="158">
        <f t="shared" si="41"/>
        <v>39.799999999999997</v>
      </c>
      <c r="AS45" s="167">
        <f t="shared" si="34"/>
        <v>1.618421052631579</v>
      </c>
      <c r="AT45" s="164">
        <f t="shared" si="35"/>
        <v>39.799999999999997</v>
      </c>
      <c r="AU45" s="165">
        <f t="shared" si="36"/>
        <v>0</v>
      </c>
    </row>
    <row r="46" spans="2:47" outlineLevel="1" x14ac:dyDescent="0.35">
      <c r="B46" s="48" t="s">
        <v>106</v>
      </c>
      <c r="C46" s="62" t="s">
        <v>135</v>
      </c>
      <c r="D46" s="158">
        <f t="shared" si="19"/>
        <v>101</v>
      </c>
      <c r="E46" s="158">
        <f t="shared" si="19"/>
        <v>586</v>
      </c>
      <c r="F46" s="158">
        <f t="shared" si="19"/>
        <v>62</v>
      </c>
      <c r="G46" s="156">
        <f t="shared" si="20"/>
        <v>648</v>
      </c>
      <c r="H46" s="160">
        <f t="shared" si="21"/>
        <v>0.10580204778156997</v>
      </c>
      <c r="I46" s="158">
        <f t="shared" si="22"/>
        <v>70</v>
      </c>
      <c r="J46" s="156">
        <f t="shared" si="23"/>
        <v>718</v>
      </c>
      <c r="K46" s="160">
        <f t="shared" si="24"/>
        <v>0.10802469135802469</v>
      </c>
      <c r="L46" s="158">
        <f t="shared" si="25"/>
        <v>23</v>
      </c>
      <c r="M46" s="156">
        <f t="shared" si="26"/>
        <v>741</v>
      </c>
      <c r="N46" s="160">
        <f t="shared" si="27"/>
        <v>3.2033426183844013E-2</v>
      </c>
      <c r="O46" s="158">
        <f t="shared" si="28"/>
        <v>23</v>
      </c>
      <c r="P46" s="156">
        <f t="shared" si="29"/>
        <v>764</v>
      </c>
      <c r="Q46" s="160">
        <f t="shared" si="30"/>
        <v>3.1039136302294199E-2</v>
      </c>
      <c r="R46" s="164">
        <f t="shared" si="31"/>
        <v>279</v>
      </c>
      <c r="S46" s="165">
        <f t="shared" si="32"/>
        <v>6.8560055790228613E-2</v>
      </c>
      <c r="U46" s="158">
        <f t="shared" si="37"/>
        <v>18.440000000000001</v>
      </c>
      <c r="V46" s="158">
        <f t="shared" si="37"/>
        <v>17.62</v>
      </c>
      <c r="W46" s="158">
        <f t="shared" si="37"/>
        <v>0.82</v>
      </c>
      <c r="X46" s="157">
        <f t="shared" ref="X46:X63" si="42">X108+X170++X232+X293</f>
        <v>782.44</v>
      </c>
      <c r="Y46" s="167">
        <f t="shared" si="9"/>
        <v>2.4136125654450332E-2</v>
      </c>
      <c r="Z46" s="158">
        <f t="shared" si="38"/>
        <v>29.34</v>
      </c>
      <c r="AA46" s="158">
        <f t="shared" si="38"/>
        <v>22.13</v>
      </c>
      <c r="AB46" s="158">
        <f t="shared" si="38"/>
        <v>7.21</v>
      </c>
      <c r="AC46" s="158">
        <f t="shared" si="38"/>
        <v>811.78000000000009</v>
      </c>
      <c r="AD46" s="167">
        <f t="shared" si="33"/>
        <v>3.7498082920096147E-2</v>
      </c>
      <c r="AE46" s="158">
        <f t="shared" si="39"/>
        <v>28.12</v>
      </c>
      <c r="AF46" s="158">
        <f t="shared" si="39"/>
        <v>21.19</v>
      </c>
      <c r="AG46" s="158">
        <f t="shared" si="39"/>
        <v>6.93</v>
      </c>
      <c r="AH46" s="158">
        <f t="shared" si="39"/>
        <v>839.90000000000009</v>
      </c>
      <c r="AI46" s="167">
        <f t="shared" si="13"/>
        <v>3.4639927073837742E-2</v>
      </c>
      <c r="AJ46" s="158">
        <f t="shared" si="40"/>
        <v>24.96</v>
      </c>
      <c r="AK46" s="158">
        <f t="shared" si="40"/>
        <v>16.649999999999999</v>
      </c>
      <c r="AL46" s="158">
        <f t="shared" si="40"/>
        <v>8.3099999999999987</v>
      </c>
      <c r="AM46" s="158">
        <f t="shared" si="40"/>
        <v>864.86000000000013</v>
      </c>
      <c r="AN46" s="167">
        <f t="shared" si="15"/>
        <v>2.9717823550422708E-2</v>
      </c>
      <c r="AO46" s="158">
        <f t="shared" si="41"/>
        <v>36.25</v>
      </c>
      <c r="AP46" s="158">
        <f t="shared" si="41"/>
        <v>12.97</v>
      </c>
      <c r="AQ46" s="158">
        <f t="shared" si="41"/>
        <v>23.28</v>
      </c>
      <c r="AR46" s="158">
        <f t="shared" si="41"/>
        <v>901.11000000000013</v>
      </c>
      <c r="AS46" s="167">
        <f t="shared" si="34"/>
        <v>4.1914298267927752E-2</v>
      </c>
      <c r="AT46" s="164">
        <f t="shared" si="35"/>
        <v>137.11000000000001</v>
      </c>
      <c r="AU46" s="165">
        <f t="shared" si="36"/>
        <v>3.5933055640861022E-2</v>
      </c>
    </row>
    <row r="47" spans="2:47" outlineLevel="1" x14ac:dyDescent="0.35">
      <c r="B47" s="48" t="s">
        <v>188</v>
      </c>
      <c r="C47" s="62" t="s">
        <v>135</v>
      </c>
      <c r="D47" s="158">
        <f t="shared" si="19"/>
        <v>60</v>
      </c>
      <c r="E47" s="158">
        <f t="shared" si="19"/>
        <v>845</v>
      </c>
      <c r="F47" s="158">
        <f t="shared" si="19"/>
        <v>103</v>
      </c>
      <c r="G47" s="156">
        <f t="shared" si="20"/>
        <v>948</v>
      </c>
      <c r="H47" s="160">
        <f t="shared" si="21"/>
        <v>0.12189349112426036</v>
      </c>
      <c r="I47" s="158">
        <f t="shared" si="22"/>
        <v>139</v>
      </c>
      <c r="J47" s="156">
        <f t="shared" si="23"/>
        <v>1087</v>
      </c>
      <c r="K47" s="160">
        <f t="shared" si="24"/>
        <v>0.14662447257383968</v>
      </c>
      <c r="L47" s="158">
        <f t="shared" si="25"/>
        <v>77</v>
      </c>
      <c r="M47" s="156">
        <f t="shared" si="26"/>
        <v>1164</v>
      </c>
      <c r="N47" s="160">
        <f t="shared" si="27"/>
        <v>7.0837166513339461E-2</v>
      </c>
      <c r="O47" s="158">
        <f t="shared" si="28"/>
        <v>40</v>
      </c>
      <c r="P47" s="156">
        <f t="shared" si="29"/>
        <v>1204</v>
      </c>
      <c r="Q47" s="160">
        <f t="shared" si="30"/>
        <v>3.4364261168384883E-2</v>
      </c>
      <c r="R47" s="164">
        <f t="shared" si="31"/>
        <v>419</v>
      </c>
      <c r="S47" s="165">
        <f t="shared" si="32"/>
        <v>9.2552825444104814E-2</v>
      </c>
      <c r="U47" s="158">
        <f t="shared" si="37"/>
        <v>37.06</v>
      </c>
      <c r="V47" s="158">
        <f t="shared" si="37"/>
        <v>35.93</v>
      </c>
      <c r="W47" s="158">
        <f t="shared" si="37"/>
        <v>1.1299999999999999</v>
      </c>
      <c r="X47" s="157">
        <f t="shared" si="42"/>
        <v>1241.06</v>
      </c>
      <c r="Y47" s="167">
        <f t="shared" si="9"/>
        <v>3.078073089700992E-2</v>
      </c>
      <c r="Z47" s="158">
        <f t="shared" si="38"/>
        <v>62.2</v>
      </c>
      <c r="AA47" s="158">
        <f t="shared" si="38"/>
        <v>44.63</v>
      </c>
      <c r="AB47" s="158">
        <f t="shared" si="38"/>
        <v>17.57</v>
      </c>
      <c r="AC47" s="158">
        <f t="shared" si="38"/>
        <v>1303.26</v>
      </c>
      <c r="AD47" s="167">
        <f t="shared" si="33"/>
        <v>5.0118447133901706E-2</v>
      </c>
      <c r="AE47" s="158">
        <f t="shared" si="39"/>
        <v>63.33</v>
      </c>
      <c r="AF47" s="158">
        <f t="shared" si="39"/>
        <v>41.58</v>
      </c>
      <c r="AG47" s="158">
        <f t="shared" si="39"/>
        <v>21.75</v>
      </c>
      <c r="AH47" s="158">
        <f t="shared" si="39"/>
        <v>1366.59</v>
      </c>
      <c r="AI47" s="167">
        <f t="shared" si="13"/>
        <v>4.8593527001519213E-2</v>
      </c>
      <c r="AJ47" s="158">
        <f t="shared" si="40"/>
        <v>48.19</v>
      </c>
      <c r="AK47" s="158">
        <f t="shared" si="40"/>
        <v>33.11</v>
      </c>
      <c r="AL47" s="158">
        <f t="shared" si="40"/>
        <v>15.08</v>
      </c>
      <c r="AM47" s="158">
        <f t="shared" si="40"/>
        <v>1414.78</v>
      </c>
      <c r="AN47" s="167">
        <f t="shared" si="15"/>
        <v>3.5262953775455741E-2</v>
      </c>
      <c r="AO47" s="158">
        <f t="shared" si="41"/>
        <v>36.25</v>
      </c>
      <c r="AP47" s="158">
        <f t="shared" si="41"/>
        <v>24.48</v>
      </c>
      <c r="AQ47" s="158">
        <f t="shared" si="41"/>
        <v>11.77</v>
      </c>
      <c r="AR47" s="158">
        <f t="shared" si="41"/>
        <v>1451.03</v>
      </c>
      <c r="AS47" s="167">
        <f t="shared" si="34"/>
        <v>2.5622358246511826E-2</v>
      </c>
      <c r="AT47" s="164">
        <f t="shared" si="35"/>
        <v>247.03</v>
      </c>
      <c r="AU47" s="165">
        <f t="shared" si="36"/>
        <v>3.9850496007871827E-2</v>
      </c>
    </row>
    <row r="48" spans="2:47" outlineLevel="1" x14ac:dyDescent="0.35">
      <c r="B48" s="48" t="s">
        <v>108</v>
      </c>
      <c r="C48" s="62" t="s">
        <v>135</v>
      </c>
      <c r="D48" s="158">
        <f t="shared" si="19"/>
        <v>140</v>
      </c>
      <c r="E48" s="158">
        <f t="shared" si="19"/>
        <v>1364</v>
      </c>
      <c r="F48" s="158">
        <f t="shared" si="19"/>
        <v>152</v>
      </c>
      <c r="G48" s="156">
        <f t="shared" si="20"/>
        <v>1516</v>
      </c>
      <c r="H48" s="160">
        <f t="shared" si="21"/>
        <v>0.11143695014662756</v>
      </c>
      <c r="I48" s="158">
        <f t="shared" si="22"/>
        <v>186</v>
      </c>
      <c r="J48" s="156">
        <f t="shared" si="23"/>
        <v>1702</v>
      </c>
      <c r="K48" s="160">
        <f t="shared" si="24"/>
        <v>0.12269129287598944</v>
      </c>
      <c r="L48" s="158">
        <f t="shared" si="25"/>
        <v>105</v>
      </c>
      <c r="M48" s="156">
        <f t="shared" si="26"/>
        <v>1807</v>
      </c>
      <c r="N48" s="160">
        <f t="shared" si="27"/>
        <v>6.1692126909518211E-2</v>
      </c>
      <c r="O48" s="158">
        <f t="shared" si="28"/>
        <v>40</v>
      </c>
      <c r="P48" s="156">
        <f t="shared" si="29"/>
        <v>1847</v>
      </c>
      <c r="Q48" s="160">
        <f t="shared" si="30"/>
        <v>2.2136137244050912E-2</v>
      </c>
      <c r="R48" s="164">
        <f t="shared" si="31"/>
        <v>623</v>
      </c>
      <c r="S48" s="165">
        <f t="shared" si="32"/>
        <v>7.8730930062151705E-2</v>
      </c>
      <c r="U48" s="158">
        <f t="shared" si="37"/>
        <v>73.3</v>
      </c>
      <c r="V48" s="158">
        <f t="shared" si="37"/>
        <v>52.43</v>
      </c>
      <c r="W48" s="158">
        <f t="shared" si="37"/>
        <v>20.87</v>
      </c>
      <c r="X48" s="157">
        <f t="shared" si="42"/>
        <v>1920.3</v>
      </c>
      <c r="Y48" s="167">
        <f t="shared" si="9"/>
        <v>3.9685977260422285E-2</v>
      </c>
      <c r="Z48" s="158">
        <f t="shared" si="38"/>
        <v>88.49</v>
      </c>
      <c r="AA48" s="158">
        <f t="shared" si="38"/>
        <v>63.68</v>
      </c>
      <c r="AB48" s="158">
        <f t="shared" si="38"/>
        <v>24.81</v>
      </c>
      <c r="AC48" s="158">
        <f t="shared" si="38"/>
        <v>2008.79</v>
      </c>
      <c r="AD48" s="167">
        <f t="shared" si="33"/>
        <v>4.608134145706401E-2</v>
      </c>
      <c r="AE48" s="158">
        <f t="shared" si="39"/>
        <v>137.82</v>
      </c>
      <c r="AF48" s="158">
        <f t="shared" si="39"/>
        <v>60.15</v>
      </c>
      <c r="AG48" s="158">
        <f t="shared" si="39"/>
        <v>77.67</v>
      </c>
      <c r="AH48" s="158">
        <f t="shared" si="39"/>
        <v>2146.6099999999997</v>
      </c>
      <c r="AI48" s="167">
        <f t="shared" si="13"/>
        <v>6.8608465792840329E-2</v>
      </c>
      <c r="AJ48" s="158">
        <f t="shared" si="40"/>
        <v>175.21</v>
      </c>
      <c r="AK48" s="158">
        <f t="shared" si="40"/>
        <v>47.85</v>
      </c>
      <c r="AL48" s="158">
        <f t="shared" si="40"/>
        <v>127.36</v>
      </c>
      <c r="AM48" s="158">
        <f t="shared" si="40"/>
        <v>2321.8199999999997</v>
      </c>
      <c r="AN48" s="167">
        <f t="shared" si="15"/>
        <v>8.1621719828007908E-2</v>
      </c>
      <c r="AO48" s="158">
        <f t="shared" si="41"/>
        <v>155.52000000000001</v>
      </c>
      <c r="AP48" s="158">
        <f t="shared" si="41"/>
        <v>35.729999999999997</v>
      </c>
      <c r="AQ48" s="158">
        <f t="shared" si="41"/>
        <v>119.79</v>
      </c>
      <c r="AR48" s="158">
        <f t="shared" si="41"/>
        <v>2477.3399999999997</v>
      </c>
      <c r="AS48" s="167">
        <f t="shared" si="34"/>
        <v>6.6981936584231336E-2</v>
      </c>
      <c r="AT48" s="164">
        <f t="shared" si="35"/>
        <v>630.34</v>
      </c>
      <c r="AU48" s="165">
        <f t="shared" si="36"/>
        <v>6.5747035465646642E-2</v>
      </c>
    </row>
    <row r="49" spans="2:47" outlineLevel="1" x14ac:dyDescent="0.35">
      <c r="B49" s="48" t="s">
        <v>109</v>
      </c>
      <c r="C49" s="62" t="s">
        <v>135</v>
      </c>
      <c r="D49" s="158">
        <f t="shared" si="19"/>
        <v>240</v>
      </c>
      <c r="E49" s="158">
        <f t="shared" si="19"/>
        <v>2962</v>
      </c>
      <c r="F49" s="158">
        <f t="shared" si="19"/>
        <v>226</v>
      </c>
      <c r="G49" s="156">
        <f t="shared" si="20"/>
        <v>3188</v>
      </c>
      <c r="H49" s="160">
        <f t="shared" si="21"/>
        <v>7.6299797434166108E-2</v>
      </c>
      <c r="I49" s="158">
        <f t="shared" si="22"/>
        <v>186</v>
      </c>
      <c r="J49" s="156">
        <f t="shared" si="23"/>
        <v>3374</v>
      </c>
      <c r="K49" s="160">
        <f t="shared" si="24"/>
        <v>5.8343789209535757E-2</v>
      </c>
      <c r="L49" s="158">
        <f t="shared" si="25"/>
        <v>103</v>
      </c>
      <c r="M49" s="156">
        <f t="shared" si="26"/>
        <v>3477</v>
      </c>
      <c r="N49" s="160">
        <f t="shared" si="27"/>
        <v>3.0527563722584469E-2</v>
      </c>
      <c r="O49" s="158">
        <f t="shared" si="28"/>
        <v>80</v>
      </c>
      <c r="P49" s="156">
        <f t="shared" si="29"/>
        <v>3557</v>
      </c>
      <c r="Q49" s="160">
        <f t="shared" si="30"/>
        <v>2.3008340523439749E-2</v>
      </c>
      <c r="R49" s="164">
        <f t="shared" si="31"/>
        <v>835</v>
      </c>
      <c r="S49" s="165">
        <f t="shared" si="32"/>
        <v>4.6826487103394987E-2</v>
      </c>
      <c r="U49" s="158">
        <f t="shared" si="37"/>
        <v>138.97</v>
      </c>
      <c r="V49" s="158">
        <f t="shared" si="37"/>
        <v>138.97</v>
      </c>
      <c r="W49" s="158">
        <f t="shared" si="37"/>
        <v>0</v>
      </c>
      <c r="X49" s="157">
        <f t="shared" si="42"/>
        <v>3695.97</v>
      </c>
      <c r="Y49" s="167">
        <f t="shared" si="9"/>
        <v>3.9069440539780655E-2</v>
      </c>
      <c r="Z49" s="158">
        <f t="shared" si="38"/>
        <v>173.94</v>
      </c>
      <c r="AA49" s="158">
        <f t="shared" si="38"/>
        <v>173.94</v>
      </c>
      <c r="AB49" s="158">
        <f t="shared" si="38"/>
        <v>0</v>
      </c>
      <c r="AC49" s="158">
        <f t="shared" si="38"/>
        <v>3869.91</v>
      </c>
      <c r="AD49" s="167">
        <f t="shared" si="33"/>
        <v>4.7062070309012265E-2</v>
      </c>
      <c r="AE49" s="158">
        <f t="shared" si="39"/>
        <v>175.27</v>
      </c>
      <c r="AF49" s="158">
        <f t="shared" si="39"/>
        <v>165.56</v>
      </c>
      <c r="AG49" s="158">
        <f t="shared" si="39"/>
        <v>9.7100000000000009</v>
      </c>
      <c r="AH49" s="158">
        <f t="shared" si="39"/>
        <v>4045.18</v>
      </c>
      <c r="AI49" s="167">
        <f t="shared" si="13"/>
        <v>4.5290458951241758E-2</v>
      </c>
      <c r="AJ49" s="158">
        <f t="shared" si="40"/>
        <v>141.13</v>
      </c>
      <c r="AK49" s="158">
        <f t="shared" si="40"/>
        <v>129.63</v>
      </c>
      <c r="AL49" s="158">
        <f t="shared" si="40"/>
        <v>11.5</v>
      </c>
      <c r="AM49" s="158">
        <f t="shared" si="40"/>
        <v>4186.3099999999995</v>
      </c>
      <c r="AN49" s="167">
        <f t="shared" si="15"/>
        <v>3.4888435125260103E-2</v>
      </c>
      <c r="AO49" s="158">
        <f t="shared" si="41"/>
        <v>105.76</v>
      </c>
      <c r="AP49" s="158">
        <f t="shared" si="41"/>
        <v>98.04</v>
      </c>
      <c r="AQ49" s="158">
        <f t="shared" si="41"/>
        <v>7.72</v>
      </c>
      <c r="AR49" s="158">
        <f t="shared" si="41"/>
        <v>4292.07</v>
      </c>
      <c r="AS49" s="167">
        <f t="shared" si="34"/>
        <v>2.5263298704587149E-2</v>
      </c>
      <c r="AT49" s="164">
        <f t="shared" si="35"/>
        <v>735.06999999999994</v>
      </c>
      <c r="AU49" s="165">
        <f t="shared" si="36"/>
        <v>3.808900147095251E-2</v>
      </c>
    </row>
    <row r="50" spans="2:47" outlineLevel="1" x14ac:dyDescent="0.35">
      <c r="B50" s="48" t="s">
        <v>189</v>
      </c>
      <c r="C50" s="62" t="s">
        <v>135</v>
      </c>
      <c r="D50" s="158">
        <f t="shared" si="19"/>
        <v>68</v>
      </c>
      <c r="E50" s="158">
        <f t="shared" si="19"/>
        <v>649</v>
      </c>
      <c r="F50" s="158">
        <f t="shared" si="19"/>
        <v>58</v>
      </c>
      <c r="G50" s="156">
        <f t="shared" si="20"/>
        <v>707</v>
      </c>
      <c r="H50" s="160">
        <f t="shared" si="21"/>
        <v>8.9368258859784278E-2</v>
      </c>
      <c r="I50" s="158">
        <f t="shared" si="22"/>
        <v>70</v>
      </c>
      <c r="J50" s="156">
        <f t="shared" si="23"/>
        <v>777</v>
      </c>
      <c r="K50" s="160">
        <f t="shared" si="24"/>
        <v>9.9009900990099015E-2</v>
      </c>
      <c r="L50" s="158">
        <f t="shared" si="25"/>
        <v>35</v>
      </c>
      <c r="M50" s="156">
        <f t="shared" si="26"/>
        <v>812</v>
      </c>
      <c r="N50" s="160">
        <f t="shared" si="27"/>
        <v>4.5045045045045043E-2</v>
      </c>
      <c r="O50" s="158">
        <f t="shared" si="28"/>
        <v>15</v>
      </c>
      <c r="P50" s="156">
        <f t="shared" si="29"/>
        <v>827</v>
      </c>
      <c r="Q50" s="160">
        <f t="shared" si="30"/>
        <v>1.8472906403940888E-2</v>
      </c>
      <c r="R50" s="164">
        <f t="shared" si="31"/>
        <v>246</v>
      </c>
      <c r="S50" s="165">
        <f t="shared" si="32"/>
        <v>6.2466396592576245E-2</v>
      </c>
      <c r="U50" s="158">
        <f t="shared" si="37"/>
        <v>19.8</v>
      </c>
      <c r="V50" s="158">
        <f t="shared" si="37"/>
        <v>18.060000000000002</v>
      </c>
      <c r="W50" s="158">
        <f t="shared" si="37"/>
        <v>1.74</v>
      </c>
      <c r="X50" s="157">
        <f t="shared" si="42"/>
        <v>846.8</v>
      </c>
      <c r="Y50" s="167">
        <f t="shared" si="9"/>
        <v>2.394195888754529E-2</v>
      </c>
      <c r="Z50" s="158">
        <f t="shared" si="38"/>
        <v>22.56</v>
      </c>
      <c r="AA50" s="158">
        <f t="shared" si="38"/>
        <v>20.47</v>
      </c>
      <c r="AB50" s="158">
        <f t="shared" si="38"/>
        <v>2.09</v>
      </c>
      <c r="AC50" s="158">
        <f t="shared" si="38"/>
        <v>869.3599999999999</v>
      </c>
      <c r="AD50" s="167">
        <f t="shared" si="33"/>
        <v>2.6641473783656056E-2</v>
      </c>
      <c r="AE50" s="158">
        <f t="shared" si="39"/>
        <v>24.849999999999998</v>
      </c>
      <c r="AF50" s="158">
        <f t="shared" si="39"/>
        <v>18.79</v>
      </c>
      <c r="AG50" s="158">
        <f t="shared" si="39"/>
        <v>6.06</v>
      </c>
      <c r="AH50" s="158">
        <f t="shared" si="39"/>
        <v>894.20999999999992</v>
      </c>
      <c r="AI50" s="167">
        <f t="shared" si="13"/>
        <v>2.8584245882028188E-2</v>
      </c>
      <c r="AJ50" s="158">
        <f t="shared" si="40"/>
        <v>21.84</v>
      </c>
      <c r="AK50" s="158">
        <f t="shared" si="40"/>
        <v>15.4</v>
      </c>
      <c r="AL50" s="158">
        <f t="shared" si="40"/>
        <v>6.44</v>
      </c>
      <c r="AM50" s="158">
        <f t="shared" si="40"/>
        <v>916.05</v>
      </c>
      <c r="AN50" s="167">
        <f t="shared" si="15"/>
        <v>2.4423793068742278E-2</v>
      </c>
      <c r="AO50" s="158">
        <f t="shared" si="41"/>
        <v>26.22</v>
      </c>
      <c r="AP50" s="158">
        <f t="shared" si="41"/>
        <v>11.33</v>
      </c>
      <c r="AQ50" s="158">
        <f t="shared" si="41"/>
        <v>14.89</v>
      </c>
      <c r="AR50" s="158">
        <f t="shared" si="41"/>
        <v>942.27</v>
      </c>
      <c r="AS50" s="167">
        <f t="shared" si="34"/>
        <v>2.8622891763550054E-2</v>
      </c>
      <c r="AT50" s="164">
        <f t="shared" si="35"/>
        <v>115.27</v>
      </c>
      <c r="AU50" s="165">
        <f t="shared" si="36"/>
        <v>2.7066653093043236E-2</v>
      </c>
    </row>
    <row r="51" spans="2:47" outlineLevel="1" x14ac:dyDescent="0.35">
      <c r="B51" s="48" t="s">
        <v>111</v>
      </c>
      <c r="C51" s="62" t="s">
        <v>135</v>
      </c>
      <c r="D51" s="158">
        <f t="shared" si="19"/>
        <v>112</v>
      </c>
      <c r="E51" s="158">
        <f t="shared" si="19"/>
        <v>774</v>
      </c>
      <c r="F51" s="158">
        <f t="shared" si="19"/>
        <v>112</v>
      </c>
      <c r="G51" s="156">
        <f t="shared" si="20"/>
        <v>886</v>
      </c>
      <c r="H51" s="160">
        <f t="shared" si="21"/>
        <v>0.14470284237726097</v>
      </c>
      <c r="I51" s="158">
        <f t="shared" si="22"/>
        <v>95</v>
      </c>
      <c r="J51" s="156">
        <f t="shared" si="23"/>
        <v>981</v>
      </c>
      <c r="K51" s="160">
        <f t="shared" si="24"/>
        <v>0.1072234762979684</v>
      </c>
      <c r="L51" s="158">
        <f t="shared" si="25"/>
        <v>50</v>
      </c>
      <c r="M51" s="156">
        <f t="shared" si="26"/>
        <v>1031</v>
      </c>
      <c r="N51" s="160">
        <f t="shared" si="27"/>
        <v>5.09683995922528E-2</v>
      </c>
      <c r="O51" s="158">
        <f t="shared" si="28"/>
        <v>35</v>
      </c>
      <c r="P51" s="156">
        <f t="shared" si="29"/>
        <v>1066</v>
      </c>
      <c r="Q51" s="160">
        <f t="shared" si="30"/>
        <v>3.3947623666343359E-2</v>
      </c>
      <c r="R51" s="164">
        <f t="shared" si="31"/>
        <v>404</v>
      </c>
      <c r="S51" s="165">
        <f t="shared" si="32"/>
        <v>8.3313264888902561E-2</v>
      </c>
      <c r="U51" s="158">
        <f t="shared" si="37"/>
        <v>23.950000000000003</v>
      </c>
      <c r="V51" s="158">
        <f t="shared" si="37"/>
        <v>23.28</v>
      </c>
      <c r="W51" s="158">
        <f t="shared" si="37"/>
        <v>0.67</v>
      </c>
      <c r="X51" s="157">
        <f t="shared" si="42"/>
        <v>1089.95</v>
      </c>
      <c r="Y51" s="167">
        <f t="shared" si="9"/>
        <v>2.2467166979362144E-2</v>
      </c>
      <c r="Z51" s="158">
        <f t="shared" si="38"/>
        <v>39.909999999999997</v>
      </c>
      <c r="AA51" s="158">
        <f t="shared" si="38"/>
        <v>27.71</v>
      </c>
      <c r="AB51" s="158">
        <f t="shared" si="38"/>
        <v>12.2</v>
      </c>
      <c r="AC51" s="158">
        <f t="shared" si="38"/>
        <v>1129.8600000000001</v>
      </c>
      <c r="AD51" s="167">
        <f t="shared" si="33"/>
        <v>3.6616358548557347E-2</v>
      </c>
      <c r="AE51" s="158">
        <f t="shared" si="39"/>
        <v>57.879999999999995</v>
      </c>
      <c r="AF51" s="158">
        <f t="shared" si="39"/>
        <v>26.54</v>
      </c>
      <c r="AG51" s="158">
        <f t="shared" si="39"/>
        <v>31.34</v>
      </c>
      <c r="AH51" s="158">
        <f t="shared" si="39"/>
        <v>1187.7400000000002</v>
      </c>
      <c r="AI51" s="167">
        <f t="shared" si="13"/>
        <v>5.1227585718584691E-2</v>
      </c>
      <c r="AJ51" s="158">
        <f t="shared" si="40"/>
        <v>51.120000000000005</v>
      </c>
      <c r="AK51" s="158">
        <f t="shared" si="40"/>
        <v>21.07</v>
      </c>
      <c r="AL51" s="158">
        <f t="shared" si="40"/>
        <v>30.05</v>
      </c>
      <c r="AM51" s="158">
        <f t="shared" si="40"/>
        <v>1238.8600000000001</v>
      </c>
      <c r="AN51" s="167">
        <f t="shared" si="15"/>
        <v>4.3039722498189742E-2</v>
      </c>
      <c r="AO51" s="158">
        <f t="shared" si="41"/>
        <v>39.410000000000004</v>
      </c>
      <c r="AP51" s="158">
        <f t="shared" si="41"/>
        <v>16.130000000000003</v>
      </c>
      <c r="AQ51" s="158">
        <f t="shared" si="41"/>
        <v>23.28</v>
      </c>
      <c r="AR51" s="158">
        <f t="shared" si="41"/>
        <v>1278.2700000000002</v>
      </c>
      <c r="AS51" s="167">
        <f t="shared" si="34"/>
        <v>3.1811504124759922E-2</v>
      </c>
      <c r="AT51" s="164">
        <f t="shared" si="35"/>
        <v>212.27</v>
      </c>
      <c r="AU51" s="165">
        <f t="shared" si="36"/>
        <v>4.0648362520129711E-2</v>
      </c>
    </row>
    <row r="52" spans="2:47" outlineLevel="1" x14ac:dyDescent="0.35">
      <c r="B52" s="48" t="s">
        <v>179</v>
      </c>
      <c r="C52" s="62" t="s">
        <v>135</v>
      </c>
      <c r="D52" s="158">
        <f t="shared" si="19"/>
        <v>133</v>
      </c>
      <c r="E52" s="158">
        <f t="shared" si="19"/>
        <v>1379</v>
      </c>
      <c r="F52" s="158">
        <f t="shared" si="19"/>
        <v>91</v>
      </c>
      <c r="G52" s="156">
        <f t="shared" si="20"/>
        <v>1470</v>
      </c>
      <c r="H52" s="160">
        <f t="shared" si="21"/>
        <v>6.5989847715736044E-2</v>
      </c>
      <c r="I52" s="158">
        <f t="shared" si="22"/>
        <v>150</v>
      </c>
      <c r="J52" s="156">
        <f t="shared" si="23"/>
        <v>1620</v>
      </c>
      <c r="K52" s="160">
        <f t="shared" si="24"/>
        <v>0.10204081632653061</v>
      </c>
      <c r="L52" s="158">
        <f t="shared" si="25"/>
        <v>67</v>
      </c>
      <c r="M52" s="156">
        <f t="shared" si="26"/>
        <v>1687</v>
      </c>
      <c r="N52" s="160">
        <f t="shared" si="27"/>
        <v>4.1358024691358027E-2</v>
      </c>
      <c r="O52" s="158">
        <f t="shared" si="28"/>
        <v>53</v>
      </c>
      <c r="P52" s="156">
        <f t="shared" si="29"/>
        <v>1740</v>
      </c>
      <c r="Q52" s="160">
        <f t="shared" si="30"/>
        <v>3.1416716064018968E-2</v>
      </c>
      <c r="R52" s="164">
        <f t="shared" si="31"/>
        <v>494</v>
      </c>
      <c r="S52" s="165">
        <f t="shared" si="32"/>
        <v>5.9854493696379185E-2</v>
      </c>
      <c r="U52" s="158">
        <f t="shared" si="37"/>
        <v>43.379999999999995</v>
      </c>
      <c r="V52" s="158">
        <f t="shared" si="37"/>
        <v>38.58</v>
      </c>
      <c r="W52" s="158">
        <f t="shared" si="37"/>
        <v>4.8</v>
      </c>
      <c r="X52" s="157">
        <f t="shared" si="42"/>
        <v>1783.38</v>
      </c>
      <c r="Y52" s="167">
        <f t="shared" si="9"/>
        <v>2.4931034482758685E-2</v>
      </c>
      <c r="Z52" s="158">
        <f t="shared" si="38"/>
        <v>74.05</v>
      </c>
      <c r="AA52" s="158">
        <f t="shared" si="38"/>
        <v>46.57</v>
      </c>
      <c r="AB52" s="158">
        <f t="shared" si="38"/>
        <v>27.48</v>
      </c>
      <c r="AC52" s="158">
        <f t="shared" si="38"/>
        <v>1857.43</v>
      </c>
      <c r="AD52" s="167">
        <f t="shared" si="33"/>
        <v>4.152227792169922E-2</v>
      </c>
      <c r="AE52" s="158">
        <f t="shared" si="39"/>
        <v>92.509999999999991</v>
      </c>
      <c r="AF52" s="158">
        <f t="shared" si="39"/>
        <v>44.75</v>
      </c>
      <c r="AG52" s="158">
        <f t="shared" si="39"/>
        <v>47.76</v>
      </c>
      <c r="AH52" s="158">
        <f t="shared" si="39"/>
        <v>1949.94</v>
      </c>
      <c r="AI52" s="167">
        <f t="shared" si="13"/>
        <v>4.9805376245672779E-2</v>
      </c>
      <c r="AJ52" s="158">
        <f t="shared" si="40"/>
        <v>87.86</v>
      </c>
      <c r="AK52" s="158">
        <f t="shared" si="40"/>
        <v>34.78</v>
      </c>
      <c r="AL52" s="158">
        <f t="shared" si="40"/>
        <v>53.08</v>
      </c>
      <c r="AM52" s="158">
        <f t="shared" si="40"/>
        <v>2037.8</v>
      </c>
      <c r="AN52" s="167">
        <f t="shared" si="15"/>
        <v>4.5057796650153283E-2</v>
      </c>
      <c r="AO52" s="158">
        <f t="shared" si="41"/>
        <v>89.62</v>
      </c>
      <c r="AP52" s="158">
        <f t="shared" si="41"/>
        <v>26.66</v>
      </c>
      <c r="AQ52" s="158">
        <f t="shared" si="41"/>
        <v>62.96</v>
      </c>
      <c r="AR52" s="158">
        <f t="shared" si="41"/>
        <v>2127.42</v>
      </c>
      <c r="AS52" s="167">
        <f t="shared" si="34"/>
        <v>4.3978800667386457E-2</v>
      </c>
      <c r="AT52" s="164">
        <f t="shared" si="35"/>
        <v>387.42</v>
      </c>
      <c r="AU52" s="165">
        <f t="shared" si="36"/>
        <v>4.5086737593537984E-2</v>
      </c>
    </row>
    <row r="53" spans="2:47" outlineLevel="1" x14ac:dyDescent="0.35">
      <c r="B53" s="48" t="s">
        <v>113</v>
      </c>
      <c r="C53" s="62" t="s">
        <v>135</v>
      </c>
      <c r="D53" s="158">
        <f t="shared" si="19"/>
        <v>0</v>
      </c>
      <c r="E53" s="158">
        <f t="shared" si="19"/>
        <v>6</v>
      </c>
      <c r="F53" s="158">
        <f t="shared" si="19"/>
        <v>0</v>
      </c>
      <c r="G53" s="156">
        <f t="shared" si="20"/>
        <v>6</v>
      </c>
      <c r="H53" s="160">
        <f t="shared" si="21"/>
        <v>0</v>
      </c>
      <c r="I53" s="158">
        <f t="shared" si="22"/>
        <v>0</v>
      </c>
      <c r="J53" s="156">
        <f t="shared" si="23"/>
        <v>6</v>
      </c>
      <c r="K53" s="160">
        <f t="shared" si="24"/>
        <v>0</v>
      </c>
      <c r="L53" s="158">
        <f t="shared" si="25"/>
        <v>0</v>
      </c>
      <c r="M53" s="156">
        <f t="shared" si="26"/>
        <v>6</v>
      </c>
      <c r="N53" s="160">
        <f t="shared" si="27"/>
        <v>0</v>
      </c>
      <c r="O53" s="158">
        <f t="shared" si="28"/>
        <v>1</v>
      </c>
      <c r="P53" s="156">
        <f t="shared" si="29"/>
        <v>7</v>
      </c>
      <c r="Q53" s="160">
        <f t="shared" si="30"/>
        <v>0.16666666666666666</v>
      </c>
      <c r="R53" s="164">
        <f t="shared" si="31"/>
        <v>1</v>
      </c>
      <c r="S53" s="165">
        <f t="shared" si="32"/>
        <v>3.9289877625411807E-2</v>
      </c>
      <c r="U53" s="158">
        <f t="shared" si="37"/>
        <v>0</v>
      </c>
      <c r="V53" s="158">
        <f t="shared" si="37"/>
        <v>0</v>
      </c>
      <c r="W53" s="158">
        <f t="shared" si="37"/>
        <v>0</v>
      </c>
      <c r="X53" s="157">
        <f t="shared" si="42"/>
        <v>7</v>
      </c>
      <c r="Y53" s="167">
        <f t="shared" si="9"/>
        <v>0</v>
      </c>
      <c r="Z53" s="158">
        <f t="shared" si="38"/>
        <v>0</v>
      </c>
      <c r="AA53" s="158">
        <f t="shared" si="38"/>
        <v>0</v>
      </c>
      <c r="AB53" s="158">
        <f t="shared" si="38"/>
        <v>0</v>
      </c>
      <c r="AC53" s="158">
        <f t="shared" si="38"/>
        <v>7</v>
      </c>
      <c r="AD53" s="167">
        <f t="shared" si="33"/>
        <v>0</v>
      </c>
      <c r="AE53" s="158">
        <f t="shared" si="39"/>
        <v>1</v>
      </c>
      <c r="AF53" s="158">
        <f t="shared" si="39"/>
        <v>0</v>
      </c>
      <c r="AG53" s="158">
        <f t="shared" si="39"/>
        <v>1</v>
      </c>
      <c r="AH53" s="158">
        <f t="shared" si="39"/>
        <v>8</v>
      </c>
      <c r="AI53" s="167">
        <f t="shared" si="13"/>
        <v>0.14285714285714285</v>
      </c>
      <c r="AJ53" s="158">
        <f t="shared" si="40"/>
        <v>0</v>
      </c>
      <c r="AK53" s="158">
        <f t="shared" si="40"/>
        <v>0</v>
      </c>
      <c r="AL53" s="158">
        <f t="shared" si="40"/>
        <v>0</v>
      </c>
      <c r="AM53" s="158">
        <f t="shared" si="40"/>
        <v>8</v>
      </c>
      <c r="AN53" s="167">
        <f t="shared" si="15"/>
        <v>0</v>
      </c>
      <c r="AO53" s="158">
        <f t="shared" si="41"/>
        <v>0</v>
      </c>
      <c r="AP53" s="158">
        <f t="shared" si="41"/>
        <v>0</v>
      </c>
      <c r="AQ53" s="158">
        <f t="shared" si="41"/>
        <v>0</v>
      </c>
      <c r="AR53" s="158">
        <f t="shared" si="41"/>
        <v>8</v>
      </c>
      <c r="AS53" s="167">
        <f t="shared" si="34"/>
        <v>0</v>
      </c>
      <c r="AT53" s="164">
        <f t="shared" si="35"/>
        <v>1</v>
      </c>
      <c r="AU53" s="165">
        <f t="shared" si="36"/>
        <v>3.3946307914341167E-2</v>
      </c>
    </row>
    <row r="54" spans="2:47" outlineLevel="1" x14ac:dyDescent="0.35">
      <c r="B54" s="48" t="s">
        <v>114</v>
      </c>
      <c r="C54" s="62" t="s">
        <v>135</v>
      </c>
      <c r="D54" s="158">
        <f t="shared" si="19"/>
        <v>168</v>
      </c>
      <c r="E54" s="158">
        <f t="shared" si="19"/>
        <v>2777</v>
      </c>
      <c r="F54" s="158">
        <f t="shared" si="19"/>
        <v>180</v>
      </c>
      <c r="G54" s="156">
        <f t="shared" si="20"/>
        <v>2957</v>
      </c>
      <c r="H54" s="160">
        <f t="shared" si="21"/>
        <v>6.4818149081742882E-2</v>
      </c>
      <c r="I54" s="158">
        <f t="shared" si="22"/>
        <v>153</v>
      </c>
      <c r="J54" s="156">
        <f t="shared" si="23"/>
        <v>3110</v>
      </c>
      <c r="K54" s="160">
        <f t="shared" si="24"/>
        <v>5.1741630030436254E-2</v>
      </c>
      <c r="L54" s="158">
        <f t="shared" si="25"/>
        <v>115</v>
      </c>
      <c r="M54" s="156">
        <f t="shared" si="26"/>
        <v>3225</v>
      </c>
      <c r="N54" s="160">
        <f t="shared" si="27"/>
        <v>3.6977491961414789E-2</v>
      </c>
      <c r="O54" s="158">
        <f t="shared" si="28"/>
        <v>87</v>
      </c>
      <c r="P54" s="156">
        <f t="shared" si="29"/>
        <v>3312</v>
      </c>
      <c r="Q54" s="160">
        <f t="shared" si="30"/>
        <v>2.6976744186046512E-2</v>
      </c>
      <c r="R54" s="164">
        <f t="shared" si="31"/>
        <v>703</v>
      </c>
      <c r="S54" s="165">
        <f t="shared" si="32"/>
        <v>4.5029648776880205E-2</v>
      </c>
      <c r="U54" s="158">
        <f t="shared" ref="U54:W63" si="43">U116+U178+U240+U301</f>
        <v>137.01</v>
      </c>
      <c r="V54" s="158">
        <f t="shared" si="43"/>
        <v>137.01</v>
      </c>
      <c r="W54" s="158">
        <f t="shared" si="43"/>
        <v>0</v>
      </c>
      <c r="X54" s="157">
        <f t="shared" si="42"/>
        <v>3448.01</v>
      </c>
      <c r="Y54" s="167">
        <f t="shared" si="9"/>
        <v>4.1065821256038713E-2</v>
      </c>
      <c r="Z54" s="158">
        <f t="shared" ref="Z54:AC63" si="44">Z116++Z178++Z240+Z301</f>
        <v>171.53</v>
      </c>
      <c r="AA54" s="158">
        <f t="shared" si="44"/>
        <v>171.53</v>
      </c>
      <c r="AB54" s="158">
        <f t="shared" si="44"/>
        <v>0</v>
      </c>
      <c r="AC54" s="158">
        <f t="shared" si="44"/>
        <v>3619.5400000000004</v>
      </c>
      <c r="AD54" s="167">
        <f t="shared" si="33"/>
        <v>4.9747535534989805E-2</v>
      </c>
      <c r="AE54" s="158">
        <f t="shared" ref="AE54:AH63" si="45">AE116+AE178+AE240+AE301</f>
        <v>163.52000000000001</v>
      </c>
      <c r="AF54" s="158">
        <f t="shared" si="45"/>
        <v>163.52000000000001</v>
      </c>
      <c r="AG54" s="158">
        <f t="shared" si="45"/>
        <v>0</v>
      </c>
      <c r="AH54" s="158">
        <f t="shared" si="45"/>
        <v>3783.0600000000004</v>
      </c>
      <c r="AI54" s="167">
        <f t="shared" si="13"/>
        <v>4.5177011443443077E-2</v>
      </c>
      <c r="AJ54" s="158">
        <f t="shared" ref="AJ54:AM63" si="46">AJ116+AJ178+AJ240+AJ301</f>
        <v>128.06</v>
      </c>
      <c r="AK54" s="158">
        <f t="shared" si="46"/>
        <v>128.06</v>
      </c>
      <c r="AL54" s="158">
        <f t="shared" si="46"/>
        <v>0</v>
      </c>
      <c r="AM54" s="158">
        <f t="shared" si="46"/>
        <v>3911.1200000000003</v>
      </c>
      <c r="AN54" s="167">
        <f t="shared" si="15"/>
        <v>3.3850903765734602E-2</v>
      </c>
      <c r="AO54" s="158">
        <f t="shared" ref="AO54:AR63" si="47">AO116+AO178+AO240+AO301</f>
        <v>96.71</v>
      </c>
      <c r="AP54" s="158">
        <f t="shared" si="47"/>
        <v>96.71</v>
      </c>
      <c r="AQ54" s="158">
        <f t="shared" si="47"/>
        <v>0</v>
      </c>
      <c r="AR54" s="158">
        <f t="shared" si="47"/>
        <v>4007.8300000000004</v>
      </c>
      <c r="AS54" s="167">
        <f t="shared" si="34"/>
        <v>2.4726932438789918E-2</v>
      </c>
      <c r="AT54" s="164">
        <f t="shared" si="35"/>
        <v>696.82999999999993</v>
      </c>
      <c r="AU54" s="165">
        <f t="shared" si="36"/>
        <v>3.8329501993941362E-2</v>
      </c>
    </row>
    <row r="55" spans="2:47" outlineLevel="1" x14ac:dyDescent="0.35">
      <c r="B55" s="48" t="s">
        <v>115</v>
      </c>
      <c r="C55" s="62" t="s">
        <v>135</v>
      </c>
      <c r="D55" s="158">
        <f t="shared" si="19"/>
        <v>283</v>
      </c>
      <c r="E55" s="158">
        <f t="shared" si="19"/>
        <v>345</v>
      </c>
      <c r="F55" s="158">
        <f t="shared" si="19"/>
        <v>391</v>
      </c>
      <c r="G55" s="156">
        <f t="shared" si="20"/>
        <v>736</v>
      </c>
      <c r="H55" s="160">
        <f t="shared" si="21"/>
        <v>1.1333333333333333</v>
      </c>
      <c r="I55" s="158">
        <f t="shared" si="22"/>
        <v>284</v>
      </c>
      <c r="J55" s="156">
        <f t="shared" si="23"/>
        <v>1020</v>
      </c>
      <c r="K55" s="160">
        <f t="shared" si="24"/>
        <v>0.3858695652173913</v>
      </c>
      <c r="L55" s="158">
        <f t="shared" si="25"/>
        <v>119</v>
      </c>
      <c r="M55" s="156">
        <f t="shared" si="26"/>
        <v>1139</v>
      </c>
      <c r="N55" s="160">
        <f t="shared" si="27"/>
        <v>0.11666666666666667</v>
      </c>
      <c r="O55" s="158">
        <f t="shared" si="28"/>
        <v>66</v>
      </c>
      <c r="P55" s="156">
        <f t="shared" si="29"/>
        <v>1205</v>
      </c>
      <c r="Q55" s="160">
        <f t="shared" si="30"/>
        <v>5.7945566286215978E-2</v>
      </c>
      <c r="R55" s="164">
        <f t="shared" si="31"/>
        <v>1143</v>
      </c>
      <c r="S55" s="165">
        <f t="shared" si="32"/>
        <v>0.36707388763803661</v>
      </c>
      <c r="U55" s="158">
        <f t="shared" si="43"/>
        <v>53.25</v>
      </c>
      <c r="V55" s="158">
        <f t="shared" si="43"/>
        <v>51.78</v>
      </c>
      <c r="W55" s="158">
        <f t="shared" si="43"/>
        <v>1.47</v>
      </c>
      <c r="X55" s="157">
        <f t="shared" si="42"/>
        <v>1258.25</v>
      </c>
      <c r="Y55" s="167">
        <f t="shared" si="9"/>
        <v>4.4190871369294608E-2</v>
      </c>
      <c r="Z55" s="158">
        <f t="shared" si="44"/>
        <v>80.56</v>
      </c>
      <c r="AA55" s="158">
        <f t="shared" si="44"/>
        <v>62.82</v>
      </c>
      <c r="AB55" s="158">
        <f t="shared" si="44"/>
        <v>17.739999999999998</v>
      </c>
      <c r="AC55" s="158">
        <f t="shared" si="44"/>
        <v>1338.81</v>
      </c>
      <c r="AD55" s="167">
        <f t="shared" si="33"/>
        <v>6.4025432147824315E-2</v>
      </c>
      <c r="AE55" s="158">
        <f t="shared" si="45"/>
        <v>86.699999999999989</v>
      </c>
      <c r="AF55" s="158">
        <f t="shared" si="45"/>
        <v>58.91</v>
      </c>
      <c r="AG55" s="158">
        <f t="shared" si="45"/>
        <v>27.79</v>
      </c>
      <c r="AH55" s="158">
        <f t="shared" si="45"/>
        <v>1425.51</v>
      </c>
      <c r="AI55" s="167">
        <f t="shared" si="13"/>
        <v>6.4759002397651685E-2</v>
      </c>
      <c r="AJ55" s="158">
        <f t="shared" si="46"/>
        <v>80.22</v>
      </c>
      <c r="AK55" s="158">
        <f t="shared" si="46"/>
        <v>46.19</v>
      </c>
      <c r="AL55" s="158">
        <f t="shared" si="46"/>
        <v>34.03</v>
      </c>
      <c r="AM55" s="158">
        <f t="shared" si="46"/>
        <v>1505.73</v>
      </c>
      <c r="AN55" s="167">
        <f t="shared" si="15"/>
        <v>5.6274596460214259E-2</v>
      </c>
      <c r="AO55" s="158">
        <f t="shared" si="47"/>
        <v>74.11</v>
      </c>
      <c r="AP55" s="158">
        <f t="shared" si="47"/>
        <v>34.909999999999997</v>
      </c>
      <c r="AQ55" s="158">
        <f t="shared" si="47"/>
        <v>39.200000000000003</v>
      </c>
      <c r="AR55" s="158">
        <f t="shared" si="47"/>
        <v>1579.84</v>
      </c>
      <c r="AS55" s="167">
        <f t="shared" si="34"/>
        <v>4.9218651418248889E-2</v>
      </c>
      <c r="AT55" s="164">
        <f t="shared" si="35"/>
        <v>374.84000000000003</v>
      </c>
      <c r="AU55" s="165">
        <f t="shared" si="36"/>
        <v>5.8550402482693498E-2</v>
      </c>
    </row>
    <row r="56" spans="2:47" outlineLevel="1" x14ac:dyDescent="0.35">
      <c r="B56" s="48" t="s">
        <v>180</v>
      </c>
      <c r="C56" s="62" t="s">
        <v>135</v>
      </c>
      <c r="D56" s="158">
        <f t="shared" si="19"/>
        <v>192</v>
      </c>
      <c r="E56" s="158">
        <f t="shared" si="19"/>
        <v>3130</v>
      </c>
      <c r="F56" s="158">
        <f t="shared" si="19"/>
        <v>184</v>
      </c>
      <c r="G56" s="156">
        <f t="shared" si="20"/>
        <v>3314</v>
      </c>
      <c r="H56" s="160">
        <f t="shared" si="21"/>
        <v>5.8785942492012778E-2</v>
      </c>
      <c r="I56" s="158">
        <f t="shared" si="22"/>
        <v>123</v>
      </c>
      <c r="J56" s="156">
        <f t="shared" si="23"/>
        <v>3437</v>
      </c>
      <c r="K56" s="160">
        <f t="shared" si="24"/>
        <v>3.7115268557634279E-2</v>
      </c>
      <c r="L56" s="158">
        <f t="shared" si="25"/>
        <v>83</v>
      </c>
      <c r="M56" s="156">
        <f t="shared" si="26"/>
        <v>3520</v>
      </c>
      <c r="N56" s="160">
        <f t="shared" si="27"/>
        <v>2.4148967122490542E-2</v>
      </c>
      <c r="O56" s="158">
        <f t="shared" si="28"/>
        <v>97</v>
      </c>
      <c r="P56" s="156">
        <f t="shared" si="29"/>
        <v>3617</v>
      </c>
      <c r="Q56" s="160">
        <f t="shared" si="30"/>
        <v>2.7556818181818182E-2</v>
      </c>
      <c r="R56" s="164">
        <f t="shared" si="31"/>
        <v>679</v>
      </c>
      <c r="S56" s="165">
        <f t="shared" si="32"/>
        <v>3.6814453599326891E-2</v>
      </c>
      <c r="U56" s="158">
        <f t="shared" si="43"/>
        <v>103.96</v>
      </c>
      <c r="V56" s="158">
        <f t="shared" si="43"/>
        <v>102.96</v>
      </c>
      <c r="W56" s="158">
        <f t="shared" si="43"/>
        <v>1</v>
      </c>
      <c r="X56" s="157">
        <f t="shared" si="42"/>
        <v>3720.96</v>
      </c>
      <c r="Y56" s="167">
        <f t="shared" si="9"/>
        <v>2.8742051423831915E-2</v>
      </c>
      <c r="Z56" s="158">
        <f t="shared" si="44"/>
        <v>128.24</v>
      </c>
      <c r="AA56" s="158">
        <f t="shared" si="44"/>
        <v>128.24</v>
      </c>
      <c r="AB56" s="158">
        <f t="shared" si="44"/>
        <v>0</v>
      </c>
      <c r="AC56" s="158">
        <f t="shared" si="44"/>
        <v>3849.2</v>
      </c>
      <c r="AD56" s="167">
        <f t="shared" si="33"/>
        <v>3.4464224286205651E-2</v>
      </c>
      <c r="AE56" s="158">
        <f t="shared" si="45"/>
        <v>122.01</v>
      </c>
      <c r="AF56" s="158">
        <f t="shared" si="45"/>
        <v>122.01</v>
      </c>
      <c r="AG56" s="158">
        <f t="shared" si="45"/>
        <v>0</v>
      </c>
      <c r="AH56" s="158">
        <f t="shared" si="45"/>
        <v>3971.21</v>
      </c>
      <c r="AI56" s="167">
        <f t="shared" si="13"/>
        <v>3.169749558349793E-2</v>
      </c>
      <c r="AJ56" s="158">
        <f t="shared" si="46"/>
        <v>95.68</v>
      </c>
      <c r="AK56" s="158">
        <f t="shared" si="46"/>
        <v>95.68</v>
      </c>
      <c r="AL56" s="158">
        <f t="shared" si="46"/>
        <v>0</v>
      </c>
      <c r="AM56" s="158">
        <f t="shared" si="46"/>
        <v>4066.89</v>
      </c>
      <c r="AN56" s="167">
        <f t="shared" si="15"/>
        <v>2.409341233528316E-2</v>
      </c>
      <c r="AO56" s="158">
        <f t="shared" si="47"/>
        <v>72.58</v>
      </c>
      <c r="AP56" s="158">
        <f t="shared" si="47"/>
        <v>72.58</v>
      </c>
      <c r="AQ56" s="158">
        <f t="shared" si="47"/>
        <v>0</v>
      </c>
      <c r="AR56" s="158">
        <f t="shared" si="47"/>
        <v>4139.4699999999993</v>
      </c>
      <c r="AS56" s="167">
        <f t="shared" si="34"/>
        <v>1.7846560885590581E-2</v>
      </c>
      <c r="AT56" s="164">
        <f t="shared" si="35"/>
        <v>522.47</v>
      </c>
      <c r="AU56" s="165">
        <f t="shared" si="36"/>
        <v>2.7004708041813652E-2</v>
      </c>
    </row>
    <row r="57" spans="2:47" outlineLevel="1" x14ac:dyDescent="0.35">
      <c r="B57" s="48" t="s">
        <v>117</v>
      </c>
      <c r="C57" s="62" t="s">
        <v>135</v>
      </c>
      <c r="D57" s="158">
        <f t="shared" si="19"/>
        <v>217</v>
      </c>
      <c r="E57" s="158">
        <f t="shared" si="19"/>
        <v>2586</v>
      </c>
      <c r="F57" s="158">
        <f t="shared" si="19"/>
        <v>250</v>
      </c>
      <c r="G57" s="156">
        <f t="shared" si="20"/>
        <v>2836</v>
      </c>
      <c r="H57" s="160">
        <f t="shared" si="21"/>
        <v>9.6674400618716169E-2</v>
      </c>
      <c r="I57" s="158">
        <f t="shared" si="22"/>
        <v>225</v>
      </c>
      <c r="J57" s="156">
        <f t="shared" si="23"/>
        <v>3061</v>
      </c>
      <c r="K57" s="160">
        <f t="shared" si="24"/>
        <v>7.9337094499294783E-2</v>
      </c>
      <c r="L57" s="158">
        <f t="shared" si="25"/>
        <v>133</v>
      </c>
      <c r="M57" s="156">
        <f t="shared" si="26"/>
        <v>3194</v>
      </c>
      <c r="N57" s="160">
        <f t="shared" si="27"/>
        <v>4.3449852989219211E-2</v>
      </c>
      <c r="O57" s="158">
        <f t="shared" si="28"/>
        <v>132</v>
      </c>
      <c r="P57" s="156">
        <f t="shared" si="29"/>
        <v>3326</v>
      </c>
      <c r="Q57" s="160">
        <f t="shared" si="30"/>
        <v>4.1327489041953665E-2</v>
      </c>
      <c r="R57" s="164">
        <f t="shared" si="31"/>
        <v>957</v>
      </c>
      <c r="S57" s="165">
        <f t="shared" si="32"/>
        <v>6.4935810064744581E-2</v>
      </c>
      <c r="U57" s="158">
        <f t="shared" si="43"/>
        <v>132.29</v>
      </c>
      <c r="V57" s="158">
        <f t="shared" si="43"/>
        <v>108.16</v>
      </c>
      <c r="W57" s="158">
        <f t="shared" si="43"/>
        <v>24.13</v>
      </c>
      <c r="X57" s="157">
        <f t="shared" si="42"/>
        <v>3458.29</v>
      </c>
      <c r="Y57" s="167">
        <f t="shared" si="9"/>
        <v>3.9774503908598907E-2</v>
      </c>
      <c r="Z57" s="158">
        <f t="shared" si="44"/>
        <v>229.32999999999998</v>
      </c>
      <c r="AA57" s="158">
        <f t="shared" si="44"/>
        <v>131.03</v>
      </c>
      <c r="AB57" s="158">
        <f t="shared" si="44"/>
        <v>98.3</v>
      </c>
      <c r="AC57" s="158">
        <f t="shared" si="44"/>
        <v>3687.62</v>
      </c>
      <c r="AD57" s="167">
        <f t="shared" si="33"/>
        <v>6.6313120068010475E-2</v>
      </c>
      <c r="AE57" s="158">
        <f t="shared" si="45"/>
        <v>269.38</v>
      </c>
      <c r="AF57" s="158">
        <f t="shared" si="45"/>
        <v>124.93</v>
      </c>
      <c r="AG57" s="158">
        <f t="shared" si="45"/>
        <v>144.44999999999999</v>
      </c>
      <c r="AH57" s="158">
        <f t="shared" si="45"/>
        <v>3957</v>
      </c>
      <c r="AI57" s="167">
        <f t="shared" si="13"/>
        <v>7.3049826175148228E-2</v>
      </c>
      <c r="AJ57" s="158">
        <f t="shared" si="46"/>
        <v>291.43</v>
      </c>
      <c r="AK57" s="158">
        <f t="shared" si="46"/>
        <v>98.05</v>
      </c>
      <c r="AL57" s="158">
        <f t="shared" si="46"/>
        <v>193.38</v>
      </c>
      <c r="AM57" s="158">
        <f t="shared" si="46"/>
        <v>4248.43</v>
      </c>
      <c r="AN57" s="167">
        <f t="shared" si="15"/>
        <v>7.3649229214051121E-2</v>
      </c>
      <c r="AO57" s="158">
        <f t="shared" si="47"/>
        <v>266.63</v>
      </c>
      <c r="AP57" s="158">
        <f t="shared" si="47"/>
        <v>73.36</v>
      </c>
      <c r="AQ57" s="158">
        <f t="shared" si="47"/>
        <v>193.27</v>
      </c>
      <c r="AR57" s="158">
        <f t="shared" si="47"/>
        <v>4515.0599999999995</v>
      </c>
      <c r="AS57" s="167">
        <f t="shared" si="34"/>
        <v>6.2759654743046067E-2</v>
      </c>
      <c r="AT57" s="164">
        <f t="shared" si="35"/>
        <v>1189.06</v>
      </c>
      <c r="AU57" s="165">
        <f t="shared" si="36"/>
        <v>6.8933109523657166E-2</v>
      </c>
    </row>
    <row r="58" spans="2:47" outlineLevel="1" x14ac:dyDescent="0.35">
      <c r="B58" s="48" t="s">
        <v>118</v>
      </c>
      <c r="C58" s="62" t="s">
        <v>135</v>
      </c>
      <c r="D58" s="158">
        <f t="shared" si="19"/>
        <v>225</v>
      </c>
      <c r="E58" s="158">
        <f t="shared" si="19"/>
        <v>1286</v>
      </c>
      <c r="F58" s="158">
        <f t="shared" si="19"/>
        <v>315</v>
      </c>
      <c r="G58" s="156">
        <f t="shared" si="20"/>
        <v>1601</v>
      </c>
      <c r="H58" s="160">
        <f t="shared" si="21"/>
        <v>0.24494556765163297</v>
      </c>
      <c r="I58" s="158">
        <f t="shared" si="22"/>
        <v>224</v>
      </c>
      <c r="J58" s="156">
        <f t="shared" si="23"/>
        <v>1825</v>
      </c>
      <c r="K58" s="160">
        <f t="shared" si="24"/>
        <v>0.13991255465334165</v>
      </c>
      <c r="L58" s="158">
        <f t="shared" si="25"/>
        <v>92</v>
      </c>
      <c r="M58" s="156">
        <f t="shared" si="26"/>
        <v>1917</v>
      </c>
      <c r="N58" s="160">
        <f t="shared" si="27"/>
        <v>5.0410958904109592E-2</v>
      </c>
      <c r="O58" s="158">
        <f t="shared" si="28"/>
        <v>47</v>
      </c>
      <c r="P58" s="156">
        <f t="shared" si="29"/>
        <v>1964</v>
      </c>
      <c r="Q58" s="160">
        <f t="shared" si="30"/>
        <v>2.4517475221700575E-2</v>
      </c>
      <c r="R58" s="164">
        <f t="shared" si="31"/>
        <v>903</v>
      </c>
      <c r="S58" s="165">
        <f t="shared" si="32"/>
        <v>0.11166806217576397</v>
      </c>
      <c r="U58" s="158">
        <f t="shared" si="43"/>
        <v>46.68</v>
      </c>
      <c r="V58" s="158">
        <f t="shared" si="43"/>
        <v>46.68</v>
      </c>
      <c r="W58" s="158">
        <f t="shared" si="43"/>
        <v>0</v>
      </c>
      <c r="X58" s="157">
        <f t="shared" si="42"/>
        <v>2010.68</v>
      </c>
      <c r="Y58" s="167">
        <f t="shared" si="9"/>
        <v>2.3767820773930786E-2</v>
      </c>
      <c r="Z58" s="158">
        <f t="shared" si="44"/>
        <v>58.24</v>
      </c>
      <c r="AA58" s="158">
        <f t="shared" si="44"/>
        <v>58.24</v>
      </c>
      <c r="AB58" s="158">
        <f t="shared" si="44"/>
        <v>0</v>
      </c>
      <c r="AC58" s="158">
        <f t="shared" si="44"/>
        <v>2068.92</v>
      </c>
      <c r="AD58" s="167">
        <f t="shared" si="33"/>
        <v>2.8965325163626241E-2</v>
      </c>
      <c r="AE58" s="158">
        <f t="shared" si="45"/>
        <v>54.69</v>
      </c>
      <c r="AF58" s="158">
        <f t="shared" si="45"/>
        <v>54.69</v>
      </c>
      <c r="AG58" s="158">
        <f t="shared" si="45"/>
        <v>0</v>
      </c>
      <c r="AH58" s="158">
        <f t="shared" si="45"/>
        <v>2123.61</v>
      </c>
      <c r="AI58" s="167">
        <f t="shared" si="13"/>
        <v>2.6434081549794122E-2</v>
      </c>
      <c r="AJ58" s="158">
        <f t="shared" si="46"/>
        <v>42.92</v>
      </c>
      <c r="AK58" s="158">
        <f t="shared" si="46"/>
        <v>42.92</v>
      </c>
      <c r="AL58" s="158">
        <f t="shared" si="46"/>
        <v>0</v>
      </c>
      <c r="AM58" s="158">
        <f t="shared" si="46"/>
        <v>2166.5300000000002</v>
      </c>
      <c r="AN58" s="167">
        <f t="shared" si="15"/>
        <v>2.0210867343815518E-2</v>
      </c>
      <c r="AO58" s="158">
        <f t="shared" si="47"/>
        <v>37.049999999999997</v>
      </c>
      <c r="AP58" s="158">
        <f t="shared" si="47"/>
        <v>32.489999999999995</v>
      </c>
      <c r="AQ58" s="158">
        <f t="shared" si="47"/>
        <v>4.5599999999999996</v>
      </c>
      <c r="AR58" s="158">
        <f t="shared" si="47"/>
        <v>2203.5800000000004</v>
      </c>
      <c r="AS58" s="167">
        <f t="shared" si="34"/>
        <v>1.7101078683424729E-2</v>
      </c>
      <c r="AT58" s="164">
        <f t="shared" si="35"/>
        <v>239.58000000000004</v>
      </c>
      <c r="AU58" s="165">
        <f t="shared" si="36"/>
        <v>2.316686217679087E-2</v>
      </c>
    </row>
    <row r="59" spans="2:47" outlineLevel="1" x14ac:dyDescent="0.35">
      <c r="B59" s="48" t="s">
        <v>119</v>
      </c>
      <c r="C59" s="62" t="s">
        <v>135</v>
      </c>
      <c r="D59" s="158">
        <f t="shared" si="19"/>
        <v>0</v>
      </c>
      <c r="E59" s="158">
        <f t="shared" si="19"/>
        <v>55</v>
      </c>
      <c r="F59" s="158">
        <f t="shared" si="19"/>
        <v>1</v>
      </c>
      <c r="G59" s="156">
        <f t="shared" si="20"/>
        <v>56</v>
      </c>
      <c r="H59" s="160">
        <f t="shared" si="21"/>
        <v>1.8181818181818181E-2</v>
      </c>
      <c r="I59" s="158">
        <f t="shared" si="22"/>
        <v>2</v>
      </c>
      <c r="J59" s="156">
        <f t="shared" si="23"/>
        <v>58</v>
      </c>
      <c r="K59" s="160">
        <f t="shared" si="24"/>
        <v>3.5714285714285712E-2</v>
      </c>
      <c r="L59" s="158">
        <f t="shared" si="25"/>
        <v>0</v>
      </c>
      <c r="M59" s="156">
        <f t="shared" si="26"/>
        <v>58</v>
      </c>
      <c r="N59" s="160">
        <f t="shared" si="27"/>
        <v>0</v>
      </c>
      <c r="O59" s="158">
        <f t="shared" si="28"/>
        <v>-1</v>
      </c>
      <c r="P59" s="156">
        <f t="shared" si="29"/>
        <v>57</v>
      </c>
      <c r="Q59" s="160">
        <f t="shared" si="30"/>
        <v>-1.7241379310344827E-2</v>
      </c>
      <c r="R59" s="164">
        <f t="shared" si="31"/>
        <v>2</v>
      </c>
      <c r="S59" s="165">
        <f t="shared" si="32"/>
        <v>8.9695077533105128E-3</v>
      </c>
      <c r="U59" s="158">
        <f t="shared" si="43"/>
        <v>0</v>
      </c>
      <c r="V59" s="158">
        <f t="shared" si="43"/>
        <v>0</v>
      </c>
      <c r="W59" s="158">
        <f t="shared" si="43"/>
        <v>0</v>
      </c>
      <c r="X59" s="157">
        <f t="shared" si="42"/>
        <v>57</v>
      </c>
      <c r="Y59" s="167">
        <f t="shared" si="9"/>
        <v>0</v>
      </c>
      <c r="Z59" s="158">
        <f t="shared" si="44"/>
        <v>0</v>
      </c>
      <c r="AA59" s="158">
        <f t="shared" si="44"/>
        <v>0</v>
      </c>
      <c r="AB59" s="158">
        <f t="shared" si="44"/>
        <v>0</v>
      </c>
      <c r="AC59" s="158">
        <f t="shared" si="44"/>
        <v>57</v>
      </c>
      <c r="AD59" s="167">
        <f t="shared" si="33"/>
        <v>0</v>
      </c>
      <c r="AE59" s="158">
        <f t="shared" si="45"/>
        <v>0</v>
      </c>
      <c r="AF59" s="158">
        <f t="shared" si="45"/>
        <v>0</v>
      </c>
      <c r="AG59" s="158">
        <f t="shared" si="45"/>
        <v>0</v>
      </c>
      <c r="AH59" s="158">
        <f t="shared" si="45"/>
        <v>57</v>
      </c>
      <c r="AI59" s="167">
        <f t="shared" si="13"/>
        <v>0</v>
      </c>
      <c r="AJ59" s="158">
        <f t="shared" si="46"/>
        <v>0</v>
      </c>
      <c r="AK59" s="158">
        <f t="shared" si="46"/>
        <v>0</v>
      </c>
      <c r="AL59" s="158">
        <f t="shared" si="46"/>
        <v>0</v>
      </c>
      <c r="AM59" s="158">
        <f t="shared" si="46"/>
        <v>57</v>
      </c>
      <c r="AN59" s="167">
        <f t="shared" si="15"/>
        <v>0</v>
      </c>
      <c r="AO59" s="158">
        <f t="shared" si="47"/>
        <v>0</v>
      </c>
      <c r="AP59" s="158">
        <f t="shared" si="47"/>
        <v>0</v>
      </c>
      <c r="AQ59" s="158">
        <f t="shared" si="47"/>
        <v>0</v>
      </c>
      <c r="AR59" s="158">
        <f t="shared" si="47"/>
        <v>57</v>
      </c>
      <c r="AS59" s="167">
        <f t="shared" si="34"/>
        <v>0</v>
      </c>
      <c r="AT59" s="164">
        <f t="shared" si="35"/>
        <v>0</v>
      </c>
      <c r="AU59" s="165">
        <f t="shared" si="36"/>
        <v>0</v>
      </c>
    </row>
    <row r="60" spans="2:47" outlineLevel="1" x14ac:dyDescent="0.35">
      <c r="B60" s="48" t="s">
        <v>120</v>
      </c>
      <c r="C60" s="62" t="s">
        <v>135</v>
      </c>
      <c r="D60" s="158">
        <f t="shared" si="19"/>
        <v>316</v>
      </c>
      <c r="E60" s="158">
        <f t="shared" si="19"/>
        <v>3596</v>
      </c>
      <c r="F60" s="158">
        <f t="shared" si="19"/>
        <v>409</v>
      </c>
      <c r="G60" s="156">
        <f t="shared" si="20"/>
        <v>4005</v>
      </c>
      <c r="H60" s="160">
        <f t="shared" si="21"/>
        <v>0.11373748609566185</v>
      </c>
      <c r="I60" s="158">
        <f t="shared" si="22"/>
        <v>303</v>
      </c>
      <c r="J60" s="156">
        <f t="shared" si="23"/>
        <v>4308</v>
      </c>
      <c r="K60" s="160">
        <f t="shared" si="24"/>
        <v>7.5655430711610488E-2</v>
      </c>
      <c r="L60" s="158">
        <f t="shared" si="25"/>
        <v>218</v>
      </c>
      <c r="M60" s="156">
        <f t="shared" si="26"/>
        <v>4526</v>
      </c>
      <c r="N60" s="160">
        <f t="shared" si="27"/>
        <v>5.0603528319405754E-2</v>
      </c>
      <c r="O60" s="158">
        <f t="shared" si="28"/>
        <v>176</v>
      </c>
      <c r="P60" s="156">
        <f t="shared" si="29"/>
        <v>4702</v>
      </c>
      <c r="Q60" s="160">
        <f t="shared" si="30"/>
        <v>3.8886433937251434E-2</v>
      </c>
      <c r="R60" s="164">
        <f t="shared" si="31"/>
        <v>1422</v>
      </c>
      <c r="S60" s="165">
        <f t="shared" si="32"/>
        <v>6.9339810348757247E-2</v>
      </c>
      <c r="U60" s="158">
        <f t="shared" si="43"/>
        <v>123.2</v>
      </c>
      <c r="V60" s="158">
        <f t="shared" si="43"/>
        <v>120.94</v>
      </c>
      <c r="W60" s="158">
        <f t="shared" si="43"/>
        <v>2.2599999999999998</v>
      </c>
      <c r="X60" s="157">
        <f t="shared" si="42"/>
        <v>4825.2</v>
      </c>
      <c r="Y60" s="167">
        <f t="shared" si="9"/>
        <v>2.6201616333475078E-2</v>
      </c>
      <c r="Z60" s="158">
        <f t="shared" si="44"/>
        <v>164.86</v>
      </c>
      <c r="AA60" s="158">
        <f t="shared" si="44"/>
        <v>147.9</v>
      </c>
      <c r="AB60" s="158">
        <f t="shared" si="44"/>
        <v>16.96</v>
      </c>
      <c r="AC60" s="158">
        <f t="shared" si="44"/>
        <v>4990.0599999999995</v>
      </c>
      <c r="AD60" s="167">
        <f t="shared" si="33"/>
        <v>3.4166459421371066E-2</v>
      </c>
      <c r="AE60" s="158">
        <f t="shared" si="45"/>
        <v>178.32999999999998</v>
      </c>
      <c r="AF60" s="158">
        <f t="shared" si="45"/>
        <v>140.94</v>
      </c>
      <c r="AG60" s="158">
        <f t="shared" si="45"/>
        <v>37.39</v>
      </c>
      <c r="AH60" s="158">
        <f t="shared" si="45"/>
        <v>5168.3899999999994</v>
      </c>
      <c r="AI60" s="167">
        <f t="shared" si="13"/>
        <v>3.5737045245948937E-2</v>
      </c>
      <c r="AJ60" s="158">
        <f t="shared" si="46"/>
        <v>151.02000000000001</v>
      </c>
      <c r="AK60" s="158">
        <f t="shared" si="46"/>
        <v>110.92</v>
      </c>
      <c r="AL60" s="158">
        <f t="shared" si="46"/>
        <v>40.1</v>
      </c>
      <c r="AM60" s="158">
        <f t="shared" si="46"/>
        <v>5319.41</v>
      </c>
      <c r="AN60" s="167">
        <f t="shared" si="15"/>
        <v>2.9219931158445948E-2</v>
      </c>
      <c r="AO60" s="158">
        <f t="shared" si="47"/>
        <v>132.58000000000001</v>
      </c>
      <c r="AP60" s="158">
        <f t="shared" si="47"/>
        <v>83.65</v>
      </c>
      <c r="AQ60" s="158">
        <f t="shared" si="47"/>
        <v>48.93</v>
      </c>
      <c r="AR60" s="158">
        <f t="shared" si="47"/>
        <v>5451.99</v>
      </c>
      <c r="AS60" s="167">
        <f t="shared" si="34"/>
        <v>2.4923816739074432E-2</v>
      </c>
      <c r="AT60" s="164">
        <f t="shared" si="35"/>
        <v>749.99</v>
      </c>
      <c r="AU60" s="165">
        <f t="shared" si="36"/>
        <v>3.1003009182785313E-2</v>
      </c>
    </row>
    <row r="61" spans="2:47" outlineLevel="1" x14ac:dyDescent="0.35">
      <c r="B61" s="48" t="s">
        <v>121</v>
      </c>
      <c r="C61" s="62" t="s">
        <v>135</v>
      </c>
      <c r="D61" s="158">
        <f t="shared" si="19"/>
        <v>62</v>
      </c>
      <c r="E61" s="158">
        <f t="shared" si="19"/>
        <v>318</v>
      </c>
      <c r="F61" s="158">
        <f t="shared" si="19"/>
        <v>131</v>
      </c>
      <c r="G61" s="156">
        <f t="shared" si="20"/>
        <v>449</v>
      </c>
      <c r="H61" s="160">
        <f t="shared" si="21"/>
        <v>0.41194968553459121</v>
      </c>
      <c r="I61" s="158">
        <f t="shared" si="22"/>
        <v>173</v>
      </c>
      <c r="J61" s="156">
        <f t="shared" si="23"/>
        <v>622</v>
      </c>
      <c r="K61" s="160">
        <f t="shared" si="24"/>
        <v>0.38530066815144765</v>
      </c>
      <c r="L61" s="158">
        <f t="shared" si="25"/>
        <v>107</v>
      </c>
      <c r="M61" s="156">
        <f t="shared" si="26"/>
        <v>729</v>
      </c>
      <c r="N61" s="160">
        <f t="shared" si="27"/>
        <v>0.17202572347266881</v>
      </c>
      <c r="O61" s="158">
        <f t="shared" si="28"/>
        <v>30</v>
      </c>
      <c r="P61" s="156">
        <f t="shared" si="29"/>
        <v>759</v>
      </c>
      <c r="Q61" s="160">
        <f t="shared" si="30"/>
        <v>4.1152263374485597E-2</v>
      </c>
      <c r="R61" s="164">
        <f t="shared" si="31"/>
        <v>503</v>
      </c>
      <c r="S61" s="165">
        <f t="shared" si="32"/>
        <v>0.24295001515878334</v>
      </c>
      <c r="U61" s="158">
        <f t="shared" si="43"/>
        <v>37.449999999999996</v>
      </c>
      <c r="V61" s="158">
        <f t="shared" si="43"/>
        <v>34.58</v>
      </c>
      <c r="W61" s="158">
        <f t="shared" si="43"/>
        <v>2.87</v>
      </c>
      <c r="X61" s="157">
        <f t="shared" si="42"/>
        <v>796.45</v>
      </c>
      <c r="Y61" s="167">
        <f t="shared" si="9"/>
        <v>4.9341238471673314E-2</v>
      </c>
      <c r="Z61" s="158">
        <f t="shared" si="44"/>
        <v>59.739999999999995</v>
      </c>
      <c r="AA61" s="158">
        <f t="shared" si="44"/>
        <v>43.44</v>
      </c>
      <c r="AB61" s="158">
        <f t="shared" si="44"/>
        <v>16.3</v>
      </c>
      <c r="AC61" s="158">
        <f t="shared" si="44"/>
        <v>856.19</v>
      </c>
      <c r="AD61" s="167">
        <f t="shared" si="33"/>
        <v>7.5007847322493576E-2</v>
      </c>
      <c r="AE61" s="158">
        <f t="shared" si="45"/>
        <v>76.77000000000001</v>
      </c>
      <c r="AF61" s="158">
        <f t="shared" si="45"/>
        <v>41.56</v>
      </c>
      <c r="AG61" s="158">
        <f t="shared" si="45"/>
        <v>35.21</v>
      </c>
      <c r="AH61" s="158">
        <f t="shared" si="45"/>
        <v>932.96</v>
      </c>
      <c r="AI61" s="167">
        <f t="shared" si="13"/>
        <v>8.9664677232857162E-2</v>
      </c>
      <c r="AJ61" s="158">
        <f t="shared" si="46"/>
        <v>73.490000000000009</v>
      </c>
      <c r="AK61" s="158">
        <f t="shared" si="46"/>
        <v>32.61</v>
      </c>
      <c r="AL61" s="158">
        <f t="shared" si="46"/>
        <v>40.880000000000003</v>
      </c>
      <c r="AM61" s="158">
        <f t="shared" si="46"/>
        <v>1006.45</v>
      </c>
      <c r="AN61" s="167">
        <f t="shared" si="15"/>
        <v>7.8770794031898475E-2</v>
      </c>
      <c r="AO61" s="158">
        <f t="shared" si="47"/>
        <v>82.74</v>
      </c>
      <c r="AP61" s="158">
        <f t="shared" si="47"/>
        <v>24.51</v>
      </c>
      <c r="AQ61" s="158">
        <f t="shared" si="47"/>
        <v>58.23</v>
      </c>
      <c r="AR61" s="158">
        <f t="shared" si="47"/>
        <v>1089.19</v>
      </c>
      <c r="AS61" s="167">
        <f t="shared" si="34"/>
        <v>8.2209747131005026E-2</v>
      </c>
      <c r="AT61" s="164">
        <f t="shared" si="35"/>
        <v>330.19</v>
      </c>
      <c r="AU61" s="165">
        <f t="shared" si="36"/>
        <v>8.1399793210231941E-2</v>
      </c>
    </row>
    <row r="62" spans="2:47" outlineLevel="1" x14ac:dyDescent="0.35">
      <c r="B62" s="48" t="s">
        <v>137</v>
      </c>
      <c r="C62" s="62" t="s">
        <v>135</v>
      </c>
      <c r="D62" s="158">
        <f t="shared" si="19"/>
        <v>0</v>
      </c>
      <c r="E62" s="158">
        <f t="shared" si="19"/>
        <v>0</v>
      </c>
      <c r="F62" s="158">
        <f t="shared" si="19"/>
        <v>0</v>
      </c>
      <c r="G62" s="156">
        <f t="shared" si="20"/>
        <v>0</v>
      </c>
      <c r="H62" s="160">
        <f t="shared" si="21"/>
        <v>0</v>
      </c>
      <c r="I62" s="158">
        <f t="shared" si="22"/>
        <v>0</v>
      </c>
      <c r="J62" s="156">
        <f t="shared" si="23"/>
        <v>0</v>
      </c>
      <c r="K62" s="160">
        <f t="shared" si="24"/>
        <v>0</v>
      </c>
      <c r="L62" s="158">
        <f t="shared" si="25"/>
        <v>0</v>
      </c>
      <c r="M62" s="156">
        <f t="shared" si="26"/>
        <v>0</v>
      </c>
      <c r="N62" s="160">
        <f t="shared" si="27"/>
        <v>0</v>
      </c>
      <c r="O62" s="158">
        <f t="shared" si="28"/>
        <v>0</v>
      </c>
      <c r="P62" s="156">
        <f t="shared" si="29"/>
        <v>0</v>
      </c>
      <c r="Q62" s="160">
        <f t="shared" si="30"/>
        <v>0</v>
      </c>
      <c r="R62" s="164">
        <f t="shared" si="31"/>
        <v>0</v>
      </c>
      <c r="S62" s="165">
        <f t="shared" si="32"/>
        <v>0</v>
      </c>
      <c r="U62" s="158">
        <f t="shared" si="43"/>
        <v>0</v>
      </c>
      <c r="V62" s="158">
        <f t="shared" si="43"/>
        <v>0</v>
      </c>
      <c r="W62" s="158">
        <f t="shared" si="43"/>
        <v>0</v>
      </c>
      <c r="X62" s="157">
        <f t="shared" si="42"/>
        <v>0</v>
      </c>
      <c r="Y62" s="167">
        <f t="shared" si="9"/>
        <v>0</v>
      </c>
      <c r="Z62" s="158">
        <f t="shared" si="44"/>
        <v>0</v>
      </c>
      <c r="AA62" s="158">
        <f t="shared" si="44"/>
        <v>0</v>
      </c>
      <c r="AB62" s="158">
        <f t="shared" si="44"/>
        <v>0</v>
      </c>
      <c r="AC62" s="158">
        <f t="shared" si="44"/>
        <v>0</v>
      </c>
      <c r="AD62" s="167">
        <f t="shared" si="33"/>
        <v>0</v>
      </c>
      <c r="AE62" s="158">
        <f t="shared" si="45"/>
        <v>0</v>
      </c>
      <c r="AF62" s="158">
        <f t="shared" si="45"/>
        <v>0</v>
      </c>
      <c r="AG62" s="158">
        <f t="shared" si="45"/>
        <v>0</v>
      </c>
      <c r="AH62" s="158">
        <f t="shared" si="45"/>
        <v>0</v>
      </c>
      <c r="AI62" s="167">
        <f t="shared" si="13"/>
        <v>0</v>
      </c>
      <c r="AJ62" s="158">
        <f t="shared" si="46"/>
        <v>0</v>
      </c>
      <c r="AK62" s="158">
        <f t="shared" si="46"/>
        <v>0</v>
      </c>
      <c r="AL62" s="158">
        <f t="shared" si="46"/>
        <v>0</v>
      </c>
      <c r="AM62" s="158">
        <f t="shared" si="46"/>
        <v>0</v>
      </c>
      <c r="AN62" s="167">
        <f t="shared" si="15"/>
        <v>0</v>
      </c>
      <c r="AO62" s="158">
        <f t="shared" si="47"/>
        <v>0</v>
      </c>
      <c r="AP62" s="158">
        <f t="shared" si="47"/>
        <v>0</v>
      </c>
      <c r="AQ62" s="158">
        <f t="shared" si="47"/>
        <v>0</v>
      </c>
      <c r="AR62" s="158">
        <f t="shared" si="47"/>
        <v>0</v>
      </c>
      <c r="AS62" s="167">
        <f t="shared" si="34"/>
        <v>0</v>
      </c>
      <c r="AT62" s="164">
        <f t="shared" si="35"/>
        <v>0</v>
      </c>
      <c r="AU62" s="165">
        <f t="shared" si="36"/>
        <v>0</v>
      </c>
    </row>
    <row r="63" spans="2:47" outlineLevel="1" x14ac:dyDescent="0.35">
      <c r="B63" s="48" t="s">
        <v>190</v>
      </c>
      <c r="C63" s="62" t="s">
        <v>135</v>
      </c>
      <c r="D63" s="158">
        <f t="shared" si="19"/>
        <v>141</v>
      </c>
      <c r="E63" s="158">
        <f t="shared" si="19"/>
        <v>2097</v>
      </c>
      <c r="F63" s="158">
        <f t="shared" si="19"/>
        <v>197</v>
      </c>
      <c r="G63" s="156">
        <f t="shared" si="20"/>
        <v>2294</v>
      </c>
      <c r="H63" s="160">
        <f t="shared" si="21"/>
        <v>9.3943729136862178E-2</v>
      </c>
      <c r="I63" s="158">
        <f t="shared" si="22"/>
        <v>171</v>
      </c>
      <c r="J63" s="156">
        <f t="shared" si="23"/>
        <v>2465</v>
      </c>
      <c r="K63" s="160">
        <f t="shared" si="24"/>
        <v>7.4542284219703575E-2</v>
      </c>
      <c r="L63" s="158">
        <f t="shared" si="25"/>
        <v>93</v>
      </c>
      <c r="M63" s="156">
        <f t="shared" si="26"/>
        <v>2558</v>
      </c>
      <c r="N63" s="160">
        <f t="shared" si="27"/>
        <v>3.7728194726166328E-2</v>
      </c>
      <c r="O63" s="158">
        <f t="shared" si="28"/>
        <v>56</v>
      </c>
      <c r="P63" s="156">
        <f t="shared" si="29"/>
        <v>2614</v>
      </c>
      <c r="Q63" s="160">
        <f t="shared" si="30"/>
        <v>2.1892103205629398E-2</v>
      </c>
      <c r="R63" s="164">
        <f t="shared" si="31"/>
        <v>658</v>
      </c>
      <c r="S63" s="165">
        <f t="shared" si="32"/>
        <v>5.6639369726040778E-2</v>
      </c>
      <c r="U63" s="158">
        <f t="shared" si="43"/>
        <v>55.35</v>
      </c>
      <c r="V63" s="158">
        <f t="shared" si="43"/>
        <v>54.92</v>
      </c>
      <c r="W63" s="158">
        <f t="shared" si="43"/>
        <v>0.43</v>
      </c>
      <c r="X63" s="157">
        <f t="shared" si="42"/>
        <v>2669.35</v>
      </c>
      <c r="Y63" s="167">
        <f t="shared" si="9"/>
        <v>2.1174445294567676E-2</v>
      </c>
      <c r="Z63" s="158">
        <f t="shared" si="44"/>
        <v>74.319999999999993</v>
      </c>
      <c r="AA63" s="158">
        <f t="shared" si="44"/>
        <v>69.069999999999993</v>
      </c>
      <c r="AB63" s="158">
        <f t="shared" si="44"/>
        <v>5.25</v>
      </c>
      <c r="AC63" s="158">
        <f t="shared" si="44"/>
        <v>2743.67</v>
      </c>
      <c r="AD63" s="167">
        <f t="shared" si="33"/>
        <v>2.7841984003596443E-2</v>
      </c>
      <c r="AE63" s="158">
        <f t="shared" si="45"/>
        <v>84.740000000000009</v>
      </c>
      <c r="AF63" s="158">
        <f t="shared" si="45"/>
        <v>66.150000000000006</v>
      </c>
      <c r="AG63" s="158">
        <f t="shared" si="45"/>
        <v>18.59</v>
      </c>
      <c r="AH63" s="158">
        <f t="shared" si="45"/>
        <v>2828.41</v>
      </c>
      <c r="AI63" s="167">
        <f t="shared" si="13"/>
        <v>3.0885638578983545E-2</v>
      </c>
      <c r="AJ63" s="158">
        <f t="shared" si="46"/>
        <v>70.760000000000005</v>
      </c>
      <c r="AK63" s="158">
        <f t="shared" si="46"/>
        <v>52</v>
      </c>
      <c r="AL63" s="158">
        <f t="shared" si="46"/>
        <v>18.760000000000002</v>
      </c>
      <c r="AM63" s="158">
        <f t="shared" si="46"/>
        <v>2899.17</v>
      </c>
      <c r="AN63" s="167">
        <f t="shared" si="15"/>
        <v>2.5017589387677255E-2</v>
      </c>
      <c r="AO63" s="158">
        <f t="shared" si="47"/>
        <v>60.929999999999993</v>
      </c>
      <c r="AP63" s="158">
        <f t="shared" si="47"/>
        <v>39.44</v>
      </c>
      <c r="AQ63" s="158">
        <f t="shared" si="47"/>
        <v>21.49</v>
      </c>
      <c r="AR63" s="158">
        <f t="shared" si="47"/>
        <v>2960.1</v>
      </c>
      <c r="AS63" s="167">
        <f t="shared" si="34"/>
        <v>2.1016359854716983E-2</v>
      </c>
      <c r="AT63" s="164">
        <f t="shared" si="35"/>
        <v>346.1</v>
      </c>
      <c r="AU63" s="165">
        <f t="shared" si="36"/>
        <v>2.6183944293947325E-2</v>
      </c>
    </row>
    <row r="64" spans="2:47" outlineLevel="1" x14ac:dyDescent="0.35">
      <c r="B64" s="48" t="s">
        <v>181</v>
      </c>
      <c r="C64" s="62" t="s">
        <v>135</v>
      </c>
      <c r="D64" s="158">
        <f t="shared" si="19"/>
        <v>46</v>
      </c>
      <c r="E64" s="158">
        <f t="shared" si="19"/>
        <v>78</v>
      </c>
      <c r="F64" s="158">
        <f t="shared" si="19"/>
        <v>16</v>
      </c>
      <c r="G64" s="156">
        <f t="shared" si="20"/>
        <v>94</v>
      </c>
      <c r="H64" s="160">
        <f t="shared" si="21"/>
        <v>0.20512820512820512</v>
      </c>
      <c r="I64" s="158">
        <f t="shared" si="22"/>
        <v>18</v>
      </c>
      <c r="J64" s="156">
        <f t="shared" si="23"/>
        <v>112</v>
      </c>
      <c r="K64" s="160">
        <f t="shared" si="24"/>
        <v>0.19148936170212766</v>
      </c>
      <c r="L64" s="158">
        <f t="shared" si="25"/>
        <v>11</v>
      </c>
      <c r="M64" s="156">
        <f t="shared" si="26"/>
        <v>123</v>
      </c>
      <c r="N64" s="160">
        <f t="shared" si="27"/>
        <v>9.8214285714285712E-2</v>
      </c>
      <c r="O64" s="158">
        <f t="shared" si="28"/>
        <v>0</v>
      </c>
      <c r="P64" s="156">
        <f t="shared" si="29"/>
        <v>123</v>
      </c>
      <c r="Q64" s="160">
        <f t="shared" si="30"/>
        <v>0</v>
      </c>
      <c r="R64" s="164">
        <f t="shared" si="31"/>
        <v>91</v>
      </c>
      <c r="S64" s="165">
        <f t="shared" si="32"/>
        <v>0.12060518393186181</v>
      </c>
      <c r="U64" s="158">
        <f>U126+U188+U252+U313</f>
        <v>3.51</v>
      </c>
      <c r="V64" s="158">
        <f>V126+V188+V252+V313</f>
        <v>3.51</v>
      </c>
      <c r="W64" s="158">
        <f>W126+W188+W252+W313</f>
        <v>0</v>
      </c>
      <c r="X64" s="157">
        <f>X126+X188++X252+X313</f>
        <v>126.51</v>
      </c>
      <c r="Y64" s="167">
        <f>IFERROR((X64-P64)/P64,0)</f>
        <v>2.8536585365853701E-2</v>
      </c>
      <c r="Z64" s="158">
        <f>Z126++Z188++Z252+Z313</f>
        <v>1</v>
      </c>
      <c r="AA64" s="158">
        <f>AA131++AA188++AA252+AA313</f>
        <v>1</v>
      </c>
      <c r="AB64" s="158">
        <f>AB131++AB188++AB252+AB313</f>
        <v>0</v>
      </c>
      <c r="AC64" s="158">
        <f>AC126++AC188++AC252+AC313</f>
        <v>127.51</v>
      </c>
      <c r="AD64" s="167">
        <f>IFERROR((AC64-X64)/X64,0)</f>
        <v>7.9045134771954777E-3</v>
      </c>
      <c r="AE64" s="158">
        <f>AE126+AE188+AE252+AE313</f>
        <v>2.83</v>
      </c>
      <c r="AF64" s="158">
        <f>AF126+AF188+AF252+AF313</f>
        <v>2.83</v>
      </c>
      <c r="AG64" s="158">
        <f>AG126+AG188+AG252+AG313</f>
        <v>0</v>
      </c>
      <c r="AH64" s="158">
        <f>AH126+AH188+AH252+AH313</f>
        <v>130.34</v>
      </c>
      <c r="AI64" s="167">
        <f>IFERROR((AH64-AC64)/AC64,0)</f>
        <v>2.2194337699003985E-2</v>
      </c>
      <c r="AJ64" s="158">
        <f>AJ126+AJ188+AJ252+AJ313</f>
        <v>2.4299999999999997</v>
      </c>
      <c r="AK64" s="158">
        <f>AK126+AK188+AK252+AK313</f>
        <v>2.4299999999999997</v>
      </c>
      <c r="AL64" s="158">
        <f>AL126+AL188+AL252+AL313</f>
        <v>0</v>
      </c>
      <c r="AM64" s="158">
        <f>AM126+AM188+AM252+AM313</f>
        <v>132.77000000000001</v>
      </c>
      <c r="AN64" s="167">
        <f>IFERROR((AM64-AH64)/AH64,0)</f>
        <v>1.8643547644621811E-2</v>
      </c>
      <c r="AO64" s="158">
        <f>AO126+AO188+AO252+AO313</f>
        <v>2.08</v>
      </c>
      <c r="AP64" s="158">
        <f>AP126+AP188+AP252+AP313</f>
        <v>2.08</v>
      </c>
      <c r="AQ64" s="158">
        <f>AQ126+AQ188+AQ252+AQ313</f>
        <v>0</v>
      </c>
      <c r="AR64" s="158">
        <f>AR126+AR188+AR252+AR313</f>
        <v>134.85000000000002</v>
      </c>
      <c r="AS64" s="167">
        <f>IFERROR((AR64-AM64)/AM64,0)</f>
        <v>1.5666189651276738E-2</v>
      </c>
      <c r="AT64" s="164">
        <f>U64+Z64+AE64+AJ64+AO64</f>
        <v>11.85</v>
      </c>
      <c r="AU64" s="165">
        <f>IFERROR((AR64/X64)^(1/4)-1,0)</f>
        <v>1.6088471171355367E-2</v>
      </c>
    </row>
    <row r="65" spans="2:51" outlineLevel="1" x14ac:dyDescent="0.35">
      <c r="B65" s="48" t="s">
        <v>182</v>
      </c>
      <c r="C65" s="62" t="s">
        <v>135</v>
      </c>
      <c r="D65" s="158">
        <f t="shared" si="19"/>
        <v>76</v>
      </c>
      <c r="E65" s="158">
        <f t="shared" si="19"/>
        <v>519</v>
      </c>
      <c r="F65" s="158">
        <f t="shared" si="19"/>
        <v>75</v>
      </c>
      <c r="G65" s="156">
        <f t="shared" si="20"/>
        <v>594</v>
      </c>
      <c r="H65" s="160">
        <f t="shared" si="21"/>
        <v>0.14450867052023122</v>
      </c>
      <c r="I65" s="158">
        <f t="shared" si="22"/>
        <v>82</v>
      </c>
      <c r="J65" s="156">
        <f t="shared" si="23"/>
        <v>676</v>
      </c>
      <c r="K65" s="160">
        <f t="shared" si="24"/>
        <v>0.13804713804713806</v>
      </c>
      <c r="L65" s="158">
        <f t="shared" si="25"/>
        <v>40</v>
      </c>
      <c r="M65" s="156">
        <f t="shared" si="26"/>
        <v>716</v>
      </c>
      <c r="N65" s="160">
        <f t="shared" si="27"/>
        <v>5.9171597633136092E-2</v>
      </c>
      <c r="O65" s="158">
        <f t="shared" si="28"/>
        <v>26</v>
      </c>
      <c r="P65" s="156">
        <f t="shared" si="29"/>
        <v>742</v>
      </c>
      <c r="Q65" s="160">
        <f t="shared" si="30"/>
        <v>3.6312849162011177E-2</v>
      </c>
      <c r="R65" s="164">
        <f t="shared" si="31"/>
        <v>299</v>
      </c>
      <c r="S65" s="165">
        <f t="shared" si="32"/>
        <v>9.3475701459600824E-2</v>
      </c>
      <c r="U65" s="158">
        <f t="shared" ref="U65:W66" si="48">U127+U189+U250+U311</f>
        <v>25.66</v>
      </c>
      <c r="V65" s="158">
        <f t="shared" si="48"/>
        <v>25.04</v>
      </c>
      <c r="W65" s="158">
        <f t="shared" si="48"/>
        <v>0.62</v>
      </c>
      <c r="X65" s="157">
        <f>X127+X189++X250+X311</f>
        <v>766.66</v>
      </c>
      <c r="Y65" s="167">
        <f t="shared" si="9"/>
        <v>3.3234501347708854E-2</v>
      </c>
      <c r="Z65" s="158">
        <f t="shared" ref="Z65:AC66" si="49">Z127++Z189++Z250+Z311</f>
        <v>33.010000000000005</v>
      </c>
      <c r="AA65" s="158">
        <f t="shared" si="49"/>
        <v>30.73</v>
      </c>
      <c r="AB65" s="158">
        <f t="shared" si="49"/>
        <v>2.2799999999999998</v>
      </c>
      <c r="AC65" s="158">
        <f t="shared" si="49"/>
        <v>799.67</v>
      </c>
      <c r="AD65" s="167">
        <f t="shared" si="33"/>
        <v>4.3056896146923006E-2</v>
      </c>
      <c r="AE65" s="158">
        <f t="shared" ref="AE65:AH66" si="50">AE127+AE189+AE250+AE311</f>
        <v>31.97</v>
      </c>
      <c r="AF65" s="158">
        <f t="shared" si="50"/>
        <v>28.55</v>
      </c>
      <c r="AG65" s="158">
        <f t="shared" si="50"/>
        <v>3.42</v>
      </c>
      <c r="AH65" s="158">
        <f t="shared" si="50"/>
        <v>831.64</v>
      </c>
      <c r="AI65" s="167">
        <f t="shared" si="13"/>
        <v>3.9978991333925282E-2</v>
      </c>
      <c r="AJ65" s="158">
        <f t="shared" ref="AJ65:AM66" si="51">AJ127+AJ189+AJ250+AJ311</f>
        <v>26.72</v>
      </c>
      <c r="AK65" s="158">
        <f t="shared" si="51"/>
        <v>22.84</v>
      </c>
      <c r="AL65" s="158">
        <f t="shared" si="51"/>
        <v>3.88</v>
      </c>
      <c r="AM65" s="158">
        <f t="shared" si="51"/>
        <v>858.36</v>
      </c>
      <c r="AN65" s="167">
        <f t="shared" si="15"/>
        <v>3.2129286710595964E-2</v>
      </c>
      <c r="AO65" s="158">
        <f t="shared" ref="AO65:AR66" si="52">AO127+AO189+AO250+AO311</f>
        <v>19.7</v>
      </c>
      <c r="AP65" s="158">
        <f t="shared" si="52"/>
        <v>16.670000000000002</v>
      </c>
      <c r="AQ65" s="158">
        <f t="shared" si="52"/>
        <v>3.03</v>
      </c>
      <c r="AR65" s="158">
        <f t="shared" si="52"/>
        <v>878.06000000000006</v>
      </c>
      <c r="AS65" s="167">
        <f t="shared" si="34"/>
        <v>2.2950743277878799E-2</v>
      </c>
      <c r="AT65" s="164">
        <f t="shared" si="35"/>
        <v>137.06</v>
      </c>
      <c r="AU65" s="165">
        <f t="shared" si="36"/>
        <v>3.4499647767574748E-2</v>
      </c>
    </row>
    <row r="66" spans="2:51" outlineLevel="1" x14ac:dyDescent="0.35">
      <c r="B66" s="48" t="s">
        <v>126</v>
      </c>
      <c r="C66" s="62" t="s">
        <v>135</v>
      </c>
      <c r="D66" s="158">
        <f t="shared" si="19"/>
        <v>238</v>
      </c>
      <c r="E66" s="158">
        <f t="shared" si="19"/>
        <v>2187</v>
      </c>
      <c r="F66" s="158">
        <f t="shared" si="19"/>
        <v>382</v>
      </c>
      <c r="G66" s="156">
        <f t="shared" si="20"/>
        <v>2569</v>
      </c>
      <c r="H66" s="160">
        <f t="shared" si="21"/>
        <v>0.17466849565614997</v>
      </c>
      <c r="I66" s="158">
        <f t="shared" si="22"/>
        <v>451</v>
      </c>
      <c r="J66" s="156">
        <f t="shared" si="23"/>
        <v>3020</v>
      </c>
      <c r="K66" s="160">
        <f t="shared" si="24"/>
        <v>0.17555469054106657</v>
      </c>
      <c r="L66" s="158">
        <f t="shared" si="25"/>
        <v>140</v>
      </c>
      <c r="M66" s="156">
        <f t="shared" si="26"/>
        <v>3160</v>
      </c>
      <c r="N66" s="160">
        <f t="shared" si="27"/>
        <v>4.6357615894039736E-2</v>
      </c>
      <c r="O66" s="158">
        <f t="shared" si="28"/>
        <v>143</v>
      </c>
      <c r="P66" s="156">
        <f t="shared" si="29"/>
        <v>3303</v>
      </c>
      <c r="Q66" s="160">
        <f t="shared" si="30"/>
        <v>4.5253164556962024E-2</v>
      </c>
      <c r="R66" s="164">
        <f t="shared" si="31"/>
        <v>1354</v>
      </c>
      <c r="S66" s="165">
        <f t="shared" si="32"/>
        <v>0.1085746612133196</v>
      </c>
      <c r="U66" s="158">
        <f t="shared" si="48"/>
        <v>134.13</v>
      </c>
      <c r="V66" s="158">
        <f t="shared" si="48"/>
        <v>128.94999999999999</v>
      </c>
      <c r="W66" s="158">
        <f t="shared" si="48"/>
        <v>5.18</v>
      </c>
      <c r="X66" s="157">
        <f>X128+X190++X251+X312</f>
        <v>3438.13</v>
      </c>
      <c r="Y66" s="167">
        <f t="shared" si="9"/>
        <v>4.0911292764153832E-2</v>
      </c>
      <c r="Z66" s="158">
        <f t="shared" si="49"/>
        <v>184.75</v>
      </c>
      <c r="AA66" s="158">
        <f t="shared" si="49"/>
        <v>159.08000000000001</v>
      </c>
      <c r="AB66" s="158">
        <f t="shared" si="49"/>
        <v>25.67</v>
      </c>
      <c r="AC66" s="158">
        <f t="shared" si="49"/>
        <v>3622.88</v>
      </c>
      <c r="AD66" s="167">
        <f t="shared" si="33"/>
        <v>5.3735606274340993E-2</v>
      </c>
      <c r="AE66" s="158">
        <f t="shared" si="50"/>
        <v>187.03000000000003</v>
      </c>
      <c r="AF66" s="158">
        <f t="shared" si="50"/>
        <v>151.33000000000001</v>
      </c>
      <c r="AG66" s="158">
        <f t="shared" si="50"/>
        <v>35.700000000000003</v>
      </c>
      <c r="AH66" s="158">
        <f t="shared" si="50"/>
        <v>3809.9100000000003</v>
      </c>
      <c r="AI66" s="167">
        <f t="shared" si="13"/>
        <v>5.162467429227581E-2</v>
      </c>
      <c r="AJ66" s="158">
        <f t="shared" si="51"/>
        <v>144.84</v>
      </c>
      <c r="AK66" s="158">
        <f t="shared" si="51"/>
        <v>118.08</v>
      </c>
      <c r="AL66" s="158">
        <f t="shared" si="51"/>
        <v>26.76</v>
      </c>
      <c r="AM66" s="158">
        <f t="shared" si="51"/>
        <v>3954.7500000000005</v>
      </c>
      <c r="AN66" s="167">
        <f t="shared" si="15"/>
        <v>3.8016646062505446E-2</v>
      </c>
      <c r="AO66" s="158">
        <f t="shared" si="52"/>
        <v>124.88</v>
      </c>
      <c r="AP66" s="158">
        <f t="shared" si="52"/>
        <v>89.82</v>
      </c>
      <c r="AQ66" s="158">
        <f t="shared" si="52"/>
        <v>35.06</v>
      </c>
      <c r="AR66" s="158">
        <f t="shared" si="52"/>
        <v>4079.6300000000006</v>
      </c>
      <c r="AS66" s="167">
        <f t="shared" si="34"/>
        <v>3.1577217270371098E-2</v>
      </c>
      <c r="AT66" s="164">
        <f t="shared" si="35"/>
        <v>775.63</v>
      </c>
      <c r="AU66" s="165">
        <f t="shared" si="36"/>
        <v>4.3697445997801454E-2</v>
      </c>
    </row>
    <row r="67" spans="2:51" outlineLevel="1" x14ac:dyDescent="0.35">
      <c r="B67" s="48" t="s">
        <v>127</v>
      </c>
      <c r="C67" s="62" t="s">
        <v>135</v>
      </c>
      <c r="D67" s="158">
        <f t="shared" si="19"/>
        <v>0</v>
      </c>
      <c r="E67" s="158">
        <f t="shared" si="19"/>
        <v>1</v>
      </c>
      <c r="F67" s="158">
        <f t="shared" si="19"/>
        <v>0</v>
      </c>
      <c r="G67" s="156">
        <f t="shared" si="20"/>
        <v>1</v>
      </c>
      <c r="H67" s="160">
        <f t="shared" si="21"/>
        <v>0</v>
      </c>
      <c r="I67" s="158">
        <f t="shared" si="22"/>
        <v>0</v>
      </c>
      <c r="J67" s="156">
        <f t="shared" si="23"/>
        <v>1</v>
      </c>
      <c r="K67" s="160">
        <f t="shared" si="24"/>
        <v>0</v>
      </c>
      <c r="L67" s="158">
        <f t="shared" si="25"/>
        <v>0</v>
      </c>
      <c r="M67" s="156">
        <f t="shared" si="26"/>
        <v>1</v>
      </c>
      <c r="N67" s="160">
        <f t="shared" si="27"/>
        <v>0</v>
      </c>
      <c r="O67" s="158">
        <f t="shared" si="28"/>
        <v>0</v>
      </c>
      <c r="P67" s="156">
        <f t="shared" si="29"/>
        <v>1</v>
      </c>
      <c r="Q67" s="160">
        <f t="shared" si="30"/>
        <v>0</v>
      </c>
      <c r="R67" s="164">
        <f t="shared" si="31"/>
        <v>0</v>
      </c>
      <c r="S67" s="165">
        <f t="shared" si="32"/>
        <v>0</v>
      </c>
      <c r="U67" s="158">
        <f t="shared" ref="U67:W68" si="53">U129+U191+U253+U314</f>
        <v>1</v>
      </c>
      <c r="V67" s="158">
        <f t="shared" si="53"/>
        <v>1</v>
      </c>
      <c r="W67" s="158">
        <f t="shared" si="53"/>
        <v>0</v>
      </c>
      <c r="X67" s="157">
        <f>X129+X191++X253+X314</f>
        <v>2</v>
      </c>
      <c r="Y67" s="167">
        <f t="shared" si="9"/>
        <v>1</v>
      </c>
      <c r="Z67" s="158">
        <f t="shared" ref="Z67:AC68" si="54">Z129++Z191++Z253+Z314</f>
        <v>0</v>
      </c>
      <c r="AA67" s="158">
        <f t="shared" si="54"/>
        <v>0</v>
      </c>
      <c r="AB67" s="158">
        <f t="shared" si="54"/>
        <v>0</v>
      </c>
      <c r="AC67" s="158">
        <f t="shared" si="54"/>
        <v>2</v>
      </c>
      <c r="AD67" s="167">
        <f t="shared" si="33"/>
        <v>0</v>
      </c>
      <c r="AE67" s="158">
        <f t="shared" ref="AE67:AH68" si="55">AE129+AE191+AE253+AE314</f>
        <v>0</v>
      </c>
      <c r="AF67" s="158">
        <f t="shared" si="55"/>
        <v>0</v>
      </c>
      <c r="AG67" s="158">
        <f t="shared" si="55"/>
        <v>0</v>
      </c>
      <c r="AH67" s="158">
        <f t="shared" si="55"/>
        <v>2</v>
      </c>
      <c r="AI67" s="167">
        <f t="shared" si="13"/>
        <v>0</v>
      </c>
      <c r="AJ67" s="158">
        <f t="shared" ref="AJ67:AM68" si="56">AJ129+AJ191+AJ253+AJ314</f>
        <v>0</v>
      </c>
      <c r="AK67" s="158">
        <f t="shared" si="56"/>
        <v>0</v>
      </c>
      <c r="AL67" s="158">
        <f t="shared" si="56"/>
        <v>0</v>
      </c>
      <c r="AM67" s="158">
        <f t="shared" si="56"/>
        <v>2</v>
      </c>
      <c r="AN67" s="167">
        <f t="shared" si="15"/>
        <v>0</v>
      </c>
      <c r="AO67" s="158">
        <f t="shared" ref="AO67:AR68" si="57">AO129+AO191+AO253+AO314</f>
        <v>0</v>
      </c>
      <c r="AP67" s="158">
        <f t="shared" si="57"/>
        <v>0</v>
      </c>
      <c r="AQ67" s="158">
        <f t="shared" si="57"/>
        <v>0</v>
      </c>
      <c r="AR67" s="158">
        <f t="shared" si="57"/>
        <v>2</v>
      </c>
      <c r="AS67" s="167">
        <f t="shared" si="34"/>
        <v>0</v>
      </c>
      <c r="AT67" s="164">
        <f t="shared" si="35"/>
        <v>1</v>
      </c>
      <c r="AU67" s="165">
        <f t="shared" si="36"/>
        <v>0</v>
      </c>
    </row>
    <row r="68" spans="2:51" s="345" customFormat="1" ht="15" customHeight="1" outlineLevel="1" x14ac:dyDescent="0.35">
      <c r="B68" s="346" t="s">
        <v>138</v>
      </c>
      <c r="C68" s="347" t="s">
        <v>135</v>
      </c>
      <c r="D68" s="348">
        <f>SUM(D14:D67)</f>
        <v>7779</v>
      </c>
      <c r="E68" s="348">
        <f>SUM(E14:E67)</f>
        <v>82400</v>
      </c>
      <c r="F68" s="348">
        <f t="shared" ref="F68" si="58">F130+F192+F254+F315</f>
        <v>8303</v>
      </c>
      <c r="G68" s="356">
        <f t="shared" si="20"/>
        <v>90703</v>
      </c>
      <c r="H68" s="353">
        <f t="shared" si="21"/>
        <v>0.10076456310679612</v>
      </c>
      <c r="I68" s="348">
        <f t="shared" si="22"/>
        <v>8396</v>
      </c>
      <c r="J68" s="356">
        <f t="shared" si="23"/>
        <v>99099</v>
      </c>
      <c r="K68" s="353">
        <f t="shared" si="24"/>
        <v>9.2565846774638111E-2</v>
      </c>
      <c r="L68" s="348">
        <f>SUM(L14:L67)</f>
        <v>4219</v>
      </c>
      <c r="M68" s="348">
        <f>SUM(M14:M67)</f>
        <v>103318</v>
      </c>
      <c r="N68" s="349">
        <f t="shared" si="3"/>
        <v>4.2573588028133484E-2</v>
      </c>
      <c r="O68" s="348">
        <f>SUM(O14:O67)</f>
        <v>3201</v>
      </c>
      <c r="P68" s="348">
        <f>SUM(P14:P67)</f>
        <v>106519</v>
      </c>
      <c r="Q68" s="349">
        <f>IFERROR((P68-M68)/M68,0)</f>
        <v>3.0982016686347005E-2</v>
      </c>
      <c r="R68" s="350">
        <f>D68+F68+I68+L68+O68</f>
        <v>31898</v>
      </c>
      <c r="S68" s="351">
        <f>IFERROR((P68/E68)^(1/4)-1,0)</f>
        <v>6.628909391534954E-2</v>
      </c>
      <c r="U68" s="348">
        <f t="shared" si="53"/>
        <v>3463.9700000000003</v>
      </c>
      <c r="V68" s="348">
        <f t="shared" si="53"/>
        <v>3272.86</v>
      </c>
      <c r="W68" s="348">
        <f t="shared" si="53"/>
        <v>191.10999999999999</v>
      </c>
      <c r="X68" s="352">
        <f>X130+X192++X254+X315</f>
        <v>109980.97</v>
      </c>
      <c r="Y68" s="353">
        <f t="shared" si="9"/>
        <v>3.2500962269642046E-2</v>
      </c>
      <c r="Z68" s="348">
        <f t="shared" si="54"/>
        <v>5076.0200000000004</v>
      </c>
      <c r="AA68" s="348">
        <f t="shared" si="54"/>
        <v>4001.02</v>
      </c>
      <c r="AB68" s="348">
        <f t="shared" si="54"/>
        <v>1075</v>
      </c>
      <c r="AC68" s="348">
        <f t="shared" si="54"/>
        <v>115056.99</v>
      </c>
      <c r="AD68" s="353">
        <f t="shared" si="33"/>
        <v>4.615362094005903E-2</v>
      </c>
      <c r="AE68" s="348">
        <f t="shared" si="55"/>
        <v>5786.9800000000005</v>
      </c>
      <c r="AF68" s="348">
        <f t="shared" si="55"/>
        <v>3801.8999999999996</v>
      </c>
      <c r="AG68" s="348">
        <f t="shared" si="55"/>
        <v>1985.0800000000008</v>
      </c>
      <c r="AH68" s="348">
        <f t="shared" si="55"/>
        <v>120843.97</v>
      </c>
      <c r="AI68" s="353">
        <f t="shared" si="13"/>
        <v>5.0296639952079364E-2</v>
      </c>
      <c r="AJ68" s="348">
        <f t="shared" si="56"/>
        <v>5241.0200000000023</v>
      </c>
      <c r="AK68" s="348">
        <f t="shared" si="56"/>
        <v>2984.6800000000007</v>
      </c>
      <c r="AL68" s="348">
        <f t="shared" si="56"/>
        <v>2256.3400000000011</v>
      </c>
      <c r="AM68" s="348">
        <f t="shared" si="56"/>
        <v>126084.99</v>
      </c>
      <c r="AN68" s="353">
        <f t="shared" si="15"/>
        <v>4.3370140851877043E-2</v>
      </c>
      <c r="AO68" s="348">
        <f t="shared" si="57"/>
        <v>4638.03</v>
      </c>
      <c r="AP68" s="348">
        <f t="shared" si="57"/>
        <v>2253.8500000000004</v>
      </c>
      <c r="AQ68" s="348">
        <f t="shared" si="57"/>
        <v>2384.1799999999994</v>
      </c>
      <c r="AR68" s="348">
        <f t="shared" si="57"/>
        <v>130723.02</v>
      </c>
      <c r="AS68" s="353">
        <f t="shared" si="34"/>
        <v>3.6784949580437758E-2</v>
      </c>
      <c r="AT68" s="350">
        <f t="shared" si="35"/>
        <v>24206.020000000004</v>
      </c>
      <c r="AU68" s="351">
        <f t="shared" si="36"/>
        <v>4.4139755276268566E-2</v>
      </c>
    </row>
    <row r="69" spans="2:51" ht="15" customHeight="1" x14ac:dyDescent="0.35">
      <c r="O69" s="52"/>
      <c r="AJ69" s="39">
        <f>AJ68-AJ44-AJ45</f>
        <v>5210.6200000000026</v>
      </c>
    </row>
    <row r="70" spans="2:51" ht="15" customHeight="1" x14ac:dyDescent="0.35">
      <c r="O70" s="52"/>
    </row>
    <row r="71" spans="2:51" ht="15.5" x14ac:dyDescent="0.35">
      <c r="B71" s="419" t="s">
        <v>204</v>
      </c>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c r="AJ71" s="419"/>
      <c r="AK71" s="419"/>
      <c r="AL71" s="419"/>
      <c r="AM71" s="419"/>
      <c r="AN71" s="419"/>
      <c r="AO71" s="419"/>
      <c r="AP71" s="419"/>
      <c r="AQ71" s="419"/>
      <c r="AR71" s="419"/>
      <c r="AS71" s="419"/>
      <c r="AT71" s="419"/>
      <c r="AU71" s="419"/>
    </row>
    <row r="72" spans="2:51" ht="5.9" customHeight="1" outlineLevel="1" x14ac:dyDescent="0.35">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row>
    <row r="73" spans="2:51" outlineLevel="1" x14ac:dyDescent="0.35">
      <c r="B73" s="462"/>
      <c r="C73" s="450" t="s">
        <v>134</v>
      </c>
      <c r="D73" s="435" t="s">
        <v>169</v>
      </c>
      <c r="E73" s="436"/>
      <c r="F73" s="436"/>
      <c r="G73" s="436"/>
      <c r="H73" s="436"/>
      <c r="I73" s="436"/>
      <c r="J73" s="436"/>
      <c r="K73" s="436"/>
      <c r="L73" s="436"/>
      <c r="M73" s="436"/>
      <c r="N73" s="436"/>
      <c r="O73" s="435"/>
      <c r="P73" s="436"/>
      <c r="Q73" s="437"/>
      <c r="R73" s="431" t="str">
        <f xml:space="preserve"> D74&amp;" - "&amp;O74</f>
        <v>2019 - 2023</v>
      </c>
      <c r="S73" s="456"/>
      <c r="U73" s="435" t="s">
        <v>170</v>
      </c>
      <c r="V73" s="436"/>
      <c r="W73" s="436"/>
      <c r="X73" s="436"/>
      <c r="Y73" s="436"/>
      <c r="Z73" s="436"/>
      <c r="AA73" s="436"/>
      <c r="AB73" s="436"/>
      <c r="AC73" s="436"/>
      <c r="AD73" s="436"/>
      <c r="AE73" s="436"/>
      <c r="AF73" s="436"/>
      <c r="AG73" s="436"/>
      <c r="AH73" s="436"/>
      <c r="AI73" s="436"/>
      <c r="AJ73" s="436"/>
      <c r="AK73" s="436"/>
      <c r="AL73" s="436"/>
      <c r="AM73" s="436"/>
      <c r="AN73" s="436"/>
      <c r="AO73" s="436"/>
      <c r="AP73" s="436"/>
      <c r="AQ73" s="436"/>
      <c r="AR73" s="436"/>
      <c r="AS73" s="436"/>
      <c r="AT73" s="436"/>
      <c r="AU73" s="437"/>
    </row>
    <row r="74" spans="2:51" outlineLevel="1" x14ac:dyDescent="0.35">
      <c r="B74" s="463"/>
      <c r="C74" s="451"/>
      <c r="D74" s="435">
        <f>$C$3-5</f>
        <v>2019</v>
      </c>
      <c r="E74" s="437"/>
      <c r="F74" s="435">
        <f>$C$3-4</f>
        <v>2020</v>
      </c>
      <c r="G74" s="436"/>
      <c r="H74" s="437"/>
      <c r="I74" s="435">
        <f>$C$3-3</f>
        <v>2021</v>
      </c>
      <c r="J74" s="436"/>
      <c r="K74" s="437"/>
      <c r="L74" s="435">
        <f>$C$3-2</f>
        <v>2022</v>
      </c>
      <c r="M74" s="436"/>
      <c r="N74" s="437"/>
      <c r="O74" s="435">
        <f>$C$3-1</f>
        <v>2023</v>
      </c>
      <c r="P74" s="436"/>
      <c r="Q74" s="437"/>
      <c r="R74" s="433"/>
      <c r="S74" s="457"/>
      <c r="U74" s="435">
        <f>$C$3</f>
        <v>2024</v>
      </c>
      <c r="V74" s="436"/>
      <c r="W74" s="436"/>
      <c r="X74" s="436"/>
      <c r="Y74" s="437"/>
      <c r="Z74" s="435">
        <f>$C$3+1</f>
        <v>2025</v>
      </c>
      <c r="AA74" s="436"/>
      <c r="AB74" s="436"/>
      <c r="AC74" s="436"/>
      <c r="AD74" s="437"/>
      <c r="AE74" s="435">
        <f>$C$3+2</f>
        <v>2026</v>
      </c>
      <c r="AF74" s="436"/>
      <c r="AG74" s="436"/>
      <c r="AH74" s="436"/>
      <c r="AI74" s="437"/>
      <c r="AJ74" s="435">
        <f>$C$3+3</f>
        <v>2027</v>
      </c>
      <c r="AK74" s="436"/>
      <c r="AL74" s="436"/>
      <c r="AM74" s="436"/>
      <c r="AN74" s="437"/>
      <c r="AO74" s="435">
        <f>$C$3+4</f>
        <v>2028</v>
      </c>
      <c r="AP74" s="436"/>
      <c r="AQ74" s="436"/>
      <c r="AR74" s="436"/>
      <c r="AS74" s="437"/>
      <c r="AT74" s="439" t="str">
        <f>U74&amp;" - "&amp;AO74</f>
        <v>2024 - 2028</v>
      </c>
      <c r="AU74" s="458"/>
    </row>
    <row r="75" spans="2:51" ht="43.5" outlineLevel="1" x14ac:dyDescent="0.35">
      <c r="B75" s="464"/>
      <c r="C75" s="452"/>
      <c r="D75" s="66" t="s">
        <v>192</v>
      </c>
      <c r="E75" s="67" t="s">
        <v>193</v>
      </c>
      <c r="F75" s="66" t="s">
        <v>192</v>
      </c>
      <c r="G75" s="9" t="s">
        <v>193</v>
      </c>
      <c r="H75" s="67" t="s">
        <v>173</v>
      </c>
      <c r="I75" s="66" t="s">
        <v>192</v>
      </c>
      <c r="J75" s="9" t="s">
        <v>193</v>
      </c>
      <c r="K75" s="67" t="s">
        <v>173</v>
      </c>
      <c r="L75" s="66" t="s">
        <v>192</v>
      </c>
      <c r="M75" s="9" t="s">
        <v>193</v>
      </c>
      <c r="N75" s="67" t="s">
        <v>173</v>
      </c>
      <c r="O75" s="66" t="s">
        <v>192</v>
      </c>
      <c r="P75" s="9" t="s">
        <v>193</v>
      </c>
      <c r="Q75" s="67" t="s">
        <v>173</v>
      </c>
      <c r="R75" s="66" t="s">
        <v>164</v>
      </c>
      <c r="S75" s="134" t="s">
        <v>174</v>
      </c>
      <c r="U75" s="66" t="s">
        <v>192</v>
      </c>
      <c r="V75" s="105" t="s">
        <v>202</v>
      </c>
      <c r="W75" s="105" t="s">
        <v>203</v>
      </c>
      <c r="X75" s="9" t="s">
        <v>193</v>
      </c>
      <c r="Y75" s="67" t="s">
        <v>173</v>
      </c>
      <c r="Z75" s="66" t="s">
        <v>192</v>
      </c>
      <c r="AA75" s="105" t="s">
        <v>202</v>
      </c>
      <c r="AB75" s="105" t="s">
        <v>203</v>
      </c>
      <c r="AC75" s="9" t="s">
        <v>193</v>
      </c>
      <c r="AD75" s="67" t="s">
        <v>173</v>
      </c>
      <c r="AE75" s="66" t="s">
        <v>192</v>
      </c>
      <c r="AF75" s="105" t="s">
        <v>202</v>
      </c>
      <c r="AG75" s="105" t="s">
        <v>203</v>
      </c>
      <c r="AH75" s="9" t="s">
        <v>193</v>
      </c>
      <c r="AI75" s="67" t="s">
        <v>173</v>
      </c>
      <c r="AJ75" s="66" t="s">
        <v>192</v>
      </c>
      <c r="AK75" s="105" t="s">
        <v>202</v>
      </c>
      <c r="AL75" s="105" t="s">
        <v>203</v>
      </c>
      <c r="AM75" s="9" t="s">
        <v>193</v>
      </c>
      <c r="AN75" s="67" t="s">
        <v>173</v>
      </c>
      <c r="AO75" s="66" t="s">
        <v>192</v>
      </c>
      <c r="AP75" s="105" t="s">
        <v>202</v>
      </c>
      <c r="AQ75" s="105" t="s">
        <v>203</v>
      </c>
      <c r="AR75" s="9" t="s">
        <v>193</v>
      </c>
      <c r="AS75" s="67" t="s">
        <v>173</v>
      </c>
      <c r="AT75" s="66" t="s">
        <v>164</v>
      </c>
      <c r="AU75" s="134" t="s">
        <v>174</v>
      </c>
    </row>
    <row r="76" spans="2:51" outlineLevel="1" x14ac:dyDescent="0.35">
      <c r="B76" s="48" t="s">
        <v>74</v>
      </c>
      <c r="C76" s="62" t="s">
        <v>135</v>
      </c>
      <c r="D76" s="70">
        <v>55</v>
      </c>
      <c r="E76" s="71">
        <v>620</v>
      </c>
      <c r="F76" s="70">
        <v>41</v>
      </c>
      <c r="G76" s="138">
        <f t="shared" ref="G76:G129" si="59">E76+F76</f>
        <v>661</v>
      </c>
      <c r="H76" s="167">
        <f t="shared" ref="H76:H129" si="60">IFERROR((G76-E76)/E76,0)</f>
        <v>6.6129032258064518E-2</v>
      </c>
      <c r="I76" s="70">
        <v>34</v>
      </c>
      <c r="J76" s="138">
        <f t="shared" ref="J76:J129" si="61">G76+I76</f>
        <v>695</v>
      </c>
      <c r="K76" s="167">
        <f t="shared" ref="K76:K130" si="62">IFERROR((J76-G76)/G76,0)</f>
        <v>5.1437216338880487E-2</v>
      </c>
      <c r="L76" s="6">
        <v>23</v>
      </c>
      <c r="M76" s="138">
        <f t="shared" ref="M76:M107" si="63">J76+L76</f>
        <v>718</v>
      </c>
      <c r="N76" s="167">
        <f t="shared" ref="N76:N130" si="64">IFERROR((M76-J76)/J76,0)</f>
        <v>3.3093525179856115E-2</v>
      </c>
      <c r="O76" s="6">
        <v>19</v>
      </c>
      <c r="P76" s="138">
        <f>M76+O76</f>
        <v>737</v>
      </c>
      <c r="Q76" s="167">
        <f>IFERROR((P76-M76)/M76,0)</f>
        <v>2.6462395543175487E-2</v>
      </c>
      <c r="R76" s="164">
        <f t="shared" ref="R76:R105" si="65">D76+F76+I76+L76+O76</f>
        <v>172</v>
      </c>
      <c r="S76" s="165">
        <f>IFERROR((P76/E76)^(1/4)-1,0)</f>
        <v>4.4164562064803681E-2</v>
      </c>
      <c r="U76" s="170">
        <f>V76+W76</f>
        <v>9.7200000000000006</v>
      </c>
      <c r="V76" s="6">
        <v>9.7200000000000006</v>
      </c>
      <c r="W76" s="6">
        <v>0</v>
      </c>
      <c r="X76" s="138">
        <f>P76+U76</f>
        <v>746.72</v>
      </c>
      <c r="Y76" s="167">
        <f t="shared" ref="Y76" si="66">IFERROR((X76-P76)/P76,0)</f>
        <v>1.3188602442333823E-2</v>
      </c>
      <c r="Z76" s="170">
        <f>AA76+AB76</f>
        <v>28.200000000000003</v>
      </c>
      <c r="AA76" s="6">
        <v>12.22</v>
      </c>
      <c r="AB76" s="6">
        <v>15.98</v>
      </c>
      <c r="AC76" s="138">
        <f t="shared" ref="AC76" si="67">X76+Z76</f>
        <v>774.92000000000007</v>
      </c>
      <c r="AD76" s="160">
        <f t="shared" ref="AD76" si="68">IFERROR((AC76-X76)/X76,0)</f>
        <v>3.7765159631454957E-2</v>
      </c>
      <c r="AE76" s="170">
        <f>AF76+AG76</f>
        <v>49.769999999999996</v>
      </c>
      <c r="AF76" s="6">
        <v>11.7</v>
      </c>
      <c r="AG76" s="6">
        <v>38.07</v>
      </c>
      <c r="AH76" s="138">
        <f t="shared" ref="AH76" si="69">AC76+AE76</f>
        <v>824.69</v>
      </c>
      <c r="AI76" s="160">
        <f t="shared" ref="AI76" si="70">IFERROR((AH76-AC76)/AC76,0)</f>
        <v>6.4225984617766962E-2</v>
      </c>
      <c r="AJ76" s="170">
        <f>AK76+AL76</f>
        <v>44.24</v>
      </c>
      <c r="AK76" s="6">
        <v>9.18</v>
      </c>
      <c r="AL76" s="6">
        <v>35.06</v>
      </c>
      <c r="AM76" s="138">
        <f t="shared" ref="AM76" si="71">AH76+AJ76</f>
        <v>868.93000000000006</v>
      </c>
      <c r="AN76" s="160">
        <f t="shared" ref="AN76" si="72">IFERROR((AM76-AH76)/AH76,0)</f>
        <v>5.3644399713831871E-2</v>
      </c>
      <c r="AO76" s="170">
        <f>AP76+AQ76</f>
        <v>34.03</v>
      </c>
      <c r="AP76" s="6">
        <v>6.9</v>
      </c>
      <c r="AQ76" s="6">
        <v>27.13</v>
      </c>
      <c r="AR76" s="138">
        <f t="shared" ref="AR76" si="73">AM76+AO76</f>
        <v>902.96</v>
      </c>
      <c r="AS76" s="160">
        <f t="shared" ref="AS76" si="74">IFERROR((AR76-AM76)/AM76,0)</f>
        <v>3.9163108650869423E-2</v>
      </c>
      <c r="AT76" s="164">
        <f t="shared" ref="AT76:AT129" si="75">U76+Z76+AE76+AJ76+AO76</f>
        <v>165.96</v>
      </c>
      <c r="AU76" s="165">
        <f t="shared" ref="AU76" si="76">IFERROR((AR76/X76)^(1/4)-1,0)</f>
        <v>4.864304822594856E-2</v>
      </c>
      <c r="AV76" s="39"/>
      <c r="AW76" s="334"/>
      <c r="AX76" s="39"/>
      <c r="AY76" s="39"/>
    </row>
    <row r="77" spans="2:51" outlineLevel="1" x14ac:dyDescent="0.35">
      <c r="B77" s="48" t="s">
        <v>75</v>
      </c>
      <c r="C77" s="62" t="s">
        <v>135</v>
      </c>
      <c r="D77" s="70">
        <v>258</v>
      </c>
      <c r="E77" s="71">
        <v>2090</v>
      </c>
      <c r="F77" s="70">
        <v>294</v>
      </c>
      <c r="G77" s="138">
        <f t="shared" si="59"/>
        <v>2384</v>
      </c>
      <c r="H77" s="167">
        <f t="shared" si="60"/>
        <v>0.14066985645933014</v>
      </c>
      <c r="I77" s="70">
        <v>248</v>
      </c>
      <c r="J77" s="138">
        <f t="shared" si="61"/>
        <v>2632</v>
      </c>
      <c r="K77" s="167">
        <f t="shared" si="62"/>
        <v>0.1040268456375839</v>
      </c>
      <c r="L77" s="6">
        <v>125</v>
      </c>
      <c r="M77" s="138">
        <f t="shared" si="63"/>
        <v>2757</v>
      </c>
      <c r="N77" s="167">
        <f t="shared" si="64"/>
        <v>4.7492401215805474E-2</v>
      </c>
      <c r="O77" s="6">
        <v>78</v>
      </c>
      <c r="P77" s="138">
        <f t="shared" ref="P77:P129" si="77">M77+O77</f>
        <v>2835</v>
      </c>
      <c r="Q77" s="167">
        <f t="shared" ref="Q77:Q129" si="78">IFERROR((P77-M77)/M77,0)</f>
        <v>2.8291621327529923E-2</v>
      </c>
      <c r="R77" s="164">
        <f t="shared" si="65"/>
        <v>1003</v>
      </c>
      <c r="S77" s="165">
        <f t="shared" ref="S77:S129" si="79">IFERROR((P77/E77)^(1/4)-1,0)</f>
        <v>7.919939768714368E-2</v>
      </c>
      <c r="U77" s="170">
        <f t="shared" ref="U77:U130" si="80">V77+W77</f>
        <v>119.28</v>
      </c>
      <c r="V77" s="6">
        <v>118.63</v>
      </c>
      <c r="W77" s="6">
        <v>0.65</v>
      </c>
      <c r="X77" s="138">
        <f t="shared" ref="X77:X130" si="81">P77+U77</f>
        <v>2954.28</v>
      </c>
      <c r="Y77" s="167">
        <f t="shared" ref="Y77:Y130" si="82">IFERROR((X77-P77)/P77,0)</f>
        <v>4.2074074074074146E-2</v>
      </c>
      <c r="Z77" s="170">
        <f t="shared" ref="Z77:Z130" si="83">AA77+AB77</f>
        <v>176.95000000000002</v>
      </c>
      <c r="AA77" s="6">
        <v>149.15</v>
      </c>
      <c r="AB77" s="6">
        <v>27.8</v>
      </c>
      <c r="AC77" s="138">
        <f t="shared" ref="AC77:AC130" si="84">X77+Z77</f>
        <v>3131.23</v>
      </c>
      <c r="AD77" s="160">
        <f t="shared" ref="AD77:AD130" si="85">IFERROR((AC77-X77)/X77,0)</f>
        <v>5.9896150669537011E-2</v>
      </c>
      <c r="AE77" s="170">
        <f>AF77+AG77</f>
        <v>182.66</v>
      </c>
      <c r="AF77" s="6">
        <v>142.76</v>
      </c>
      <c r="AG77" s="6">
        <v>39.9</v>
      </c>
      <c r="AH77" s="138">
        <f t="shared" ref="AH77:AH130" si="86">AC77+AE77</f>
        <v>3313.89</v>
      </c>
      <c r="AI77" s="160">
        <f t="shared" ref="AI77:AI130" si="87">IFERROR((AH77-AC77)/AC77,0)</f>
        <v>5.8334903536309962E-2</v>
      </c>
      <c r="AJ77" s="170">
        <f t="shared" ref="AJ77:AJ130" si="88">AK77+AL77</f>
        <v>150.6</v>
      </c>
      <c r="AK77" s="6">
        <v>112.06</v>
      </c>
      <c r="AL77" s="6">
        <v>38.54</v>
      </c>
      <c r="AM77" s="138">
        <f t="shared" ref="AM77:AM130" si="89">AH77+AJ77</f>
        <v>3464.49</v>
      </c>
      <c r="AN77" s="160">
        <f t="shared" ref="AN77:AN130" si="90">IFERROR((AM77-AH77)/AH77,0)</f>
        <v>4.5445081158396905E-2</v>
      </c>
      <c r="AO77" s="170">
        <f t="shared" ref="AO77:AO130" si="91">AP77+AQ77</f>
        <v>116.01</v>
      </c>
      <c r="AP77" s="6">
        <v>84.29</v>
      </c>
      <c r="AQ77" s="6">
        <v>31.72</v>
      </c>
      <c r="AR77" s="138">
        <f t="shared" ref="AR77:AR130" si="92">AM77+AO77</f>
        <v>3580.5</v>
      </c>
      <c r="AS77" s="160">
        <f t="shared" ref="AS77:AS130" si="93">IFERROR((AR77-AM77)/AM77,0)</f>
        <v>3.3485448074608452E-2</v>
      </c>
      <c r="AT77" s="164">
        <f t="shared" si="75"/>
        <v>745.5</v>
      </c>
      <c r="AU77" s="165">
        <f t="shared" ref="AU77:AU130" si="94">IFERROR((AR77/X77)^(1/4)-1,0)</f>
        <v>4.9235571912692677E-2</v>
      </c>
      <c r="AV77" s="39"/>
      <c r="AW77" s="334"/>
      <c r="AX77" s="39"/>
      <c r="AY77" s="39"/>
    </row>
    <row r="78" spans="2:51" outlineLevel="1" x14ac:dyDescent="0.35">
      <c r="B78" s="48" t="s">
        <v>76</v>
      </c>
      <c r="C78" s="62" t="s">
        <v>135</v>
      </c>
      <c r="D78" s="70">
        <v>148</v>
      </c>
      <c r="E78" s="71">
        <v>1081</v>
      </c>
      <c r="F78" s="70">
        <v>143</v>
      </c>
      <c r="G78" s="138">
        <f t="shared" si="59"/>
        <v>1224</v>
      </c>
      <c r="H78" s="167">
        <f t="shared" si="60"/>
        <v>0.13228492136910269</v>
      </c>
      <c r="I78" s="70">
        <v>179</v>
      </c>
      <c r="J78" s="138">
        <f t="shared" si="61"/>
        <v>1403</v>
      </c>
      <c r="K78" s="167">
        <f t="shared" si="62"/>
        <v>0.14624183006535948</v>
      </c>
      <c r="L78" s="6">
        <v>98</v>
      </c>
      <c r="M78" s="138">
        <f t="shared" si="63"/>
        <v>1501</v>
      </c>
      <c r="N78" s="167">
        <f t="shared" si="64"/>
        <v>6.9850320741268707E-2</v>
      </c>
      <c r="O78" s="6">
        <v>62</v>
      </c>
      <c r="P78" s="138">
        <f t="shared" si="77"/>
        <v>1563</v>
      </c>
      <c r="Q78" s="167">
        <f t="shared" si="78"/>
        <v>4.1305796135909394E-2</v>
      </c>
      <c r="R78" s="164">
        <f t="shared" si="65"/>
        <v>630</v>
      </c>
      <c r="S78" s="165">
        <f t="shared" si="79"/>
        <v>9.6562326085387618E-2</v>
      </c>
      <c r="U78" s="170">
        <f t="shared" si="80"/>
        <v>54.260000000000005</v>
      </c>
      <c r="V78" s="6">
        <v>51.13</v>
      </c>
      <c r="W78" s="6">
        <v>3.13</v>
      </c>
      <c r="X78" s="138">
        <f t="shared" si="81"/>
        <v>1617.26</v>
      </c>
      <c r="Y78" s="167">
        <f t="shared" si="82"/>
        <v>3.4715291106845805E-2</v>
      </c>
      <c r="Z78" s="170">
        <f t="shared" si="83"/>
        <v>88.11</v>
      </c>
      <c r="AA78" s="6">
        <v>64.55</v>
      </c>
      <c r="AB78" s="6">
        <v>23.56</v>
      </c>
      <c r="AC78" s="138">
        <f t="shared" si="84"/>
        <v>1705.37</v>
      </c>
      <c r="AD78" s="160">
        <f t="shared" si="85"/>
        <v>5.4481035826026675E-2</v>
      </c>
      <c r="AE78" s="170">
        <f t="shared" ref="AE78:AE130" si="95">AF78+AG78</f>
        <v>128.74</v>
      </c>
      <c r="AF78" s="6">
        <v>61.54</v>
      </c>
      <c r="AG78" s="6">
        <v>67.2</v>
      </c>
      <c r="AH78" s="138">
        <f t="shared" si="86"/>
        <v>1834.11</v>
      </c>
      <c r="AI78" s="160">
        <f t="shared" si="87"/>
        <v>7.5490949178184219E-2</v>
      </c>
      <c r="AJ78" s="170">
        <f t="shared" si="88"/>
        <v>125.30000000000001</v>
      </c>
      <c r="AK78" s="6">
        <v>48.35</v>
      </c>
      <c r="AL78" s="6">
        <v>76.95</v>
      </c>
      <c r="AM78" s="138">
        <f t="shared" si="89"/>
        <v>1959.4099999999999</v>
      </c>
      <c r="AN78" s="160">
        <f t="shared" si="90"/>
        <v>6.8316513186231997E-2</v>
      </c>
      <c r="AO78" s="170">
        <f t="shared" si="91"/>
        <v>112.52</v>
      </c>
      <c r="AP78" s="6">
        <v>36.450000000000003</v>
      </c>
      <c r="AQ78" s="6">
        <v>76.069999999999993</v>
      </c>
      <c r="AR78" s="138">
        <f t="shared" si="92"/>
        <v>2071.9299999999998</v>
      </c>
      <c r="AS78" s="160">
        <f t="shared" si="93"/>
        <v>5.7425449497552829E-2</v>
      </c>
      <c r="AT78" s="164">
        <f t="shared" si="75"/>
        <v>508.93</v>
      </c>
      <c r="AU78" s="165">
        <f t="shared" si="94"/>
        <v>6.389509932171511E-2</v>
      </c>
      <c r="AV78" s="39"/>
      <c r="AW78" s="334"/>
      <c r="AX78" s="39"/>
      <c r="AY78" s="39"/>
    </row>
    <row r="79" spans="2:51" outlineLevel="1" x14ac:dyDescent="0.35">
      <c r="B79" s="48" t="s">
        <v>77</v>
      </c>
      <c r="C79" s="62" t="s">
        <v>135</v>
      </c>
      <c r="D79" s="70">
        <v>29</v>
      </c>
      <c r="E79" s="71">
        <v>254</v>
      </c>
      <c r="F79" s="70">
        <v>45</v>
      </c>
      <c r="G79" s="138">
        <f t="shared" si="59"/>
        <v>299</v>
      </c>
      <c r="H79" s="167">
        <f t="shared" si="60"/>
        <v>0.17716535433070865</v>
      </c>
      <c r="I79" s="70">
        <v>60</v>
      </c>
      <c r="J79" s="138">
        <f t="shared" si="61"/>
        <v>359</v>
      </c>
      <c r="K79" s="167">
        <f t="shared" si="62"/>
        <v>0.20066889632107024</v>
      </c>
      <c r="L79" s="6">
        <v>44</v>
      </c>
      <c r="M79" s="138">
        <f t="shared" si="63"/>
        <v>403</v>
      </c>
      <c r="N79" s="167">
        <f t="shared" si="64"/>
        <v>0.12256267409470752</v>
      </c>
      <c r="O79" s="6">
        <v>10</v>
      </c>
      <c r="P79" s="138">
        <f t="shared" si="77"/>
        <v>413</v>
      </c>
      <c r="Q79" s="167">
        <f t="shared" si="78"/>
        <v>2.4813895781637719E-2</v>
      </c>
      <c r="R79" s="164">
        <f t="shared" si="65"/>
        <v>188</v>
      </c>
      <c r="S79" s="165">
        <f t="shared" si="79"/>
        <v>0.1292213579906345</v>
      </c>
      <c r="U79" s="170">
        <f t="shared" si="80"/>
        <v>10.88</v>
      </c>
      <c r="V79" s="6">
        <v>10.88</v>
      </c>
      <c r="W79" s="6">
        <v>0</v>
      </c>
      <c r="X79" s="138">
        <f t="shared" si="81"/>
        <v>423.88</v>
      </c>
      <c r="Y79" s="167">
        <f t="shared" si="82"/>
        <v>2.6343825665859553E-2</v>
      </c>
      <c r="Z79" s="170">
        <f t="shared" si="83"/>
        <v>13.63</v>
      </c>
      <c r="AA79" s="6">
        <v>13.63</v>
      </c>
      <c r="AB79" s="6">
        <v>0</v>
      </c>
      <c r="AC79" s="138">
        <f t="shared" si="84"/>
        <v>437.51</v>
      </c>
      <c r="AD79" s="160">
        <f t="shared" si="85"/>
        <v>3.2155326979333765E-2</v>
      </c>
      <c r="AE79" s="170">
        <f t="shared" si="95"/>
        <v>18.059999999999999</v>
      </c>
      <c r="AF79" s="6">
        <v>13.02</v>
      </c>
      <c r="AG79" s="6">
        <v>5.04</v>
      </c>
      <c r="AH79" s="138">
        <f t="shared" si="86"/>
        <v>455.57</v>
      </c>
      <c r="AI79" s="160">
        <f t="shared" si="87"/>
        <v>4.1279056478709067E-2</v>
      </c>
      <c r="AJ79" s="170">
        <f t="shared" si="88"/>
        <v>17.98</v>
      </c>
      <c r="AK79" s="6">
        <v>10.210000000000001</v>
      </c>
      <c r="AL79" s="6">
        <v>7.77</v>
      </c>
      <c r="AM79" s="138">
        <f t="shared" si="89"/>
        <v>473.55</v>
      </c>
      <c r="AN79" s="160">
        <f t="shared" si="90"/>
        <v>3.946704128893478E-2</v>
      </c>
      <c r="AO79" s="170">
        <f t="shared" si="91"/>
        <v>13.65</v>
      </c>
      <c r="AP79" s="6">
        <v>7.67</v>
      </c>
      <c r="AQ79" s="6">
        <v>5.98</v>
      </c>
      <c r="AR79" s="138">
        <f t="shared" si="92"/>
        <v>487.2</v>
      </c>
      <c r="AS79" s="160">
        <f t="shared" si="93"/>
        <v>2.8824833702882434E-2</v>
      </c>
      <c r="AT79" s="164">
        <f t="shared" si="75"/>
        <v>74.2</v>
      </c>
      <c r="AU79" s="165">
        <f t="shared" si="94"/>
        <v>3.5418900919707896E-2</v>
      </c>
      <c r="AV79" s="39"/>
      <c r="AW79" s="334"/>
      <c r="AX79" s="39"/>
      <c r="AY79" s="39"/>
    </row>
    <row r="80" spans="2:51" outlineLevel="1" x14ac:dyDescent="0.35">
      <c r="B80" s="48" t="s">
        <v>78</v>
      </c>
      <c r="C80" s="62" t="s">
        <v>135</v>
      </c>
      <c r="D80" s="70">
        <v>1245</v>
      </c>
      <c r="E80" s="71">
        <v>17130</v>
      </c>
      <c r="F80" s="70">
        <v>1132</v>
      </c>
      <c r="G80" s="138">
        <f t="shared" si="59"/>
        <v>18262</v>
      </c>
      <c r="H80" s="167">
        <f t="shared" si="60"/>
        <v>6.6082895504962061E-2</v>
      </c>
      <c r="I80" s="70">
        <v>991</v>
      </c>
      <c r="J80" s="138">
        <f t="shared" si="61"/>
        <v>19253</v>
      </c>
      <c r="K80" s="167">
        <f t="shared" si="62"/>
        <v>5.4265688314532913E-2</v>
      </c>
      <c r="L80" s="6">
        <v>694</v>
      </c>
      <c r="M80" s="138">
        <f t="shared" si="63"/>
        <v>19947</v>
      </c>
      <c r="N80" s="167">
        <f t="shared" si="64"/>
        <v>3.6046330442009035E-2</v>
      </c>
      <c r="O80" s="6">
        <v>563</v>
      </c>
      <c r="P80" s="138">
        <f t="shared" si="77"/>
        <v>20510</v>
      </c>
      <c r="Q80" s="167">
        <f t="shared" si="78"/>
        <v>2.8224795708627865E-2</v>
      </c>
      <c r="R80" s="164">
        <f t="shared" si="65"/>
        <v>4625</v>
      </c>
      <c r="S80" s="165">
        <f t="shared" si="79"/>
        <v>4.6049110114706915E-2</v>
      </c>
      <c r="U80" s="170">
        <f t="shared" si="80"/>
        <v>688.95999999999992</v>
      </c>
      <c r="V80" s="6">
        <v>646.53</v>
      </c>
      <c r="W80" s="6">
        <v>42.43</v>
      </c>
      <c r="X80" s="138">
        <f t="shared" si="81"/>
        <v>21198.959999999999</v>
      </c>
      <c r="Y80" s="167">
        <f t="shared" si="82"/>
        <v>3.3591418820087718E-2</v>
      </c>
      <c r="Z80" s="170">
        <f t="shared" si="83"/>
        <v>971.68</v>
      </c>
      <c r="AA80" s="6">
        <v>813.54</v>
      </c>
      <c r="AB80" s="6">
        <v>158.13999999999999</v>
      </c>
      <c r="AC80" s="138">
        <f t="shared" si="84"/>
        <v>22170.639999999999</v>
      </c>
      <c r="AD80" s="160">
        <f t="shared" si="85"/>
        <v>4.5836210832984274E-2</v>
      </c>
      <c r="AE80" s="170">
        <f t="shared" si="95"/>
        <v>1043.48</v>
      </c>
      <c r="AF80" s="6">
        <v>778.61</v>
      </c>
      <c r="AG80" s="6">
        <v>264.87</v>
      </c>
      <c r="AH80" s="138">
        <f t="shared" si="86"/>
        <v>23214.12</v>
      </c>
      <c r="AI80" s="160">
        <f t="shared" si="87"/>
        <v>4.7065849249277404E-2</v>
      </c>
      <c r="AJ80" s="170">
        <f t="shared" si="88"/>
        <v>958.42000000000007</v>
      </c>
      <c r="AK80" s="6">
        <v>610.82000000000005</v>
      </c>
      <c r="AL80" s="6">
        <v>347.6</v>
      </c>
      <c r="AM80" s="138">
        <f t="shared" si="89"/>
        <v>24172.54</v>
      </c>
      <c r="AN80" s="160">
        <f t="shared" si="90"/>
        <v>4.1286079334474104E-2</v>
      </c>
      <c r="AO80" s="170">
        <f t="shared" si="91"/>
        <v>831.33</v>
      </c>
      <c r="AP80" s="6">
        <v>459.91</v>
      </c>
      <c r="AQ80" s="6">
        <v>371.42</v>
      </c>
      <c r="AR80" s="138">
        <f t="shared" si="92"/>
        <v>25003.870000000003</v>
      </c>
      <c r="AS80" s="160">
        <f t="shared" si="93"/>
        <v>3.4391503747640988E-2</v>
      </c>
      <c r="AT80" s="164">
        <f t="shared" si="75"/>
        <v>4493.87</v>
      </c>
      <c r="AU80" s="165">
        <f t="shared" si="94"/>
        <v>4.2133049931509348E-2</v>
      </c>
      <c r="AV80" s="39"/>
      <c r="AW80" s="334"/>
      <c r="AX80" s="39"/>
      <c r="AY80" s="39"/>
    </row>
    <row r="81" spans="2:51" outlineLevel="1" x14ac:dyDescent="0.35">
      <c r="B81" s="48" t="s">
        <v>79</v>
      </c>
      <c r="C81" s="62" t="s">
        <v>135</v>
      </c>
      <c r="D81" s="70">
        <v>281</v>
      </c>
      <c r="E81" s="71">
        <v>2587</v>
      </c>
      <c r="F81" s="70">
        <v>255</v>
      </c>
      <c r="G81" s="138">
        <f t="shared" si="59"/>
        <v>2842</v>
      </c>
      <c r="H81" s="167">
        <f t="shared" si="60"/>
        <v>9.8569771936606113E-2</v>
      </c>
      <c r="I81" s="70">
        <v>315</v>
      </c>
      <c r="J81" s="138">
        <f t="shared" si="61"/>
        <v>3157</v>
      </c>
      <c r="K81" s="167">
        <f t="shared" si="62"/>
        <v>0.11083743842364532</v>
      </c>
      <c r="L81" s="6">
        <v>163</v>
      </c>
      <c r="M81" s="138">
        <f t="shared" si="63"/>
        <v>3320</v>
      </c>
      <c r="N81" s="167">
        <f t="shared" si="64"/>
        <v>5.1631295533734557E-2</v>
      </c>
      <c r="O81" s="6">
        <v>100</v>
      </c>
      <c r="P81" s="138">
        <f t="shared" si="77"/>
        <v>3420</v>
      </c>
      <c r="Q81" s="167">
        <f t="shared" si="78"/>
        <v>3.0120481927710843E-2</v>
      </c>
      <c r="R81" s="164">
        <f t="shared" si="65"/>
        <v>1114</v>
      </c>
      <c r="S81" s="165">
        <f t="shared" si="79"/>
        <v>7.2278058525602429E-2</v>
      </c>
      <c r="U81" s="170">
        <f t="shared" si="80"/>
        <v>65.7</v>
      </c>
      <c r="V81" s="6">
        <v>64.680000000000007</v>
      </c>
      <c r="W81" s="6">
        <v>1.02</v>
      </c>
      <c r="X81" s="138">
        <f t="shared" si="81"/>
        <v>3485.7</v>
      </c>
      <c r="Y81" s="167">
        <f t="shared" si="82"/>
        <v>1.9210526315789421E-2</v>
      </c>
      <c r="Z81" s="170">
        <f t="shared" si="83"/>
        <v>82.67</v>
      </c>
      <c r="AA81" s="6">
        <v>81.44</v>
      </c>
      <c r="AB81" s="6">
        <v>1.23</v>
      </c>
      <c r="AC81" s="138">
        <f t="shared" si="84"/>
        <v>3568.37</v>
      </c>
      <c r="AD81" s="160">
        <f t="shared" si="85"/>
        <v>2.3716900479100345E-2</v>
      </c>
      <c r="AE81" s="170">
        <f t="shared" si="95"/>
        <v>78.800000000000011</v>
      </c>
      <c r="AF81" s="6">
        <v>78.010000000000005</v>
      </c>
      <c r="AG81" s="6">
        <v>0.79</v>
      </c>
      <c r="AH81" s="138">
        <f t="shared" si="86"/>
        <v>3647.17</v>
      </c>
      <c r="AI81" s="160">
        <f t="shared" si="87"/>
        <v>2.2082911805670426E-2</v>
      </c>
      <c r="AJ81" s="170">
        <f t="shared" si="88"/>
        <v>61.71</v>
      </c>
      <c r="AK81" s="6">
        <v>61.26</v>
      </c>
      <c r="AL81" s="6">
        <v>0.45</v>
      </c>
      <c r="AM81" s="138">
        <f t="shared" si="89"/>
        <v>3708.88</v>
      </c>
      <c r="AN81" s="160">
        <f t="shared" si="90"/>
        <v>1.6919968084843875E-2</v>
      </c>
      <c r="AO81" s="170">
        <f t="shared" si="91"/>
        <v>60.47</v>
      </c>
      <c r="AP81" s="6">
        <v>46.12</v>
      </c>
      <c r="AQ81" s="6">
        <v>14.35</v>
      </c>
      <c r="AR81" s="138">
        <f t="shared" si="92"/>
        <v>3769.35</v>
      </c>
      <c r="AS81" s="160">
        <f t="shared" si="93"/>
        <v>1.6304113371152423E-2</v>
      </c>
      <c r="AT81" s="164">
        <f t="shared" si="75"/>
        <v>349.35</v>
      </c>
      <c r="AU81" s="165">
        <f t="shared" si="94"/>
        <v>1.9750940991301702E-2</v>
      </c>
      <c r="AV81" s="39"/>
      <c r="AW81" s="334"/>
      <c r="AX81" s="39"/>
      <c r="AY81" s="39"/>
    </row>
    <row r="82" spans="2:51" outlineLevel="1" x14ac:dyDescent="0.35">
      <c r="B82" s="48" t="s">
        <v>80</v>
      </c>
      <c r="C82" s="62" t="s">
        <v>135</v>
      </c>
      <c r="D82" s="70">
        <v>108</v>
      </c>
      <c r="E82" s="71">
        <v>847</v>
      </c>
      <c r="F82" s="70">
        <v>119</v>
      </c>
      <c r="G82" s="138">
        <f t="shared" si="59"/>
        <v>966</v>
      </c>
      <c r="H82" s="167">
        <f t="shared" si="60"/>
        <v>0.14049586776859505</v>
      </c>
      <c r="I82" s="70">
        <v>246</v>
      </c>
      <c r="J82" s="138">
        <f t="shared" si="61"/>
        <v>1212</v>
      </c>
      <c r="K82" s="167">
        <f t="shared" si="62"/>
        <v>0.25465838509316768</v>
      </c>
      <c r="L82" s="6">
        <v>71</v>
      </c>
      <c r="M82" s="138">
        <f t="shared" si="63"/>
        <v>1283</v>
      </c>
      <c r="N82" s="167">
        <f t="shared" si="64"/>
        <v>5.8580858085808582E-2</v>
      </c>
      <c r="O82" s="6">
        <v>49</v>
      </c>
      <c r="P82" s="138">
        <f t="shared" si="77"/>
        <v>1332</v>
      </c>
      <c r="Q82" s="167">
        <f t="shared" si="78"/>
        <v>3.8191738113795788E-2</v>
      </c>
      <c r="R82" s="164">
        <f t="shared" si="65"/>
        <v>593</v>
      </c>
      <c r="S82" s="165">
        <f t="shared" si="79"/>
        <v>0.11983800797772215</v>
      </c>
      <c r="U82" s="170">
        <f t="shared" si="80"/>
        <v>71.069999999999993</v>
      </c>
      <c r="V82" s="6">
        <v>67.19</v>
      </c>
      <c r="W82" s="6">
        <v>3.88</v>
      </c>
      <c r="X82" s="138">
        <f t="shared" si="81"/>
        <v>1403.07</v>
      </c>
      <c r="Y82" s="167">
        <f t="shared" si="82"/>
        <v>5.335585585585581E-2</v>
      </c>
      <c r="Z82" s="170">
        <f t="shared" si="83"/>
        <v>95.34</v>
      </c>
      <c r="AA82" s="6">
        <v>84.56</v>
      </c>
      <c r="AB82" s="6">
        <v>10.78</v>
      </c>
      <c r="AC82" s="138">
        <f t="shared" si="84"/>
        <v>1498.4099999999999</v>
      </c>
      <c r="AD82" s="160">
        <f t="shared" si="85"/>
        <v>6.7950993179242608E-2</v>
      </c>
      <c r="AE82" s="170">
        <f t="shared" si="95"/>
        <v>92.47</v>
      </c>
      <c r="AF82" s="6">
        <v>80.599999999999994</v>
      </c>
      <c r="AG82" s="6">
        <v>11.87</v>
      </c>
      <c r="AH82" s="138">
        <f t="shared" si="86"/>
        <v>1590.8799999999999</v>
      </c>
      <c r="AI82" s="160">
        <f t="shared" si="87"/>
        <v>6.1712081473028098E-2</v>
      </c>
      <c r="AJ82" s="170">
        <f t="shared" si="88"/>
        <v>71.41</v>
      </c>
      <c r="AK82" s="6">
        <v>63.19</v>
      </c>
      <c r="AL82" s="6">
        <v>8.2200000000000006</v>
      </c>
      <c r="AM82" s="138">
        <f t="shared" si="89"/>
        <v>1662.29</v>
      </c>
      <c r="AN82" s="160">
        <f t="shared" si="90"/>
        <v>4.488710650709047E-2</v>
      </c>
      <c r="AO82" s="170">
        <f t="shared" si="91"/>
        <v>59.31</v>
      </c>
      <c r="AP82" s="6">
        <v>47.52</v>
      </c>
      <c r="AQ82" s="6">
        <v>11.79</v>
      </c>
      <c r="AR82" s="138">
        <f t="shared" si="92"/>
        <v>1721.6</v>
      </c>
      <c r="AS82" s="160">
        <f t="shared" si="93"/>
        <v>3.5679694878751569E-2</v>
      </c>
      <c r="AT82" s="164">
        <f t="shared" si="75"/>
        <v>389.59999999999997</v>
      </c>
      <c r="AU82" s="165">
        <f t="shared" si="94"/>
        <v>5.2478490205145611E-2</v>
      </c>
      <c r="AV82" s="39"/>
      <c r="AW82" s="334"/>
      <c r="AX82" s="39"/>
      <c r="AY82" s="39"/>
    </row>
    <row r="83" spans="2:51" outlineLevel="1" x14ac:dyDescent="0.35">
      <c r="B83" s="48" t="s">
        <v>81</v>
      </c>
      <c r="C83" s="62" t="s">
        <v>135</v>
      </c>
      <c r="D83" s="70">
        <v>217</v>
      </c>
      <c r="E83" s="71">
        <v>3109</v>
      </c>
      <c r="F83" s="70">
        <v>206</v>
      </c>
      <c r="G83" s="138">
        <f t="shared" si="59"/>
        <v>3315</v>
      </c>
      <c r="H83" s="167">
        <f t="shared" si="60"/>
        <v>6.6259247346413641E-2</v>
      </c>
      <c r="I83" s="70">
        <v>176</v>
      </c>
      <c r="J83" s="138">
        <f t="shared" si="61"/>
        <v>3491</v>
      </c>
      <c r="K83" s="167">
        <f t="shared" si="62"/>
        <v>5.3092006033182503E-2</v>
      </c>
      <c r="L83" s="6">
        <v>119</v>
      </c>
      <c r="M83" s="138">
        <f t="shared" si="63"/>
        <v>3610</v>
      </c>
      <c r="N83" s="167">
        <f t="shared" si="64"/>
        <v>3.4087653967344603E-2</v>
      </c>
      <c r="O83" s="6">
        <v>73</v>
      </c>
      <c r="P83" s="138">
        <f t="shared" si="77"/>
        <v>3683</v>
      </c>
      <c r="Q83" s="167">
        <f t="shared" si="78"/>
        <v>2.0221606648199445E-2</v>
      </c>
      <c r="R83" s="164">
        <f t="shared" si="65"/>
        <v>791</v>
      </c>
      <c r="S83" s="165">
        <f t="shared" si="79"/>
        <v>4.3266468986173257E-2</v>
      </c>
      <c r="U83" s="170">
        <f t="shared" si="80"/>
        <v>111.55000000000001</v>
      </c>
      <c r="V83" s="6">
        <v>107.93</v>
      </c>
      <c r="W83" s="6">
        <v>3.62</v>
      </c>
      <c r="X83" s="138">
        <f t="shared" si="81"/>
        <v>3794.55</v>
      </c>
      <c r="Y83" s="167">
        <f t="shared" si="82"/>
        <v>3.028780885147982E-2</v>
      </c>
      <c r="Z83" s="170">
        <f t="shared" si="83"/>
        <v>143.69</v>
      </c>
      <c r="AA83" s="6">
        <v>135.79</v>
      </c>
      <c r="AB83" s="6">
        <v>7.9</v>
      </c>
      <c r="AC83" s="138">
        <f t="shared" si="84"/>
        <v>3938.2400000000002</v>
      </c>
      <c r="AD83" s="160">
        <f t="shared" si="85"/>
        <v>3.786746781568303E-2</v>
      </c>
      <c r="AE83" s="170">
        <f t="shared" si="95"/>
        <v>138.85000000000002</v>
      </c>
      <c r="AF83" s="6">
        <v>130.02000000000001</v>
      </c>
      <c r="AG83" s="6">
        <v>8.83</v>
      </c>
      <c r="AH83" s="138">
        <f t="shared" si="86"/>
        <v>4077.09</v>
      </c>
      <c r="AI83" s="160">
        <f t="shared" si="87"/>
        <v>3.5256866011213105E-2</v>
      </c>
      <c r="AJ83" s="170">
        <f t="shared" si="88"/>
        <v>108.32</v>
      </c>
      <c r="AK83" s="6">
        <v>101.89</v>
      </c>
      <c r="AL83" s="6">
        <v>6.43</v>
      </c>
      <c r="AM83" s="138">
        <f t="shared" si="89"/>
        <v>4185.41</v>
      </c>
      <c r="AN83" s="160">
        <f t="shared" si="90"/>
        <v>2.6567968820899148E-2</v>
      </c>
      <c r="AO83" s="170">
        <f t="shared" si="91"/>
        <v>83</v>
      </c>
      <c r="AP83" s="6">
        <v>76.66</v>
      </c>
      <c r="AQ83" s="6">
        <v>6.34</v>
      </c>
      <c r="AR83" s="138">
        <f t="shared" si="92"/>
        <v>4268.41</v>
      </c>
      <c r="AS83" s="160">
        <f t="shared" si="93"/>
        <v>1.9830793160048838E-2</v>
      </c>
      <c r="AT83" s="164">
        <f t="shared" si="75"/>
        <v>585.41000000000008</v>
      </c>
      <c r="AU83" s="165">
        <f t="shared" si="94"/>
        <v>2.9855901969006782E-2</v>
      </c>
      <c r="AV83" s="39"/>
      <c r="AW83" s="334"/>
      <c r="AX83" s="39"/>
      <c r="AY83" s="39"/>
    </row>
    <row r="84" spans="2:51" outlineLevel="1" x14ac:dyDescent="0.35">
      <c r="B84" s="48" t="s">
        <v>82</v>
      </c>
      <c r="C84" s="62" t="s">
        <v>135</v>
      </c>
      <c r="D84" s="70">
        <v>0</v>
      </c>
      <c r="E84" s="71">
        <v>0</v>
      </c>
      <c r="F84" s="70">
        <v>0</v>
      </c>
      <c r="G84" s="138">
        <f t="shared" si="59"/>
        <v>0</v>
      </c>
      <c r="H84" s="167">
        <f t="shared" si="60"/>
        <v>0</v>
      </c>
      <c r="I84" s="70">
        <v>0</v>
      </c>
      <c r="J84" s="138">
        <f t="shared" si="61"/>
        <v>0</v>
      </c>
      <c r="K84" s="167">
        <f t="shared" si="62"/>
        <v>0</v>
      </c>
      <c r="L84" s="6">
        <v>0</v>
      </c>
      <c r="M84" s="138">
        <f t="shared" si="63"/>
        <v>0</v>
      </c>
      <c r="N84" s="167">
        <f t="shared" si="64"/>
        <v>0</v>
      </c>
      <c r="O84" s="6">
        <v>0</v>
      </c>
      <c r="P84" s="138">
        <f t="shared" si="77"/>
        <v>0</v>
      </c>
      <c r="Q84" s="167">
        <f t="shared" si="78"/>
        <v>0</v>
      </c>
      <c r="R84" s="164">
        <f t="shared" si="65"/>
        <v>0</v>
      </c>
      <c r="S84" s="165">
        <f t="shared" si="79"/>
        <v>0</v>
      </c>
      <c r="U84" s="170">
        <f t="shared" si="80"/>
        <v>0</v>
      </c>
      <c r="V84" s="6">
        <v>0</v>
      </c>
      <c r="W84" s="6">
        <v>0</v>
      </c>
      <c r="X84" s="138">
        <f t="shared" si="81"/>
        <v>0</v>
      </c>
      <c r="Y84" s="167">
        <f t="shared" si="82"/>
        <v>0</v>
      </c>
      <c r="Z84" s="170">
        <f t="shared" si="83"/>
        <v>0</v>
      </c>
      <c r="AA84" s="6">
        <v>0</v>
      </c>
      <c r="AB84" s="6">
        <v>0</v>
      </c>
      <c r="AC84" s="138">
        <f t="shared" si="84"/>
        <v>0</v>
      </c>
      <c r="AD84" s="160">
        <f t="shared" si="85"/>
        <v>0</v>
      </c>
      <c r="AE84" s="170">
        <f t="shared" si="95"/>
        <v>0</v>
      </c>
      <c r="AF84" s="6">
        <v>0</v>
      </c>
      <c r="AG84" s="6">
        <v>0</v>
      </c>
      <c r="AH84" s="138">
        <f t="shared" si="86"/>
        <v>0</v>
      </c>
      <c r="AI84" s="160">
        <f t="shared" si="87"/>
        <v>0</v>
      </c>
      <c r="AJ84" s="170">
        <f t="shared" si="88"/>
        <v>0</v>
      </c>
      <c r="AK84" s="6">
        <v>0</v>
      </c>
      <c r="AL84" s="6">
        <v>0</v>
      </c>
      <c r="AM84" s="138">
        <f t="shared" si="89"/>
        <v>0</v>
      </c>
      <c r="AN84" s="160">
        <f t="shared" si="90"/>
        <v>0</v>
      </c>
      <c r="AO84" s="170">
        <f t="shared" si="91"/>
        <v>0</v>
      </c>
      <c r="AP84" s="6">
        <v>0</v>
      </c>
      <c r="AQ84" s="6">
        <v>0</v>
      </c>
      <c r="AR84" s="138">
        <f t="shared" si="92"/>
        <v>0</v>
      </c>
      <c r="AS84" s="160">
        <f t="shared" si="93"/>
        <v>0</v>
      </c>
      <c r="AT84" s="164">
        <f t="shared" si="75"/>
        <v>0</v>
      </c>
      <c r="AU84" s="165">
        <f t="shared" si="94"/>
        <v>0</v>
      </c>
      <c r="AV84" s="39"/>
      <c r="AW84" s="334"/>
      <c r="AX84" s="39"/>
      <c r="AY84" s="39"/>
    </row>
    <row r="85" spans="2:51" outlineLevel="1" x14ac:dyDescent="0.35">
      <c r="B85" s="48" t="s">
        <v>83</v>
      </c>
      <c r="C85" s="62" t="s">
        <v>135</v>
      </c>
      <c r="D85" s="70">
        <v>66</v>
      </c>
      <c r="E85" s="71">
        <v>1016</v>
      </c>
      <c r="F85" s="70">
        <v>61</v>
      </c>
      <c r="G85" s="138">
        <f t="shared" si="59"/>
        <v>1077</v>
      </c>
      <c r="H85" s="167">
        <f t="shared" si="60"/>
        <v>6.0039370078740155E-2</v>
      </c>
      <c r="I85" s="70">
        <v>43</v>
      </c>
      <c r="J85" s="138">
        <f t="shared" si="61"/>
        <v>1120</v>
      </c>
      <c r="K85" s="167">
        <f t="shared" si="62"/>
        <v>3.9925719591457756E-2</v>
      </c>
      <c r="L85" s="6">
        <v>33</v>
      </c>
      <c r="M85" s="138">
        <f t="shared" si="63"/>
        <v>1153</v>
      </c>
      <c r="N85" s="167">
        <f t="shared" si="64"/>
        <v>2.9464285714285714E-2</v>
      </c>
      <c r="O85" s="6">
        <v>15</v>
      </c>
      <c r="P85" s="138">
        <f t="shared" si="77"/>
        <v>1168</v>
      </c>
      <c r="Q85" s="167">
        <f t="shared" si="78"/>
        <v>1.3009540329575022E-2</v>
      </c>
      <c r="R85" s="164">
        <f t="shared" si="65"/>
        <v>218</v>
      </c>
      <c r="S85" s="165">
        <f t="shared" si="79"/>
        <v>3.5469434519595389E-2</v>
      </c>
      <c r="U85" s="170">
        <f t="shared" si="80"/>
        <v>12.92</v>
      </c>
      <c r="V85" s="6">
        <v>12.92</v>
      </c>
      <c r="W85" s="6">
        <v>0</v>
      </c>
      <c r="X85" s="138">
        <f t="shared" si="81"/>
        <v>1180.92</v>
      </c>
      <c r="Y85" s="167">
        <f t="shared" si="82"/>
        <v>1.1061643835616501E-2</v>
      </c>
      <c r="Z85" s="170">
        <f t="shared" si="83"/>
        <v>31.16</v>
      </c>
      <c r="AA85" s="6">
        <v>16.2</v>
      </c>
      <c r="AB85" s="6">
        <v>14.96</v>
      </c>
      <c r="AC85" s="138">
        <f t="shared" si="84"/>
        <v>1212.0800000000002</v>
      </c>
      <c r="AD85" s="160">
        <f t="shared" si="85"/>
        <v>2.6386207363750365E-2</v>
      </c>
      <c r="AE85" s="170">
        <f t="shared" si="95"/>
        <v>37.120000000000005</v>
      </c>
      <c r="AF85" s="6">
        <v>15.48</v>
      </c>
      <c r="AG85" s="6">
        <v>21.64</v>
      </c>
      <c r="AH85" s="138">
        <f t="shared" si="86"/>
        <v>1249.2000000000003</v>
      </c>
      <c r="AI85" s="160">
        <f t="shared" si="87"/>
        <v>3.062504125140264E-2</v>
      </c>
      <c r="AJ85" s="170">
        <f t="shared" si="88"/>
        <v>38.159999999999997</v>
      </c>
      <c r="AK85" s="6">
        <v>12.14</v>
      </c>
      <c r="AL85" s="6">
        <v>26.02</v>
      </c>
      <c r="AM85" s="138">
        <f t="shared" si="89"/>
        <v>1287.3600000000004</v>
      </c>
      <c r="AN85" s="160">
        <f t="shared" si="90"/>
        <v>3.0547550432276718E-2</v>
      </c>
      <c r="AO85" s="170">
        <f t="shared" si="91"/>
        <v>35.519999999999996</v>
      </c>
      <c r="AP85" s="6">
        <v>9.1199999999999992</v>
      </c>
      <c r="AQ85" s="6">
        <v>26.4</v>
      </c>
      <c r="AR85" s="138">
        <f t="shared" si="92"/>
        <v>1322.8800000000003</v>
      </c>
      <c r="AS85" s="160">
        <f t="shared" si="93"/>
        <v>2.7591349739000723E-2</v>
      </c>
      <c r="AT85" s="164">
        <f t="shared" si="75"/>
        <v>154.88</v>
      </c>
      <c r="AU85" s="165">
        <f t="shared" si="94"/>
        <v>2.8785875791667914E-2</v>
      </c>
      <c r="AV85" s="39"/>
      <c r="AW85" s="334"/>
      <c r="AX85" s="39"/>
      <c r="AY85" s="39"/>
    </row>
    <row r="86" spans="2:51" outlineLevel="1" x14ac:dyDescent="0.35">
      <c r="B86" s="48" t="s">
        <v>84</v>
      </c>
      <c r="C86" s="62" t="s">
        <v>135</v>
      </c>
      <c r="D86" s="70">
        <v>63</v>
      </c>
      <c r="E86" s="71">
        <v>698</v>
      </c>
      <c r="F86" s="70">
        <v>85</v>
      </c>
      <c r="G86" s="138">
        <f t="shared" si="59"/>
        <v>783</v>
      </c>
      <c r="H86" s="167">
        <f t="shared" si="60"/>
        <v>0.12177650429799428</v>
      </c>
      <c r="I86" s="70">
        <v>69</v>
      </c>
      <c r="J86" s="138">
        <f t="shared" si="61"/>
        <v>852</v>
      </c>
      <c r="K86" s="167">
        <f t="shared" si="62"/>
        <v>8.8122605363984668E-2</v>
      </c>
      <c r="L86" s="6">
        <v>26</v>
      </c>
      <c r="M86" s="138">
        <f t="shared" si="63"/>
        <v>878</v>
      </c>
      <c r="N86" s="167">
        <f t="shared" si="64"/>
        <v>3.0516431924882629E-2</v>
      </c>
      <c r="O86" s="6">
        <v>38</v>
      </c>
      <c r="P86" s="138">
        <f t="shared" si="77"/>
        <v>916</v>
      </c>
      <c r="Q86" s="167">
        <f t="shared" si="78"/>
        <v>4.328018223234624E-2</v>
      </c>
      <c r="R86" s="164">
        <f t="shared" si="65"/>
        <v>281</v>
      </c>
      <c r="S86" s="165">
        <f t="shared" si="79"/>
        <v>7.0311058899502621E-2</v>
      </c>
      <c r="U86" s="170">
        <f t="shared" si="80"/>
        <v>27.95</v>
      </c>
      <c r="V86" s="6">
        <v>27.72</v>
      </c>
      <c r="W86" s="6">
        <v>0.23</v>
      </c>
      <c r="X86" s="138">
        <f t="shared" si="81"/>
        <v>943.95</v>
      </c>
      <c r="Y86" s="167">
        <f t="shared" si="82"/>
        <v>3.0513100436681272E-2</v>
      </c>
      <c r="Z86" s="170">
        <f t="shared" si="83"/>
        <v>51.160000000000004</v>
      </c>
      <c r="AA86" s="6">
        <v>34.74</v>
      </c>
      <c r="AB86" s="6">
        <v>16.420000000000002</v>
      </c>
      <c r="AC86" s="138">
        <f t="shared" si="84"/>
        <v>995.11</v>
      </c>
      <c r="AD86" s="160">
        <f t="shared" si="85"/>
        <v>5.4197785899676852E-2</v>
      </c>
      <c r="AE86" s="170">
        <f t="shared" si="95"/>
        <v>76.81</v>
      </c>
      <c r="AF86" s="6">
        <v>33.19</v>
      </c>
      <c r="AG86" s="6">
        <v>43.62</v>
      </c>
      <c r="AH86" s="138">
        <f t="shared" si="86"/>
        <v>1071.92</v>
      </c>
      <c r="AI86" s="160">
        <f t="shared" si="87"/>
        <v>7.7187446613942237E-2</v>
      </c>
      <c r="AJ86" s="170">
        <f t="shared" si="88"/>
        <v>84.71</v>
      </c>
      <c r="AK86" s="6">
        <v>25.88</v>
      </c>
      <c r="AL86" s="6">
        <v>58.83</v>
      </c>
      <c r="AM86" s="138">
        <f t="shared" si="89"/>
        <v>1156.6300000000001</v>
      </c>
      <c r="AN86" s="160">
        <f t="shared" si="90"/>
        <v>7.9026419882080784E-2</v>
      </c>
      <c r="AO86" s="170">
        <f t="shared" si="91"/>
        <v>70.95</v>
      </c>
      <c r="AP86" s="6">
        <v>19.489999999999998</v>
      </c>
      <c r="AQ86" s="6">
        <v>51.46</v>
      </c>
      <c r="AR86" s="138">
        <f t="shared" si="92"/>
        <v>1227.5800000000002</v>
      </c>
      <c r="AS86" s="160">
        <f t="shared" si="93"/>
        <v>6.134200219603507E-2</v>
      </c>
      <c r="AT86" s="164">
        <f t="shared" si="75"/>
        <v>311.58</v>
      </c>
      <c r="AU86" s="165">
        <f t="shared" si="94"/>
        <v>6.7886763258258265E-2</v>
      </c>
      <c r="AV86" s="39"/>
      <c r="AW86" s="334"/>
      <c r="AX86" s="39"/>
      <c r="AY86" s="39"/>
    </row>
    <row r="87" spans="2:51" outlineLevel="1" x14ac:dyDescent="0.35">
      <c r="B87" s="48" t="s">
        <v>85</v>
      </c>
      <c r="C87" s="62" t="s">
        <v>135</v>
      </c>
      <c r="D87" s="70">
        <v>273</v>
      </c>
      <c r="E87" s="71">
        <v>1070</v>
      </c>
      <c r="F87" s="70">
        <v>332</v>
      </c>
      <c r="G87" s="138">
        <f t="shared" si="59"/>
        <v>1402</v>
      </c>
      <c r="H87" s="167">
        <f t="shared" si="60"/>
        <v>0.3102803738317757</v>
      </c>
      <c r="I87" s="70">
        <v>206</v>
      </c>
      <c r="J87" s="138">
        <f t="shared" si="61"/>
        <v>1608</v>
      </c>
      <c r="K87" s="167">
        <f t="shared" si="62"/>
        <v>0.14693295292439373</v>
      </c>
      <c r="L87" s="6">
        <v>63</v>
      </c>
      <c r="M87" s="138">
        <f t="shared" si="63"/>
        <v>1671</v>
      </c>
      <c r="N87" s="167">
        <f t="shared" si="64"/>
        <v>3.9179104477611942E-2</v>
      </c>
      <c r="O87" s="6">
        <v>46</v>
      </c>
      <c r="P87" s="138">
        <f t="shared" si="77"/>
        <v>1717</v>
      </c>
      <c r="Q87" s="167">
        <f t="shared" si="78"/>
        <v>2.7528426092160382E-2</v>
      </c>
      <c r="R87" s="164">
        <f t="shared" si="65"/>
        <v>920</v>
      </c>
      <c r="S87" s="165">
        <f t="shared" si="79"/>
        <v>0.12550292855000533</v>
      </c>
      <c r="U87" s="170">
        <f t="shared" si="80"/>
        <v>55.3</v>
      </c>
      <c r="V87" s="6">
        <v>53.9</v>
      </c>
      <c r="W87" s="6">
        <v>1.4</v>
      </c>
      <c r="X87" s="138">
        <f t="shared" si="81"/>
        <v>1772.3</v>
      </c>
      <c r="Y87" s="167">
        <f t="shared" si="82"/>
        <v>3.2207338380896885E-2</v>
      </c>
      <c r="Z87" s="170">
        <f t="shared" si="83"/>
        <v>79.12</v>
      </c>
      <c r="AA87" s="6">
        <v>68.010000000000005</v>
      </c>
      <c r="AB87" s="6">
        <v>11.11</v>
      </c>
      <c r="AC87" s="138">
        <f t="shared" si="84"/>
        <v>1851.42</v>
      </c>
      <c r="AD87" s="160">
        <f t="shared" si="85"/>
        <v>4.4642554872200035E-2</v>
      </c>
      <c r="AE87" s="170">
        <f t="shared" si="95"/>
        <v>77.47999999999999</v>
      </c>
      <c r="AF87" s="6">
        <v>65.069999999999993</v>
      </c>
      <c r="AG87" s="6">
        <v>12.41</v>
      </c>
      <c r="AH87" s="138">
        <f t="shared" si="86"/>
        <v>1928.9</v>
      </c>
      <c r="AI87" s="160">
        <f t="shared" si="87"/>
        <v>4.1848959177280147E-2</v>
      </c>
      <c r="AJ87" s="170">
        <f t="shared" si="88"/>
        <v>59.97</v>
      </c>
      <c r="AK87" s="6">
        <v>50.9</v>
      </c>
      <c r="AL87" s="6">
        <v>9.07</v>
      </c>
      <c r="AM87" s="138">
        <f t="shared" si="89"/>
        <v>1988.8700000000001</v>
      </c>
      <c r="AN87" s="160">
        <f t="shared" si="90"/>
        <v>3.1090258696666505E-2</v>
      </c>
      <c r="AO87" s="170">
        <f t="shared" si="91"/>
        <v>46.77</v>
      </c>
      <c r="AP87" s="6">
        <v>38.31</v>
      </c>
      <c r="AQ87" s="6">
        <v>8.4600000000000009</v>
      </c>
      <c r="AR87" s="138">
        <f t="shared" si="92"/>
        <v>2035.64</v>
      </c>
      <c r="AS87" s="160">
        <f t="shared" si="93"/>
        <v>2.3515865793138808E-2</v>
      </c>
      <c r="AT87" s="164">
        <f t="shared" si="75"/>
        <v>318.64</v>
      </c>
      <c r="AU87" s="165">
        <f t="shared" si="94"/>
        <v>3.5239739147787885E-2</v>
      </c>
      <c r="AV87" s="39"/>
      <c r="AW87" s="334"/>
      <c r="AX87" s="39"/>
      <c r="AY87" s="39"/>
    </row>
    <row r="88" spans="2:51" outlineLevel="1" x14ac:dyDescent="0.35">
      <c r="B88" s="48" t="s">
        <v>86</v>
      </c>
      <c r="C88" s="62" t="s">
        <v>135</v>
      </c>
      <c r="D88" s="70">
        <v>88</v>
      </c>
      <c r="E88" s="71">
        <v>727</v>
      </c>
      <c r="F88" s="70">
        <v>113</v>
      </c>
      <c r="G88" s="138">
        <f t="shared" si="59"/>
        <v>840</v>
      </c>
      <c r="H88" s="167">
        <f t="shared" si="60"/>
        <v>0.15543328748280605</v>
      </c>
      <c r="I88" s="70">
        <v>216</v>
      </c>
      <c r="J88" s="138">
        <f t="shared" si="61"/>
        <v>1056</v>
      </c>
      <c r="K88" s="167">
        <f t="shared" si="62"/>
        <v>0.25714285714285712</v>
      </c>
      <c r="L88" s="6">
        <v>107</v>
      </c>
      <c r="M88" s="138">
        <f t="shared" si="63"/>
        <v>1163</v>
      </c>
      <c r="N88" s="167">
        <f t="shared" si="64"/>
        <v>0.10132575757575757</v>
      </c>
      <c r="O88" s="6">
        <v>66</v>
      </c>
      <c r="P88" s="138">
        <f t="shared" si="77"/>
        <v>1229</v>
      </c>
      <c r="Q88" s="167">
        <f t="shared" si="78"/>
        <v>5.6749785038693032E-2</v>
      </c>
      <c r="R88" s="164">
        <f t="shared" si="65"/>
        <v>590</v>
      </c>
      <c r="S88" s="165">
        <f t="shared" si="79"/>
        <v>0.14026125591764527</v>
      </c>
      <c r="U88" s="170">
        <f t="shared" si="80"/>
        <v>61.5</v>
      </c>
      <c r="V88" s="6">
        <v>54.94</v>
      </c>
      <c r="W88" s="6">
        <v>6.56</v>
      </c>
      <c r="X88" s="138">
        <f t="shared" si="81"/>
        <v>1290.5</v>
      </c>
      <c r="Y88" s="167">
        <f t="shared" si="82"/>
        <v>5.00406834825061E-2</v>
      </c>
      <c r="Z88" s="170">
        <f t="shared" si="83"/>
        <v>144.9</v>
      </c>
      <c r="AA88" s="6">
        <v>69</v>
      </c>
      <c r="AB88" s="6">
        <v>75.900000000000006</v>
      </c>
      <c r="AC88" s="138">
        <f t="shared" si="84"/>
        <v>1435.4</v>
      </c>
      <c r="AD88" s="160">
        <f t="shared" si="85"/>
        <v>0.1122820612165828</v>
      </c>
      <c r="AE88" s="170">
        <f t="shared" si="95"/>
        <v>208.86</v>
      </c>
      <c r="AF88" s="6">
        <v>65.77</v>
      </c>
      <c r="AG88" s="6">
        <v>143.09</v>
      </c>
      <c r="AH88" s="138">
        <f t="shared" si="86"/>
        <v>1644.2600000000002</v>
      </c>
      <c r="AI88" s="160">
        <f t="shared" si="87"/>
        <v>0.14550647903023556</v>
      </c>
      <c r="AJ88" s="170">
        <f t="shared" si="88"/>
        <v>196.53</v>
      </c>
      <c r="AK88" s="6">
        <v>51.81</v>
      </c>
      <c r="AL88" s="6">
        <v>144.72</v>
      </c>
      <c r="AM88" s="138">
        <f t="shared" si="89"/>
        <v>1840.7900000000002</v>
      </c>
      <c r="AN88" s="160">
        <f t="shared" si="90"/>
        <v>0.11952489265687904</v>
      </c>
      <c r="AO88" s="170">
        <f t="shared" si="91"/>
        <v>156.81</v>
      </c>
      <c r="AP88" s="6">
        <v>38.79</v>
      </c>
      <c r="AQ88" s="6">
        <v>118.02</v>
      </c>
      <c r="AR88" s="138">
        <f t="shared" si="92"/>
        <v>1997.6000000000001</v>
      </c>
      <c r="AS88" s="160">
        <f t="shared" si="93"/>
        <v>8.5186251555038825E-2</v>
      </c>
      <c r="AT88" s="164">
        <f t="shared" si="75"/>
        <v>768.59999999999991</v>
      </c>
      <c r="AU88" s="165">
        <f t="shared" si="94"/>
        <v>0.11541795248338782</v>
      </c>
      <c r="AV88" s="39"/>
      <c r="AW88" s="334"/>
      <c r="AX88" s="39"/>
      <c r="AY88" s="39"/>
    </row>
    <row r="89" spans="2:51" outlineLevel="1" x14ac:dyDescent="0.35">
      <c r="B89" s="48" t="s">
        <v>87</v>
      </c>
      <c r="C89" s="62" t="s">
        <v>135</v>
      </c>
      <c r="D89" s="70">
        <v>168</v>
      </c>
      <c r="E89" s="71">
        <v>1497</v>
      </c>
      <c r="F89" s="70">
        <v>167</v>
      </c>
      <c r="G89" s="138">
        <f t="shared" si="59"/>
        <v>1664</v>
      </c>
      <c r="H89" s="167">
        <f t="shared" si="60"/>
        <v>0.11155644622578491</v>
      </c>
      <c r="I89" s="70">
        <v>97</v>
      </c>
      <c r="J89" s="138">
        <f t="shared" si="61"/>
        <v>1761</v>
      </c>
      <c r="K89" s="167">
        <f t="shared" si="62"/>
        <v>5.8293269230769232E-2</v>
      </c>
      <c r="L89" s="6">
        <v>61</v>
      </c>
      <c r="M89" s="138">
        <f t="shared" si="63"/>
        <v>1822</v>
      </c>
      <c r="N89" s="167">
        <f t="shared" si="64"/>
        <v>3.4639409426462237E-2</v>
      </c>
      <c r="O89" s="6">
        <v>33</v>
      </c>
      <c r="P89" s="138">
        <f t="shared" si="77"/>
        <v>1855</v>
      </c>
      <c r="Q89" s="167">
        <f t="shared" si="78"/>
        <v>1.8111964873765093E-2</v>
      </c>
      <c r="R89" s="164">
        <f t="shared" si="65"/>
        <v>526</v>
      </c>
      <c r="S89" s="165">
        <f t="shared" si="79"/>
        <v>5.5068187620940678E-2</v>
      </c>
      <c r="U89" s="170">
        <f t="shared" si="80"/>
        <v>54.44</v>
      </c>
      <c r="V89" s="6">
        <v>51.58</v>
      </c>
      <c r="W89" s="6">
        <v>2.86</v>
      </c>
      <c r="X89" s="138">
        <f t="shared" si="81"/>
        <v>1909.44</v>
      </c>
      <c r="Y89" s="167">
        <f t="shared" si="82"/>
        <v>2.9347708894878737E-2</v>
      </c>
      <c r="Z89" s="170">
        <f t="shared" si="83"/>
        <v>108.57</v>
      </c>
      <c r="AA89" s="6">
        <v>64.94</v>
      </c>
      <c r="AB89" s="6">
        <v>43.63</v>
      </c>
      <c r="AC89" s="138">
        <f t="shared" si="84"/>
        <v>2018.01</v>
      </c>
      <c r="AD89" s="160">
        <f t="shared" si="85"/>
        <v>5.6859602815485133E-2</v>
      </c>
      <c r="AE89" s="170">
        <f t="shared" si="95"/>
        <v>112.72</v>
      </c>
      <c r="AF89" s="6">
        <v>62.22</v>
      </c>
      <c r="AG89" s="6">
        <v>50.5</v>
      </c>
      <c r="AH89" s="138">
        <f t="shared" si="86"/>
        <v>2130.73</v>
      </c>
      <c r="AI89" s="160">
        <f t="shared" si="87"/>
        <v>5.5857007646146463E-2</v>
      </c>
      <c r="AJ89" s="170">
        <f t="shared" si="88"/>
        <v>80.91</v>
      </c>
      <c r="AK89" s="6">
        <v>48.69</v>
      </c>
      <c r="AL89" s="6">
        <v>32.22</v>
      </c>
      <c r="AM89" s="138">
        <f t="shared" si="89"/>
        <v>2211.64</v>
      </c>
      <c r="AN89" s="160">
        <f t="shared" si="90"/>
        <v>3.7972901306125059E-2</v>
      </c>
      <c r="AO89" s="170">
        <f t="shared" si="91"/>
        <v>86.61</v>
      </c>
      <c r="AP89" s="6">
        <v>36.67</v>
      </c>
      <c r="AQ89" s="6">
        <v>49.94</v>
      </c>
      <c r="AR89" s="138">
        <f t="shared" si="92"/>
        <v>2298.25</v>
      </c>
      <c r="AS89" s="160">
        <f t="shared" si="93"/>
        <v>3.916098460870672E-2</v>
      </c>
      <c r="AT89" s="164">
        <f t="shared" si="75"/>
        <v>443.25</v>
      </c>
      <c r="AU89" s="165">
        <f t="shared" si="94"/>
        <v>4.7424705042083293E-2</v>
      </c>
      <c r="AV89" s="39"/>
      <c r="AW89" s="334"/>
      <c r="AX89" s="39"/>
      <c r="AY89" s="39"/>
    </row>
    <row r="90" spans="2:51" outlineLevel="1" x14ac:dyDescent="0.35">
      <c r="B90" s="48" t="s">
        <v>88</v>
      </c>
      <c r="C90" s="62" t="s">
        <v>135</v>
      </c>
      <c r="D90" s="70">
        <v>167</v>
      </c>
      <c r="E90" s="71">
        <v>1522</v>
      </c>
      <c r="F90" s="70">
        <v>204</v>
      </c>
      <c r="G90" s="138">
        <f t="shared" si="59"/>
        <v>1726</v>
      </c>
      <c r="H90" s="167">
        <f t="shared" si="60"/>
        <v>0.13403416557161629</v>
      </c>
      <c r="I90" s="70">
        <v>217</v>
      </c>
      <c r="J90" s="138">
        <f t="shared" si="61"/>
        <v>1943</v>
      </c>
      <c r="K90" s="167">
        <f t="shared" si="62"/>
        <v>0.1257242178447277</v>
      </c>
      <c r="L90" s="6">
        <v>82</v>
      </c>
      <c r="M90" s="138">
        <f t="shared" si="63"/>
        <v>2025</v>
      </c>
      <c r="N90" s="167">
        <f t="shared" si="64"/>
        <v>4.2202779207411223E-2</v>
      </c>
      <c r="O90" s="6">
        <v>126</v>
      </c>
      <c r="P90" s="138">
        <f t="shared" si="77"/>
        <v>2151</v>
      </c>
      <c r="Q90" s="167">
        <f t="shared" si="78"/>
        <v>6.222222222222222E-2</v>
      </c>
      <c r="R90" s="164">
        <f t="shared" si="65"/>
        <v>796</v>
      </c>
      <c r="S90" s="165">
        <f t="shared" si="79"/>
        <v>9.0326178396909595E-2</v>
      </c>
      <c r="U90" s="170">
        <f t="shared" si="80"/>
        <v>100.76</v>
      </c>
      <c r="V90" s="6">
        <v>93.4</v>
      </c>
      <c r="W90" s="6">
        <v>7.36</v>
      </c>
      <c r="X90" s="138">
        <f t="shared" si="81"/>
        <v>2251.7600000000002</v>
      </c>
      <c r="Y90" s="167">
        <f t="shared" si="82"/>
        <v>4.6843328684332969E-2</v>
      </c>
      <c r="Z90" s="170">
        <f t="shared" si="83"/>
        <v>163.46</v>
      </c>
      <c r="AA90" s="6">
        <v>117.33</v>
      </c>
      <c r="AB90" s="6">
        <v>46.13</v>
      </c>
      <c r="AC90" s="138">
        <f t="shared" si="84"/>
        <v>2415.2200000000003</v>
      </c>
      <c r="AD90" s="160">
        <f t="shared" si="85"/>
        <v>7.2592105730628492E-2</v>
      </c>
      <c r="AE90" s="170">
        <f t="shared" si="95"/>
        <v>197.5</v>
      </c>
      <c r="AF90" s="6">
        <v>111.28</v>
      </c>
      <c r="AG90" s="6">
        <v>86.22</v>
      </c>
      <c r="AH90" s="138">
        <f t="shared" si="86"/>
        <v>2612.7200000000003</v>
      </c>
      <c r="AI90" s="160">
        <f t="shared" si="87"/>
        <v>8.177308899396328E-2</v>
      </c>
      <c r="AJ90" s="170">
        <f t="shared" si="88"/>
        <v>162.15</v>
      </c>
      <c r="AK90" s="6">
        <v>87.14</v>
      </c>
      <c r="AL90" s="6">
        <v>75.010000000000005</v>
      </c>
      <c r="AM90" s="138">
        <f t="shared" si="89"/>
        <v>2774.8700000000003</v>
      </c>
      <c r="AN90" s="160">
        <f t="shared" si="90"/>
        <v>6.2061759392510518E-2</v>
      </c>
      <c r="AO90" s="170">
        <f t="shared" si="91"/>
        <v>150.16</v>
      </c>
      <c r="AP90" s="6">
        <v>65.75</v>
      </c>
      <c r="AQ90" s="6">
        <v>84.41</v>
      </c>
      <c r="AR90" s="138">
        <f t="shared" si="92"/>
        <v>2925.03</v>
      </c>
      <c r="AS90" s="160">
        <f t="shared" si="93"/>
        <v>5.4114246793543423E-2</v>
      </c>
      <c r="AT90" s="164">
        <f t="shared" si="75"/>
        <v>774.03</v>
      </c>
      <c r="AU90" s="165">
        <f t="shared" si="94"/>
        <v>6.7583999514642112E-2</v>
      </c>
      <c r="AV90" s="39"/>
      <c r="AW90" s="334"/>
      <c r="AX90" s="39"/>
      <c r="AY90" s="39"/>
    </row>
    <row r="91" spans="2:51" outlineLevel="1" x14ac:dyDescent="0.35">
      <c r="B91" s="48" t="s">
        <v>89</v>
      </c>
      <c r="C91" s="62" t="s">
        <v>135</v>
      </c>
      <c r="D91" s="70">
        <v>89</v>
      </c>
      <c r="E91" s="71">
        <v>1256</v>
      </c>
      <c r="F91" s="70">
        <v>115</v>
      </c>
      <c r="G91" s="138">
        <f t="shared" si="59"/>
        <v>1371</v>
      </c>
      <c r="H91" s="167">
        <f t="shared" si="60"/>
        <v>9.1560509554140121E-2</v>
      </c>
      <c r="I91" s="70">
        <v>111</v>
      </c>
      <c r="J91" s="138">
        <f t="shared" si="61"/>
        <v>1482</v>
      </c>
      <c r="K91" s="167">
        <f t="shared" si="62"/>
        <v>8.0962800875273522E-2</v>
      </c>
      <c r="L91" s="6">
        <v>43</v>
      </c>
      <c r="M91" s="138">
        <f t="shared" si="63"/>
        <v>1525</v>
      </c>
      <c r="N91" s="167">
        <f t="shared" si="64"/>
        <v>2.9014844804318488E-2</v>
      </c>
      <c r="O91" s="6">
        <v>59</v>
      </c>
      <c r="P91" s="138">
        <f t="shared" si="77"/>
        <v>1584</v>
      </c>
      <c r="Q91" s="167">
        <f t="shared" si="78"/>
        <v>3.8688524590163934E-2</v>
      </c>
      <c r="R91" s="164">
        <f t="shared" si="65"/>
        <v>417</v>
      </c>
      <c r="S91" s="165">
        <f t="shared" si="79"/>
        <v>5.9720618929628433E-2</v>
      </c>
      <c r="U91" s="170">
        <f t="shared" si="80"/>
        <v>39.700000000000003</v>
      </c>
      <c r="V91" s="6">
        <v>32.380000000000003</v>
      </c>
      <c r="W91" s="6">
        <v>7.32</v>
      </c>
      <c r="X91" s="138">
        <f t="shared" si="81"/>
        <v>1623.7</v>
      </c>
      <c r="Y91" s="167">
        <f t="shared" si="82"/>
        <v>2.5063131313131343E-2</v>
      </c>
      <c r="Z91" s="170">
        <f t="shared" si="83"/>
        <v>56.14</v>
      </c>
      <c r="AA91" s="6">
        <v>40.76</v>
      </c>
      <c r="AB91" s="6">
        <v>15.38</v>
      </c>
      <c r="AC91" s="138">
        <f t="shared" si="84"/>
        <v>1679.8400000000001</v>
      </c>
      <c r="AD91" s="160">
        <f t="shared" si="85"/>
        <v>3.4575352589764179E-2</v>
      </c>
      <c r="AE91" s="170">
        <f t="shared" si="95"/>
        <v>67.5</v>
      </c>
      <c r="AF91" s="6">
        <v>39.049999999999997</v>
      </c>
      <c r="AG91" s="6">
        <v>28.45</v>
      </c>
      <c r="AH91" s="138">
        <f t="shared" si="86"/>
        <v>1747.3400000000001</v>
      </c>
      <c r="AI91" s="160">
        <f t="shared" si="87"/>
        <v>4.0182398323649865E-2</v>
      </c>
      <c r="AJ91" s="170">
        <f t="shared" si="88"/>
        <v>75.03</v>
      </c>
      <c r="AK91" s="6">
        <v>30.65</v>
      </c>
      <c r="AL91" s="6">
        <v>44.38</v>
      </c>
      <c r="AM91" s="138">
        <f t="shared" si="89"/>
        <v>1822.3700000000001</v>
      </c>
      <c r="AN91" s="160">
        <f t="shared" si="90"/>
        <v>4.2939553836116591E-2</v>
      </c>
      <c r="AO91" s="170">
        <f t="shared" si="91"/>
        <v>68.13</v>
      </c>
      <c r="AP91" s="6">
        <v>23.05</v>
      </c>
      <c r="AQ91" s="6">
        <v>45.08</v>
      </c>
      <c r="AR91" s="138">
        <f t="shared" si="92"/>
        <v>1890.5</v>
      </c>
      <c r="AS91" s="160">
        <f t="shared" si="93"/>
        <v>3.7385382770787422E-2</v>
      </c>
      <c r="AT91" s="164">
        <f t="shared" si="75"/>
        <v>306.5</v>
      </c>
      <c r="AU91" s="165">
        <f t="shared" si="94"/>
        <v>3.876599167618644E-2</v>
      </c>
      <c r="AV91" s="39"/>
      <c r="AW91" s="334"/>
      <c r="AX91" s="39"/>
      <c r="AY91" s="39"/>
    </row>
    <row r="92" spans="2:51" outlineLevel="1" x14ac:dyDescent="0.35">
      <c r="B92" s="48" t="s">
        <v>90</v>
      </c>
      <c r="C92" s="62" t="s">
        <v>135</v>
      </c>
      <c r="D92" s="70">
        <v>0</v>
      </c>
      <c r="E92" s="71">
        <v>4</v>
      </c>
      <c r="F92" s="70">
        <v>0</v>
      </c>
      <c r="G92" s="138">
        <f t="shared" si="59"/>
        <v>4</v>
      </c>
      <c r="H92" s="167">
        <f t="shared" si="60"/>
        <v>0</v>
      </c>
      <c r="I92" s="70">
        <v>0</v>
      </c>
      <c r="J92" s="138">
        <f t="shared" si="61"/>
        <v>4</v>
      </c>
      <c r="K92" s="167">
        <f t="shared" si="62"/>
        <v>0</v>
      </c>
      <c r="L92" s="6">
        <v>1</v>
      </c>
      <c r="M92" s="138">
        <f t="shared" si="63"/>
        <v>5</v>
      </c>
      <c r="N92" s="167">
        <f t="shared" si="64"/>
        <v>0.25</v>
      </c>
      <c r="O92" s="6">
        <v>0</v>
      </c>
      <c r="P92" s="138">
        <f t="shared" si="77"/>
        <v>5</v>
      </c>
      <c r="Q92" s="167">
        <f t="shared" si="78"/>
        <v>0</v>
      </c>
      <c r="R92" s="164">
        <f t="shared" si="65"/>
        <v>1</v>
      </c>
      <c r="S92" s="165">
        <f t="shared" si="79"/>
        <v>5.7371263440564091E-2</v>
      </c>
      <c r="U92" s="170">
        <f t="shared" si="80"/>
        <v>0.15</v>
      </c>
      <c r="V92" s="6">
        <v>0.15</v>
      </c>
      <c r="W92" s="6">
        <v>0</v>
      </c>
      <c r="X92" s="138">
        <f t="shared" si="81"/>
        <v>5.15</v>
      </c>
      <c r="Y92" s="167">
        <f t="shared" si="82"/>
        <v>3.0000000000000072E-2</v>
      </c>
      <c r="Z92" s="170">
        <f t="shared" si="83"/>
        <v>2.52</v>
      </c>
      <c r="AA92" s="6">
        <v>0.19</v>
      </c>
      <c r="AB92" s="6">
        <v>2.33</v>
      </c>
      <c r="AC92" s="138">
        <f t="shared" si="84"/>
        <v>7.67</v>
      </c>
      <c r="AD92" s="160">
        <f t="shared" si="85"/>
        <v>0.48932038834951447</v>
      </c>
      <c r="AE92" s="170">
        <f t="shared" si="95"/>
        <v>2.99</v>
      </c>
      <c r="AF92" s="6">
        <v>0.18</v>
      </c>
      <c r="AG92" s="6">
        <v>2.81</v>
      </c>
      <c r="AH92" s="138">
        <f t="shared" si="86"/>
        <v>10.66</v>
      </c>
      <c r="AI92" s="160">
        <f t="shared" si="87"/>
        <v>0.38983050847457629</v>
      </c>
      <c r="AJ92" s="170">
        <f t="shared" si="88"/>
        <v>5.4799999999999995</v>
      </c>
      <c r="AK92" s="6">
        <v>0.14000000000000001</v>
      </c>
      <c r="AL92" s="6">
        <v>5.34</v>
      </c>
      <c r="AM92" s="138">
        <f t="shared" si="89"/>
        <v>16.14</v>
      </c>
      <c r="AN92" s="160">
        <f t="shared" si="90"/>
        <v>0.5140712945590995</v>
      </c>
      <c r="AO92" s="170">
        <f t="shared" si="91"/>
        <v>5.3900000000000006</v>
      </c>
      <c r="AP92" s="6">
        <v>0.11</v>
      </c>
      <c r="AQ92" s="6">
        <v>5.28</v>
      </c>
      <c r="AR92" s="138">
        <f t="shared" si="92"/>
        <v>21.53</v>
      </c>
      <c r="AS92" s="160">
        <f t="shared" si="93"/>
        <v>0.33395291201982652</v>
      </c>
      <c r="AT92" s="164">
        <f t="shared" si="75"/>
        <v>16.53</v>
      </c>
      <c r="AU92" s="165">
        <f t="shared" si="94"/>
        <v>0.4299116357420445</v>
      </c>
      <c r="AV92" s="39"/>
      <c r="AW92" s="334"/>
      <c r="AX92" s="39"/>
      <c r="AY92" s="39"/>
    </row>
    <row r="93" spans="2:51" outlineLevel="1" x14ac:dyDescent="0.35">
      <c r="B93" s="48" t="s">
        <v>91</v>
      </c>
      <c r="C93" s="62" t="s">
        <v>135</v>
      </c>
      <c r="D93" s="70">
        <v>17</v>
      </c>
      <c r="E93" s="71">
        <v>112</v>
      </c>
      <c r="F93" s="70">
        <v>19</v>
      </c>
      <c r="G93" s="138">
        <f t="shared" si="59"/>
        <v>131</v>
      </c>
      <c r="H93" s="167">
        <f t="shared" si="60"/>
        <v>0.16964285714285715</v>
      </c>
      <c r="I93" s="70">
        <v>21</v>
      </c>
      <c r="J93" s="138">
        <f t="shared" si="61"/>
        <v>152</v>
      </c>
      <c r="K93" s="167">
        <f t="shared" si="62"/>
        <v>0.16030534351145037</v>
      </c>
      <c r="L93" s="6">
        <v>5</v>
      </c>
      <c r="M93" s="138">
        <f t="shared" si="63"/>
        <v>157</v>
      </c>
      <c r="N93" s="167">
        <f t="shared" si="64"/>
        <v>3.2894736842105261E-2</v>
      </c>
      <c r="O93" s="6">
        <v>5</v>
      </c>
      <c r="P93" s="138">
        <f t="shared" si="77"/>
        <v>162</v>
      </c>
      <c r="Q93" s="167">
        <f t="shared" si="78"/>
        <v>3.1847133757961783E-2</v>
      </c>
      <c r="R93" s="164">
        <f t="shared" si="65"/>
        <v>67</v>
      </c>
      <c r="S93" s="165">
        <f t="shared" si="79"/>
        <v>9.6665668563536977E-2</v>
      </c>
      <c r="U93" s="170">
        <f t="shared" si="80"/>
        <v>2.06</v>
      </c>
      <c r="V93" s="6">
        <v>2.06</v>
      </c>
      <c r="W93" s="6">
        <v>0</v>
      </c>
      <c r="X93" s="138">
        <f t="shared" si="81"/>
        <v>164.06</v>
      </c>
      <c r="Y93" s="167">
        <f t="shared" si="82"/>
        <v>1.2716049382716064E-2</v>
      </c>
      <c r="Z93" s="170">
        <f t="shared" si="83"/>
        <v>4.42</v>
      </c>
      <c r="AA93" s="6">
        <v>2.6</v>
      </c>
      <c r="AB93" s="6">
        <v>1.82</v>
      </c>
      <c r="AC93" s="138">
        <f t="shared" si="84"/>
        <v>168.48</v>
      </c>
      <c r="AD93" s="160">
        <f t="shared" si="85"/>
        <v>2.6941362916006264E-2</v>
      </c>
      <c r="AE93" s="170">
        <f t="shared" si="95"/>
        <v>6.36</v>
      </c>
      <c r="AF93" s="6">
        <v>2.4900000000000002</v>
      </c>
      <c r="AG93" s="6">
        <v>3.87</v>
      </c>
      <c r="AH93" s="138">
        <f t="shared" si="86"/>
        <v>174.84</v>
      </c>
      <c r="AI93" s="160">
        <f t="shared" si="87"/>
        <v>3.7749287749287833E-2</v>
      </c>
      <c r="AJ93" s="170">
        <f t="shared" si="88"/>
        <v>5.41</v>
      </c>
      <c r="AK93" s="6">
        <v>1.96</v>
      </c>
      <c r="AL93" s="6">
        <v>3.45</v>
      </c>
      <c r="AM93" s="138">
        <f t="shared" si="89"/>
        <v>180.25</v>
      </c>
      <c r="AN93" s="160">
        <f t="shared" si="90"/>
        <v>3.0942576069549282E-2</v>
      </c>
      <c r="AO93" s="170">
        <f t="shared" si="91"/>
        <v>5.31</v>
      </c>
      <c r="AP93" s="6">
        <v>1.47</v>
      </c>
      <c r="AQ93" s="6">
        <v>3.84</v>
      </c>
      <c r="AR93" s="138">
        <f t="shared" si="92"/>
        <v>185.56</v>
      </c>
      <c r="AS93" s="160">
        <f t="shared" si="93"/>
        <v>2.9459084604715684E-2</v>
      </c>
      <c r="AT93" s="164">
        <f t="shared" si="75"/>
        <v>23.56</v>
      </c>
      <c r="AU93" s="165">
        <f t="shared" si="94"/>
        <v>3.1265322076196034E-2</v>
      </c>
      <c r="AV93" s="39"/>
      <c r="AW93" s="334"/>
      <c r="AX93" s="39"/>
      <c r="AY93" s="39"/>
    </row>
    <row r="94" spans="2:51" outlineLevel="1" x14ac:dyDescent="0.35">
      <c r="B94" s="48" t="s">
        <v>92</v>
      </c>
      <c r="C94" s="62" t="s">
        <v>135</v>
      </c>
      <c r="D94" s="70">
        <v>93</v>
      </c>
      <c r="E94" s="71">
        <v>653</v>
      </c>
      <c r="F94" s="70">
        <v>140</v>
      </c>
      <c r="G94" s="138">
        <f t="shared" si="59"/>
        <v>793</v>
      </c>
      <c r="H94" s="167">
        <f t="shared" si="60"/>
        <v>0.21439509954058192</v>
      </c>
      <c r="I94" s="70">
        <v>362</v>
      </c>
      <c r="J94" s="138">
        <f t="shared" si="61"/>
        <v>1155</v>
      </c>
      <c r="K94" s="167">
        <f t="shared" si="62"/>
        <v>0.45649432534678436</v>
      </c>
      <c r="L94" s="6">
        <v>83</v>
      </c>
      <c r="M94" s="138">
        <f t="shared" si="63"/>
        <v>1238</v>
      </c>
      <c r="N94" s="167">
        <f t="shared" si="64"/>
        <v>7.1861471861471862E-2</v>
      </c>
      <c r="O94" s="6">
        <v>81</v>
      </c>
      <c r="P94" s="138">
        <f t="shared" si="77"/>
        <v>1319</v>
      </c>
      <c r="Q94" s="167">
        <f t="shared" si="78"/>
        <v>6.5428109854604205E-2</v>
      </c>
      <c r="R94" s="164">
        <f t="shared" si="65"/>
        <v>759</v>
      </c>
      <c r="S94" s="165">
        <f t="shared" si="79"/>
        <v>0.19215549130344489</v>
      </c>
      <c r="U94" s="170">
        <f t="shared" si="80"/>
        <v>68.75</v>
      </c>
      <c r="V94" s="6">
        <v>66.69</v>
      </c>
      <c r="W94" s="6">
        <v>2.06</v>
      </c>
      <c r="X94" s="138">
        <f t="shared" si="81"/>
        <v>1387.75</v>
      </c>
      <c r="Y94" s="167">
        <f t="shared" si="82"/>
        <v>5.2122820318423045E-2</v>
      </c>
      <c r="Z94" s="170">
        <f t="shared" si="83"/>
        <v>102.85000000000001</v>
      </c>
      <c r="AA94" s="6">
        <v>84.04</v>
      </c>
      <c r="AB94" s="6">
        <v>18.809999999999999</v>
      </c>
      <c r="AC94" s="138">
        <f t="shared" si="84"/>
        <v>1490.6</v>
      </c>
      <c r="AD94" s="160">
        <f t="shared" si="85"/>
        <v>7.4112772473428151E-2</v>
      </c>
      <c r="AE94" s="170">
        <f t="shared" si="95"/>
        <v>118.19</v>
      </c>
      <c r="AF94" s="6">
        <v>80.150000000000006</v>
      </c>
      <c r="AG94" s="6">
        <v>38.04</v>
      </c>
      <c r="AH94" s="138">
        <f t="shared" si="86"/>
        <v>1608.79</v>
      </c>
      <c r="AI94" s="160">
        <f t="shared" si="87"/>
        <v>7.9290218703877674E-2</v>
      </c>
      <c r="AJ94" s="170">
        <f t="shared" si="88"/>
        <v>96.509999999999991</v>
      </c>
      <c r="AK94" s="6">
        <v>62.89</v>
      </c>
      <c r="AL94" s="6">
        <v>33.619999999999997</v>
      </c>
      <c r="AM94" s="138">
        <f t="shared" si="89"/>
        <v>1705.3</v>
      </c>
      <c r="AN94" s="160">
        <f t="shared" si="90"/>
        <v>5.9989184418103039E-2</v>
      </c>
      <c r="AO94" s="170">
        <f t="shared" si="91"/>
        <v>73.489999999999995</v>
      </c>
      <c r="AP94" s="6">
        <v>47.47</v>
      </c>
      <c r="AQ94" s="6">
        <v>26.02</v>
      </c>
      <c r="AR94" s="138">
        <f t="shared" si="92"/>
        <v>1778.79</v>
      </c>
      <c r="AS94" s="160">
        <f t="shared" si="93"/>
        <v>4.3095056588283595E-2</v>
      </c>
      <c r="AT94" s="164">
        <f t="shared" si="75"/>
        <v>459.79</v>
      </c>
      <c r="AU94" s="165">
        <f t="shared" si="94"/>
        <v>6.4028745307264767E-2</v>
      </c>
      <c r="AV94" s="39"/>
      <c r="AW94" s="334"/>
      <c r="AX94" s="39"/>
      <c r="AY94" s="39"/>
    </row>
    <row r="95" spans="2:51" outlineLevel="1" x14ac:dyDescent="0.35">
      <c r="B95" s="48" t="s">
        <v>93</v>
      </c>
      <c r="C95" s="62" t="s">
        <v>135</v>
      </c>
      <c r="D95" s="70">
        <v>102</v>
      </c>
      <c r="E95" s="71">
        <v>568</v>
      </c>
      <c r="F95" s="70">
        <v>191</v>
      </c>
      <c r="G95" s="138">
        <f t="shared" si="59"/>
        <v>759</v>
      </c>
      <c r="H95" s="167">
        <f t="shared" si="60"/>
        <v>0.33626760563380281</v>
      </c>
      <c r="I95" s="70">
        <v>252</v>
      </c>
      <c r="J95" s="138">
        <f t="shared" si="61"/>
        <v>1011</v>
      </c>
      <c r="K95" s="167">
        <f t="shared" si="62"/>
        <v>0.33201581027667987</v>
      </c>
      <c r="L95" s="6">
        <v>124</v>
      </c>
      <c r="M95" s="138">
        <f t="shared" si="63"/>
        <v>1135</v>
      </c>
      <c r="N95" s="167">
        <f t="shared" si="64"/>
        <v>0.12265084075173097</v>
      </c>
      <c r="O95" s="6">
        <v>84</v>
      </c>
      <c r="P95" s="138">
        <f t="shared" si="77"/>
        <v>1219</v>
      </c>
      <c r="Q95" s="167">
        <f t="shared" si="78"/>
        <v>7.4008810572687225E-2</v>
      </c>
      <c r="R95" s="164">
        <f t="shared" si="65"/>
        <v>753</v>
      </c>
      <c r="S95" s="165">
        <f t="shared" si="79"/>
        <v>0.21035799282623513</v>
      </c>
      <c r="U95" s="170">
        <f t="shared" si="80"/>
        <v>100.37</v>
      </c>
      <c r="V95" s="6">
        <v>81.55</v>
      </c>
      <c r="W95" s="6">
        <v>18.82</v>
      </c>
      <c r="X95" s="138">
        <f t="shared" si="81"/>
        <v>1319.37</v>
      </c>
      <c r="Y95" s="167">
        <f t="shared" si="82"/>
        <v>8.2337981952419925E-2</v>
      </c>
      <c r="Z95" s="170">
        <f t="shared" si="83"/>
        <v>161.78</v>
      </c>
      <c r="AA95" s="6">
        <v>102.5</v>
      </c>
      <c r="AB95" s="6">
        <v>59.28</v>
      </c>
      <c r="AC95" s="138">
        <f t="shared" si="84"/>
        <v>1481.1499999999999</v>
      </c>
      <c r="AD95" s="160">
        <f t="shared" si="85"/>
        <v>0.12261912882663695</v>
      </c>
      <c r="AE95" s="170">
        <f t="shared" si="95"/>
        <v>274.20999999999998</v>
      </c>
      <c r="AF95" s="6">
        <v>98.07</v>
      </c>
      <c r="AG95" s="6">
        <v>176.14</v>
      </c>
      <c r="AH95" s="138">
        <f t="shared" si="86"/>
        <v>1755.36</v>
      </c>
      <c r="AI95" s="160">
        <f t="shared" si="87"/>
        <v>0.18513317354758133</v>
      </c>
      <c r="AJ95" s="170">
        <f t="shared" si="88"/>
        <v>280.23</v>
      </c>
      <c r="AK95" s="6">
        <v>76.959999999999994</v>
      </c>
      <c r="AL95" s="6">
        <v>203.27</v>
      </c>
      <c r="AM95" s="138">
        <f t="shared" si="89"/>
        <v>2035.59</v>
      </c>
      <c r="AN95" s="160">
        <f t="shared" si="90"/>
        <v>0.15964246650259778</v>
      </c>
      <c r="AO95" s="170">
        <f t="shared" si="91"/>
        <v>232.56</v>
      </c>
      <c r="AP95" s="6">
        <v>57.85</v>
      </c>
      <c r="AQ95" s="6">
        <v>174.71</v>
      </c>
      <c r="AR95" s="138">
        <f t="shared" si="92"/>
        <v>2268.15</v>
      </c>
      <c r="AS95" s="160">
        <f t="shared" si="93"/>
        <v>0.11424697507847857</v>
      </c>
      <c r="AT95" s="164">
        <f t="shared" si="75"/>
        <v>1049.1499999999999</v>
      </c>
      <c r="AU95" s="165">
        <f t="shared" si="94"/>
        <v>0.14505485347770763</v>
      </c>
      <c r="AV95" s="39"/>
      <c r="AW95" s="334"/>
      <c r="AX95" s="39"/>
      <c r="AY95" s="39"/>
    </row>
    <row r="96" spans="2:51" outlineLevel="1" x14ac:dyDescent="0.35">
      <c r="B96" s="48" t="s">
        <v>94</v>
      </c>
      <c r="C96" s="62" t="s">
        <v>135</v>
      </c>
      <c r="D96" s="70">
        <v>183</v>
      </c>
      <c r="E96" s="71">
        <v>1799</v>
      </c>
      <c r="F96" s="70">
        <v>157</v>
      </c>
      <c r="G96" s="138">
        <f t="shared" si="59"/>
        <v>1956</v>
      </c>
      <c r="H96" s="167">
        <f t="shared" si="60"/>
        <v>8.7270705947748745E-2</v>
      </c>
      <c r="I96" s="70">
        <v>155</v>
      </c>
      <c r="J96" s="138">
        <f t="shared" si="61"/>
        <v>2111</v>
      </c>
      <c r="K96" s="167">
        <f t="shared" si="62"/>
        <v>7.924335378323108E-2</v>
      </c>
      <c r="L96" s="6">
        <v>69</v>
      </c>
      <c r="M96" s="138">
        <f t="shared" si="63"/>
        <v>2180</v>
      </c>
      <c r="N96" s="167">
        <f t="shared" si="64"/>
        <v>3.2685930838465181E-2</v>
      </c>
      <c r="O96" s="6">
        <v>99</v>
      </c>
      <c r="P96" s="138">
        <f t="shared" si="77"/>
        <v>2279</v>
      </c>
      <c r="Q96" s="167">
        <f t="shared" si="78"/>
        <v>4.541284403669725E-2</v>
      </c>
      <c r="R96" s="164">
        <f t="shared" si="65"/>
        <v>663</v>
      </c>
      <c r="S96" s="165">
        <f t="shared" si="79"/>
        <v>6.0909383002540674E-2</v>
      </c>
      <c r="U96" s="170">
        <f t="shared" si="80"/>
        <v>70.790000000000006</v>
      </c>
      <c r="V96" s="6">
        <v>69.87</v>
      </c>
      <c r="W96" s="6">
        <v>0.92</v>
      </c>
      <c r="X96" s="138">
        <f t="shared" si="81"/>
        <v>2349.79</v>
      </c>
      <c r="Y96" s="167">
        <f t="shared" si="82"/>
        <v>3.1061869240895112E-2</v>
      </c>
      <c r="Z96" s="170">
        <f t="shared" si="83"/>
        <v>114.52</v>
      </c>
      <c r="AA96" s="6">
        <v>87.89</v>
      </c>
      <c r="AB96" s="6">
        <v>26.63</v>
      </c>
      <c r="AC96" s="138">
        <f t="shared" si="84"/>
        <v>2464.31</v>
      </c>
      <c r="AD96" s="160">
        <f t="shared" si="85"/>
        <v>4.8736270049664007E-2</v>
      </c>
      <c r="AE96" s="170">
        <f t="shared" si="95"/>
        <v>132.31</v>
      </c>
      <c r="AF96" s="6">
        <v>84.14</v>
      </c>
      <c r="AG96" s="6">
        <v>48.17</v>
      </c>
      <c r="AH96" s="138">
        <f t="shared" si="86"/>
        <v>2596.62</v>
      </c>
      <c r="AI96" s="160">
        <f t="shared" si="87"/>
        <v>5.3690485369129674E-2</v>
      </c>
      <c r="AJ96" s="170">
        <f t="shared" si="88"/>
        <v>122.5</v>
      </c>
      <c r="AK96" s="6">
        <v>66.03</v>
      </c>
      <c r="AL96" s="6">
        <v>56.47</v>
      </c>
      <c r="AM96" s="138">
        <f t="shared" si="89"/>
        <v>2719.12</v>
      </c>
      <c r="AN96" s="160">
        <f t="shared" si="90"/>
        <v>4.717671434403186E-2</v>
      </c>
      <c r="AO96" s="170">
        <f t="shared" si="91"/>
        <v>108.37</v>
      </c>
      <c r="AP96" s="6">
        <v>49.65</v>
      </c>
      <c r="AQ96" s="6">
        <v>58.72</v>
      </c>
      <c r="AR96" s="138">
        <f t="shared" si="92"/>
        <v>2827.49</v>
      </c>
      <c r="AS96" s="160">
        <f t="shared" si="93"/>
        <v>3.9854805966636229E-2</v>
      </c>
      <c r="AT96" s="164">
        <f t="shared" si="75"/>
        <v>548.49</v>
      </c>
      <c r="AU96" s="165">
        <f t="shared" si="94"/>
        <v>4.7352820509281912E-2</v>
      </c>
      <c r="AV96" s="39"/>
      <c r="AW96" s="334"/>
      <c r="AX96" s="39"/>
      <c r="AY96" s="39"/>
    </row>
    <row r="97" spans="2:51" outlineLevel="1" x14ac:dyDescent="0.35">
      <c r="B97" s="48" t="s">
        <v>95</v>
      </c>
      <c r="C97" s="62" t="s">
        <v>135</v>
      </c>
      <c r="D97" s="70">
        <v>132</v>
      </c>
      <c r="E97" s="71">
        <v>1333</v>
      </c>
      <c r="F97" s="70">
        <v>101</v>
      </c>
      <c r="G97" s="138">
        <f t="shared" si="59"/>
        <v>1434</v>
      </c>
      <c r="H97" s="167">
        <f t="shared" si="60"/>
        <v>7.5768942235558884E-2</v>
      </c>
      <c r="I97" s="70">
        <v>138</v>
      </c>
      <c r="J97" s="138">
        <f t="shared" si="61"/>
        <v>1572</v>
      </c>
      <c r="K97" s="167">
        <f t="shared" si="62"/>
        <v>9.6234309623430964E-2</v>
      </c>
      <c r="L97" s="6">
        <v>57</v>
      </c>
      <c r="M97" s="138">
        <f t="shared" si="63"/>
        <v>1629</v>
      </c>
      <c r="N97" s="167">
        <f t="shared" si="64"/>
        <v>3.6259541984732822E-2</v>
      </c>
      <c r="O97" s="6">
        <v>46</v>
      </c>
      <c r="P97" s="138">
        <f t="shared" si="77"/>
        <v>1675</v>
      </c>
      <c r="Q97" s="167">
        <f t="shared" si="78"/>
        <v>2.8238182934315532E-2</v>
      </c>
      <c r="R97" s="164">
        <f t="shared" si="65"/>
        <v>474</v>
      </c>
      <c r="S97" s="165">
        <f t="shared" si="79"/>
        <v>5.8756685006706277E-2</v>
      </c>
      <c r="U97" s="170">
        <f t="shared" si="80"/>
        <v>35.589999999999996</v>
      </c>
      <c r="V97" s="6">
        <v>33.79</v>
      </c>
      <c r="W97" s="6">
        <v>1.8</v>
      </c>
      <c r="X97" s="138">
        <f t="shared" si="81"/>
        <v>1710.59</v>
      </c>
      <c r="Y97" s="167">
        <f t="shared" si="82"/>
        <v>2.1247761194029803E-2</v>
      </c>
      <c r="Z97" s="170">
        <f t="shared" si="83"/>
        <v>55.269999999999996</v>
      </c>
      <c r="AA97" s="6">
        <v>42.68</v>
      </c>
      <c r="AB97" s="6">
        <v>12.59</v>
      </c>
      <c r="AC97" s="138">
        <f t="shared" si="84"/>
        <v>1765.86</v>
      </c>
      <c r="AD97" s="160">
        <f t="shared" si="85"/>
        <v>3.2310489363319081E-2</v>
      </c>
      <c r="AE97" s="170">
        <f t="shared" si="95"/>
        <v>71.319999999999993</v>
      </c>
      <c r="AF97" s="6">
        <v>40.799999999999997</v>
      </c>
      <c r="AG97" s="6">
        <v>30.52</v>
      </c>
      <c r="AH97" s="138">
        <f t="shared" si="86"/>
        <v>1837.1799999999998</v>
      </c>
      <c r="AI97" s="160">
        <f t="shared" si="87"/>
        <v>4.0388252749368546E-2</v>
      </c>
      <c r="AJ97" s="170">
        <f t="shared" si="88"/>
        <v>73.25</v>
      </c>
      <c r="AK97" s="6">
        <v>31.82</v>
      </c>
      <c r="AL97" s="6">
        <v>41.43</v>
      </c>
      <c r="AM97" s="138">
        <f t="shared" si="89"/>
        <v>1910.4299999999998</v>
      </c>
      <c r="AN97" s="160">
        <f t="shared" si="90"/>
        <v>3.9870889080003052E-2</v>
      </c>
      <c r="AO97" s="170">
        <f t="shared" si="91"/>
        <v>56.85</v>
      </c>
      <c r="AP97" s="6">
        <v>23.92</v>
      </c>
      <c r="AQ97" s="6">
        <v>32.93</v>
      </c>
      <c r="AR97" s="138">
        <f t="shared" si="92"/>
        <v>1967.2799999999997</v>
      </c>
      <c r="AS97" s="160">
        <f t="shared" si="93"/>
        <v>2.9757698528603462E-2</v>
      </c>
      <c r="AT97" s="164">
        <f t="shared" si="75"/>
        <v>292.27999999999997</v>
      </c>
      <c r="AU97" s="165">
        <f t="shared" si="94"/>
        <v>3.5571433938692776E-2</v>
      </c>
      <c r="AV97" s="39"/>
      <c r="AW97" s="334"/>
      <c r="AX97" s="39"/>
      <c r="AY97" s="39"/>
    </row>
    <row r="98" spans="2:51" outlineLevel="1" x14ac:dyDescent="0.35">
      <c r="B98" s="48" t="s">
        <v>96</v>
      </c>
      <c r="C98" s="62" t="s">
        <v>135</v>
      </c>
      <c r="D98" s="70">
        <v>89</v>
      </c>
      <c r="E98" s="71">
        <v>783</v>
      </c>
      <c r="F98" s="70">
        <v>67</v>
      </c>
      <c r="G98" s="138">
        <f t="shared" si="59"/>
        <v>850</v>
      </c>
      <c r="H98" s="167">
        <f t="shared" si="60"/>
        <v>8.5568326947637288E-2</v>
      </c>
      <c r="I98" s="70">
        <v>68</v>
      </c>
      <c r="J98" s="138">
        <f t="shared" si="61"/>
        <v>918</v>
      </c>
      <c r="K98" s="167">
        <f t="shared" si="62"/>
        <v>0.08</v>
      </c>
      <c r="L98" s="6">
        <v>36</v>
      </c>
      <c r="M98" s="138">
        <f t="shared" si="63"/>
        <v>954</v>
      </c>
      <c r="N98" s="167">
        <f t="shared" si="64"/>
        <v>3.9215686274509803E-2</v>
      </c>
      <c r="O98" s="6">
        <v>32</v>
      </c>
      <c r="P98" s="138">
        <f t="shared" si="77"/>
        <v>986</v>
      </c>
      <c r="Q98" s="167">
        <f t="shared" si="78"/>
        <v>3.3542976939203356E-2</v>
      </c>
      <c r="R98" s="164">
        <f t="shared" si="65"/>
        <v>292</v>
      </c>
      <c r="S98" s="165">
        <f t="shared" si="79"/>
        <v>5.9323942603755286E-2</v>
      </c>
      <c r="U98" s="170">
        <f t="shared" si="80"/>
        <v>39.49</v>
      </c>
      <c r="V98" s="6">
        <v>39.49</v>
      </c>
      <c r="W98" s="6">
        <v>0</v>
      </c>
      <c r="X98" s="138">
        <f t="shared" si="81"/>
        <v>1025.49</v>
      </c>
      <c r="Y98" s="167">
        <f t="shared" si="82"/>
        <v>4.0050709939148083E-2</v>
      </c>
      <c r="Z98" s="170">
        <f t="shared" si="83"/>
        <v>62.78</v>
      </c>
      <c r="AA98" s="6">
        <v>49.7</v>
      </c>
      <c r="AB98" s="6">
        <v>13.08</v>
      </c>
      <c r="AC98" s="138">
        <f t="shared" si="84"/>
        <v>1088.27</v>
      </c>
      <c r="AD98" s="160">
        <f t="shared" si="85"/>
        <v>6.1219514573520921E-2</v>
      </c>
      <c r="AE98" s="170">
        <f t="shared" si="95"/>
        <v>83.23</v>
      </c>
      <c r="AF98" s="6">
        <v>47.6</v>
      </c>
      <c r="AG98" s="6">
        <v>35.630000000000003</v>
      </c>
      <c r="AH98" s="138">
        <f t="shared" si="86"/>
        <v>1171.5</v>
      </c>
      <c r="AI98" s="160">
        <f t="shared" si="87"/>
        <v>7.6479182555799594E-2</v>
      </c>
      <c r="AJ98" s="170">
        <f t="shared" si="88"/>
        <v>71.319999999999993</v>
      </c>
      <c r="AK98" s="6">
        <v>37.36</v>
      </c>
      <c r="AL98" s="6">
        <v>33.96</v>
      </c>
      <c r="AM98" s="138">
        <f t="shared" si="89"/>
        <v>1242.82</v>
      </c>
      <c r="AN98" s="160">
        <f t="shared" si="90"/>
        <v>6.0879214682031529E-2</v>
      </c>
      <c r="AO98" s="170">
        <f t="shared" si="91"/>
        <v>60.61</v>
      </c>
      <c r="AP98" s="6">
        <v>28.1</v>
      </c>
      <c r="AQ98" s="6">
        <v>32.51</v>
      </c>
      <c r="AR98" s="138">
        <f t="shared" si="92"/>
        <v>1303.4299999999998</v>
      </c>
      <c r="AS98" s="160">
        <f t="shared" si="93"/>
        <v>4.8768124104858229E-2</v>
      </c>
      <c r="AT98" s="164">
        <f t="shared" si="75"/>
        <v>317.43</v>
      </c>
      <c r="AU98" s="165">
        <f t="shared" si="94"/>
        <v>6.1791075493053293E-2</v>
      </c>
      <c r="AV98" s="39"/>
      <c r="AW98" s="334"/>
      <c r="AX98" s="39"/>
      <c r="AY98" s="39"/>
    </row>
    <row r="99" spans="2:51" outlineLevel="1" x14ac:dyDescent="0.35">
      <c r="B99" s="48" t="s">
        <v>97</v>
      </c>
      <c r="C99" s="62" t="s">
        <v>135</v>
      </c>
      <c r="D99" s="70">
        <v>225</v>
      </c>
      <c r="E99" s="71">
        <v>1667</v>
      </c>
      <c r="F99" s="70">
        <v>187</v>
      </c>
      <c r="G99" s="138">
        <f t="shared" si="59"/>
        <v>1854</v>
      </c>
      <c r="H99" s="167">
        <f t="shared" si="60"/>
        <v>0.11217756448710257</v>
      </c>
      <c r="I99" s="70">
        <v>220</v>
      </c>
      <c r="J99" s="138">
        <f t="shared" si="61"/>
        <v>2074</v>
      </c>
      <c r="K99" s="167">
        <f t="shared" si="62"/>
        <v>0.11866235167206041</v>
      </c>
      <c r="L99" s="6">
        <v>96</v>
      </c>
      <c r="M99" s="138">
        <f t="shared" si="63"/>
        <v>2170</v>
      </c>
      <c r="N99" s="167">
        <f t="shared" si="64"/>
        <v>4.6287367405978788E-2</v>
      </c>
      <c r="O99" s="6">
        <v>93</v>
      </c>
      <c r="P99" s="138">
        <f t="shared" si="77"/>
        <v>2263</v>
      </c>
      <c r="Q99" s="167">
        <f t="shared" si="78"/>
        <v>4.2857142857142858E-2</v>
      </c>
      <c r="R99" s="164">
        <f t="shared" si="65"/>
        <v>821</v>
      </c>
      <c r="S99" s="165">
        <f t="shared" si="79"/>
        <v>7.9411991680642835E-2</v>
      </c>
      <c r="U99" s="170">
        <f t="shared" si="80"/>
        <v>90.13</v>
      </c>
      <c r="V99" s="6">
        <v>86.71</v>
      </c>
      <c r="W99" s="6">
        <v>3.42</v>
      </c>
      <c r="X99" s="138">
        <f t="shared" si="81"/>
        <v>2353.13</v>
      </c>
      <c r="Y99" s="167">
        <f t="shared" si="82"/>
        <v>3.9827662395050867E-2</v>
      </c>
      <c r="Z99" s="170">
        <f t="shared" si="83"/>
        <v>183.57</v>
      </c>
      <c r="AA99" s="6">
        <v>109.05</v>
      </c>
      <c r="AB99" s="6">
        <v>74.52</v>
      </c>
      <c r="AC99" s="138">
        <f t="shared" si="84"/>
        <v>2536.7000000000003</v>
      </c>
      <c r="AD99" s="160">
        <f t="shared" si="85"/>
        <v>7.8010989618083212E-2</v>
      </c>
      <c r="AE99" s="170">
        <f t="shared" si="95"/>
        <v>200.64</v>
      </c>
      <c r="AF99" s="6">
        <v>104.16</v>
      </c>
      <c r="AG99" s="6">
        <v>96.48</v>
      </c>
      <c r="AH99" s="138">
        <f t="shared" si="86"/>
        <v>2737.34</v>
      </c>
      <c r="AI99" s="160">
        <f t="shared" si="87"/>
        <v>7.9094887057988672E-2</v>
      </c>
      <c r="AJ99" s="170">
        <f t="shared" si="88"/>
        <v>148.38999999999999</v>
      </c>
      <c r="AK99" s="6">
        <v>81.99</v>
      </c>
      <c r="AL99" s="6">
        <v>66.400000000000006</v>
      </c>
      <c r="AM99" s="138">
        <f t="shared" si="89"/>
        <v>2885.73</v>
      </c>
      <c r="AN99" s="160">
        <f t="shared" si="90"/>
        <v>5.4209561106767834E-2</v>
      </c>
      <c r="AO99" s="170">
        <f t="shared" si="91"/>
        <v>159.91</v>
      </c>
      <c r="AP99" s="6">
        <v>61.54</v>
      </c>
      <c r="AQ99" s="6">
        <v>98.37</v>
      </c>
      <c r="AR99" s="138">
        <f t="shared" si="92"/>
        <v>3045.64</v>
      </c>
      <c r="AS99" s="160">
        <f t="shared" si="93"/>
        <v>5.5414054675939836E-2</v>
      </c>
      <c r="AT99" s="164">
        <f t="shared" si="75"/>
        <v>782.64</v>
      </c>
      <c r="AU99" s="165">
        <f t="shared" si="94"/>
        <v>6.661616607891796E-2</v>
      </c>
      <c r="AV99" s="39"/>
      <c r="AW99" s="334"/>
      <c r="AX99" s="39"/>
      <c r="AY99" s="39"/>
    </row>
    <row r="100" spans="2:51" outlineLevel="1" x14ac:dyDescent="0.35">
      <c r="B100" s="48" t="s">
        <v>98</v>
      </c>
      <c r="C100" s="62" t="s">
        <v>135</v>
      </c>
      <c r="D100" s="70">
        <v>61</v>
      </c>
      <c r="E100" s="71">
        <v>585</v>
      </c>
      <c r="F100" s="70">
        <v>46</v>
      </c>
      <c r="G100" s="138">
        <f t="shared" si="59"/>
        <v>631</v>
      </c>
      <c r="H100" s="167">
        <f t="shared" si="60"/>
        <v>7.8632478632478631E-2</v>
      </c>
      <c r="I100" s="70">
        <v>63</v>
      </c>
      <c r="J100" s="138">
        <f t="shared" si="61"/>
        <v>694</v>
      </c>
      <c r="K100" s="167">
        <f t="shared" si="62"/>
        <v>9.9841521394611721E-2</v>
      </c>
      <c r="L100" s="6">
        <v>33</v>
      </c>
      <c r="M100" s="138">
        <f t="shared" si="63"/>
        <v>727</v>
      </c>
      <c r="N100" s="167">
        <f t="shared" si="64"/>
        <v>4.7550432276657062E-2</v>
      </c>
      <c r="O100" s="6">
        <v>19</v>
      </c>
      <c r="P100" s="138">
        <f t="shared" si="77"/>
        <v>746</v>
      </c>
      <c r="Q100" s="167">
        <f t="shared" si="78"/>
        <v>2.6134800550206328E-2</v>
      </c>
      <c r="R100" s="164">
        <f t="shared" si="65"/>
        <v>222</v>
      </c>
      <c r="S100" s="165">
        <f t="shared" si="79"/>
        <v>6.2663442522950197E-2</v>
      </c>
      <c r="U100" s="170">
        <f t="shared" si="80"/>
        <v>20.14</v>
      </c>
      <c r="V100" s="6">
        <v>17.82</v>
      </c>
      <c r="W100" s="6">
        <v>2.3199999999999998</v>
      </c>
      <c r="X100" s="138">
        <f t="shared" si="81"/>
        <v>766.14</v>
      </c>
      <c r="Y100" s="167">
        <f t="shared" si="82"/>
        <v>2.6997319034852529E-2</v>
      </c>
      <c r="Z100" s="170">
        <f t="shared" si="83"/>
        <v>46.65</v>
      </c>
      <c r="AA100" s="6">
        <v>22.7</v>
      </c>
      <c r="AB100" s="6">
        <v>23.95</v>
      </c>
      <c r="AC100" s="138">
        <f t="shared" si="84"/>
        <v>812.79</v>
      </c>
      <c r="AD100" s="160">
        <f t="shared" si="85"/>
        <v>6.0889654632312606E-2</v>
      </c>
      <c r="AE100" s="170">
        <f t="shared" si="95"/>
        <v>65.7</v>
      </c>
      <c r="AF100" s="6">
        <v>21.73</v>
      </c>
      <c r="AG100" s="6">
        <v>43.97</v>
      </c>
      <c r="AH100" s="138">
        <f t="shared" si="86"/>
        <v>878.49</v>
      </c>
      <c r="AI100" s="160">
        <f t="shared" si="87"/>
        <v>8.0832687410032175E-2</v>
      </c>
      <c r="AJ100" s="170">
        <f t="shared" si="88"/>
        <v>64.62</v>
      </c>
      <c r="AK100" s="6">
        <v>16.87</v>
      </c>
      <c r="AL100" s="6">
        <v>47.75</v>
      </c>
      <c r="AM100" s="138">
        <f t="shared" si="89"/>
        <v>943.11</v>
      </c>
      <c r="AN100" s="160">
        <f t="shared" si="90"/>
        <v>7.3558037086364103E-2</v>
      </c>
      <c r="AO100" s="170">
        <f t="shared" si="91"/>
        <v>65.61</v>
      </c>
      <c r="AP100" s="6">
        <v>12.69</v>
      </c>
      <c r="AQ100" s="6">
        <v>52.92</v>
      </c>
      <c r="AR100" s="138">
        <f t="shared" si="92"/>
        <v>1008.72</v>
      </c>
      <c r="AS100" s="160">
        <f t="shared" si="93"/>
        <v>6.9567706842255952E-2</v>
      </c>
      <c r="AT100" s="164">
        <f t="shared" si="75"/>
        <v>262.72000000000003</v>
      </c>
      <c r="AU100" s="165">
        <f t="shared" si="94"/>
        <v>7.1187814398320226E-2</v>
      </c>
      <c r="AV100" s="39"/>
      <c r="AW100" s="334"/>
      <c r="AX100" s="39"/>
      <c r="AY100" s="39"/>
    </row>
    <row r="101" spans="2:51" outlineLevel="1" x14ac:dyDescent="0.35">
      <c r="B101" s="48" t="s">
        <v>99</v>
      </c>
      <c r="C101" s="62" t="s">
        <v>135</v>
      </c>
      <c r="D101" s="70">
        <v>380</v>
      </c>
      <c r="E101" s="71">
        <v>3531</v>
      </c>
      <c r="F101" s="70">
        <v>370</v>
      </c>
      <c r="G101" s="138">
        <f t="shared" si="59"/>
        <v>3901</v>
      </c>
      <c r="H101" s="167">
        <f t="shared" si="60"/>
        <v>0.10478617955253469</v>
      </c>
      <c r="I101" s="70">
        <v>465</v>
      </c>
      <c r="J101" s="138">
        <f t="shared" si="61"/>
        <v>4366</v>
      </c>
      <c r="K101" s="167">
        <f t="shared" si="62"/>
        <v>0.11920020507562164</v>
      </c>
      <c r="L101" s="6">
        <v>169</v>
      </c>
      <c r="M101" s="138">
        <f t="shared" si="63"/>
        <v>4535</v>
      </c>
      <c r="N101" s="167">
        <f t="shared" si="64"/>
        <v>3.8708199725148877E-2</v>
      </c>
      <c r="O101" s="6">
        <v>100</v>
      </c>
      <c r="P101" s="138">
        <f t="shared" si="77"/>
        <v>4635</v>
      </c>
      <c r="Q101" s="167">
        <f t="shared" si="78"/>
        <v>2.2050716648291068E-2</v>
      </c>
      <c r="R101" s="164">
        <f t="shared" si="65"/>
        <v>1484</v>
      </c>
      <c r="S101" s="165">
        <f t="shared" si="79"/>
        <v>7.0380048064891731E-2</v>
      </c>
      <c r="U101" s="170">
        <f t="shared" si="80"/>
        <v>86.54</v>
      </c>
      <c r="V101" s="6">
        <v>86.54</v>
      </c>
      <c r="W101" s="6">
        <v>0</v>
      </c>
      <c r="X101" s="138">
        <f t="shared" si="81"/>
        <v>4721.54</v>
      </c>
      <c r="Y101" s="167">
        <f t="shared" si="82"/>
        <v>1.8670981661272915E-2</v>
      </c>
      <c r="Z101" s="170">
        <f t="shared" si="83"/>
        <v>124.44</v>
      </c>
      <c r="AA101" s="6">
        <v>108.65</v>
      </c>
      <c r="AB101" s="6">
        <v>15.79</v>
      </c>
      <c r="AC101" s="138">
        <f t="shared" si="84"/>
        <v>4845.9799999999996</v>
      </c>
      <c r="AD101" s="160">
        <f t="shared" si="85"/>
        <v>2.6355807639032943E-2</v>
      </c>
      <c r="AE101" s="170">
        <f t="shared" si="95"/>
        <v>134.18</v>
      </c>
      <c r="AF101" s="6">
        <v>103.3</v>
      </c>
      <c r="AG101" s="6">
        <v>30.88</v>
      </c>
      <c r="AH101" s="138">
        <f t="shared" si="86"/>
        <v>4980.16</v>
      </c>
      <c r="AI101" s="160">
        <f t="shared" si="87"/>
        <v>2.7688929793354553E-2</v>
      </c>
      <c r="AJ101" s="170">
        <f t="shared" si="88"/>
        <v>127.39999999999999</v>
      </c>
      <c r="AK101" s="6">
        <v>81.069999999999993</v>
      </c>
      <c r="AL101" s="6">
        <v>46.33</v>
      </c>
      <c r="AM101" s="138">
        <f t="shared" si="89"/>
        <v>5107.5599999999995</v>
      </c>
      <c r="AN101" s="160">
        <f t="shared" si="90"/>
        <v>2.5581507421448234E-2</v>
      </c>
      <c r="AO101" s="170">
        <f t="shared" si="91"/>
        <v>104.92</v>
      </c>
      <c r="AP101" s="6">
        <v>61.08</v>
      </c>
      <c r="AQ101" s="6">
        <v>43.84</v>
      </c>
      <c r="AR101" s="138">
        <f t="shared" si="92"/>
        <v>5212.4799999999996</v>
      </c>
      <c r="AS101" s="160">
        <f t="shared" si="93"/>
        <v>2.0542098379656839E-2</v>
      </c>
      <c r="AT101" s="164">
        <f t="shared" si="75"/>
        <v>577.48</v>
      </c>
      <c r="AU101" s="165">
        <f t="shared" si="94"/>
        <v>2.5038510551675941E-2</v>
      </c>
      <c r="AV101" s="39"/>
      <c r="AW101" s="334"/>
      <c r="AX101" s="39"/>
      <c r="AY101" s="39"/>
    </row>
    <row r="102" spans="2:51" outlineLevel="1" x14ac:dyDescent="0.35">
      <c r="B102" s="48" t="s">
        <v>100</v>
      </c>
      <c r="C102" s="62" t="s">
        <v>135</v>
      </c>
      <c r="D102" s="70">
        <v>67</v>
      </c>
      <c r="E102" s="71">
        <v>721</v>
      </c>
      <c r="F102" s="70">
        <v>77</v>
      </c>
      <c r="G102" s="138">
        <f t="shared" si="59"/>
        <v>798</v>
      </c>
      <c r="H102" s="167">
        <f t="shared" si="60"/>
        <v>0.10679611650485436</v>
      </c>
      <c r="I102" s="70">
        <v>72</v>
      </c>
      <c r="J102" s="138">
        <f t="shared" si="61"/>
        <v>870</v>
      </c>
      <c r="K102" s="167">
        <f t="shared" si="62"/>
        <v>9.0225563909774431E-2</v>
      </c>
      <c r="L102" s="6">
        <v>39</v>
      </c>
      <c r="M102" s="138">
        <f t="shared" si="63"/>
        <v>909</v>
      </c>
      <c r="N102" s="167">
        <f t="shared" si="64"/>
        <v>4.4827586206896551E-2</v>
      </c>
      <c r="O102" s="6">
        <v>25</v>
      </c>
      <c r="P102" s="138">
        <f t="shared" si="77"/>
        <v>934</v>
      </c>
      <c r="Q102" s="167">
        <f t="shared" si="78"/>
        <v>2.7502750275027504E-2</v>
      </c>
      <c r="R102" s="164">
        <f t="shared" si="65"/>
        <v>280</v>
      </c>
      <c r="S102" s="165">
        <f t="shared" si="79"/>
        <v>6.6848873265336284E-2</v>
      </c>
      <c r="U102" s="170">
        <f t="shared" si="80"/>
        <v>25.740000000000002</v>
      </c>
      <c r="V102" s="6">
        <v>21.91</v>
      </c>
      <c r="W102" s="6">
        <v>3.83</v>
      </c>
      <c r="X102" s="138">
        <f t="shared" si="81"/>
        <v>959.74</v>
      </c>
      <c r="Y102" s="167">
        <f t="shared" si="82"/>
        <v>2.7558886509635984E-2</v>
      </c>
      <c r="Z102" s="170">
        <f t="shared" si="83"/>
        <v>65.19</v>
      </c>
      <c r="AA102" s="6">
        <v>27.56</v>
      </c>
      <c r="AB102" s="6">
        <v>37.630000000000003</v>
      </c>
      <c r="AC102" s="138">
        <f t="shared" si="84"/>
        <v>1024.93</v>
      </c>
      <c r="AD102" s="160">
        <f t="shared" si="85"/>
        <v>6.7924646258361698E-2</v>
      </c>
      <c r="AE102" s="170">
        <f t="shared" si="95"/>
        <v>88.02000000000001</v>
      </c>
      <c r="AF102" s="6">
        <v>26.39</v>
      </c>
      <c r="AG102" s="6">
        <v>61.63</v>
      </c>
      <c r="AH102" s="138">
        <f t="shared" si="86"/>
        <v>1112.95</v>
      </c>
      <c r="AI102" s="160">
        <f t="shared" si="87"/>
        <v>8.5879035641458421E-2</v>
      </c>
      <c r="AJ102" s="170">
        <f t="shared" si="88"/>
        <v>81.86</v>
      </c>
      <c r="AK102" s="6">
        <v>20.71</v>
      </c>
      <c r="AL102" s="6">
        <v>61.15</v>
      </c>
      <c r="AM102" s="138">
        <f t="shared" si="89"/>
        <v>1194.81</v>
      </c>
      <c r="AN102" s="160">
        <f t="shared" si="90"/>
        <v>7.3552270991508961E-2</v>
      </c>
      <c r="AO102" s="170">
        <f t="shared" si="91"/>
        <v>110.53999999999999</v>
      </c>
      <c r="AP102" s="6">
        <v>15.57</v>
      </c>
      <c r="AQ102" s="6">
        <v>94.97</v>
      </c>
      <c r="AR102" s="138">
        <f t="shared" si="92"/>
        <v>1305.3499999999999</v>
      </c>
      <c r="AS102" s="160">
        <f t="shared" si="93"/>
        <v>9.2516801834601287E-2</v>
      </c>
      <c r="AT102" s="164">
        <f t="shared" si="75"/>
        <v>371.35</v>
      </c>
      <c r="AU102" s="165">
        <f t="shared" si="94"/>
        <v>7.9924376738669256E-2</v>
      </c>
      <c r="AV102" s="39"/>
      <c r="AW102" s="334"/>
      <c r="AX102" s="39"/>
      <c r="AY102" s="39"/>
    </row>
    <row r="103" spans="2:51" outlineLevel="1" x14ac:dyDescent="0.35">
      <c r="B103" s="48" t="s">
        <v>176</v>
      </c>
      <c r="C103" s="62" t="s">
        <v>135</v>
      </c>
      <c r="D103" s="70">
        <v>4</v>
      </c>
      <c r="E103" s="71">
        <v>12</v>
      </c>
      <c r="F103" s="70">
        <v>2</v>
      </c>
      <c r="G103" s="138">
        <f t="shared" si="59"/>
        <v>14</v>
      </c>
      <c r="H103" s="167">
        <f t="shared" si="60"/>
        <v>0.16666666666666666</v>
      </c>
      <c r="I103" s="70">
        <v>2</v>
      </c>
      <c r="J103" s="138">
        <f t="shared" si="61"/>
        <v>16</v>
      </c>
      <c r="K103" s="167">
        <f t="shared" si="62"/>
        <v>0.14285714285714285</v>
      </c>
      <c r="L103" s="6">
        <v>2</v>
      </c>
      <c r="M103" s="138">
        <f t="shared" si="63"/>
        <v>18</v>
      </c>
      <c r="N103" s="167">
        <f t="shared" si="64"/>
        <v>0.125</v>
      </c>
      <c r="O103" s="6">
        <v>1</v>
      </c>
      <c r="P103" s="138">
        <f t="shared" si="77"/>
        <v>19</v>
      </c>
      <c r="Q103" s="167">
        <f t="shared" si="78"/>
        <v>5.5555555555555552E-2</v>
      </c>
      <c r="R103" s="164">
        <f t="shared" si="65"/>
        <v>11</v>
      </c>
      <c r="S103" s="165">
        <f t="shared" si="79"/>
        <v>0.12174227842753238</v>
      </c>
      <c r="U103" s="170">
        <f t="shared" si="80"/>
        <v>0.91</v>
      </c>
      <c r="V103" s="6">
        <v>0.91</v>
      </c>
      <c r="W103" s="6">
        <v>0</v>
      </c>
      <c r="X103" s="138">
        <f t="shared" si="81"/>
        <v>19.91</v>
      </c>
      <c r="Y103" s="167">
        <f t="shared" si="82"/>
        <v>4.7894736842105268E-2</v>
      </c>
      <c r="Z103" s="170">
        <f t="shared" si="83"/>
        <v>1.1499999999999999</v>
      </c>
      <c r="AA103" s="6">
        <v>1.1499999999999999</v>
      </c>
      <c r="AB103" s="6">
        <v>0</v>
      </c>
      <c r="AC103" s="138">
        <f t="shared" si="84"/>
        <v>21.06</v>
      </c>
      <c r="AD103" s="160">
        <f t="shared" si="85"/>
        <v>5.7759919638372605E-2</v>
      </c>
      <c r="AE103" s="170">
        <f t="shared" si="95"/>
        <v>1.1000000000000001</v>
      </c>
      <c r="AF103" s="6">
        <v>1.1000000000000001</v>
      </c>
      <c r="AG103" s="6">
        <v>0</v>
      </c>
      <c r="AH103" s="138">
        <f t="shared" si="86"/>
        <v>22.16</v>
      </c>
      <c r="AI103" s="160">
        <f t="shared" si="87"/>
        <v>5.2231718898385633E-2</v>
      </c>
      <c r="AJ103" s="170">
        <f t="shared" si="88"/>
        <v>0.87</v>
      </c>
      <c r="AK103" s="6">
        <v>0.87</v>
      </c>
      <c r="AL103" s="6">
        <v>0</v>
      </c>
      <c r="AM103" s="138">
        <f t="shared" si="89"/>
        <v>23.03</v>
      </c>
      <c r="AN103" s="160">
        <f t="shared" si="90"/>
        <v>3.9259927797833979E-2</v>
      </c>
      <c r="AO103" s="170">
        <f t="shared" si="91"/>
        <v>0.65</v>
      </c>
      <c r="AP103" s="6">
        <v>0.65</v>
      </c>
      <c r="AQ103" s="6">
        <v>0</v>
      </c>
      <c r="AR103" s="138">
        <f t="shared" si="92"/>
        <v>23.68</v>
      </c>
      <c r="AS103" s="160">
        <f t="shared" si="93"/>
        <v>2.8224055579678616E-2</v>
      </c>
      <c r="AT103" s="164">
        <f t="shared" si="75"/>
        <v>4.6800000000000006</v>
      </c>
      <c r="AU103" s="165">
        <f t="shared" si="94"/>
        <v>4.4305606320340862E-2</v>
      </c>
      <c r="AV103" s="39"/>
      <c r="AW103" s="334"/>
      <c r="AX103" s="39"/>
      <c r="AY103" s="39"/>
    </row>
    <row r="104" spans="2:51" outlineLevel="1" x14ac:dyDescent="0.35">
      <c r="B104" s="48" t="s">
        <v>102</v>
      </c>
      <c r="C104" s="62" t="s">
        <v>135</v>
      </c>
      <c r="D104" s="70">
        <v>152</v>
      </c>
      <c r="E104" s="71">
        <v>1499</v>
      </c>
      <c r="F104" s="70">
        <v>116</v>
      </c>
      <c r="G104" s="138">
        <f t="shared" si="59"/>
        <v>1615</v>
      </c>
      <c r="H104" s="167">
        <f t="shared" si="60"/>
        <v>7.7384923282188128E-2</v>
      </c>
      <c r="I104" s="70">
        <v>97</v>
      </c>
      <c r="J104" s="138">
        <f t="shared" si="61"/>
        <v>1712</v>
      </c>
      <c r="K104" s="167">
        <f t="shared" si="62"/>
        <v>6.0061919504643964E-2</v>
      </c>
      <c r="L104" s="6">
        <v>41</v>
      </c>
      <c r="M104" s="138">
        <f t="shared" si="63"/>
        <v>1753</v>
      </c>
      <c r="N104" s="167">
        <f t="shared" si="64"/>
        <v>2.3948598130841121E-2</v>
      </c>
      <c r="O104" s="6">
        <v>28</v>
      </c>
      <c r="P104" s="138">
        <f t="shared" si="77"/>
        <v>1781</v>
      </c>
      <c r="Q104" s="167">
        <f t="shared" si="78"/>
        <v>1.5972618368511125E-2</v>
      </c>
      <c r="R104" s="164">
        <f t="shared" si="65"/>
        <v>434</v>
      </c>
      <c r="S104" s="165">
        <f t="shared" si="79"/>
        <v>4.4036234565907106E-2</v>
      </c>
      <c r="U104" s="170">
        <f t="shared" si="80"/>
        <v>35.93</v>
      </c>
      <c r="V104" s="6">
        <v>34.44</v>
      </c>
      <c r="W104" s="6">
        <v>1.49</v>
      </c>
      <c r="X104" s="138">
        <f t="shared" si="81"/>
        <v>1816.93</v>
      </c>
      <c r="Y104" s="167">
        <f t="shared" si="82"/>
        <v>2.0174059517125247E-2</v>
      </c>
      <c r="Z104" s="170">
        <f t="shared" si="83"/>
        <v>45.12</v>
      </c>
      <c r="AA104" s="6">
        <v>43.33</v>
      </c>
      <c r="AB104" s="6">
        <v>1.79</v>
      </c>
      <c r="AC104" s="138">
        <f t="shared" si="84"/>
        <v>1862.05</v>
      </c>
      <c r="AD104" s="160">
        <f t="shared" si="85"/>
        <v>2.4833097587689063E-2</v>
      </c>
      <c r="AE104" s="170">
        <f t="shared" si="95"/>
        <v>46.160000000000004</v>
      </c>
      <c r="AF104" s="6">
        <v>41.49</v>
      </c>
      <c r="AG104" s="6">
        <v>4.67</v>
      </c>
      <c r="AH104" s="138">
        <f t="shared" si="86"/>
        <v>1908.21</v>
      </c>
      <c r="AI104" s="160">
        <f t="shared" si="87"/>
        <v>2.4789882119169777E-2</v>
      </c>
      <c r="AJ104" s="170">
        <f t="shared" si="88"/>
        <v>37.46</v>
      </c>
      <c r="AK104" s="6">
        <v>32.57</v>
      </c>
      <c r="AL104" s="6">
        <v>4.8899999999999997</v>
      </c>
      <c r="AM104" s="138">
        <f t="shared" si="89"/>
        <v>1945.67</v>
      </c>
      <c r="AN104" s="160">
        <f t="shared" si="90"/>
        <v>1.9630963049140311E-2</v>
      </c>
      <c r="AO104" s="170">
        <f t="shared" si="91"/>
        <v>27.599999999999998</v>
      </c>
      <c r="AP104" s="6">
        <v>24.49</v>
      </c>
      <c r="AQ104" s="6">
        <v>3.11</v>
      </c>
      <c r="AR104" s="138">
        <f t="shared" si="92"/>
        <v>1973.27</v>
      </c>
      <c r="AS104" s="160">
        <f t="shared" si="93"/>
        <v>1.4185344894046733E-2</v>
      </c>
      <c r="AT104" s="164">
        <f t="shared" si="75"/>
        <v>192.27</v>
      </c>
      <c r="AU104" s="165">
        <f t="shared" si="94"/>
        <v>2.0850343793558102E-2</v>
      </c>
      <c r="AV104" s="39"/>
      <c r="AW104" s="334"/>
      <c r="AX104" s="39"/>
      <c r="AY104" s="39"/>
    </row>
    <row r="105" spans="2:51" outlineLevel="1" x14ac:dyDescent="0.35">
      <c r="B105" s="48" t="s">
        <v>103</v>
      </c>
      <c r="C105" s="62" t="s">
        <v>135</v>
      </c>
      <c r="D105" s="70">
        <v>0</v>
      </c>
      <c r="E105" s="71">
        <v>0</v>
      </c>
      <c r="F105" s="70">
        <v>0</v>
      </c>
      <c r="G105" s="138">
        <f t="shared" si="59"/>
        <v>0</v>
      </c>
      <c r="H105" s="167">
        <f t="shared" si="60"/>
        <v>0</v>
      </c>
      <c r="I105" s="70">
        <v>1</v>
      </c>
      <c r="J105" s="138">
        <f t="shared" si="61"/>
        <v>1</v>
      </c>
      <c r="K105" s="167">
        <f t="shared" si="62"/>
        <v>0</v>
      </c>
      <c r="L105" s="6">
        <v>0</v>
      </c>
      <c r="M105" s="138">
        <f t="shared" si="63"/>
        <v>1</v>
      </c>
      <c r="N105" s="167">
        <f t="shared" si="64"/>
        <v>0</v>
      </c>
      <c r="O105" s="6">
        <v>0</v>
      </c>
      <c r="P105" s="138">
        <f t="shared" si="77"/>
        <v>1</v>
      </c>
      <c r="Q105" s="167">
        <f t="shared" si="78"/>
        <v>0</v>
      </c>
      <c r="R105" s="164">
        <f t="shared" si="65"/>
        <v>1</v>
      </c>
      <c r="S105" s="165">
        <f t="shared" si="79"/>
        <v>0</v>
      </c>
      <c r="U105" s="170">
        <f t="shared" si="80"/>
        <v>0</v>
      </c>
      <c r="V105" s="6">
        <v>0</v>
      </c>
      <c r="W105" s="6">
        <v>0</v>
      </c>
      <c r="X105" s="138">
        <f t="shared" si="81"/>
        <v>1</v>
      </c>
      <c r="Y105" s="167">
        <f t="shared" si="82"/>
        <v>0</v>
      </c>
      <c r="Z105" s="170">
        <f t="shared" si="83"/>
        <v>0</v>
      </c>
      <c r="AA105" s="6">
        <v>0</v>
      </c>
      <c r="AB105" s="6">
        <v>0</v>
      </c>
      <c r="AC105" s="138">
        <f t="shared" si="84"/>
        <v>1</v>
      </c>
      <c r="AD105" s="160">
        <f t="shared" si="85"/>
        <v>0</v>
      </c>
      <c r="AE105" s="170">
        <f t="shared" si="95"/>
        <v>0</v>
      </c>
      <c r="AF105" s="6">
        <v>0</v>
      </c>
      <c r="AG105" s="6">
        <v>0</v>
      </c>
      <c r="AH105" s="138">
        <f t="shared" si="86"/>
        <v>1</v>
      </c>
      <c r="AI105" s="160">
        <f t="shared" si="87"/>
        <v>0</v>
      </c>
      <c r="AJ105" s="170">
        <f t="shared" si="88"/>
        <v>0</v>
      </c>
      <c r="AK105" s="6">
        <v>0</v>
      </c>
      <c r="AL105" s="6">
        <v>0</v>
      </c>
      <c r="AM105" s="138">
        <f t="shared" si="89"/>
        <v>1</v>
      </c>
      <c r="AN105" s="160">
        <f t="shared" si="90"/>
        <v>0</v>
      </c>
      <c r="AO105" s="170">
        <f t="shared" si="91"/>
        <v>0</v>
      </c>
      <c r="AP105" s="6">
        <v>0</v>
      </c>
      <c r="AQ105" s="6">
        <v>0</v>
      </c>
      <c r="AR105" s="138">
        <f t="shared" si="92"/>
        <v>1</v>
      </c>
      <c r="AS105" s="160">
        <f t="shared" si="93"/>
        <v>0</v>
      </c>
      <c r="AT105" s="164">
        <f t="shared" si="75"/>
        <v>0</v>
      </c>
      <c r="AU105" s="165">
        <f t="shared" si="94"/>
        <v>0</v>
      </c>
      <c r="AV105" s="39"/>
      <c r="AW105" s="334"/>
      <c r="AX105" s="39"/>
      <c r="AY105" s="39"/>
    </row>
    <row r="106" spans="2:51" outlineLevel="1" x14ac:dyDescent="0.35">
      <c r="B106" s="48" t="s">
        <v>177</v>
      </c>
      <c r="C106" s="62" t="s">
        <v>135</v>
      </c>
      <c r="D106" s="70">
        <v>0</v>
      </c>
      <c r="E106" s="71">
        <v>0</v>
      </c>
      <c r="F106" s="70">
        <v>0</v>
      </c>
      <c r="G106" s="138">
        <f t="shared" si="59"/>
        <v>0</v>
      </c>
      <c r="H106" s="167">
        <f t="shared" si="60"/>
        <v>0</v>
      </c>
      <c r="I106" s="70">
        <v>0</v>
      </c>
      <c r="J106" s="138">
        <f t="shared" si="61"/>
        <v>0</v>
      </c>
      <c r="K106" s="167">
        <f t="shared" si="62"/>
        <v>0</v>
      </c>
      <c r="L106" s="6">
        <v>0</v>
      </c>
      <c r="M106" s="138">
        <f t="shared" si="63"/>
        <v>0</v>
      </c>
      <c r="N106" s="167">
        <f t="shared" si="64"/>
        <v>0</v>
      </c>
      <c r="O106" s="6">
        <v>0</v>
      </c>
      <c r="P106" s="138">
        <f t="shared" si="77"/>
        <v>0</v>
      </c>
      <c r="Q106" s="167">
        <f t="shared" si="78"/>
        <v>0</v>
      </c>
      <c r="R106" s="164">
        <f>D106+F106+I106+L106+O106</f>
        <v>0</v>
      </c>
      <c r="S106" s="165">
        <f t="shared" si="79"/>
        <v>0</v>
      </c>
      <c r="U106" s="170">
        <f t="shared" si="80"/>
        <v>0</v>
      </c>
      <c r="V106" s="6">
        <v>0</v>
      </c>
      <c r="W106" s="6">
        <v>0</v>
      </c>
      <c r="X106" s="138">
        <f t="shared" si="81"/>
        <v>0</v>
      </c>
      <c r="Y106" s="167">
        <f t="shared" si="82"/>
        <v>0</v>
      </c>
      <c r="Z106" s="170">
        <f t="shared" si="83"/>
        <v>0</v>
      </c>
      <c r="AA106" s="6">
        <v>0</v>
      </c>
      <c r="AB106" s="6">
        <v>0</v>
      </c>
      <c r="AC106" s="138">
        <f t="shared" si="84"/>
        <v>0</v>
      </c>
      <c r="AD106" s="160">
        <f t="shared" si="85"/>
        <v>0</v>
      </c>
      <c r="AE106" s="170">
        <f t="shared" si="95"/>
        <v>0</v>
      </c>
      <c r="AF106" s="6">
        <v>0</v>
      </c>
      <c r="AG106" s="6">
        <v>0</v>
      </c>
      <c r="AH106" s="138">
        <f t="shared" si="86"/>
        <v>0</v>
      </c>
      <c r="AI106" s="160">
        <f t="shared" si="87"/>
        <v>0</v>
      </c>
      <c r="AJ106" s="170">
        <f t="shared" si="88"/>
        <v>14.2</v>
      </c>
      <c r="AK106" s="6">
        <v>0</v>
      </c>
      <c r="AL106" s="6">
        <v>14.2</v>
      </c>
      <c r="AM106" s="138">
        <f t="shared" si="89"/>
        <v>14.2</v>
      </c>
      <c r="AN106" s="160">
        <f t="shared" si="90"/>
        <v>0</v>
      </c>
      <c r="AO106" s="170">
        <f t="shared" si="91"/>
        <v>26.33</v>
      </c>
      <c r="AP106" s="6">
        <v>0</v>
      </c>
      <c r="AQ106" s="6">
        <v>26.33</v>
      </c>
      <c r="AR106" s="138">
        <f t="shared" si="92"/>
        <v>40.53</v>
      </c>
      <c r="AS106" s="160">
        <f t="shared" si="93"/>
        <v>1.8542253521126764</v>
      </c>
      <c r="AT106" s="164">
        <f t="shared" si="75"/>
        <v>40.53</v>
      </c>
      <c r="AU106" s="165">
        <f t="shared" si="94"/>
        <v>0</v>
      </c>
      <c r="AV106" s="39"/>
      <c r="AW106" s="334"/>
      <c r="AX106" s="39"/>
      <c r="AY106" s="39"/>
    </row>
    <row r="107" spans="2:51" outlineLevel="1" x14ac:dyDescent="0.35">
      <c r="B107" s="48" t="s">
        <v>136</v>
      </c>
      <c r="C107" s="62" t="s">
        <v>135</v>
      </c>
      <c r="D107" s="70">
        <v>0</v>
      </c>
      <c r="E107" s="71">
        <v>0</v>
      </c>
      <c r="F107" s="70">
        <v>0</v>
      </c>
      <c r="G107" s="138">
        <f t="shared" si="59"/>
        <v>0</v>
      </c>
      <c r="H107" s="167">
        <f t="shared" si="60"/>
        <v>0</v>
      </c>
      <c r="I107" s="70">
        <v>0</v>
      </c>
      <c r="J107" s="138">
        <f t="shared" si="61"/>
        <v>0</v>
      </c>
      <c r="K107" s="167">
        <f t="shared" si="62"/>
        <v>0</v>
      </c>
      <c r="L107" s="6">
        <v>0</v>
      </c>
      <c r="M107" s="138">
        <f t="shared" si="63"/>
        <v>0</v>
      </c>
      <c r="N107" s="167">
        <f t="shared" si="64"/>
        <v>0</v>
      </c>
      <c r="O107" s="6">
        <v>0</v>
      </c>
      <c r="P107" s="138">
        <f t="shared" si="77"/>
        <v>0</v>
      </c>
      <c r="Q107" s="167">
        <f t="shared" si="78"/>
        <v>0</v>
      </c>
      <c r="R107" s="164">
        <f>D107+F107+I107+L107+O107</f>
        <v>0</v>
      </c>
      <c r="S107" s="165">
        <f t="shared" si="79"/>
        <v>0</v>
      </c>
      <c r="U107" s="170">
        <f t="shared" si="80"/>
        <v>0</v>
      </c>
      <c r="V107" s="6">
        <v>0</v>
      </c>
      <c r="W107" s="6">
        <v>0</v>
      </c>
      <c r="X107" s="138">
        <f t="shared" si="81"/>
        <v>0</v>
      </c>
      <c r="Y107" s="167">
        <f t="shared" si="82"/>
        <v>0</v>
      </c>
      <c r="Z107" s="170">
        <f t="shared" si="83"/>
        <v>0</v>
      </c>
      <c r="AA107" s="6">
        <v>0</v>
      </c>
      <c r="AB107" s="6">
        <v>0</v>
      </c>
      <c r="AC107" s="138">
        <f t="shared" si="84"/>
        <v>0</v>
      </c>
      <c r="AD107" s="160">
        <f t="shared" si="85"/>
        <v>0</v>
      </c>
      <c r="AE107" s="170">
        <f t="shared" si="95"/>
        <v>0</v>
      </c>
      <c r="AF107" s="6">
        <v>0</v>
      </c>
      <c r="AG107" s="6">
        <v>0</v>
      </c>
      <c r="AH107" s="138">
        <f t="shared" si="86"/>
        <v>0</v>
      </c>
      <c r="AI107" s="160">
        <f t="shared" si="87"/>
        <v>0</v>
      </c>
      <c r="AJ107" s="170">
        <f t="shared" si="88"/>
        <v>14.2</v>
      </c>
      <c r="AK107" s="6">
        <v>0</v>
      </c>
      <c r="AL107" s="6">
        <v>14.2</v>
      </c>
      <c r="AM107" s="138">
        <f t="shared" si="89"/>
        <v>14.2</v>
      </c>
      <c r="AN107" s="160">
        <f t="shared" si="90"/>
        <v>0</v>
      </c>
      <c r="AO107" s="170">
        <f t="shared" si="91"/>
        <v>23.6</v>
      </c>
      <c r="AP107" s="6">
        <v>0</v>
      </c>
      <c r="AQ107" s="6">
        <v>23.6</v>
      </c>
      <c r="AR107" s="138">
        <f t="shared" si="92"/>
        <v>37.799999999999997</v>
      </c>
      <c r="AS107" s="160">
        <f t="shared" si="93"/>
        <v>1.6619718309859155</v>
      </c>
      <c r="AT107" s="164">
        <f t="shared" si="75"/>
        <v>37.799999999999997</v>
      </c>
      <c r="AU107" s="165">
        <f t="shared" si="94"/>
        <v>0</v>
      </c>
      <c r="AV107" s="39"/>
      <c r="AW107" s="334"/>
      <c r="AX107" s="39"/>
      <c r="AY107" s="39"/>
    </row>
    <row r="108" spans="2:51" outlineLevel="1" x14ac:dyDescent="0.35">
      <c r="B108" s="48" t="s">
        <v>106</v>
      </c>
      <c r="C108" s="62" t="s">
        <v>135</v>
      </c>
      <c r="D108" s="70">
        <v>96</v>
      </c>
      <c r="E108" s="71">
        <v>502</v>
      </c>
      <c r="F108" s="70">
        <v>58</v>
      </c>
      <c r="G108" s="138">
        <f t="shared" si="59"/>
        <v>560</v>
      </c>
      <c r="H108" s="167">
        <f t="shared" si="60"/>
        <v>0.11553784860557768</v>
      </c>
      <c r="I108" s="70">
        <v>69</v>
      </c>
      <c r="J108" s="138">
        <f t="shared" si="61"/>
        <v>629</v>
      </c>
      <c r="K108" s="167">
        <f t="shared" si="62"/>
        <v>0.12321428571428572</v>
      </c>
      <c r="L108" s="6">
        <v>21</v>
      </c>
      <c r="M108" s="138">
        <f t="shared" ref="M108:M129" si="96">J108+L108</f>
        <v>650</v>
      </c>
      <c r="N108" s="167">
        <f t="shared" si="64"/>
        <v>3.3386327503974564E-2</v>
      </c>
      <c r="O108" s="6">
        <v>23</v>
      </c>
      <c r="P108" s="138">
        <f t="shared" si="77"/>
        <v>673</v>
      </c>
      <c r="Q108" s="167">
        <f t="shared" si="78"/>
        <v>3.5384615384615382E-2</v>
      </c>
      <c r="R108" s="164">
        <f t="shared" ref="R108:R129" si="97">D108+F108+I108+L108+O108</f>
        <v>267</v>
      </c>
      <c r="S108" s="165">
        <f t="shared" si="79"/>
        <v>7.6038565336655983E-2</v>
      </c>
      <c r="U108" s="170">
        <f t="shared" si="80"/>
        <v>17.440000000000001</v>
      </c>
      <c r="V108" s="6">
        <v>16.62</v>
      </c>
      <c r="W108" s="6">
        <v>0.82</v>
      </c>
      <c r="X108" s="138">
        <f t="shared" si="81"/>
        <v>690.44</v>
      </c>
      <c r="Y108" s="167">
        <f t="shared" si="82"/>
        <v>2.5913818722139756E-2</v>
      </c>
      <c r="Z108" s="170">
        <f t="shared" si="83"/>
        <v>27.34</v>
      </c>
      <c r="AA108" s="6">
        <v>21.13</v>
      </c>
      <c r="AB108" s="6">
        <v>6.21</v>
      </c>
      <c r="AC108" s="138">
        <f t="shared" si="84"/>
        <v>717.78000000000009</v>
      </c>
      <c r="AD108" s="160">
        <f t="shared" si="85"/>
        <v>3.9597937547071478E-2</v>
      </c>
      <c r="AE108" s="170">
        <f t="shared" si="95"/>
        <v>27.12</v>
      </c>
      <c r="AF108" s="6">
        <v>20.190000000000001</v>
      </c>
      <c r="AG108" s="6">
        <v>6.93</v>
      </c>
      <c r="AH108" s="138">
        <f t="shared" si="86"/>
        <v>744.90000000000009</v>
      </c>
      <c r="AI108" s="160">
        <f t="shared" si="87"/>
        <v>3.7783164758003848E-2</v>
      </c>
      <c r="AJ108" s="170">
        <f t="shared" si="88"/>
        <v>22.96</v>
      </c>
      <c r="AK108" s="6">
        <v>15.65</v>
      </c>
      <c r="AL108" s="6">
        <v>7.31</v>
      </c>
      <c r="AM108" s="138">
        <f t="shared" si="89"/>
        <v>767.86000000000013</v>
      </c>
      <c r="AN108" s="160">
        <f t="shared" si="90"/>
        <v>3.0822929252248669E-2</v>
      </c>
      <c r="AO108" s="170">
        <f t="shared" si="91"/>
        <v>34.25</v>
      </c>
      <c r="AP108" s="6">
        <v>11.97</v>
      </c>
      <c r="AQ108" s="6">
        <v>22.28</v>
      </c>
      <c r="AR108" s="138">
        <f t="shared" si="92"/>
        <v>802.11000000000013</v>
      </c>
      <c r="AS108" s="160">
        <f t="shared" si="93"/>
        <v>4.460448519261323E-2</v>
      </c>
      <c r="AT108" s="164">
        <f t="shared" si="75"/>
        <v>129.11000000000001</v>
      </c>
      <c r="AU108" s="165">
        <f t="shared" si="94"/>
        <v>3.8190371364157372E-2</v>
      </c>
      <c r="AV108" s="39"/>
      <c r="AW108" s="334"/>
      <c r="AX108" s="39"/>
      <c r="AY108" s="39"/>
    </row>
    <row r="109" spans="2:51" outlineLevel="1" x14ac:dyDescent="0.35">
      <c r="B109" s="48" t="s">
        <v>188</v>
      </c>
      <c r="C109" s="62" t="s">
        <v>135</v>
      </c>
      <c r="D109" s="70">
        <v>56</v>
      </c>
      <c r="E109" s="71">
        <v>730</v>
      </c>
      <c r="F109" s="70">
        <v>93</v>
      </c>
      <c r="G109" s="138">
        <f t="shared" si="59"/>
        <v>823</v>
      </c>
      <c r="H109" s="167">
        <f t="shared" si="60"/>
        <v>0.12739726027397261</v>
      </c>
      <c r="I109" s="70">
        <v>136</v>
      </c>
      <c r="J109" s="138">
        <f t="shared" si="61"/>
        <v>959</v>
      </c>
      <c r="K109" s="167">
        <f t="shared" si="62"/>
        <v>0.1652490886998785</v>
      </c>
      <c r="L109" s="6">
        <v>76</v>
      </c>
      <c r="M109" s="138">
        <f t="shared" si="96"/>
        <v>1035</v>
      </c>
      <c r="N109" s="167">
        <f t="shared" si="64"/>
        <v>7.9249217935349323E-2</v>
      </c>
      <c r="O109" s="6">
        <v>38</v>
      </c>
      <c r="P109" s="138">
        <f t="shared" si="77"/>
        <v>1073</v>
      </c>
      <c r="Q109" s="167">
        <f t="shared" si="78"/>
        <v>3.6714975845410627E-2</v>
      </c>
      <c r="R109" s="164">
        <f t="shared" si="97"/>
        <v>399</v>
      </c>
      <c r="S109" s="165">
        <f t="shared" si="79"/>
        <v>0.10108086523356841</v>
      </c>
      <c r="U109" s="170">
        <f t="shared" si="80"/>
        <v>34.06</v>
      </c>
      <c r="V109" s="6">
        <v>32.93</v>
      </c>
      <c r="W109" s="6">
        <v>1.1299999999999999</v>
      </c>
      <c r="X109" s="138">
        <f t="shared" si="81"/>
        <v>1107.06</v>
      </c>
      <c r="Y109" s="167">
        <f t="shared" si="82"/>
        <v>3.174277726001859E-2</v>
      </c>
      <c r="Z109" s="170">
        <f t="shared" si="83"/>
        <v>58.2</v>
      </c>
      <c r="AA109" s="6">
        <v>41.63</v>
      </c>
      <c r="AB109" s="6">
        <v>16.57</v>
      </c>
      <c r="AC109" s="138">
        <f t="shared" si="84"/>
        <v>1165.26</v>
      </c>
      <c r="AD109" s="160">
        <f t="shared" si="85"/>
        <v>5.2571676331906174E-2</v>
      </c>
      <c r="AE109" s="170">
        <f t="shared" si="95"/>
        <v>60.33</v>
      </c>
      <c r="AF109" s="6">
        <v>39.58</v>
      </c>
      <c r="AG109" s="6">
        <v>20.75</v>
      </c>
      <c r="AH109" s="138">
        <f t="shared" si="86"/>
        <v>1225.5899999999999</v>
      </c>
      <c r="AI109" s="160">
        <f t="shared" si="87"/>
        <v>5.1773853045672148E-2</v>
      </c>
      <c r="AJ109" s="170">
        <f t="shared" si="88"/>
        <v>45.19</v>
      </c>
      <c r="AK109" s="6">
        <v>31.11</v>
      </c>
      <c r="AL109" s="6">
        <v>14.08</v>
      </c>
      <c r="AM109" s="138">
        <f t="shared" si="89"/>
        <v>1270.78</v>
      </c>
      <c r="AN109" s="160">
        <f t="shared" si="90"/>
        <v>3.6872037141295257E-2</v>
      </c>
      <c r="AO109" s="170">
        <f t="shared" si="91"/>
        <v>34.25</v>
      </c>
      <c r="AP109" s="6">
        <v>23.48</v>
      </c>
      <c r="AQ109" s="6">
        <v>10.77</v>
      </c>
      <c r="AR109" s="138">
        <f t="shared" si="92"/>
        <v>1305.03</v>
      </c>
      <c r="AS109" s="160">
        <f t="shared" si="93"/>
        <v>2.6951950770392988E-2</v>
      </c>
      <c r="AT109" s="164">
        <f t="shared" si="75"/>
        <v>232.03</v>
      </c>
      <c r="AU109" s="165">
        <f t="shared" si="94"/>
        <v>4.1987080033403457E-2</v>
      </c>
      <c r="AV109" s="39"/>
      <c r="AW109" s="334"/>
      <c r="AX109" s="39"/>
      <c r="AY109" s="39"/>
    </row>
    <row r="110" spans="2:51" outlineLevel="1" x14ac:dyDescent="0.35">
      <c r="B110" s="48" t="s">
        <v>108</v>
      </c>
      <c r="C110" s="62" t="s">
        <v>135</v>
      </c>
      <c r="D110" s="70">
        <v>136</v>
      </c>
      <c r="E110" s="71">
        <v>1243</v>
      </c>
      <c r="F110" s="70">
        <v>147</v>
      </c>
      <c r="G110" s="138">
        <f t="shared" si="59"/>
        <v>1390</v>
      </c>
      <c r="H110" s="167">
        <f t="shared" si="60"/>
        <v>0.11826226870474658</v>
      </c>
      <c r="I110" s="70">
        <v>178</v>
      </c>
      <c r="J110" s="138">
        <f t="shared" si="61"/>
        <v>1568</v>
      </c>
      <c r="K110" s="167">
        <f t="shared" si="62"/>
        <v>0.12805755395683452</v>
      </c>
      <c r="L110" s="6">
        <v>101</v>
      </c>
      <c r="M110" s="138">
        <f t="shared" si="96"/>
        <v>1669</v>
      </c>
      <c r="N110" s="167">
        <f t="shared" si="64"/>
        <v>6.4413265306122444E-2</v>
      </c>
      <c r="O110" s="6">
        <v>37</v>
      </c>
      <c r="P110" s="138">
        <f t="shared" si="77"/>
        <v>1706</v>
      </c>
      <c r="Q110" s="167">
        <f t="shared" si="78"/>
        <v>2.2168963451168363E-2</v>
      </c>
      <c r="R110" s="164">
        <f t="shared" si="97"/>
        <v>599</v>
      </c>
      <c r="S110" s="165">
        <f t="shared" si="79"/>
        <v>8.2373060763919037E-2</v>
      </c>
      <c r="U110" s="170">
        <f t="shared" si="80"/>
        <v>67.3</v>
      </c>
      <c r="V110" s="6">
        <v>47.43</v>
      </c>
      <c r="W110" s="6">
        <v>19.87</v>
      </c>
      <c r="X110" s="138">
        <f t="shared" si="81"/>
        <v>1773.3</v>
      </c>
      <c r="Y110" s="167">
        <f t="shared" si="82"/>
        <v>3.9449003516998801E-2</v>
      </c>
      <c r="Z110" s="170">
        <f t="shared" si="83"/>
        <v>83.49</v>
      </c>
      <c r="AA110" s="6">
        <v>59.68</v>
      </c>
      <c r="AB110" s="6">
        <v>23.81</v>
      </c>
      <c r="AC110" s="138">
        <f t="shared" si="84"/>
        <v>1856.79</v>
      </c>
      <c r="AD110" s="160">
        <f t="shared" si="85"/>
        <v>4.7081712062256816E-2</v>
      </c>
      <c r="AE110" s="170">
        <f t="shared" si="95"/>
        <v>130.82</v>
      </c>
      <c r="AF110" s="6">
        <v>57.15</v>
      </c>
      <c r="AG110" s="6">
        <v>73.67</v>
      </c>
      <c r="AH110" s="138">
        <f t="shared" si="86"/>
        <v>1987.61</v>
      </c>
      <c r="AI110" s="160">
        <f t="shared" si="87"/>
        <v>7.0454924897268914E-2</v>
      </c>
      <c r="AJ110" s="170">
        <f t="shared" si="88"/>
        <v>165.21</v>
      </c>
      <c r="AK110" s="6">
        <v>44.85</v>
      </c>
      <c r="AL110" s="6">
        <v>120.36</v>
      </c>
      <c r="AM110" s="138">
        <f t="shared" si="89"/>
        <v>2152.8199999999997</v>
      </c>
      <c r="AN110" s="160">
        <f t="shared" si="90"/>
        <v>8.3119927953672915E-2</v>
      </c>
      <c r="AO110" s="170">
        <f t="shared" si="91"/>
        <v>146.52000000000001</v>
      </c>
      <c r="AP110" s="6">
        <v>33.729999999999997</v>
      </c>
      <c r="AQ110" s="6">
        <v>112.79</v>
      </c>
      <c r="AR110" s="138">
        <f t="shared" si="92"/>
        <v>2299.3399999999997</v>
      </c>
      <c r="AS110" s="160">
        <f t="shared" si="93"/>
        <v>6.805956838007822E-2</v>
      </c>
      <c r="AT110" s="164">
        <f t="shared" si="75"/>
        <v>593.34</v>
      </c>
      <c r="AU110" s="165">
        <f t="shared" si="94"/>
        <v>6.7100307633139789E-2</v>
      </c>
      <c r="AV110" s="39"/>
      <c r="AW110" s="334"/>
      <c r="AX110" s="39"/>
      <c r="AY110" s="39"/>
    </row>
    <row r="111" spans="2:51" outlineLevel="1" x14ac:dyDescent="0.35">
      <c r="B111" s="48" t="s">
        <v>109</v>
      </c>
      <c r="C111" s="62" t="s">
        <v>135</v>
      </c>
      <c r="D111" s="70">
        <v>236</v>
      </c>
      <c r="E111" s="71">
        <v>2780</v>
      </c>
      <c r="F111" s="70">
        <v>220</v>
      </c>
      <c r="G111" s="138">
        <f t="shared" si="59"/>
        <v>3000</v>
      </c>
      <c r="H111" s="167">
        <f t="shared" si="60"/>
        <v>7.9136690647482008E-2</v>
      </c>
      <c r="I111" s="70">
        <v>183</v>
      </c>
      <c r="J111" s="138">
        <f t="shared" si="61"/>
        <v>3183</v>
      </c>
      <c r="K111" s="167">
        <f t="shared" si="62"/>
        <v>6.0999999999999999E-2</v>
      </c>
      <c r="L111" s="6">
        <v>103</v>
      </c>
      <c r="M111" s="138">
        <f t="shared" si="96"/>
        <v>3286</v>
      </c>
      <c r="N111" s="167">
        <f t="shared" si="64"/>
        <v>3.2359409362236885E-2</v>
      </c>
      <c r="O111" s="6">
        <v>78</v>
      </c>
      <c r="P111" s="138">
        <f t="shared" si="77"/>
        <v>3364</v>
      </c>
      <c r="Q111" s="167">
        <f t="shared" si="78"/>
        <v>2.3737066342057214E-2</v>
      </c>
      <c r="R111" s="164">
        <f t="shared" si="97"/>
        <v>820</v>
      </c>
      <c r="S111" s="165">
        <f t="shared" si="79"/>
        <v>4.8824437465955661E-2</v>
      </c>
      <c r="U111" s="170">
        <f t="shared" si="80"/>
        <v>134.97</v>
      </c>
      <c r="V111" s="6">
        <v>134.97</v>
      </c>
      <c r="W111" s="6">
        <v>0</v>
      </c>
      <c r="X111" s="138">
        <f t="shared" si="81"/>
        <v>3498.97</v>
      </c>
      <c r="Y111" s="167">
        <f t="shared" si="82"/>
        <v>4.0121878715814449E-2</v>
      </c>
      <c r="Z111" s="170">
        <f t="shared" si="83"/>
        <v>169.94</v>
      </c>
      <c r="AA111" s="6">
        <v>169.94</v>
      </c>
      <c r="AB111" s="6">
        <v>0</v>
      </c>
      <c r="AC111" s="138">
        <f t="shared" si="84"/>
        <v>3668.91</v>
      </c>
      <c r="AD111" s="160">
        <f t="shared" si="85"/>
        <v>4.8568578753175953E-2</v>
      </c>
      <c r="AE111" s="170">
        <f t="shared" si="95"/>
        <v>171.27</v>
      </c>
      <c r="AF111" s="6">
        <v>162.56</v>
      </c>
      <c r="AG111" s="6">
        <v>8.7100000000000009</v>
      </c>
      <c r="AH111" s="138">
        <f t="shared" si="86"/>
        <v>3840.18</v>
      </c>
      <c r="AI111" s="160">
        <f t="shared" si="87"/>
        <v>4.6681439446593129E-2</v>
      </c>
      <c r="AJ111" s="170">
        <f t="shared" si="88"/>
        <v>138.13</v>
      </c>
      <c r="AK111" s="6">
        <v>127.63</v>
      </c>
      <c r="AL111" s="6">
        <v>10.5</v>
      </c>
      <c r="AM111" s="138">
        <f t="shared" si="89"/>
        <v>3978.31</v>
      </c>
      <c r="AN111" s="160">
        <f t="shared" si="90"/>
        <v>3.596966808847505E-2</v>
      </c>
      <c r="AO111" s="170">
        <f t="shared" si="91"/>
        <v>102.76</v>
      </c>
      <c r="AP111" s="6">
        <v>96.04</v>
      </c>
      <c r="AQ111" s="6">
        <v>6.72</v>
      </c>
      <c r="AR111" s="138">
        <f t="shared" si="92"/>
        <v>4081.07</v>
      </c>
      <c r="AS111" s="160">
        <f t="shared" si="93"/>
        <v>2.5830063519434187E-2</v>
      </c>
      <c r="AT111" s="164">
        <f t="shared" si="75"/>
        <v>717.06999999999994</v>
      </c>
      <c r="AU111" s="165">
        <f t="shared" si="94"/>
        <v>3.922229730600546E-2</v>
      </c>
      <c r="AV111" s="39"/>
      <c r="AW111" s="334"/>
      <c r="AX111" s="39"/>
      <c r="AY111" s="39"/>
    </row>
    <row r="112" spans="2:51" outlineLevel="1" x14ac:dyDescent="0.35">
      <c r="B112" s="48" t="s">
        <v>189</v>
      </c>
      <c r="C112" s="62" t="s">
        <v>135</v>
      </c>
      <c r="D112" s="70">
        <v>68</v>
      </c>
      <c r="E112" s="71">
        <v>577</v>
      </c>
      <c r="F112" s="70">
        <v>58</v>
      </c>
      <c r="G112" s="138">
        <f t="shared" si="59"/>
        <v>635</v>
      </c>
      <c r="H112" s="167">
        <f t="shared" si="60"/>
        <v>0.10051993067590988</v>
      </c>
      <c r="I112" s="70">
        <v>69</v>
      </c>
      <c r="J112" s="138">
        <f t="shared" si="61"/>
        <v>704</v>
      </c>
      <c r="K112" s="167">
        <f t="shared" si="62"/>
        <v>0.10866141732283464</v>
      </c>
      <c r="L112" s="6">
        <v>30</v>
      </c>
      <c r="M112" s="138">
        <f t="shared" si="96"/>
        <v>734</v>
      </c>
      <c r="N112" s="167">
        <f t="shared" si="64"/>
        <v>4.261363636363636E-2</v>
      </c>
      <c r="O112" s="6">
        <v>12</v>
      </c>
      <c r="P112" s="138">
        <f t="shared" si="77"/>
        <v>746</v>
      </c>
      <c r="Q112" s="167">
        <f t="shared" si="78"/>
        <v>1.6348773841961851E-2</v>
      </c>
      <c r="R112" s="164">
        <f t="shared" si="97"/>
        <v>237</v>
      </c>
      <c r="S112" s="165">
        <f t="shared" si="79"/>
        <v>6.6327853593325381E-2</v>
      </c>
      <c r="U112" s="170">
        <f t="shared" si="80"/>
        <v>14.8</v>
      </c>
      <c r="V112" s="6">
        <v>13.06</v>
      </c>
      <c r="W112" s="6">
        <v>1.74</v>
      </c>
      <c r="X112" s="138">
        <f t="shared" si="81"/>
        <v>760.8</v>
      </c>
      <c r="Y112" s="167">
        <f t="shared" si="82"/>
        <v>1.9839142091152753E-2</v>
      </c>
      <c r="Z112" s="170">
        <f t="shared" si="83"/>
        <v>18.559999999999999</v>
      </c>
      <c r="AA112" s="6">
        <v>16.47</v>
      </c>
      <c r="AB112" s="6">
        <v>2.09</v>
      </c>
      <c r="AC112" s="138">
        <f t="shared" si="84"/>
        <v>779.3599999999999</v>
      </c>
      <c r="AD112" s="160">
        <f t="shared" si="85"/>
        <v>2.4395373291272275E-2</v>
      </c>
      <c r="AE112" s="170">
        <f t="shared" si="95"/>
        <v>21.849999999999998</v>
      </c>
      <c r="AF112" s="6">
        <v>15.79</v>
      </c>
      <c r="AG112" s="6">
        <v>6.06</v>
      </c>
      <c r="AH112" s="138">
        <f t="shared" si="86"/>
        <v>801.20999999999992</v>
      </c>
      <c r="AI112" s="160">
        <f t="shared" si="87"/>
        <v>2.8035824266064494E-2</v>
      </c>
      <c r="AJ112" s="170">
        <f t="shared" si="88"/>
        <v>18.84</v>
      </c>
      <c r="AK112" s="6">
        <v>12.4</v>
      </c>
      <c r="AL112" s="6">
        <v>6.44</v>
      </c>
      <c r="AM112" s="138">
        <f t="shared" si="89"/>
        <v>820.05</v>
      </c>
      <c r="AN112" s="160">
        <f t="shared" si="90"/>
        <v>2.3514434417942903E-2</v>
      </c>
      <c r="AO112" s="170">
        <f t="shared" si="91"/>
        <v>23.22</v>
      </c>
      <c r="AP112" s="6">
        <v>9.33</v>
      </c>
      <c r="AQ112" s="6">
        <v>13.89</v>
      </c>
      <c r="AR112" s="138">
        <f t="shared" si="92"/>
        <v>843.27</v>
      </c>
      <c r="AS112" s="160">
        <f t="shared" si="93"/>
        <v>2.8315346625205816E-2</v>
      </c>
      <c r="AT112" s="164">
        <f t="shared" si="75"/>
        <v>97.27</v>
      </c>
      <c r="AU112" s="165">
        <f t="shared" si="94"/>
        <v>2.6063022239675604E-2</v>
      </c>
      <c r="AV112" s="39"/>
      <c r="AW112" s="334"/>
      <c r="AX112" s="39"/>
      <c r="AY112" s="39"/>
    </row>
    <row r="113" spans="2:51" outlineLevel="1" x14ac:dyDescent="0.35">
      <c r="B113" s="48" t="s">
        <v>111</v>
      </c>
      <c r="C113" s="62" t="s">
        <v>135</v>
      </c>
      <c r="D113" s="70">
        <v>110</v>
      </c>
      <c r="E113" s="71">
        <v>711</v>
      </c>
      <c r="F113" s="70">
        <v>106</v>
      </c>
      <c r="G113" s="138">
        <f t="shared" si="59"/>
        <v>817</v>
      </c>
      <c r="H113" s="167">
        <f t="shared" si="60"/>
        <v>0.14908579465541491</v>
      </c>
      <c r="I113" s="70">
        <v>95</v>
      </c>
      <c r="J113" s="138">
        <f t="shared" si="61"/>
        <v>912</v>
      </c>
      <c r="K113" s="167">
        <f t="shared" si="62"/>
        <v>0.11627906976744186</v>
      </c>
      <c r="L113" s="6">
        <v>48</v>
      </c>
      <c r="M113" s="138">
        <f t="shared" si="96"/>
        <v>960</v>
      </c>
      <c r="N113" s="167">
        <f t="shared" si="64"/>
        <v>5.2631578947368418E-2</v>
      </c>
      <c r="O113" s="6">
        <v>33</v>
      </c>
      <c r="P113" s="138">
        <f t="shared" si="77"/>
        <v>993</v>
      </c>
      <c r="Q113" s="167">
        <f t="shared" si="78"/>
        <v>3.4375000000000003E-2</v>
      </c>
      <c r="R113" s="164">
        <f t="shared" si="97"/>
        <v>392</v>
      </c>
      <c r="S113" s="165">
        <f t="shared" si="79"/>
        <v>8.7101041803939738E-2</v>
      </c>
      <c r="U113" s="170">
        <f t="shared" si="80"/>
        <v>21.950000000000003</v>
      </c>
      <c r="V113" s="6">
        <v>21.28</v>
      </c>
      <c r="W113" s="6">
        <v>0.67</v>
      </c>
      <c r="X113" s="138">
        <f t="shared" si="81"/>
        <v>1014.95</v>
      </c>
      <c r="Y113" s="167">
        <f t="shared" si="82"/>
        <v>2.2104733131923512E-2</v>
      </c>
      <c r="Z113" s="170">
        <f t="shared" si="83"/>
        <v>37.909999999999997</v>
      </c>
      <c r="AA113" s="6">
        <v>26.71</v>
      </c>
      <c r="AB113" s="6">
        <v>11.2</v>
      </c>
      <c r="AC113" s="138">
        <f t="shared" si="84"/>
        <v>1052.8600000000001</v>
      </c>
      <c r="AD113" s="160">
        <f t="shared" si="85"/>
        <v>3.735159367456533E-2</v>
      </c>
      <c r="AE113" s="170">
        <f t="shared" si="95"/>
        <v>54.879999999999995</v>
      </c>
      <c r="AF113" s="6">
        <v>25.54</v>
      </c>
      <c r="AG113" s="6">
        <v>29.34</v>
      </c>
      <c r="AH113" s="138">
        <f t="shared" si="86"/>
        <v>1107.7400000000002</v>
      </c>
      <c r="AI113" s="160">
        <f t="shared" si="87"/>
        <v>5.2124688942499574E-2</v>
      </c>
      <c r="AJ113" s="170">
        <f t="shared" si="88"/>
        <v>48.120000000000005</v>
      </c>
      <c r="AK113" s="6">
        <v>20.07</v>
      </c>
      <c r="AL113" s="6">
        <v>28.05</v>
      </c>
      <c r="AM113" s="138">
        <f t="shared" si="89"/>
        <v>1155.8600000000001</v>
      </c>
      <c r="AN113" s="160">
        <f t="shared" si="90"/>
        <v>4.3439796342101829E-2</v>
      </c>
      <c r="AO113" s="170">
        <f t="shared" si="91"/>
        <v>36.410000000000004</v>
      </c>
      <c r="AP113" s="6">
        <v>15.13</v>
      </c>
      <c r="AQ113" s="6">
        <v>21.28</v>
      </c>
      <c r="AR113" s="138">
        <f t="shared" si="92"/>
        <v>1192.2700000000002</v>
      </c>
      <c r="AS113" s="160">
        <f t="shared" si="93"/>
        <v>3.1500354714238815E-2</v>
      </c>
      <c r="AT113" s="164">
        <f t="shared" si="75"/>
        <v>199.27</v>
      </c>
      <c r="AU113" s="165">
        <f t="shared" si="94"/>
        <v>4.1076137446767635E-2</v>
      </c>
      <c r="AV113" s="39"/>
      <c r="AW113" s="334"/>
      <c r="AX113" s="39"/>
      <c r="AY113" s="39"/>
    </row>
    <row r="114" spans="2:51" outlineLevel="1" x14ac:dyDescent="0.35">
      <c r="B114" s="48" t="s">
        <v>179</v>
      </c>
      <c r="C114" s="62" t="s">
        <v>135</v>
      </c>
      <c r="D114" s="70">
        <v>127</v>
      </c>
      <c r="E114" s="71">
        <v>1206</v>
      </c>
      <c r="F114" s="70">
        <v>86</v>
      </c>
      <c r="G114" s="138">
        <f t="shared" si="59"/>
        <v>1292</v>
      </c>
      <c r="H114" s="167">
        <f t="shared" si="60"/>
        <v>7.1310116086235484E-2</v>
      </c>
      <c r="I114" s="70">
        <v>146</v>
      </c>
      <c r="J114" s="138">
        <f t="shared" si="61"/>
        <v>1438</v>
      </c>
      <c r="K114" s="167">
        <f t="shared" si="62"/>
        <v>0.1130030959752322</v>
      </c>
      <c r="L114" s="6">
        <v>66</v>
      </c>
      <c r="M114" s="138">
        <f t="shared" si="96"/>
        <v>1504</v>
      </c>
      <c r="N114" s="167">
        <f t="shared" si="64"/>
        <v>4.5897079276773299E-2</v>
      </c>
      <c r="O114" s="6">
        <v>50</v>
      </c>
      <c r="P114" s="138">
        <f t="shared" si="77"/>
        <v>1554</v>
      </c>
      <c r="Q114" s="167">
        <f t="shared" si="78"/>
        <v>3.3244680851063829E-2</v>
      </c>
      <c r="R114" s="164">
        <f t="shared" si="97"/>
        <v>475</v>
      </c>
      <c r="S114" s="165">
        <f t="shared" si="79"/>
        <v>6.5432466332294714E-2</v>
      </c>
      <c r="U114" s="170">
        <f t="shared" si="80"/>
        <v>39.379999999999995</v>
      </c>
      <c r="V114" s="6">
        <v>34.58</v>
      </c>
      <c r="W114" s="6">
        <v>4.8</v>
      </c>
      <c r="X114" s="138">
        <f t="shared" si="81"/>
        <v>1593.38</v>
      </c>
      <c r="Y114" s="167">
        <f t="shared" si="82"/>
        <v>2.5341055341055411E-2</v>
      </c>
      <c r="Z114" s="170">
        <f t="shared" si="83"/>
        <v>69.05</v>
      </c>
      <c r="AA114" s="6">
        <v>43.57</v>
      </c>
      <c r="AB114" s="6">
        <v>25.48</v>
      </c>
      <c r="AC114" s="138">
        <f t="shared" si="84"/>
        <v>1662.43</v>
      </c>
      <c r="AD114" s="160">
        <f t="shared" si="85"/>
        <v>4.3335550841607118E-2</v>
      </c>
      <c r="AE114" s="170">
        <f t="shared" si="95"/>
        <v>85.509999999999991</v>
      </c>
      <c r="AF114" s="6">
        <v>41.75</v>
      </c>
      <c r="AG114" s="6">
        <v>43.76</v>
      </c>
      <c r="AH114" s="138">
        <f t="shared" si="86"/>
        <v>1747.94</v>
      </c>
      <c r="AI114" s="160">
        <f t="shared" si="87"/>
        <v>5.1436752224153788E-2</v>
      </c>
      <c r="AJ114" s="170">
        <f t="shared" si="88"/>
        <v>81.86</v>
      </c>
      <c r="AK114" s="6">
        <v>32.78</v>
      </c>
      <c r="AL114" s="6">
        <v>49.08</v>
      </c>
      <c r="AM114" s="138">
        <f t="shared" si="89"/>
        <v>1829.8</v>
      </c>
      <c r="AN114" s="160">
        <f t="shared" si="90"/>
        <v>4.6832271130587945E-2</v>
      </c>
      <c r="AO114" s="170">
        <f t="shared" si="91"/>
        <v>82.62</v>
      </c>
      <c r="AP114" s="6">
        <v>24.66</v>
      </c>
      <c r="AQ114" s="6">
        <v>57.96</v>
      </c>
      <c r="AR114" s="138">
        <f t="shared" si="92"/>
        <v>1912.42</v>
      </c>
      <c r="AS114" s="160">
        <f t="shared" si="93"/>
        <v>4.5152475680402294E-2</v>
      </c>
      <c r="AT114" s="164">
        <f t="shared" si="75"/>
        <v>358.42</v>
      </c>
      <c r="AU114" s="165">
        <f t="shared" si="94"/>
        <v>4.668494807922996E-2</v>
      </c>
      <c r="AV114" s="39"/>
      <c r="AW114" s="334"/>
      <c r="AX114" s="39"/>
      <c r="AY114" s="39"/>
    </row>
    <row r="115" spans="2:51" outlineLevel="1" x14ac:dyDescent="0.35">
      <c r="B115" s="48" t="s">
        <v>113</v>
      </c>
      <c r="C115" s="62" t="s">
        <v>135</v>
      </c>
      <c r="D115" s="70">
        <v>0</v>
      </c>
      <c r="E115" s="71">
        <v>5</v>
      </c>
      <c r="F115" s="70">
        <v>0</v>
      </c>
      <c r="G115" s="138">
        <f t="shared" si="59"/>
        <v>5</v>
      </c>
      <c r="H115" s="167">
        <f t="shared" si="60"/>
        <v>0</v>
      </c>
      <c r="I115" s="70">
        <v>0</v>
      </c>
      <c r="J115" s="138">
        <f t="shared" si="61"/>
        <v>5</v>
      </c>
      <c r="K115" s="167">
        <f t="shared" si="62"/>
        <v>0</v>
      </c>
      <c r="L115" s="6">
        <v>0</v>
      </c>
      <c r="M115" s="138">
        <f t="shared" si="96"/>
        <v>5</v>
      </c>
      <c r="N115" s="167">
        <f t="shared" si="64"/>
        <v>0</v>
      </c>
      <c r="O115" s="6">
        <v>0</v>
      </c>
      <c r="P115" s="138">
        <f t="shared" si="77"/>
        <v>5</v>
      </c>
      <c r="Q115" s="167">
        <f t="shared" si="78"/>
        <v>0</v>
      </c>
      <c r="R115" s="164">
        <f t="shared" si="97"/>
        <v>0</v>
      </c>
      <c r="S115" s="165">
        <f t="shared" si="79"/>
        <v>0</v>
      </c>
      <c r="U115" s="170">
        <f t="shared" si="80"/>
        <v>0</v>
      </c>
      <c r="V115" s="6">
        <v>0</v>
      </c>
      <c r="W115" s="6">
        <v>0</v>
      </c>
      <c r="X115" s="138">
        <f t="shared" si="81"/>
        <v>5</v>
      </c>
      <c r="Y115" s="167">
        <f t="shared" si="82"/>
        <v>0</v>
      </c>
      <c r="Z115" s="170">
        <f t="shared" si="83"/>
        <v>0</v>
      </c>
      <c r="AA115" s="6">
        <v>0</v>
      </c>
      <c r="AB115" s="6">
        <v>0</v>
      </c>
      <c r="AC115" s="138">
        <f t="shared" si="84"/>
        <v>5</v>
      </c>
      <c r="AD115" s="160">
        <f t="shared" si="85"/>
        <v>0</v>
      </c>
      <c r="AE115" s="170">
        <f t="shared" si="95"/>
        <v>0</v>
      </c>
      <c r="AF115" s="6">
        <v>0</v>
      </c>
      <c r="AG115" s="6">
        <v>0</v>
      </c>
      <c r="AH115" s="138">
        <f t="shared" si="86"/>
        <v>5</v>
      </c>
      <c r="AI115" s="160">
        <f t="shared" si="87"/>
        <v>0</v>
      </c>
      <c r="AJ115" s="170">
        <f t="shared" si="88"/>
        <v>0</v>
      </c>
      <c r="AK115" s="6">
        <v>0</v>
      </c>
      <c r="AL115" s="6">
        <v>0</v>
      </c>
      <c r="AM115" s="138">
        <f t="shared" si="89"/>
        <v>5</v>
      </c>
      <c r="AN115" s="160">
        <f t="shared" si="90"/>
        <v>0</v>
      </c>
      <c r="AO115" s="170">
        <f t="shared" si="91"/>
        <v>0</v>
      </c>
      <c r="AP115" s="6">
        <v>0</v>
      </c>
      <c r="AQ115" s="6">
        <v>0</v>
      </c>
      <c r="AR115" s="138">
        <f t="shared" si="92"/>
        <v>5</v>
      </c>
      <c r="AS115" s="160">
        <f t="shared" si="93"/>
        <v>0</v>
      </c>
      <c r="AT115" s="164">
        <f t="shared" si="75"/>
        <v>0</v>
      </c>
      <c r="AU115" s="165">
        <f t="shared" si="94"/>
        <v>0</v>
      </c>
      <c r="AV115" s="39"/>
      <c r="AW115" s="334"/>
      <c r="AX115" s="39"/>
      <c r="AY115" s="39"/>
    </row>
    <row r="116" spans="2:51" outlineLevel="1" x14ac:dyDescent="0.35">
      <c r="B116" s="48" t="s">
        <v>114</v>
      </c>
      <c r="C116" s="62" t="s">
        <v>135</v>
      </c>
      <c r="D116" s="70">
        <v>165</v>
      </c>
      <c r="E116" s="71">
        <v>2580</v>
      </c>
      <c r="F116" s="70">
        <v>176</v>
      </c>
      <c r="G116" s="138">
        <f t="shared" si="59"/>
        <v>2756</v>
      </c>
      <c r="H116" s="167">
        <f t="shared" si="60"/>
        <v>6.8217054263565891E-2</v>
      </c>
      <c r="I116" s="70">
        <v>152</v>
      </c>
      <c r="J116" s="138">
        <f t="shared" si="61"/>
        <v>2908</v>
      </c>
      <c r="K116" s="167">
        <f t="shared" si="62"/>
        <v>5.5152394775036286E-2</v>
      </c>
      <c r="L116" s="6">
        <v>113</v>
      </c>
      <c r="M116" s="138">
        <f t="shared" si="96"/>
        <v>3021</v>
      </c>
      <c r="N116" s="167">
        <f t="shared" si="64"/>
        <v>3.8858321870701512E-2</v>
      </c>
      <c r="O116" s="6">
        <v>83</v>
      </c>
      <c r="P116" s="138">
        <f t="shared" si="77"/>
        <v>3104</v>
      </c>
      <c r="Q116" s="167">
        <f t="shared" si="78"/>
        <v>2.7474346242965905E-2</v>
      </c>
      <c r="R116" s="164">
        <f t="shared" si="97"/>
        <v>689</v>
      </c>
      <c r="S116" s="165">
        <f t="shared" si="79"/>
        <v>4.7310606113063036E-2</v>
      </c>
      <c r="U116" s="170">
        <f t="shared" si="80"/>
        <v>133.01</v>
      </c>
      <c r="V116" s="6">
        <v>133.01</v>
      </c>
      <c r="W116" s="6">
        <v>0</v>
      </c>
      <c r="X116" s="138">
        <f t="shared" si="81"/>
        <v>3237.01</v>
      </c>
      <c r="Y116" s="167">
        <f t="shared" si="82"/>
        <v>4.28511597938145E-2</v>
      </c>
      <c r="Z116" s="170">
        <f t="shared" si="83"/>
        <v>167.53</v>
      </c>
      <c r="AA116" s="6">
        <v>167.53</v>
      </c>
      <c r="AB116" s="6">
        <v>0</v>
      </c>
      <c r="AC116" s="138">
        <f t="shared" si="84"/>
        <v>3404.5400000000004</v>
      </c>
      <c r="AD116" s="160">
        <f t="shared" si="85"/>
        <v>5.1754551267991201E-2</v>
      </c>
      <c r="AE116" s="170">
        <f t="shared" si="95"/>
        <v>160.52000000000001</v>
      </c>
      <c r="AF116" s="6">
        <v>160.52000000000001</v>
      </c>
      <c r="AG116" s="6">
        <v>0</v>
      </c>
      <c r="AH116" s="138">
        <f t="shared" si="86"/>
        <v>3565.0600000000004</v>
      </c>
      <c r="AI116" s="160">
        <f t="shared" si="87"/>
        <v>4.714880718099948E-2</v>
      </c>
      <c r="AJ116" s="170">
        <f t="shared" si="88"/>
        <v>126.06</v>
      </c>
      <c r="AK116" s="6">
        <v>126.06</v>
      </c>
      <c r="AL116" s="6">
        <v>0</v>
      </c>
      <c r="AM116" s="138">
        <f t="shared" si="89"/>
        <v>3691.1200000000003</v>
      </c>
      <c r="AN116" s="160">
        <f t="shared" si="90"/>
        <v>3.5359853691101957E-2</v>
      </c>
      <c r="AO116" s="170">
        <f t="shared" si="91"/>
        <v>94.71</v>
      </c>
      <c r="AP116" s="6">
        <v>94.71</v>
      </c>
      <c r="AQ116" s="6">
        <v>0</v>
      </c>
      <c r="AR116" s="138">
        <f t="shared" si="92"/>
        <v>3785.8300000000004</v>
      </c>
      <c r="AS116" s="160">
        <f t="shared" si="93"/>
        <v>2.5658878605951587E-2</v>
      </c>
      <c r="AT116" s="164">
        <f t="shared" si="75"/>
        <v>681.82999999999993</v>
      </c>
      <c r="AU116" s="165">
        <f t="shared" si="94"/>
        <v>3.9930382825626776E-2</v>
      </c>
      <c r="AV116" s="39"/>
      <c r="AW116" s="334"/>
      <c r="AX116" s="39"/>
      <c r="AY116" s="39"/>
    </row>
    <row r="117" spans="2:51" outlineLevel="1" x14ac:dyDescent="0.35">
      <c r="B117" s="48" t="s">
        <v>115</v>
      </c>
      <c r="C117" s="62" t="s">
        <v>135</v>
      </c>
      <c r="D117" s="70">
        <v>255</v>
      </c>
      <c r="E117" s="71">
        <v>314</v>
      </c>
      <c r="F117" s="70">
        <v>382</v>
      </c>
      <c r="G117" s="138">
        <f t="shared" si="59"/>
        <v>696</v>
      </c>
      <c r="H117" s="167">
        <f t="shared" si="60"/>
        <v>1.2165605095541401</v>
      </c>
      <c r="I117" s="70">
        <v>279</v>
      </c>
      <c r="J117" s="138">
        <f t="shared" si="61"/>
        <v>975</v>
      </c>
      <c r="K117" s="167">
        <f t="shared" si="62"/>
        <v>0.40086206896551724</v>
      </c>
      <c r="L117" s="6">
        <v>117</v>
      </c>
      <c r="M117" s="138">
        <f t="shared" si="96"/>
        <v>1092</v>
      </c>
      <c r="N117" s="167">
        <f t="shared" si="64"/>
        <v>0.12</v>
      </c>
      <c r="O117" s="6">
        <v>64</v>
      </c>
      <c r="P117" s="138">
        <f t="shared" si="77"/>
        <v>1156</v>
      </c>
      <c r="Q117" s="167">
        <f t="shared" si="78"/>
        <v>5.8608058608058608E-2</v>
      </c>
      <c r="R117" s="164">
        <f t="shared" si="97"/>
        <v>1097</v>
      </c>
      <c r="S117" s="165">
        <f t="shared" si="79"/>
        <v>0.38518266056955142</v>
      </c>
      <c r="U117" s="170">
        <f t="shared" si="80"/>
        <v>50.25</v>
      </c>
      <c r="V117" s="6">
        <v>48.78</v>
      </c>
      <c r="W117" s="6">
        <v>1.47</v>
      </c>
      <c r="X117" s="138">
        <f t="shared" si="81"/>
        <v>1206.25</v>
      </c>
      <c r="Y117" s="167">
        <f t="shared" si="82"/>
        <v>4.3468858131487889E-2</v>
      </c>
      <c r="Z117" s="170">
        <f t="shared" si="83"/>
        <v>77.56</v>
      </c>
      <c r="AA117" s="6">
        <v>60.82</v>
      </c>
      <c r="AB117" s="6">
        <v>16.739999999999998</v>
      </c>
      <c r="AC117" s="138">
        <f t="shared" si="84"/>
        <v>1283.81</v>
      </c>
      <c r="AD117" s="160">
        <f t="shared" si="85"/>
        <v>6.4298445595854875E-2</v>
      </c>
      <c r="AE117" s="170">
        <f t="shared" si="95"/>
        <v>83.699999999999989</v>
      </c>
      <c r="AF117" s="6">
        <v>57.91</v>
      </c>
      <c r="AG117" s="6">
        <v>25.79</v>
      </c>
      <c r="AH117" s="138">
        <f t="shared" si="86"/>
        <v>1367.51</v>
      </c>
      <c r="AI117" s="160">
        <f t="shared" si="87"/>
        <v>6.5196563354390488E-2</v>
      </c>
      <c r="AJ117" s="170">
        <f t="shared" si="88"/>
        <v>77.22</v>
      </c>
      <c r="AK117" s="6">
        <v>45.19</v>
      </c>
      <c r="AL117" s="6">
        <v>32.03</v>
      </c>
      <c r="AM117" s="138">
        <f t="shared" si="89"/>
        <v>1444.73</v>
      </c>
      <c r="AN117" s="160">
        <f t="shared" si="90"/>
        <v>5.6467594386878359E-2</v>
      </c>
      <c r="AO117" s="170">
        <f t="shared" si="91"/>
        <v>70.11</v>
      </c>
      <c r="AP117" s="6">
        <v>33.909999999999997</v>
      </c>
      <c r="AQ117" s="6">
        <v>36.200000000000003</v>
      </c>
      <c r="AR117" s="138">
        <f t="shared" si="92"/>
        <v>1514.84</v>
      </c>
      <c r="AS117" s="160">
        <f t="shared" si="93"/>
        <v>4.8528098675877082E-2</v>
      </c>
      <c r="AT117" s="164">
        <f t="shared" si="75"/>
        <v>358.84000000000003</v>
      </c>
      <c r="AU117" s="165">
        <f t="shared" si="94"/>
        <v>5.8601145243067476E-2</v>
      </c>
      <c r="AV117" s="39"/>
      <c r="AW117" s="334"/>
      <c r="AX117" s="39"/>
      <c r="AY117" s="39"/>
    </row>
    <row r="118" spans="2:51" outlineLevel="1" x14ac:dyDescent="0.35">
      <c r="B118" s="48" t="s">
        <v>180</v>
      </c>
      <c r="C118" s="62" t="s">
        <v>135</v>
      </c>
      <c r="D118" s="70">
        <v>190</v>
      </c>
      <c r="E118" s="71">
        <v>3015</v>
      </c>
      <c r="F118" s="70">
        <v>181</v>
      </c>
      <c r="G118" s="138">
        <f t="shared" si="59"/>
        <v>3196</v>
      </c>
      <c r="H118" s="167">
        <f t="shared" si="60"/>
        <v>6.0033167495854065E-2</v>
      </c>
      <c r="I118" s="70">
        <v>118</v>
      </c>
      <c r="J118" s="138">
        <f t="shared" si="61"/>
        <v>3314</v>
      </c>
      <c r="K118" s="167">
        <f t="shared" si="62"/>
        <v>3.6921151439299124E-2</v>
      </c>
      <c r="L118" s="6">
        <v>82</v>
      </c>
      <c r="M118" s="138">
        <f t="shared" si="96"/>
        <v>3396</v>
      </c>
      <c r="N118" s="167">
        <f t="shared" si="64"/>
        <v>2.4743512371756187E-2</v>
      </c>
      <c r="O118" s="6">
        <v>94</v>
      </c>
      <c r="P118" s="138">
        <f t="shared" si="77"/>
        <v>3490</v>
      </c>
      <c r="Q118" s="167">
        <f t="shared" si="78"/>
        <v>2.7679623085983509E-2</v>
      </c>
      <c r="R118" s="164">
        <f t="shared" si="97"/>
        <v>665</v>
      </c>
      <c r="S118" s="165">
        <f t="shared" si="79"/>
        <v>3.7252589267542158E-2</v>
      </c>
      <c r="U118" s="170">
        <f t="shared" si="80"/>
        <v>97.96</v>
      </c>
      <c r="V118" s="6">
        <v>97.96</v>
      </c>
      <c r="W118" s="6">
        <v>0</v>
      </c>
      <c r="X118" s="138">
        <f t="shared" si="81"/>
        <v>3587.96</v>
      </c>
      <c r="Y118" s="167">
        <f t="shared" si="82"/>
        <v>2.8068767908309467E-2</v>
      </c>
      <c r="Z118" s="170">
        <f t="shared" si="83"/>
        <v>123.24</v>
      </c>
      <c r="AA118" s="6">
        <v>123.24</v>
      </c>
      <c r="AB118" s="6">
        <v>0</v>
      </c>
      <c r="AC118" s="138">
        <f t="shared" si="84"/>
        <v>3711.2</v>
      </c>
      <c r="AD118" s="160">
        <f t="shared" si="85"/>
        <v>3.4348209010133829E-2</v>
      </c>
      <c r="AE118" s="170">
        <f t="shared" si="95"/>
        <v>118.01</v>
      </c>
      <c r="AF118" s="6">
        <v>118.01</v>
      </c>
      <c r="AG118" s="6">
        <v>0</v>
      </c>
      <c r="AH118" s="138">
        <f t="shared" si="86"/>
        <v>3829.21</v>
      </c>
      <c r="AI118" s="160">
        <f t="shared" si="87"/>
        <v>3.1798340159517199E-2</v>
      </c>
      <c r="AJ118" s="170">
        <f t="shared" si="88"/>
        <v>92.68</v>
      </c>
      <c r="AK118" s="6">
        <v>92.68</v>
      </c>
      <c r="AL118" s="6">
        <v>0</v>
      </c>
      <c r="AM118" s="138">
        <f t="shared" si="89"/>
        <v>3921.89</v>
      </c>
      <c r="AN118" s="160">
        <f t="shared" si="90"/>
        <v>2.4203425771895465E-2</v>
      </c>
      <c r="AO118" s="170">
        <f t="shared" si="91"/>
        <v>69.58</v>
      </c>
      <c r="AP118" s="6">
        <v>69.58</v>
      </c>
      <c r="AQ118" s="6">
        <v>0</v>
      </c>
      <c r="AR118" s="138">
        <f t="shared" si="92"/>
        <v>3991.47</v>
      </c>
      <c r="AS118" s="160">
        <f t="shared" si="93"/>
        <v>1.774144608849303E-2</v>
      </c>
      <c r="AT118" s="164">
        <f t="shared" si="75"/>
        <v>501.46999999999997</v>
      </c>
      <c r="AU118" s="165">
        <f t="shared" si="94"/>
        <v>2.7002070551154445E-2</v>
      </c>
      <c r="AV118" s="39"/>
      <c r="AW118" s="334"/>
      <c r="AX118" s="39"/>
      <c r="AY118" s="39"/>
    </row>
    <row r="119" spans="2:51" outlineLevel="1" x14ac:dyDescent="0.35">
      <c r="B119" s="48" t="s">
        <v>117</v>
      </c>
      <c r="C119" s="62" t="s">
        <v>135</v>
      </c>
      <c r="D119" s="70">
        <v>203</v>
      </c>
      <c r="E119" s="71">
        <v>2202</v>
      </c>
      <c r="F119" s="70">
        <v>236</v>
      </c>
      <c r="G119" s="138">
        <f t="shared" si="59"/>
        <v>2438</v>
      </c>
      <c r="H119" s="167">
        <f t="shared" si="60"/>
        <v>0.10717529518619437</v>
      </c>
      <c r="I119" s="70">
        <v>216</v>
      </c>
      <c r="J119" s="138">
        <f t="shared" si="61"/>
        <v>2654</v>
      </c>
      <c r="K119" s="167">
        <f t="shared" si="62"/>
        <v>8.859721082854799E-2</v>
      </c>
      <c r="L119" s="6">
        <v>129</v>
      </c>
      <c r="M119" s="138">
        <f t="shared" si="96"/>
        <v>2783</v>
      </c>
      <c r="N119" s="167">
        <f t="shared" si="64"/>
        <v>4.8605877920120576E-2</v>
      </c>
      <c r="O119" s="6">
        <v>127</v>
      </c>
      <c r="P119" s="138">
        <f t="shared" si="77"/>
        <v>2910</v>
      </c>
      <c r="Q119" s="167">
        <f t="shared" si="78"/>
        <v>4.5634207689543661E-2</v>
      </c>
      <c r="R119" s="164">
        <f t="shared" si="97"/>
        <v>911</v>
      </c>
      <c r="S119" s="165">
        <f t="shared" si="79"/>
        <v>7.2183003952076996E-2</v>
      </c>
      <c r="U119" s="170">
        <f t="shared" si="80"/>
        <v>118.28999999999999</v>
      </c>
      <c r="V119" s="6">
        <v>96.16</v>
      </c>
      <c r="W119" s="6">
        <v>22.13</v>
      </c>
      <c r="X119" s="138">
        <f t="shared" si="81"/>
        <v>3028.29</v>
      </c>
      <c r="Y119" s="167">
        <f t="shared" si="82"/>
        <v>4.0649484536082463E-2</v>
      </c>
      <c r="Z119" s="170">
        <f t="shared" si="83"/>
        <v>211.32999999999998</v>
      </c>
      <c r="AA119" s="6">
        <v>121.03</v>
      </c>
      <c r="AB119" s="6">
        <v>90.3</v>
      </c>
      <c r="AC119" s="138">
        <f t="shared" si="84"/>
        <v>3239.62</v>
      </c>
      <c r="AD119" s="160">
        <f t="shared" si="85"/>
        <v>6.9785258347119974E-2</v>
      </c>
      <c r="AE119" s="170">
        <f t="shared" si="95"/>
        <v>249.38</v>
      </c>
      <c r="AF119" s="6">
        <v>115.93</v>
      </c>
      <c r="AG119" s="6">
        <v>133.44999999999999</v>
      </c>
      <c r="AH119" s="138">
        <f t="shared" si="86"/>
        <v>3489</v>
      </c>
      <c r="AI119" s="160">
        <f t="shared" si="87"/>
        <v>7.6978164105666755E-2</v>
      </c>
      <c r="AJ119" s="170">
        <f t="shared" si="88"/>
        <v>269.43</v>
      </c>
      <c r="AK119" s="6">
        <v>91.05</v>
      </c>
      <c r="AL119" s="6">
        <v>178.38</v>
      </c>
      <c r="AM119" s="138">
        <f t="shared" si="89"/>
        <v>3758.43</v>
      </c>
      <c r="AN119" s="160">
        <f t="shared" si="90"/>
        <v>7.7222699914015425E-2</v>
      </c>
      <c r="AO119" s="170">
        <f t="shared" si="91"/>
        <v>245.63</v>
      </c>
      <c r="AP119" s="6">
        <v>68.36</v>
      </c>
      <c r="AQ119" s="6">
        <v>177.27</v>
      </c>
      <c r="AR119" s="138">
        <f t="shared" si="92"/>
        <v>4004.06</v>
      </c>
      <c r="AS119" s="160">
        <f t="shared" si="93"/>
        <v>6.535441660480576E-2</v>
      </c>
      <c r="AT119" s="164">
        <f t="shared" si="75"/>
        <v>1094.06</v>
      </c>
      <c r="AU119" s="165">
        <f t="shared" si="94"/>
        <v>7.2323388620155082E-2</v>
      </c>
      <c r="AV119" s="39"/>
      <c r="AW119" s="334"/>
      <c r="AX119" s="39"/>
      <c r="AY119" s="39"/>
    </row>
    <row r="120" spans="2:51" outlineLevel="1" x14ac:dyDescent="0.35">
      <c r="B120" s="48" t="s">
        <v>118</v>
      </c>
      <c r="C120" s="62" t="s">
        <v>135</v>
      </c>
      <c r="D120" s="70">
        <v>220</v>
      </c>
      <c r="E120" s="71">
        <v>1216</v>
      </c>
      <c r="F120" s="70">
        <v>302</v>
      </c>
      <c r="G120" s="138">
        <f t="shared" si="59"/>
        <v>1518</v>
      </c>
      <c r="H120" s="167">
        <f t="shared" si="60"/>
        <v>0.24835526315789475</v>
      </c>
      <c r="I120" s="70">
        <v>216</v>
      </c>
      <c r="J120" s="138">
        <f t="shared" si="61"/>
        <v>1734</v>
      </c>
      <c r="K120" s="167">
        <f t="shared" si="62"/>
        <v>0.14229249011857709</v>
      </c>
      <c r="L120" s="6">
        <v>89</v>
      </c>
      <c r="M120" s="138">
        <f t="shared" si="96"/>
        <v>1823</v>
      </c>
      <c r="N120" s="167">
        <f t="shared" si="64"/>
        <v>5.1326412918108417E-2</v>
      </c>
      <c r="O120" s="6">
        <v>46</v>
      </c>
      <c r="P120" s="138">
        <f t="shared" si="77"/>
        <v>1869</v>
      </c>
      <c r="Q120" s="167">
        <f t="shared" si="78"/>
        <v>2.5233132199670872E-2</v>
      </c>
      <c r="R120" s="164">
        <f t="shared" si="97"/>
        <v>873</v>
      </c>
      <c r="S120" s="165">
        <f t="shared" si="79"/>
        <v>0.1134454159166729</v>
      </c>
      <c r="U120" s="170">
        <f t="shared" si="80"/>
        <v>44.68</v>
      </c>
      <c r="V120" s="6">
        <v>44.68</v>
      </c>
      <c r="W120" s="6">
        <v>0</v>
      </c>
      <c r="X120" s="138">
        <f t="shared" si="81"/>
        <v>1913.68</v>
      </c>
      <c r="Y120" s="167">
        <f t="shared" si="82"/>
        <v>2.3905831995719669E-2</v>
      </c>
      <c r="Z120" s="170">
        <f t="shared" si="83"/>
        <v>56.24</v>
      </c>
      <c r="AA120" s="6">
        <v>56.24</v>
      </c>
      <c r="AB120" s="6">
        <v>0</v>
      </c>
      <c r="AC120" s="138">
        <f t="shared" si="84"/>
        <v>1969.92</v>
      </c>
      <c r="AD120" s="160">
        <f t="shared" si="85"/>
        <v>2.9388403494837175E-2</v>
      </c>
      <c r="AE120" s="170">
        <f t="shared" si="95"/>
        <v>53.69</v>
      </c>
      <c r="AF120" s="6">
        <v>53.69</v>
      </c>
      <c r="AG120" s="6">
        <v>0</v>
      </c>
      <c r="AH120" s="138">
        <f t="shared" si="86"/>
        <v>2023.6100000000001</v>
      </c>
      <c r="AI120" s="160">
        <f t="shared" si="87"/>
        <v>2.7254913905133231E-2</v>
      </c>
      <c r="AJ120" s="170">
        <f t="shared" si="88"/>
        <v>41.92</v>
      </c>
      <c r="AK120" s="6">
        <v>41.92</v>
      </c>
      <c r="AL120" s="6">
        <v>0</v>
      </c>
      <c r="AM120" s="138">
        <f t="shared" si="89"/>
        <v>2065.5300000000002</v>
      </c>
      <c r="AN120" s="160">
        <f t="shared" si="90"/>
        <v>2.0715454064765479E-2</v>
      </c>
      <c r="AO120" s="170">
        <f t="shared" si="91"/>
        <v>36.049999999999997</v>
      </c>
      <c r="AP120" s="6">
        <v>31.49</v>
      </c>
      <c r="AQ120" s="6">
        <v>4.5599999999999996</v>
      </c>
      <c r="AR120" s="138">
        <f t="shared" si="92"/>
        <v>2101.5800000000004</v>
      </c>
      <c r="AS120" s="160">
        <f t="shared" si="93"/>
        <v>1.7453147618286917E-2</v>
      </c>
      <c r="AT120" s="164">
        <f t="shared" si="75"/>
        <v>232.58000000000004</v>
      </c>
      <c r="AU120" s="165">
        <f t="shared" si="94"/>
        <v>2.3691629518369561E-2</v>
      </c>
      <c r="AV120" s="39"/>
      <c r="AW120" s="334"/>
      <c r="AX120" s="39"/>
      <c r="AY120" s="39"/>
    </row>
    <row r="121" spans="2:51" outlineLevel="1" x14ac:dyDescent="0.35">
      <c r="B121" s="48" t="s">
        <v>119</v>
      </c>
      <c r="C121" s="62" t="s">
        <v>135</v>
      </c>
      <c r="D121" s="70">
        <v>0</v>
      </c>
      <c r="E121" s="71">
        <v>0</v>
      </c>
      <c r="F121" s="70">
        <v>0</v>
      </c>
      <c r="G121" s="138">
        <f t="shared" si="59"/>
        <v>0</v>
      </c>
      <c r="H121" s="167">
        <f t="shared" si="60"/>
        <v>0</v>
      </c>
      <c r="I121" s="70">
        <v>0</v>
      </c>
      <c r="J121" s="138">
        <f t="shared" si="61"/>
        <v>0</v>
      </c>
      <c r="K121" s="167">
        <f t="shared" si="62"/>
        <v>0</v>
      </c>
      <c r="L121" s="6">
        <v>0</v>
      </c>
      <c r="M121" s="138">
        <f t="shared" si="96"/>
        <v>0</v>
      </c>
      <c r="N121" s="167">
        <f t="shared" si="64"/>
        <v>0</v>
      </c>
      <c r="O121" s="6">
        <v>0</v>
      </c>
      <c r="P121" s="138">
        <f t="shared" si="77"/>
        <v>0</v>
      </c>
      <c r="Q121" s="167">
        <f t="shared" si="78"/>
        <v>0</v>
      </c>
      <c r="R121" s="164">
        <f t="shared" si="97"/>
        <v>0</v>
      </c>
      <c r="S121" s="165">
        <f t="shared" si="79"/>
        <v>0</v>
      </c>
      <c r="U121" s="170">
        <f t="shared" si="80"/>
        <v>0</v>
      </c>
      <c r="V121" s="6">
        <v>0</v>
      </c>
      <c r="W121" s="6">
        <v>0</v>
      </c>
      <c r="X121" s="138">
        <f t="shared" si="81"/>
        <v>0</v>
      </c>
      <c r="Y121" s="167">
        <f t="shared" si="82"/>
        <v>0</v>
      </c>
      <c r="Z121" s="170">
        <f t="shared" si="83"/>
        <v>0</v>
      </c>
      <c r="AA121" s="6">
        <v>0</v>
      </c>
      <c r="AB121" s="6">
        <v>0</v>
      </c>
      <c r="AC121" s="138">
        <f t="shared" si="84"/>
        <v>0</v>
      </c>
      <c r="AD121" s="160">
        <f t="shared" si="85"/>
        <v>0</v>
      </c>
      <c r="AE121" s="170">
        <f t="shared" si="95"/>
        <v>0</v>
      </c>
      <c r="AF121" s="6">
        <v>0</v>
      </c>
      <c r="AG121" s="6">
        <v>0</v>
      </c>
      <c r="AH121" s="138">
        <f t="shared" si="86"/>
        <v>0</v>
      </c>
      <c r="AI121" s="160">
        <f t="shared" si="87"/>
        <v>0</v>
      </c>
      <c r="AJ121" s="170">
        <f t="shared" si="88"/>
        <v>0</v>
      </c>
      <c r="AK121" s="6">
        <v>0</v>
      </c>
      <c r="AL121" s="6">
        <v>0</v>
      </c>
      <c r="AM121" s="138">
        <f t="shared" si="89"/>
        <v>0</v>
      </c>
      <c r="AN121" s="160">
        <f t="shared" si="90"/>
        <v>0</v>
      </c>
      <c r="AO121" s="170">
        <f t="shared" si="91"/>
        <v>0</v>
      </c>
      <c r="AP121" s="6">
        <v>0</v>
      </c>
      <c r="AQ121" s="6">
        <v>0</v>
      </c>
      <c r="AR121" s="138">
        <f t="shared" si="92"/>
        <v>0</v>
      </c>
      <c r="AS121" s="160">
        <f t="shared" si="93"/>
        <v>0</v>
      </c>
      <c r="AT121" s="164">
        <f t="shared" si="75"/>
        <v>0</v>
      </c>
      <c r="AU121" s="165">
        <f t="shared" si="94"/>
        <v>0</v>
      </c>
      <c r="AV121" s="39"/>
      <c r="AW121" s="334"/>
      <c r="AX121" s="39"/>
      <c r="AY121" s="39"/>
    </row>
    <row r="122" spans="2:51" outlineLevel="1" x14ac:dyDescent="0.35">
      <c r="B122" s="48" t="s">
        <v>120</v>
      </c>
      <c r="C122" s="62" t="s">
        <v>135</v>
      </c>
      <c r="D122" s="70">
        <v>286</v>
      </c>
      <c r="E122" s="71">
        <v>3242</v>
      </c>
      <c r="F122" s="70">
        <v>361</v>
      </c>
      <c r="G122" s="138">
        <f t="shared" si="59"/>
        <v>3603</v>
      </c>
      <c r="H122" s="167">
        <f t="shared" si="60"/>
        <v>0.11135101789019124</v>
      </c>
      <c r="I122" s="70">
        <v>281</v>
      </c>
      <c r="J122" s="138">
        <f t="shared" si="61"/>
        <v>3884</v>
      </c>
      <c r="K122" s="167">
        <f t="shared" si="62"/>
        <v>7.7990563419372744E-2</v>
      </c>
      <c r="L122" s="6">
        <v>210</v>
      </c>
      <c r="M122" s="138">
        <f t="shared" si="96"/>
        <v>4094</v>
      </c>
      <c r="N122" s="167">
        <f t="shared" si="64"/>
        <v>5.4067971163748715E-2</v>
      </c>
      <c r="O122" s="6">
        <v>174</v>
      </c>
      <c r="P122" s="138">
        <f t="shared" si="77"/>
        <v>4268</v>
      </c>
      <c r="Q122" s="167">
        <f t="shared" si="78"/>
        <v>4.2501221299462627E-2</v>
      </c>
      <c r="R122" s="164">
        <f t="shared" si="97"/>
        <v>1312</v>
      </c>
      <c r="S122" s="165">
        <f t="shared" si="79"/>
        <v>7.1156308931850321E-2</v>
      </c>
      <c r="U122" s="170">
        <f t="shared" si="80"/>
        <v>113.2</v>
      </c>
      <c r="V122" s="6">
        <v>111.94</v>
      </c>
      <c r="W122" s="6">
        <v>1.26</v>
      </c>
      <c r="X122" s="138">
        <f t="shared" si="81"/>
        <v>4381.2</v>
      </c>
      <c r="Y122" s="167">
        <f t="shared" si="82"/>
        <v>2.6522961574507925E-2</v>
      </c>
      <c r="Z122" s="170">
        <f t="shared" si="83"/>
        <v>156.86000000000001</v>
      </c>
      <c r="AA122" s="6">
        <v>140.9</v>
      </c>
      <c r="AB122" s="6">
        <v>15.96</v>
      </c>
      <c r="AC122" s="138">
        <f t="shared" si="84"/>
        <v>4538.0599999999995</v>
      </c>
      <c r="AD122" s="160">
        <f t="shared" si="85"/>
        <v>3.5802976353510381E-2</v>
      </c>
      <c r="AE122" s="170">
        <f t="shared" si="95"/>
        <v>169.32999999999998</v>
      </c>
      <c r="AF122" s="6">
        <v>134.94</v>
      </c>
      <c r="AG122" s="6">
        <v>34.39</v>
      </c>
      <c r="AH122" s="138">
        <f t="shared" si="86"/>
        <v>4707.3899999999994</v>
      </c>
      <c r="AI122" s="160">
        <f t="shared" si="87"/>
        <v>3.7313301278519881E-2</v>
      </c>
      <c r="AJ122" s="170">
        <f t="shared" si="88"/>
        <v>143.02000000000001</v>
      </c>
      <c r="AK122" s="6">
        <v>105.92</v>
      </c>
      <c r="AL122" s="6">
        <v>37.1</v>
      </c>
      <c r="AM122" s="138">
        <f t="shared" si="89"/>
        <v>4850.41</v>
      </c>
      <c r="AN122" s="160">
        <f t="shared" si="90"/>
        <v>3.0382016361508279E-2</v>
      </c>
      <c r="AO122" s="170">
        <f t="shared" si="91"/>
        <v>123.58000000000001</v>
      </c>
      <c r="AP122" s="6">
        <v>79.650000000000006</v>
      </c>
      <c r="AQ122" s="6">
        <v>43.93</v>
      </c>
      <c r="AR122" s="138">
        <f t="shared" si="92"/>
        <v>4973.99</v>
      </c>
      <c r="AS122" s="160">
        <f t="shared" si="93"/>
        <v>2.5478258538968856E-2</v>
      </c>
      <c r="AT122" s="164">
        <f t="shared" si="75"/>
        <v>705.99</v>
      </c>
      <c r="AU122" s="165">
        <f t="shared" si="94"/>
        <v>3.2233518278701689E-2</v>
      </c>
      <c r="AV122" s="39"/>
      <c r="AW122" s="334"/>
      <c r="AX122" s="39"/>
      <c r="AY122" s="39"/>
    </row>
    <row r="123" spans="2:51" outlineLevel="1" x14ac:dyDescent="0.35">
      <c r="B123" s="48" t="s">
        <v>121</v>
      </c>
      <c r="C123" s="62" t="s">
        <v>135</v>
      </c>
      <c r="D123" s="70">
        <v>62</v>
      </c>
      <c r="E123" s="71">
        <v>301</v>
      </c>
      <c r="F123" s="70">
        <v>116</v>
      </c>
      <c r="G123" s="138">
        <f t="shared" si="59"/>
        <v>417</v>
      </c>
      <c r="H123" s="167">
        <f t="shared" si="60"/>
        <v>0.38538205980066448</v>
      </c>
      <c r="I123" s="70">
        <v>164</v>
      </c>
      <c r="J123" s="138">
        <f t="shared" si="61"/>
        <v>581</v>
      </c>
      <c r="K123" s="167">
        <f t="shared" si="62"/>
        <v>0.39328537170263789</v>
      </c>
      <c r="L123" s="6">
        <v>105</v>
      </c>
      <c r="M123" s="138">
        <f t="shared" si="96"/>
        <v>686</v>
      </c>
      <c r="N123" s="167">
        <f t="shared" si="64"/>
        <v>0.18072289156626506</v>
      </c>
      <c r="O123" s="6">
        <v>30</v>
      </c>
      <c r="P123" s="138">
        <f t="shared" si="77"/>
        <v>716</v>
      </c>
      <c r="Q123" s="167">
        <f t="shared" si="78"/>
        <v>4.3731778425655975E-2</v>
      </c>
      <c r="R123" s="164">
        <f t="shared" si="97"/>
        <v>477</v>
      </c>
      <c r="S123" s="165">
        <f t="shared" si="79"/>
        <v>0.24190001314065901</v>
      </c>
      <c r="U123" s="170">
        <f t="shared" si="80"/>
        <v>37.449999999999996</v>
      </c>
      <c r="V123" s="6">
        <v>34.58</v>
      </c>
      <c r="W123" s="6">
        <v>2.87</v>
      </c>
      <c r="X123" s="138">
        <f t="shared" si="81"/>
        <v>753.45</v>
      </c>
      <c r="Y123" s="167">
        <f t="shared" si="82"/>
        <v>5.2304469273743083E-2</v>
      </c>
      <c r="Z123" s="170">
        <f t="shared" si="83"/>
        <v>58.739999999999995</v>
      </c>
      <c r="AA123" s="6">
        <v>43.44</v>
      </c>
      <c r="AB123" s="6">
        <v>15.3</v>
      </c>
      <c r="AC123" s="138">
        <f t="shared" si="84"/>
        <v>812.19</v>
      </c>
      <c r="AD123" s="160">
        <f t="shared" si="85"/>
        <v>7.7961377662751352E-2</v>
      </c>
      <c r="AE123" s="170">
        <f t="shared" si="95"/>
        <v>73.77000000000001</v>
      </c>
      <c r="AF123" s="6">
        <v>41.56</v>
      </c>
      <c r="AG123" s="6">
        <v>32.21</v>
      </c>
      <c r="AH123" s="138">
        <f t="shared" si="86"/>
        <v>885.96</v>
      </c>
      <c r="AI123" s="160">
        <f t="shared" si="87"/>
        <v>9.0828500720274791E-2</v>
      </c>
      <c r="AJ123" s="170">
        <f t="shared" si="88"/>
        <v>70.490000000000009</v>
      </c>
      <c r="AK123" s="6">
        <v>32.61</v>
      </c>
      <c r="AL123" s="6">
        <v>37.880000000000003</v>
      </c>
      <c r="AM123" s="138">
        <f t="shared" si="89"/>
        <v>956.45</v>
      </c>
      <c r="AN123" s="160">
        <f t="shared" si="90"/>
        <v>7.9563411440697104E-2</v>
      </c>
      <c r="AO123" s="170">
        <f t="shared" si="91"/>
        <v>77.739999999999995</v>
      </c>
      <c r="AP123" s="6">
        <v>24.51</v>
      </c>
      <c r="AQ123" s="6">
        <v>53.23</v>
      </c>
      <c r="AR123" s="138">
        <f t="shared" si="92"/>
        <v>1034.19</v>
      </c>
      <c r="AS123" s="160">
        <f t="shared" si="93"/>
        <v>8.1279732343562131E-2</v>
      </c>
      <c r="AT123" s="164">
        <f t="shared" si="75"/>
        <v>318.19</v>
      </c>
      <c r="AU123" s="165">
        <f t="shared" si="94"/>
        <v>8.2396736634900769E-2</v>
      </c>
      <c r="AV123" s="39"/>
      <c r="AW123" s="334"/>
      <c r="AX123" s="39"/>
      <c r="AY123" s="39"/>
    </row>
    <row r="124" spans="2:51" outlineLevel="1" x14ac:dyDescent="0.35">
      <c r="B124" s="48" t="s">
        <v>137</v>
      </c>
      <c r="C124" s="62" t="s">
        <v>135</v>
      </c>
      <c r="D124" s="70">
        <v>0</v>
      </c>
      <c r="E124" s="71">
        <v>0</v>
      </c>
      <c r="F124" s="70">
        <v>0</v>
      </c>
      <c r="G124" s="138">
        <f t="shared" si="59"/>
        <v>0</v>
      </c>
      <c r="H124" s="167">
        <f t="shared" si="60"/>
        <v>0</v>
      </c>
      <c r="I124" s="70">
        <v>0</v>
      </c>
      <c r="J124" s="138">
        <f t="shared" si="61"/>
        <v>0</v>
      </c>
      <c r="K124" s="167">
        <f t="shared" si="62"/>
        <v>0</v>
      </c>
      <c r="L124" s="6">
        <v>0</v>
      </c>
      <c r="M124" s="138">
        <f t="shared" si="96"/>
        <v>0</v>
      </c>
      <c r="N124" s="167">
        <f t="shared" si="64"/>
        <v>0</v>
      </c>
      <c r="O124" s="6">
        <v>0</v>
      </c>
      <c r="P124" s="138">
        <f t="shared" si="77"/>
        <v>0</v>
      </c>
      <c r="Q124" s="167">
        <f t="shared" si="78"/>
        <v>0</v>
      </c>
      <c r="R124" s="164">
        <v>0</v>
      </c>
      <c r="S124" s="165">
        <f t="shared" si="79"/>
        <v>0</v>
      </c>
      <c r="U124" s="170">
        <f t="shared" si="80"/>
        <v>0</v>
      </c>
      <c r="V124" s="6">
        <v>0</v>
      </c>
      <c r="W124" s="6">
        <v>0</v>
      </c>
      <c r="X124" s="138">
        <f t="shared" si="81"/>
        <v>0</v>
      </c>
      <c r="Y124" s="167">
        <f t="shared" si="82"/>
        <v>0</v>
      </c>
      <c r="Z124" s="170">
        <f t="shared" si="83"/>
        <v>0</v>
      </c>
      <c r="AA124" s="6">
        <v>0</v>
      </c>
      <c r="AB124" s="6">
        <v>0</v>
      </c>
      <c r="AC124" s="138">
        <f t="shared" si="84"/>
        <v>0</v>
      </c>
      <c r="AD124" s="160">
        <f t="shared" si="85"/>
        <v>0</v>
      </c>
      <c r="AE124" s="170">
        <f t="shared" si="95"/>
        <v>0</v>
      </c>
      <c r="AF124" s="6">
        <v>0</v>
      </c>
      <c r="AG124" s="6">
        <v>0</v>
      </c>
      <c r="AH124" s="138">
        <f t="shared" si="86"/>
        <v>0</v>
      </c>
      <c r="AI124" s="160">
        <f t="shared" si="87"/>
        <v>0</v>
      </c>
      <c r="AJ124" s="170">
        <f t="shared" si="88"/>
        <v>0</v>
      </c>
      <c r="AK124" s="6">
        <v>0</v>
      </c>
      <c r="AL124" s="6">
        <v>0</v>
      </c>
      <c r="AM124" s="138">
        <f t="shared" si="89"/>
        <v>0</v>
      </c>
      <c r="AN124" s="160">
        <f t="shared" si="90"/>
        <v>0</v>
      </c>
      <c r="AO124" s="170">
        <f t="shared" si="91"/>
        <v>0</v>
      </c>
      <c r="AP124" s="6">
        <v>0</v>
      </c>
      <c r="AQ124" s="6">
        <v>0</v>
      </c>
      <c r="AR124" s="138">
        <f t="shared" si="92"/>
        <v>0</v>
      </c>
      <c r="AS124" s="160">
        <f t="shared" si="93"/>
        <v>0</v>
      </c>
      <c r="AT124" s="164">
        <f t="shared" si="75"/>
        <v>0</v>
      </c>
      <c r="AU124" s="165">
        <f t="shared" si="94"/>
        <v>0</v>
      </c>
      <c r="AV124" s="39"/>
      <c r="AW124" s="334"/>
      <c r="AX124" s="39"/>
      <c r="AY124" s="39"/>
    </row>
    <row r="125" spans="2:51" outlineLevel="1" x14ac:dyDescent="0.35">
      <c r="B125" s="48" t="s">
        <v>190</v>
      </c>
      <c r="C125" s="62" t="s">
        <v>135</v>
      </c>
      <c r="D125" s="70">
        <v>136</v>
      </c>
      <c r="E125" s="71">
        <v>1982</v>
      </c>
      <c r="F125" s="70">
        <v>195</v>
      </c>
      <c r="G125" s="138">
        <f t="shared" si="59"/>
        <v>2177</v>
      </c>
      <c r="H125" s="167">
        <f t="shared" si="60"/>
        <v>9.838546922300706E-2</v>
      </c>
      <c r="I125" s="70">
        <v>168</v>
      </c>
      <c r="J125" s="138">
        <f t="shared" si="61"/>
        <v>2345</v>
      </c>
      <c r="K125" s="167">
        <f t="shared" si="62"/>
        <v>7.7170418006430874E-2</v>
      </c>
      <c r="L125" s="6">
        <v>92</v>
      </c>
      <c r="M125" s="138">
        <f t="shared" si="96"/>
        <v>2437</v>
      </c>
      <c r="N125" s="167">
        <f t="shared" si="64"/>
        <v>3.9232409381663114E-2</v>
      </c>
      <c r="O125" s="6">
        <v>55</v>
      </c>
      <c r="P125" s="138">
        <f t="shared" si="77"/>
        <v>2492</v>
      </c>
      <c r="Q125" s="167">
        <f t="shared" si="78"/>
        <v>2.2568732047599509E-2</v>
      </c>
      <c r="R125" s="164">
        <f t="shared" si="97"/>
        <v>646</v>
      </c>
      <c r="S125" s="165">
        <f t="shared" si="79"/>
        <v>5.8914991800630867E-2</v>
      </c>
      <c r="U125" s="170">
        <f t="shared" si="80"/>
        <v>54.35</v>
      </c>
      <c r="V125" s="6">
        <v>53.92</v>
      </c>
      <c r="W125" s="6">
        <v>0.43</v>
      </c>
      <c r="X125" s="138">
        <f t="shared" si="81"/>
        <v>2546.35</v>
      </c>
      <c r="Y125" s="167">
        <f t="shared" si="82"/>
        <v>2.1809791332263205E-2</v>
      </c>
      <c r="Z125" s="170">
        <f t="shared" si="83"/>
        <v>73.319999999999993</v>
      </c>
      <c r="AA125" s="6">
        <v>68.069999999999993</v>
      </c>
      <c r="AB125" s="6">
        <v>5.25</v>
      </c>
      <c r="AC125" s="138">
        <f t="shared" si="84"/>
        <v>2619.67</v>
      </c>
      <c r="AD125" s="160">
        <f t="shared" si="85"/>
        <v>2.8794156341429955E-2</v>
      </c>
      <c r="AE125" s="170">
        <f t="shared" si="95"/>
        <v>82.740000000000009</v>
      </c>
      <c r="AF125" s="6">
        <v>65.150000000000006</v>
      </c>
      <c r="AG125" s="6">
        <v>17.59</v>
      </c>
      <c r="AH125" s="138">
        <f t="shared" si="86"/>
        <v>2702.41</v>
      </c>
      <c r="AI125" s="160">
        <f t="shared" si="87"/>
        <v>3.1584130825638261E-2</v>
      </c>
      <c r="AJ125" s="170">
        <f t="shared" si="88"/>
        <v>68.760000000000005</v>
      </c>
      <c r="AK125" s="6">
        <v>51</v>
      </c>
      <c r="AL125" s="6">
        <v>17.760000000000002</v>
      </c>
      <c r="AM125" s="138">
        <f t="shared" si="89"/>
        <v>2771.17</v>
      </c>
      <c r="AN125" s="160">
        <f t="shared" si="90"/>
        <v>2.5443955580389439E-2</v>
      </c>
      <c r="AO125" s="170">
        <f t="shared" si="91"/>
        <v>58.929999999999993</v>
      </c>
      <c r="AP125" s="6">
        <v>38.44</v>
      </c>
      <c r="AQ125" s="6">
        <v>20.49</v>
      </c>
      <c r="AR125" s="138">
        <f t="shared" si="92"/>
        <v>2830.1</v>
      </c>
      <c r="AS125" s="160">
        <f t="shared" si="93"/>
        <v>2.1265386100455703E-2</v>
      </c>
      <c r="AT125" s="164">
        <f t="shared" si="75"/>
        <v>338.1</v>
      </c>
      <c r="AU125" s="165">
        <f t="shared" si="94"/>
        <v>2.6764680081742043E-2</v>
      </c>
      <c r="AV125" s="39"/>
      <c r="AW125" s="334"/>
      <c r="AX125" s="39"/>
      <c r="AY125" s="39"/>
    </row>
    <row r="126" spans="2:51" outlineLevel="1" x14ac:dyDescent="0.35">
      <c r="B126" s="48" t="s">
        <v>181</v>
      </c>
      <c r="C126" s="62" t="s">
        <v>135</v>
      </c>
      <c r="D126" s="70">
        <v>45</v>
      </c>
      <c r="E126" s="71">
        <v>65</v>
      </c>
      <c r="F126" s="70">
        <v>16</v>
      </c>
      <c r="G126" s="138">
        <f>E126+F126</f>
        <v>81</v>
      </c>
      <c r="H126" s="167">
        <f>IFERROR((G126-E126)/E126,0)</f>
        <v>0.24615384615384617</v>
      </c>
      <c r="I126" s="70">
        <v>18</v>
      </c>
      <c r="J126" s="138">
        <f>G126+I126</f>
        <v>99</v>
      </c>
      <c r="K126" s="167">
        <f>IFERROR((J126-G126)/G126,0)</f>
        <v>0.22222222222222221</v>
      </c>
      <c r="L126" s="6">
        <v>11</v>
      </c>
      <c r="M126" s="138">
        <f>J126+L126</f>
        <v>110</v>
      </c>
      <c r="N126" s="167">
        <f>IFERROR((M126-J126)/J126,0)</f>
        <v>0.1111111111111111</v>
      </c>
      <c r="O126" s="6">
        <v>0</v>
      </c>
      <c r="P126" s="138">
        <f>M126+O126</f>
        <v>110</v>
      </c>
      <c r="Q126" s="167">
        <f>IFERROR((P126-M126)/M126,0)</f>
        <v>0</v>
      </c>
      <c r="R126" s="164">
        <f>D126+F126+I126+L126+O126</f>
        <v>90</v>
      </c>
      <c r="S126" s="165">
        <f>IFERROR((P126/E126)^(1/4)-1,0)</f>
        <v>0.1405644528811083</v>
      </c>
      <c r="U126" s="170">
        <f>V126+W126</f>
        <v>1.51</v>
      </c>
      <c r="V126" s="6">
        <v>1.51</v>
      </c>
      <c r="W126" s="6">
        <v>0</v>
      </c>
      <c r="X126" s="138">
        <f>P126+U126</f>
        <v>111.51</v>
      </c>
      <c r="Y126" s="167">
        <f>IFERROR((X126-P126)/P126,0)</f>
        <v>1.3727272727272774E-2</v>
      </c>
      <c r="Z126" s="170">
        <f>AA131+AB131</f>
        <v>0</v>
      </c>
      <c r="AA126" s="6">
        <v>1.91</v>
      </c>
      <c r="AB126" s="6">
        <v>0</v>
      </c>
      <c r="AC126" s="138">
        <f>X126+Z126</f>
        <v>111.51</v>
      </c>
      <c r="AD126" s="160">
        <f>IFERROR((AC126-X126)/X126,0)</f>
        <v>0</v>
      </c>
      <c r="AE126" s="170">
        <f>AF126+AG126</f>
        <v>1.83</v>
      </c>
      <c r="AF126" s="6">
        <v>1.83</v>
      </c>
      <c r="AG126" s="6">
        <v>0</v>
      </c>
      <c r="AH126" s="138">
        <f>AC126+AE126</f>
        <v>113.34</v>
      </c>
      <c r="AI126" s="160">
        <f>IFERROR((AH126-AC126)/AC126,0)</f>
        <v>1.6411084207694361E-2</v>
      </c>
      <c r="AJ126" s="170">
        <f>AK126+AL126</f>
        <v>1.43</v>
      </c>
      <c r="AK126" s="6">
        <v>1.43</v>
      </c>
      <c r="AL126" s="6">
        <v>0</v>
      </c>
      <c r="AM126" s="138">
        <f>AH126+AJ126</f>
        <v>114.77000000000001</v>
      </c>
      <c r="AN126" s="160">
        <f>IFERROR((AM126-AH126)/AH126,0)</f>
        <v>1.2616904887947828E-2</v>
      </c>
      <c r="AO126" s="170">
        <f>AP126+AQ126</f>
        <v>1.08</v>
      </c>
      <c r="AP126" s="6">
        <v>1.08</v>
      </c>
      <c r="AQ126" s="6">
        <v>0</v>
      </c>
      <c r="AR126" s="138">
        <f>AM126+AO126</f>
        <v>115.85000000000001</v>
      </c>
      <c r="AS126" s="160">
        <f>IFERROR((AR126-AM126)/AM126,0)</f>
        <v>9.410124597020111E-3</v>
      </c>
      <c r="AT126" s="164">
        <f t="shared" si="75"/>
        <v>5.85</v>
      </c>
      <c r="AU126" s="165">
        <f>IFERROR((AR126/X126)^(1/4)-1,0)</f>
        <v>9.5911980128728924E-3</v>
      </c>
      <c r="AV126" s="39"/>
      <c r="AW126" s="334"/>
      <c r="AX126" s="39"/>
      <c r="AY126" s="39"/>
    </row>
    <row r="127" spans="2:51" outlineLevel="1" x14ac:dyDescent="0.35">
      <c r="B127" s="48" t="s">
        <v>182</v>
      </c>
      <c r="C127" s="62" t="s">
        <v>135</v>
      </c>
      <c r="D127" s="70">
        <v>73</v>
      </c>
      <c r="E127" s="71">
        <v>461</v>
      </c>
      <c r="F127" s="70">
        <v>72</v>
      </c>
      <c r="G127" s="138">
        <f t="shared" si="59"/>
        <v>533</v>
      </c>
      <c r="H127" s="167">
        <f t="shared" si="60"/>
        <v>0.1561822125813449</v>
      </c>
      <c r="I127" s="70">
        <v>80</v>
      </c>
      <c r="J127" s="138">
        <f t="shared" si="61"/>
        <v>613</v>
      </c>
      <c r="K127" s="167">
        <f t="shared" si="62"/>
        <v>0.15009380863039401</v>
      </c>
      <c r="L127" s="6">
        <v>37</v>
      </c>
      <c r="M127" s="138">
        <f t="shared" si="96"/>
        <v>650</v>
      </c>
      <c r="N127" s="167">
        <f t="shared" si="64"/>
        <v>6.0358890701468187E-2</v>
      </c>
      <c r="O127" s="6">
        <v>25</v>
      </c>
      <c r="P127" s="138">
        <f t="shared" si="77"/>
        <v>675</v>
      </c>
      <c r="Q127" s="167">
        <f t="shared" si="78"/>
        <v>3.8461538461538464E-2</v>
      </c>
      <c r="R127" s="164">
        <f t="shared" si="97"/>
        <v>287</v>
      </c>
      <c r="S127" s="165">
        <f t="shared" si="79"/>
        <v>0.10002033056898596</v>
      </c>
      <c r="U127" s="170">
        <f t="shared" si="80"/>
        <v>22.66</v>
      </c>
      <c r="V127" s="6">
        <v>22.04</v>
      </c>
      <c r="W127" s="6">
        <v>0.62</v>
      </c>
      <c r="X127" s="138">
        <f t="shared" si="81"/>
        <v>697.66</v>
      </c>
      <c r="Y127" s="167">
        <f t="shared" si="82"/>
        <v>3.357037037037032E-2</v>
      </c>
      <c r="Z127" s="170">
        <f t="shared" si="83"/>
        <v>30.01</v>
      </c>
      <c r="AA127" s="6">
        <v>27.73</v>
      </c>
      <c r="AB127" s="6">
        <v>2.2799999999999998</v>
      </c>
      <c r="AC127" s="138">
        <f t="shared" si="84"/>
        <v>727.67</v>
      </c>
      <c r="AD127" s="160">
        <f t="shared" si="85"/>
        <v>4.3015222314594488E-2</v>
      </c>
      <c r="AE127" s="170">
        <f t="shared" si="95"/>
        <v>29.97</v>
      </c>
      <c r="AF127" s="6">
        <v>26.55</v>
      </c>
      <c r="AG127" s="6">
        <v>3.42</v>
      </c>
      <c r="AH127" s="138">
        <f t="shared" si="86"/>
        <v>757.64</v>
      </c>
      <c r="AI127" s="160">
        <f t="shared" si="87"/>
        <v>4.1186252009839663E-2</v>
      </c>
      <c r="AJ127" s="170">
        <f t="shared" si="88"/>
        <v>24.72</v>
      </c>
      <c r="AK127" s="6">
        <v>20.84</v>
      </c>
      <c r="AL127" s="6">
        <v>3.88</v>
      </c>
      <c r="AM127" s="138">
        <f t="shared" si="89"/>
        <v>782.36</v>
      </c>
      <c r="AN127" s="160">
        <f t="shared" si="90"/>
        <v>3.2627633176706652E-2</v>
      </c>
      <c r="AO127" s="170">
        <f t="shared" si="91"/>
        <v>18.7</v>
      </c>
      <c r="AP127" s="6">
        <v>15.67</v>
      </c>
      <c r="AQ127" s="6">
        <v>3.03</v>
      </c>
      <c r="AR127" s="138">
        <f t="shared" si="92"/>
        <v>801.06000000000006</v>
      </c>
      <c r="AS127" s="160">
        <f t="shared" si="93"/>
        <v>2.3902039981594209E-2</v>
      </c>
      <c r="AT127" s="164">
        <f t="shared" si="75"/>
        <v>126.06</v>
      </c>
      <c r="AU127" s="165">
        <f t="shared" si="94"/>
        <v>3.5154812824457204E-2</v>
      </c>
      <c r="AV127" s="39"/>
      <c r="AW127" s="334"/>
      <c r="AX127" s="39"/>
      <c r="AY127" s="39"/>
    </row>
    <row r="128" spans="2:51" outlineLevel="1" x14ac:dyDescent="0.35">
      <c r="B128" s="48" t="s">
        <v>126</v>
      </c>
      <c r="C128" s="62" t="s">
        <v>135</v>
      </c>
      <c r="D128" s="70">
        <v>229</v>
      </c>
      <c r="E128" s="71">
        <v>2043</v>
      </c>
      <c r="F128" s="70">
        <v>370</v>
      </c>
      <c r="G128" s="138">
        <f t="shared" si="59"/>
        <v>2413</v>
      </c>
      <c r="H128" s="167">
        <f t="shared" si="60"/>
        <v>0.1811062163485071</v>
      </c>
      <c r="I128" s="70">
        <v>443</v>
      </c>
      <c r="J128" s="138">
        <f t="shared" si="61"/>
        <v>2856</v>
      </c>
      <c r="K128" s="167">
        <f t="shared" si="62"/>
        <v>0.18358889349357646</v>
      </c>
      <c r="L128" s="6">
        <v>133</v>
      </c>
      <c r="M128" s="138">
        <f t="shared" si="96"/>
        <v>2989</v>
      </c>
      <c r="N128" s="167">
        <f t="shared" si="64"/>
        <v>4.6568627450980393E-2</v>
      </c>
      <c r="O128" s="6">
        <v>138</v>
      </c>
      <c r="P128" s="138">
        <f t="shared" si="77"/>
        <v>3127</v>
      </c>
      <c r="Q128" s="167">
        <f t="shared" si="78"/>
        <v>4.6169287387085985E-2</v>
      </c>
      <c r="R128" s="164">
        <f t="shared" si="97"/>
        <v>1313</v>
      </c>
      <c r="S128" s="165">
        <f t="shared" si="79"/>
        <v>0.11228192198418396</v>
      </c>
      <c r="U128" s="170">
        <f t="shared" si="80"/>
        <v>126.13</v>
      </c>
      <c r="V128" s="6">
        <v>120.95</v>
      </c>
      <c r="W128" s="6">
        <v>5.18</v>
      </c>
      <c r="X128" s="138">
        <f t="shared" si="81"/>
        <v>3253.13</v>
      </c>
      <c r="Y128" s="167">
        <f t="shared" si="82"/>
        <v>4.0335785097537609E-2</v>
      </c>
      <c r="Z128" s="170">
        <f>AA128+AB128</f>
        <v>175.75</v>
      </c>
      <c r="AA128" s="6">
        <v>152.08000000000001</v>
      </c>
      <c r="AB128" s="6">
        <v>23.67</v>
      </c>
      <c r="AC128" s="138">
        <f t="shared" si="84"/>
        <v>3428.88</v>
      </c>
      <c r="AD128" s="160">
        <f t="shared" si="85"/>
        <v>5.4024892949251953E-2</v>
      </c>
      <c r="AE128" s="170">
        <f t="shared" si="95"/>
        <v>178.03000000000003</v>
      </c>
      <c r="AF128" s="6">
        <v>145.33000000000001</v>
      </c>
      <c r="AG128" s="6">
        <v>32.700000000000003</v>
      </c>
      <c r="AH128" s="138">
        <f t="shared" si="86"/>
        <v>3606.9100000000003</v>
      </c>
      <c r="AI128" s="160">
        <f t="shared" si="87"/>
        <v>5.192074379972475E-2</v>
      </c>
      <c r="AJ128" s="170">
        <f t="shared" si="88"/>
        <v>138.84</v>
      </c>
      <c r="AK128" s="6">
        <v>114.08</v>
      </c>
      <c r="AL128" s="6">
        <v>24.76</v>
      </c>
      <c r="AM128" s="138">
        <f t="shared" si="89"/>
        <v>3745.7500000000005</v>
      </c>
      <c r="AN128" s="160">
        <f t="shared" si="90"/>
        <v>3.8492781910277808E-2</v>
      </c>
      <c r="AO128" s="170">
        <f t="shared" si="91"/>
        <v>117.88</v>
      </c>
      <c r="AP128" s="6">
        <v>85.82</v>
      </c>
      <c r="AQ128" s="6">
        <v>32.06</v>
      </c>
      <c r="AR128" s="138">
        <f t="shared" si="92"/>
        <v>3863.6300000000006</v>
      </c>
      <c r="AS128" s="160">
        <f t="shared" si="93"/>
        <v>3.1470333044116693E-2</v>
      </c>
      <c r="AT128" s="164">
        <f t="shared" si="75"/>
        <v>736.63</v>
      </c>
      <c r="AU128" s="165">
        <f t="shared" si="94"/>
        <v>4.3935166592468766E-2</v>
      </c>
      <c r="AV128" s="39"/>
      <c r="AW128" s="334"/>
      <c r="AX128" s="39"/>
      <c r="AY128" s="39"/>
    </row>
    <row r="129" spans="2:51" outlineLevel="1" x14ac:dyDescent="0.35">
      <c r="B129" s="48" t="s">
        <v>127</v>
      </c>
      <c r="C129" s="62" t="s">
        <v>135</v>
      </c>
      <c r="D129" s="70">
        <v>0</v>
      </c>
      <c r="E129" s="71">
        <v>0</v>
      </c>
      <c r="F129" s="70">
        <v>0</v>
      </c>
      <c r="G129" s="138">
        <f t="shared" si="59"/>
        <v>0</v>
      </c>
      <c r="H129" s="167">
        <f t="shared" si="60"/>
        <v>0</v>
      </c>
      <c r="I129" s="70">
        <v>0</v>
      </c>
      <c r="J129" s="138">
        <f t="shared" si="61"/>
        <v>0</v>
      </c>
      <c r="K129" s="167">
        <f t="shared" si="62"/>
        <v>0</v>
      </c>
      <c r="L129" s="6">
        <v>0</v>
      </c>
      <c r="M129" s="138">
        <f t="shared" si="96"/>
        <v>0</v>
      </c>
      <c r="N129" s="167">
        <f t="shared" si="64"/>
        <v>0</v>
      </c>
      <c r="O129" s="6">
        <v>0</v>
      </c>
      <c r="P129" s="138">
        <f t="shared" si="77"/>
        <v>0</v>
      </c>
      <c r="Q129" s="167">
        <f t="shared" si="78"/>
        <v>0</v>
      </c>
      <c r="R129" s="164">
        <f t="shared" si="97"/>
        <v>0</v>
      </c>
      <c r="S129" s="165">
        <f t="shared" si="79"/>
        <v>0</v>
      </c>
      <c r="U129" s="170">
        <f t="shared" si="80"/>
        <v>0</v>
      </c>
      <c r="V129" s="6">
        <v>0</v>
      </c>
      <c r="W129" s="6">
        <v>0</v>
      </c>
      <c r="X129" s="138">
        <f t="shared" si="81"/>
        <v>0</v>
      </c>
      <c r="Y129" s="167">
        <f t="shared" si="82"/>
        <v>0</v>
      </c>
      <c r="Z129" s="170">
        <f t="shared" si="83"/>
        <v>0</v>
      </c>
      <c r="AA129" s="6">
        <v>0</v>
      </c>
      <c r="AB129" s="6">
        <v>0</v>
      </c>
      <c r="AC129" s="138">
        <f t="shared" si="84"/>
        <v>0</v>
      </c>
      <c r="AD129" s="160">
        <f t="shared" si="85"/>
        <v>0</v>
      </c>
      <c r="AE129" s="170">
        <f t="shared" si="95"/>
        <v>0</v>
      </c>
      <c r="AF129" s="6">
        <v>0</v>
      </c>
      <c r="AG129" s="6">
        <v>0</v>
      </c>
      <c r="AH129" s="138">
        <f t="shared" si="86"/>
        <v>0</v>
      </c>
      <c r="AI129" s="160">
        <f t="shared" si="87"/>
        <v>0</v>
      </c>
      <c r="AJ129" s="170">
        <f t="shared" si="88"/>
        <v>0</v>
      </c>
      <c r="AK129" s="6">
        <v>0</v>
      </c>
      <c r="AL129" s="6">
        <v>0</v>
      </c>
      <c r="AM129" s="138">
        <f t="shared" si="89"/>
        <v>0</v>
      </c>
      <c r="AN129" s="160">
        <f t="shared" si="90"/>
        <v>0</v>
      </c>
      <c r="AO129" s="170">
        <f t="shared" si="91"/>
        <v>0</v>
      </c>
      <c r="AP129" s="6">
        <v>0</v>
      </c>
      <c r="AQ129" s="6">
        <v>0</v>
      </c>
      <c r="AR129" s="138">
        <f t="shared" si="92"/>
        <v>0</v>
      </c>
      <c r="AS129" s="160">
        <f t="shared" si="93"/>
        <v>0</v>
      </c>
      <c r="AT129" s="164">
        <f t="shared" si="75"/>
        <v>0</v>
      </c>
      <c r="AU129" s="165">
        <f t="shared" si="94"/>
        <v>0</v>
      </c>
      <c r="AV129" s="39"/>
      <c r="AX129" s="39"/>
      <c r="AY129" s="39"/>
    </row>
    <row r="130" spans="2:51" s="345" customFormat="1" ht="15" customHeight="1" outlineLevel="1" x14ac:dyDescent="0.35">
      <c r="B130" s="346" t="s">
        <v>138</v>
      </c>
      <c r="C130" s="354" t="s">
        <v>141</v>
      </c>
      <c r="D130" s="348">
        <f>SUM(D76:D129)</f>
        <v>7453</v>
      </c>
      <c r="E130" s="348">
        <f>SUM(E76:E129)</f>
        <v>73946</v>
      </c>
      <c r="F130" s="348">
        <f>SUM(F76:F129)</f>
        <v>7960</v>
      </c>
      <c r="G130" s="348">
        <f>SUM(G76:G129)</f>
        <v>81906</v>
      </c>
      <c r="H130" s="349">
        <f>IFERROR((G130-E130)/E130,0)</f>
        <v>0.10764612014172505</v>
      </c>
      <c r="I130" s="348">
        <f>SUM(I76:I129)</f>
        <v>8135</v>
      </c>
      <c r="J130" s="348">
        <f>SUM(J76:J129)</f>
        <v>90041</v>
      </c>
      <c r="K130" s="349">
        <f t="shared" si="62"/>
        <v>9.9321173052035264E-2</v>
      </c>
      <c r="L130" s="348">
        <f>SUM(L76:L129)</f>
        <v>4070</v>
      </c>
      <c r="M130" s="348">
        <f>SUM(M76:M129)</f>
        <v>94111</v>
      </c>
      <c r="N130" s="349">
        <f t="shared" si="64"/>
        <v>4.5201630368387737E-2</v>
      </c>
      <c r="O130" s="348">
        <f>SUM(O76:O129)</f>
        <v>3057</v>
      </c>
      <c r="P130" s="348">
        <f>SUM(P76:P129)</f>
        <v>97168</v>
      </c>
      <c r="Q130" s="349">
        <f>IFERROR((P130-M130)/M130,0)</f>
        <v>3.248291910616187E-2</v>
      </c>
      <c r="R130" s="350">
        <f>D130+F130+I130+L130+O130</f>
        <v>30675</v>
      </c>
      <c r="S130" s="351">
        <f>IFERROR((P130/E130)^(1/4)-1,0)</f>
        <v>7.0661396964698309E-2</v>
      </c>
      <c r="U130" s="355">
        <f t="shared" si="80"/>
        <v>3189.9700000000003</v>
      </c>
      <c r="V130" s="348">
        <f>SUM(V76:V129)</f>
        <v>3011.86</v>
      </c>
      <c r="W130" s="348">
        <f>SUM(W76:W129)</f>
        <v>178.10999999999999</v>
      </c>
      <c r="X130" s="356">
        <f t="shared" si="81"/>
        <v>100357.97</v>
      </c>
      <c r="Y130" s="353">
        <f t="shared" si="82"/>
        <v>3.2829429441791548E-2</v>
      </c>
      <c r="Z130" s="355">
        <f t="shared" si="83"/>
        <v>4802.0200000000004</v>
      </c>
      <c r="AA130" s="348">
        <f>SUM(AA76:AA129)</f>
        <v>3790.02</v>
      </c>
      <c r="AB130" s="348">
        <f>SUM(AB76:AB129)</f>
        <v>1012</v>
      </c>
      <c r="AC130" s="356">
        <f t="shared" si="84"/>
        <v>105159.99</v>
      </c>
      <c r="AD130" s="353">
        <f t="shared" si="85"/>
        <v>4.7848915238122132E-2</v>
      </c>
      <c r="AE130" s="355">
        <f t="shared" si="95"/>
        <v>5487.9800000000005</v>
      </c>
      <c r="AF130" s="348">
        <f>SUM(AF76:AF129)</f>
        <v>3623.8999999999996</v>
      </c>
      <c r="AG130" s="348">
        <f>SUM(AG76:AG129)</f>
        <v>1864.0800000000008</v>
      </c>
      <c r="AH130" s="356">
        <f t="shared" si="86"/>
        <v>110647.97</v>
      </c>
      <c r="AI130" s="353">
        <f t="shared" si="87"/>
        <v>5.2186958176774226E-2</v>
      </c>
      <c r="AJ130" s="355">
        <f t="shared" si="88"/>
        <v>4954.0200000000023</v>
      </c>
      <c r="AK130" s="348">
        <f>SUM(AK76:AK129)</f>
        <v>2842.6800000000007</v>
      </c>
      <c r="AL130" s="348">
        <f>SUM(AL76:AL129)</f>
        <v>2111.3400000000011</v>
      </c>
      <c r="AM130" s="356">
        <f t="shared" si="89"/>
        <v>115601.99</v>
      </c>
      <c r="AN130" s="353">
        <f t="shared" si="90"/>
        <v>4.4772805140482957E-2</v>
      </c>
      <c r="AO130" s="355">
        <f t="shared" si="91"/>
        <v>4361.03</v>
      </c>
      <c r="AP130" s="348">
        <f>SUM(AP76:AP129)</f>
        <v>2138.8500000000004</v>
      </c>
      <c r="AQ130" s="348">
        <f>SUM(AQ76:AQ129)</f>
        <v>2222.1799999999994</v>
      </c>
      <c r="AR130" s="356">
        <f t="shared" si="92"/>
        <v>119963.02</v>
      </c>
      <c r="AS130" s="353">
        <f t="shared" si="93"/>
        <v>3.7724523600329012E-2</v>
      </c>
      <c r="AT130" s="350">
        <f t="shared" ref="AT130" si="98">U130+Z130+AE130+AJ130+AO130</f>
        <v>22795.020000000004</v>
      </c>
      <c r="AU130" s="351">
        <f t="shared" si="94"/>
        <v>4.5619997604718465E-2</v>
      </c>
    </row>
    <row r="131" spans="2:51" ht="15" customHeight="1" x14ac:dyDescent="0.35">
      <c r="AJ131" s="39"/>
      <c r="AK131" s="39"/>
      <c r="AL131" s="39"/>
      <c r="AT131" s="39"/>
    </row>
    <row r="132" spans="2:51" ht="15" customHeight="1" x14ac:dyDescent="0.35"/>
    <row r="133" spans="2:51" ht="15.5" x14ac:dyDescent="0.35">
      <c r="B133" s="419" t="s">
        <v>52</v>
      </c>
      <c r="C133" s="419"/>
      <c r="D133" s="419"/>
      <c r="E133" s="419"/>
      <c r="F133" s="419"/>
      <c r="G133" s="419"/>
      <c r="H133" s="419"/>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c r="AJ133" s="419"/>
      <c r="AK133" s="419"/>
      <c r="AL133" s="419"/>
      <c r="AM133" s="419"/>
      <c r="AN133" s="419"/>
      <c r="AO133" s="419"/>
      <c r="AP133" s="419"/>
      <c r="AQ133" s="419"/>
      <c r="AR133" s="419"/>
      <c r="AS133" s="419"/>
      <c r="AT133" s="419"/>
      <c r="AU133" s="419"/>
    </row>
    <row r="134" spans="2:51" ht="5.9" customHeight="1" outlineLevel="1" x14ac:dyDescent="0.35">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row>
    <row r="135" spans="2:51" outlineLevel="1" x14ac:dyDescent="0.35">
      <c r="B135" s="462"/>
      <c r="C135" s="450" t="s">
        <v>134</v>
      </c>
      <c r="D135" s="435" t="s">
        <v>169</v>
      </c>
      <c r="E135" s="436"/>
      <c r="F135" s="436"/>
      <c r="G135" s="436"/>
      <c r="H135" s="436"/>
      <c r="I135" s="436"/>
      <c r="J135" s="436"/>
      <c r="K135" s="436"/>
      <c r="L135" s="436"/>
      <c r="M135" s="436"/>
      <c r="N135" s="436"/>
      <c r="O135" s="435"/>
      <c r="P135" s="436"/>
      <c r="Q135" s="437"/>
      <c r="R135" s="431" t="str">
        <f xml:space="preserve"> D136&amp;" - "&amp;O136</f>
        <v>2019 - 2023</v>
      </c>
      <c r="S135" s="456"/>
      <c r="U135" s="435" t="s">
        <v>170</v>
      </c>
      <c r="V135" s="436"/>
      <c r="W135" s="436"/>
      <c r="X135" s="436"/>
      <c r="Y135" s="436"/>
      <c r="Z135" s="436"/>
      <c r="AA135" s="436"/>
      <c r="AB135" s="436"/>
      <c r="AC135" s="436"/>
      <c r="AD135" s="436"/>
      <c r="AE135" s="436"/>
      <c r="AF135" s="436"/>
      <c r="AG135" s="436"/>
      <c r="AH135" s="436"/>
      <c r="AI135" s="436"/>
      <c r="AJ135" s="436"/>
      <c r="AK135" s="436"/>
      <c r="AL135" s="436"/>
      <c r="AM135" s="436"/>
      <c r="AN135" s="436"/>
      <c r="AO135" s="436"/>
      <c r="AP135" s="436"/>
      <c r="AQ135" s="436"/>
      <c r="AR135" s="436"/>
      <c r="AS135" s="436"/>
      <c r="AT135" s="436"/>
      <c r="AU135" s="437"/>
    </row>
    <row r="136" spans="2:51" outlineLevel="1" x14ac:dyDescent="0.35">
      <c r="B136" s="463"/>
      <c r="C136" s="451"/>
      <c r="D136" s="435">
        <f>$C$3-5</f>
        <v>2019</v>
      </c>
      <c r="E136" s="437"/>
      <c r="F136" s="435">
        <f>$C$3-4</f>
        <v>2020</v>
      </c>
      <c r="G136" s="436"/>
      <c r="H136" s="437"/>
      <c r="I136" s="435">
        <f>$C$3-3</f>
        <v>2021</v>
      </c>
      <c r="J136" s="436"/>
      <c r="K136" s="437"/>
      <c r="L136" s="435">
        <f>$C$3-2</f>
        <v>2022</v>
      </c>
      <c r="M136" s="436"/>
      <c r="N136" s="437"/>
      <c r="O136" s="435">
        <f>$C$3-1</f>
        <v>2023</v>
      </c>
      <c r="P136" s="436"/>
      <c r="Q136" s="437"/>
      <c r="R136" s="433"/>
      <c r="S136" s="457"/>
      <c r="U136" s="435">
        <f>$C$3</f>
        <v>2024</v>
      </c>
      <c r="V136" s="436"/>
      <c r="W136" s="436"/>
      <c r="X136" s="436"/>
      <c r="Y136" s="437"/>
      <c r="Z136" s="435">
        <f>$C$3+1</f>
        <v>2025</v>
      </c>
      <c r="AA136" s="436"/>
      <c r="AB136" s="436"/>
      <c r="AC136" s="436"/>
      <c r="AD136" s="437"/>
      <c r="AE136" s="435">
        <f>$C$3+2</f>
        <v>2026</v>
      </c>
      <c r="AF136" s="436"/>
      <c r="AG136" s="436"/>
      <c r="AH136" s="436"/>
      <c r="AI136" s="437"/>
      <c r="AJ136" s="435">
        <f>$C$3+3</f>
        <v>2027</v>
      </c>
      <c r="AK136" s="436"/>
      <c r="AL136" s="436"/>
      <c r="AM136" s="436"/>
      <c r="AN136" s="437"/>
      <c r="AO136" s="435">
        <f>$C$3+4</f>
        <v>2028</v>
      </c>
      <c r="AP136" s="436"/>
      <c r="AQ136" s="436"/>
      <c r="AR136" s="436"/>
      <c r="AS136" s="437"/>
      <c r="AT136" s="439" t="str">
        <f>U136&amp;" - "&amp;AO136</f>
        <v>2024 - 2028</v>
      </c>
      <c r="AU136" s="458"/>
    </row>
    <row r="137" spans="2:51" ht="43.5" outlineLevel="1" x14ac:dyDescent="0.35">
      <c r="B137" s="464"/>
      <c r="C137" s="452"/>
      <c r="D137" s="66" t="s">
        <v>192</v>
      </c>
      <c r="E137" s="67" t="s">
        <v>193</v>
      </c>
      <c r="F137" s="66" t="s">
        <v>192</v>
      </c>
      <c r="G137" s="9" t="s">
        <v>193</v>
      </c>
      <c r="H137" s="67" t="s">
        <v>173</v>
      </c>
      <c r="I137" s="66" t="s">
        <v>192</v>
      </c>
      <c r="J137" s="9" t="s">
        <v>193</v>
      </c>
      <c r="K137" s="67" t="s">
        <v>173</v>
      </c>
      <c r="L137" s="66" t="s">
        <v>192</v>
      </c>
      <c r="M137" s="9" t="s">
        <v>193</v>
      </c>
      <c r="N137" s="67" t="s">
        <v>173</v>
      </c>
      <c r="O137" s="66" t="s">
        <v>192</v>
      </c>
      <c r="P137" s="9" t="s">
        <v>193</v>
      </c>
      <c r="Q137" s="67" t="s">
        <v>173</v>
      </c>
      <c r="R137" s="66" t="s">
        <v>164</v>
      </c>
      <c r="S137" s="134" t="s">
        <v>174</v>
      </c>
      <c r="U137" s="66" t="s">
        <v>192</v>
      </c>
      <c r="V137" s="105" t="s">
        <v>202</v>
      </c>
      <c r="W137" s="105" t="s">
        <v>203</v>
      </c>
      <c r="X137" s="9" t="s">
        <v>193</v>
      </c>
      <c r="Y137" s="67" t="s">
        <v>173</v>
      </c>
      <c r="Z137" s="240" t="s">
        <v>192</v>
      </c>
      <c r="AA137" s="411" t="s">
        <v>202</v>
      </c>
      <c r="AB137" s="411" t="s">
        <v>203</v>
      </c>
      <c r="AC137" s="241" t="s">
        <v>193</v>
      </c>
      <c r="AD137" s="67" t="s">
        <v>173</v>
      </c>
      <c r="AE137" s="66" t="s">
        <v>192</v>
      </c>
      <c r="AF137" s="105" t="s">
        <v>202</v>
      </c>
      <c r="AG137" s="105" t="s">
        <v>203</v>
      </c>
      <c r="AH137" s="9" t="s">
        <v>193</v>
      </c>
      <c r="AI137" s="67" t="s">
        <v>173</v>
      </c>
      <c r="AJ137" s="66" t="s">
        <v>192</v>
      </c>
      <c r="AK137" s="105" t="s">
        <v>202</v>
      </c>
      <c r="AL137" s="105" t="s">
        <v>203</v>
      </c>
      <c r="AM137" s="9" t="s">
        <v>193</v>
      </c>
      <c r="AN137" s="67" t="s">
        <v>173</v>
      </c>
      <c r="AO137" s="66" t="s">
        <v>192</v>
      </c>
      <c r="AP137" s="105" t="s">
        <v>202</v>
      </c>
      <c r="AQ137" s="105" t="s">
        <v>203</v>
      </c>
      <c r="AR137" s="9" t="s">
        <v>193</v>
      </c>
      <c r="AS137" s="67" t="s">
        <v>173</v>
      </c>
      <c r="AT137" s="66" t="s">
        <v>164</v>
      </c>
      <c r="AU137" s="134" t="s">
        <v>174</v>
      </c>
    </row>
    <row r="138" spans="2:51" outlineLevel="1" x14ac:dyDescent="0.35">
      <c r="B138" s="48" t="s">
        <v>74</v>
      </c>
      <c r="C138" s="62" t="s">
        <v>135</v>
      </c>
      <c r="D138" s="70">
        <v>0</v>
      </c>
      <c r="E138" s="71">
        <v>41</v>
      </c>
      <c r="F138" s="70">
        <v>2</v>
      </c>
      <c r="G138" s="138">
        <f t="shared" ref="G138:G191" si="99">E138+F138</f>
        <v>43</v>
      </c>
      <c r="H138" s="167">
        <f t="shared" ref="H138:H191" si="100">IFERROR((G138-E138)/E138,0)</f>
        <v>4.878048780487805E-2</v>
      </c>
      <c r="I138" s="70">
        <v>1</v>
      </c>
      <c r="J138" s="138">
        <f t="shared" ref="J138:J191" si="101">G138+I138</f>
        <v>44</v>
      </c>
      <c r="K138" s="167">
        <f t="shared" ref="K138:K192" si="102">IFERROR((J138-G138)/G138,0)</f>
        <v>2.3255813953488372E-2</v>
      </c>
      <c r="L138" s="70">
        <v>0</v>
      </c>
      <c r="M138" s="138">
        <f t="shared" ref="M138:M169" si="103">J138+L138</f>
        <v>44</v>
      </c>
      <c r="N138" s="167">
        <f t="shared" ref="N138:N192" si="104">IFERROR((M138-J138)/J138,0)</f>
        <v>0</v>
      </c>
      <c r="O138" s="70">
        <v>0</v>
      </c>
      <c r="P138" s="138">
        <f t="shared" ref="P138:P169" si="105">M138+O138</f>
        <v>44</v>
      </c>
      <c r="Q138" s="167">
        <f>IFERROR((P138-M138)/M138,0)</f>
        <v>0</v>
      </c>
      <c r="R138" s="164">
        <f t="shared" ref="R138:R169" si="106">D138+F138+I138+L138+O138</f>
        <v>3</v>
      </c>
      <c r="S138" s="165">
        <f>IFERROR((P138/E138)^(1/4)-1,0)</f>
        <v>1.7811151720015461E-2</v>
      </c>
      <c r="U138" s="170">
        <f>V138+W138</f>
        <v>0</v>
      </c>
      <c r="V138" s="6">
        <v>0</v>
      </c>
      <c r="W138" s="6">
        <v>0</v>
      </c>
      <c r="X138" s="138">
        <f t="shared" ref="X138" si="107">P138+U138</f>
        <v>44</v>
      </c>
      <c r="Y138" s="181">
        <f t="shared" ref="Y138" si="108">IFERROR((X138-P138)/P138,0)</f>
        <v>0</v>
      </c>
      <c r="Z138" s="405">
        <f>AA138+AB138</f>
        <v>1</v>
      </c>
      <c r="AA138" s="406">
        <v>0</v>
      </c>
      <c r="AB138" s="406">
        <v>1</v>
      </c>
      <c r="AC138" s="405">
        <f>X138+Z138</f>
        <v>45</v>
      </c>
      <c r="AD138" s="409">
        <f t="shared" ref="AD138" si="109">IFERROR((AC138-X138)/X138,0)</f>
        <v>2.2727272727272728E-2</v>
      </c>
      <c r="AE138" s="170">
        <f>AF138+AG138</f>
        <v>3</v>
      </c>
      <c r="AF138" s="6">
        <v>0</v>
      </c>
      <c r="AG138" s="6">
        <v>3</v>
      </c>
      <c r="AH138" s="138">
        <f t="shared" ref="AH138" si="110">AC138+AE138</f>
        <v>48</v>
      </c>
      <c r="AI138" s="160">
        <f t="shared" ref="AI138" si="111">IFERROR((AH138-AC138)/AC138,0)</f>
        <v>6.6666666666666666E-2</v>
      </c>
      <c r="AJ138" s="170">
        <f>AK138+AL138</f>
        <v>3</v>
      </c>
      <c r="AK138" s="6">
        <v>0</v>
      </c>
      <c r="AL138" s="6">
        <v>3</v>
      </c>
      <c r="AM138" s="138">
        <f t="shared" ref="AM138" si="112">AH138+AJ138</f>
        <v>51</v>
      </c>
      <c r="AN138" s="160">
        <f t="shared" ref="AN138" si="113">IFERROR((AM138-AH138)/AH138,0)</f>
        <v>6.25E-2</v>
      </c>
      <c r="AO138" s="170">
        <f>AP138+AQ138</f>
        <v>3</v>
      </c>
      <c r="AP138" s="6">
        <v>0</v>
      </c>
      <c r="AQ138" s="6">
        <v>3</v>
      </c>
      <c r="AR138" s="138">
        <f t="shared" ref="AR138" si="114">AM138+AO138</f>
        <v>54</v>
      </c>
      <c r="AS138" s="160">
        <f t="shared" ref="AS138" si="115">IFERROR((AR138-AM138)/AM138,0)</f>
        <v>5.8823529411764705E-2</v>
      </c>
      <c r="AT138" s="164">
        <f>U138+Z138+AE138+AJ138+AO138</f>
        <v>10</v>
      </c>
      <c r="AU138" s="165">
        <f>IFERROR((AR138/X138)^(1/4)-1,0)</f>
        <v>5.2531908691605622E-2</v>
      </c>
      <c r="AW138" s="358"/>
    </row>
    <row r="139" spans="2:51" outlineLevel="1" x14ac:dyDescent="0.35">
      <c r="B139" s="48" t="s">
        <v>75</v>
      </c>
      <c r="C139" s="62" t="s">
        <v>135</v>
      </c>
      <c r="D139" s="70">
        <v>6</v>
      </c>
      <c r="E139" s="71">
        <v>124</v>
      </c>
      <c r="F139" s="70">
        <v>4</v>
      </c>
      <c r="G139" s="138">
        <f t="shared" si="99"/>
        <v>128</v>
      </c>
      <c r="H139" s="167">
        <f t="shared" si="100"/>
        <v>3.2258064516129031E-2</v>
      </c>
      <c r="I139" s="70">
        <v>5</v>
      </c>
      <c r="J139" s="138">
        <f t="shared" si="101"/>
        <v>133</v>
      </c>
      <c r="K139" s="167">
        <f t="shared" si="102"/>
        <v>3.90625E-2</v>
      </c>
      <c r="L139" s="70">
        <v>0</v>
      </c>
      <c r="M139" s="138">
        <f t="shared" si="103"/>
        <v>133</v>
      </c>
      <c r="N139" s="167">
        <f t="shared" si="104"/>
        <v>0</v>
      </c>
      <c r="O139" s="70">
        <v>2</v>
      </c>
      <c r="P139" s="138">
        <f t="shared" si="105"/>
        <v>135</v>
      </c>
      <c r="Q139" s="167">
        <f t="shared" ref="Q139:Q191" si="116">IFERROR((P139-M139)/M139,0)</f>
        <v>1.5037593984962405E-2</v>
      </c>
      <c r="R139" s="164">
        <f t="shared" si="106"/>
        <v>17</v>
      </c>
      <c r="S139" s="165">
        <f t="shared" ref="S139:S191" si="117">IFERROR((P139/E139)^(1/4)-1,0)</f>
        <v>2.1475655833450791E-2</v>
      </c>
      <c r="U139" s="170">
        <f t="shared" ref="U139:U192" si="118">V139+W139</f>
        <v>2</v>
      </c>
      <c r="V139" s="6">
        <v>2</v>
      </c>
      <c r="W139" s="6">
        <v>0</v>
      </c>
      <c r="X139" s="138">
        <f t="shared" ref="X139:X192" si="119">P139+U139</f>
        <v>137</v>
      </c>
      <c r="Y139" s="181">
        <f t="shared" ref="Y139:Y192" si="120">IFERROR((X139-P139)/P139,0)</f>
        <v>1.4814814814814815E-2</v>
      </c>
      <c r="Z139" s="405">
        <f t="shared" ref="Z139:Z192" si="121">AA139+AB139</f>
        <v>3</v>
      </c>
      <c r="AA139" s="406">
        <v>2</v>
      </c>
      <c r="AB139" s="406">
        <v>1</v>
      </c>
      <c r="AC139" s="405">
        <f t="shared" ref="AC139:AC191" si="122">X139+Z139</f>
        <v>140</v>
      </c>
      <c r="AD139" s="409">
        <f t="shared" ref="AD139:AD192" si="123">IFERROR((AC139-X139)/X139,0)</f>
        <v>2.1897810218978103E-2</v>
      </c>
      <c r="AE139" s="170">
        <f t="shared" ref="AE139:AE192" si="124">AF139+AG139</f>
        <v>3</v>
      </c>
      <c r="AF139" s="6">
        <v>1</v>
      </c>
      <c r="AG139" s="6">
        <v>2</v>
      </c>
      <c r="AH139" s="138">
        <f t="shared" ref="AH139:AH192" si="125">AC139+AE139</f>
        <v>143</v>
      </c>
      <c r="AI139" s="160">
        <f t="shared" ref="AI139:AI192" si="126">IFERROR((AH139-AC139)/AC139,0)</f>
        <v>2.1428571428571429E-2</v>
      </c>
      <c r="AJ139" s="170">
        <f t="shared" ref="AJ139:AJ192" si="127">AK139+AL139</f>
        <v>3</v>
      </c>
      <c r="AK139" s="6">
        <v>1</v>
      </c>
      <c r="AL139" s="6">
        <v>2</v>
      </c>
      <c r="AM139" s="138">
        <f t="shared" ref="AM139:AM192" si="128">AH139+AJ139</f>
        <v>146</v>
      </c>
      <c r="AN139" s="160">
        <f t="shared" ref="AN139:AN192" si="129">IFERROR((AM139-AH139)/AH139,0)</f>
        <v>2.097902097902098E-2</v>
      </c>
      <c r="AO139" s="170">
        <f t="shared" ref="AO139:AO191" si="130">AP139+AQ139</f>
        <v>3</v>
      </c>
      <c r="AP139" s="6">
        <v>1</v>
      </c>
      <c r="AQ139" s="6">
        <v>2</v>
      </c>
      <c r="AR139" s="138">
        <f t="shared" ref="AR139:AR192" si="131">AM139+AO139</f>
        <v>149</v>
      </c>
      <c r="AS139" s="160">
        <f t="shared" ref="AS139:AS192" si="132">IFERROR((AR139-AM139)/AM139,0)</f>
        <v>2.0547945205479451E-2</v>
      </c>
      <c r="AT139" s="164">
        <f t="shared" ref="AT139:AT192" si="133">U139+Z139+AE139+AJ139+AO139</f>
        <v>14</v>
      </c>
      <c r="AU139" s="165">
        <f t="shared" ref="AU139:AU192" si="134">IFERROR((AR139/X139)^(1/4)-1,0)</f>
        <v>2.1213213028876687E-2</v>
      </c>
      <c r="AW139" s="358"/>
    </row>
    <row r="140" spans="2:51" outlineLevel="1" x14ac:dyDescent="0.35">
      <c r="B140" s="48" t="s">
        <v>76</v>
      </c>
      <c r="C140" s="62" t="s">
        <v>135</v>
      </c>
      <c r="D140" s="70">
        <v>9</v>
      </c>
      <c r="E140" s="71">
        <v>100</v>
      </c>
      <c r="F140" s="70">
        <v>4</v>
      </c>
      <c r="G140" s="138">
        <f t="shared" si="99"/>
        <v>104</v>
      </c>
      <c r="H140" s="167">
        <f t="shared" si="100"/>
        <v>0.04</v>
      </c>
      <c r="I140" s="70">
        <v>2</v>
      </c>
      <c r="J140" s="138">
        <f t="shared" si="101"/>
        <v>106</v>
      </c>
      <c r="K140" s="167">
        <f t="shared" si="102"/>
        <v>1.9230769230769232E-2</v>
      </c>
      <c r="L140" s="70">
        <v>1</v>
      </c>
      <c r="M140" s="138">
        <f t="shared" si="103"/>
        <v>107</v>
      </c>
      <c r="N140" s="167">
        <f t="shared" si="104"/>
        <v>9.433962264150943E-3</v>
      </c>
      <c r="O140" s="70">
        <v>4</v>
      </c>
      <c r="P140" s="138">
        <f t="shared" si="105"/>
        <v>111</v>
      </c>
      <c r="Q140" s="167">
        <f t="shared" si="116"/>
        <v>3.7383177570093455E-2</v>
      </c>
      <c r="R140" s="164">
        <f t="shared" si="106"/>
        <v>20</v>
      </c>
      <c r="S140" s="165">
        <f t="shared" si="117"/>
        <v>2.6433327247938676E-2</v>
      </c>
      <c r="U140" s="170">
        <f t="shared" si="118"/>
        <v>4</v>
      </c>
      <c r="V140" s="6">
        <v>4</v>
      </c>
      <c r="W140" s="6">
        <v>0</v>
      </c>
      <c r="X140" s="138">
        <f t="shared" si="119"/>
        <v>115</v>
      </c>
      <c r="Y140" s="181">
        <f t="shared" si="120"/>
        <v>3.6036036036036036E-2</v>
      </c>
      <c r="Z140" s="405">
        <f t="shared" si="121"/>
        <v>4</v>
      </c>
      <c r="AA140" s="406">
        <v>3</v>
      </c>
      <c r="AB140" s="406">
        <v>1</v>
      </c>
      <c r="AC140" s="405">
        <f t="shared" si="122"/>
        <v>119</v>
      </c>
      <c r="AD140" s="409">
        <f t="shared" si="123"/>
        <v>3.4782608695652174E-2</v>
      </c>
      <c r="AE140" s="170">
        <f t="shared" si="124"/>
        <v>7</v>
      </c>
      <c r="AF140" s="6">
        <v>3</v>
      </c>
      <c r="AG140" s="6">
        <v>4</v>
      </c>
      <c r="AH140" s="138">
        <f t="shared" si="125"/>
        <v>126</v>
      </c>
      <c r="AI140" s="160">
        <f t="shared" si="126"/>
        <v>5.8823529411764705E-2</v>
      </c>
      <c r="AJ140" s="170">
        <f t="shared" si="127"/>
        <v>7</v>
      </c>
      <c r="AK140" s="6">
        <v>2</v>
      </c>
      <c r="AL140" s="6">
        <v>5</v>
      </c>
      <c r="AM140" s="138">
        <f t="shared" si="128"/>
        <v>133</v>
      </c>
      <c r="AN140" s="160">
        <f t="shared" si="129"/>
        <v>5.5555555555555552E-2</v>
      </c>
      <c r="AO140" s="170">
        <f t="shared" si="130"/>
        <v>8</v>
      </c>
      <c r="AP140" s="6">
        <v>2</v>
      </c>
      <c r="AQ140" s="6">
        <v>6</v>
      </c>
      <c r="AR140" s="138">
        <f t="shared" si="131"/>
        <v>141</v>
      </c>
      <c r="AS140" s="160">
        <f t="shared" si="132"/>
        <v>6.0150375939849621E-2</v>
      </c>
      <c r="AT140" s="164">
        <f t="shared" si="133"/>
        <v>30</v>
      </c>
      <c r="AU140" s="165">
        <f t="shared" si="134"/>
        <v>5.2277581765057812E-2</v>
      </c>
      <c r="AW140" s="358"/>
    </row>
    <row r="141" spans="2:51" outlineLevel="1" x14ac:dyDescent="0.35">
      <c r="B141" s="48" t="s">
        <v>77</v>
      </c>
      <c r="C141" s="62" t="s">
        <v>135</v>
      </c>
      <c r="D141" s="70">
        <v>0</v>
      </c>
      <c r="E141" s="71">
        <v>31</v>
      </c>
      <c r="F141" s="70">
        <v>2</v>
      </c>
      <c r="G141" s="138">
        <f t="shared" si="99"/>
        <v>33</v>
      </c>
      <c r="H141" s="167">
        <f t="shared" si="100"/>
        <v>6.4516129032258063E-2</v>
      </c>
      <c r="I141" s="70">
        <v>2</v>
      </c>
      <c r="J141" s="138">
        <f t="shared" si="101"/>
        <v>35</v>
      </c>
      <c r="K141" s="167">
        <f t="shared" si="102"/>
        <v>6.0606060606060608E-2</v>
      </c>
      <c r="L141" s="70">
        <v>1</v>
      </c>
      <c r="M141" s="138">
        <f t="shared" si="103"/>
        <v>36</v>
      </c>
      <c r="N141" s="167">
        <f t="shared" si="104"/>
        <v>2.8571428571428571E-2</v>
      </c>
      <c r="O141" s="70">
        <v>0</v>
      </c>
      <c r="P141" s="138">
        <f t="shared" si="105"/>
        <v>36</v>
      </c>
      <c r="Q141" s="167">
        <f t="shared" si="116"/>
        <v>0</v>
      </c>
      <c r="R141" s="164">
        <f t="shared" si="106"/>
        <v>5</v>
      </c>
      <c r="S141" s="165">
        <f t="shared" si="117"/>
        <v>3.8090464343377706E-2</v>
      </c>
      <c r="U141" s="170">
        <f t="shared" si="118"/>
        <v>1</v>
      </c>
      <c r="V141" s="6">
        <v>1</v>
      </c>
      <c r="W141" s="6">
        <v>0</v>
      </c>
      <c r="X141" s="138">
        <f t="shared" si="119"/>
        <v>37</v>
      </c>
      <c r="Y141" s="181">
        <f t="shared" si="120"/>
        <v>2.7777777777777776E-2</v>
      </c>
      <c r="Z141" s="405">
        <f t="shared" si="121"/>
        <v>1</v>
      </c>
      <c r="AA141" s="406">
        <v>1</v>
      </c>
      <c r="AB141" s="406">
        <v>0</v>
      </c>
      <c r="AC141" s="405">
        <f t="shared" si="122"/>
        <v>38</v>
      </c>
      <c r="AD141" s="409">
        <f t="shared" si="123"/>
        <v>2.7027027027027029E-2</v>
      </c>
      <c r="AE141" s="170">
        <f t="shared" si="124"/>
        <v>1</v>
      </c>
      <c r="AF141" s="6">
        <v>1</v>
      </c>
      <c r="AG141" s="6">
        <v>0</v>
      </c>
      <c r="AH141" s="138">
        <f t="shared" si="125"/>
        <v>39</v>
      </c>
      <c r="AI141" s="160">
        <f t="shared" si="126"/>
        <v>2.6315789473684209E-2</v>
      </c>
      <c r="AJ141" s="170">
        <f t="shared" si="127"/>
        <v>2</v>
      </c>
      <c r="AK141" s="6">
        <v>1</v>
      </c>
      <c r="AL141" s="6">
        <v>1</v>
      </c>
      <c r="AM141" s="138">
        <f t="shared" si="128"/>
        <v>41</v>
      </c>
      <c r="AN141" s="160">
        <f t="shared" si="129"/>
        <v>5.128205128205128E-2</v>
      </c>
      <c r="AO141" s="170">
        <f t="shared" si="130"/>
        <v>1</v>
      </c>
      <c r="AP141" s="6">
        <v>0</v>
      </c>
      <c r="AQ141" s="6">
        <v>1</v>
      </c>
      <c r="AR141" s="138">
        <f t="shared" si="131"/>
        <v>42</v>
      </c>
      <c r="AS141" s="160">
        <f t="shared" si="132"/>
        <v>2.4390243902439025E-2</v>
      </c>
      <c r="AT141" s="164">
        <f t="shared" si="133"/>
        <v>6</v>
      </c>
      <c r="AU141" s="165">
        <f t="shared" si="134"/>
        <v>3.2195334133450881E-2</v>
      </c>
      <c r="AW141" s="358"/>
    </row>
    <row r="142" spans="2:51" outlineLevel="1" x14ac:dyDescent="0.35">
      <c r="B142" s="48" t="s">
        <v>78</v>
      </c>
      <c r="C142" s="62" t="s">
        <v>135</v>
      </c>
      <c r="D142" s="70">
        <v>102</v>
      </c>
      <c r="E142" s="71">
        <v>3426</v>
      </c>
      <c r="F142" s="70">
        <v>72</v>
      </c>
      <c r="G142" s="138">
        <f t="shared" si="99"/>
        <v>3498</v>
      </c>
      <c r="H142" s="167">
        <f t="shared" si="100"/>
        <v>2.1015761821366025E-2</v>
      </c>
      <c r="I142" s="70">
        <v>73</v>
      </c>
      <c r="J142" s="138">
        <f t="shared" si="101"/>
        <v>3571</v>
      </c>
      <c r="K142" s="167">
        <f t="shared" si="102"/>
        <v>2.0869068038879359E-2</v>
      </c>
      <c r="L142" s="70">
        <v>48</v>
      </c>
      <c r="M142" s="138">
        <f t="shared" si="103"/>
        <v>3619</v>
      </c>
      <c r="N142" s="167">
        <f t="shared" si="104"/>
        <v>1.3441612993559227E-2</v>
      </c>
      <c r="O142" s="70">
        <v>62</v>
      </c>
      <c r="P142" s="138">
        <f t="shared" si="105"/>
        <v>3681</v>
      </c>
      <c r="Q142" s="167">
        <f t="shared" si="116"/>
        <v>1.7131804365846919E-2</v>
      </c>
      <c r="R142" s="164">
        <f t="shared" si="106"/>
        <v>357</v>
      </c>
      <c r="S142" s="165">
        <f t="shared" si="117"/>
        <v>1.810979263453949E-2</v>
      </c>
      <c r="U142" s="170">
        <f t="shared" si="118"/>
        <v>103</v>
      </c>
      <c r="V142" s="6">
        <v>100</v>
      </c>
      <c r="W142" s="6">
        <v>3</v>
      </c>
      <c r="X142" s="138">
        <f t="shared" si="119"/>
        <v>3784</v>
      </c>
      <c r="Y142" s="181">
        <f t="shared" si="120"/>
        <v>2.7981526759032871E-2</v>
      </c>
      <c r="Z142" s="405">
        <f t="shared" si="121"/>
        <v>91</v>
      </c>
      <c r="AA142" s="406">
        <v>82</v>
      </c>
      <c r="AB142" s="406">
        <v>9</v>
      </c>
      <c r="AC142" s="405">
        <f t="shared" si="122"/>
        <v>3875</v>
      </c>
      <c r="AD142" s="409">
        <f t="shared" si="123"/>
        <v>2.4048625792811841E-2</v>
      </c>
      <c r="AE142" s="170">
        <f t="shared" si="124"/>
        <v>85</v>
      </c>
      <c r="AF142" s="6">
        <v>70</v>
      </c>
      <c r="AG142" s="6">
        <v>15</v>
      </c>
      <c r="AH142" s="138">
        <f t="shared" si="125"/>
        <v>3960</v>
      </c>
      <c r="AI142" s="160">
        <f t="shared" si="126"/>
        <v>2.1935483870967741E-2</v>
      </c>
      <c r="AJ142" s="170">
        <f t="shared" si="127"/>
        <v>79</v>
      </c>
      <c r="AK142" s="6">
        <v>57</v>
      </c>
      <c r="AL142" s="6">
        <v>22</v>
      </c>
      <c r="AM142" s="138">
        <f t="shared" si="128"/>
        <v>4039</v>
      </c>
      <c r="AN142" s="160">
        <f t="shared" si="129"/>
        <v>1.994949494949495E-2</v>
      </c>
      <c r="AO142" s="170">
        <f t="shared" si="130"/>
        <v>68</v>
      </c>
      <c r="AP142" s="6">
        <v>46</v>
      </c>
      <c r="AQ142" s="6">
        <v>22</v>
      </c>
      <c r="AR142" s="138">
        <f t="shared" si="131"/>
        <v>4107</v>
      </c>
      <c r="AS142" s="160">
        <f t="shared" si="132"/>
        <v>1.6835850458034166E-2</v>
      </c>
      <c r="AT142" s="164">
        <f t="shared" si="133"/>
        <v>426</v>
      </c>
      <c r="AU142" s="165">
        <f t="shared" si="134"/>
        <v>2.0688904560229204E-2</v>
      </c>
      <c r="AW142" s="358"/>
    </row>
    <row r="143" spans="2:51" outlineLevel="1" x14ac:dyDescent="0.35">
      <c r="B143" s="48" t="s">
        <v>79</v>
      </c>
      <c r="C143" s="62" t="s">
        <v>135</v>
      </c>
      <c r="D143" s="70">
        <v>4</v>
      </c>
      <c r="E143" s="71">
        <v>147</v>
      </c>
      <c r="F143" s="70">
        <v>2</v>
      </c>
      <c r="G143" s="138">
        <f t="shared" si="99"/>
        <v>149</v>
      </c>
      <c r="H143" s="167">
        <f t="shared" si="100"/>
        <v>1.3605442176870748E-2</v>
      </c>
      <c r="I143" s="70">
        <v>2</v>
      </c>
      <c r="J143" s="138">
        <f t="shared" si="101"/>
        <v>151</v>
      </c>
      <c r="K143" s="167">
        <f t="shared" si="102"/>
        <v>1.3422818791946308E-2</v>
      </c>
      <c r="L143" s="70">
        <v>3</v>
      </c>
      <c r="M143" s="138">
        <f t="shared" si="103"/>
        <v>154</v>
      </c>
      <c r="N143" s="167">
        <f t="shared" si="104"/>
        <v>1.9867549668874173E-2</v>
      </c>
      <c r="O143" s="70">
        <v>1</v>
      </c>
      <c r="P143" s="138">
        <f t="shared" si="105"/>
        <v>155</v>
      </c>
      <c r="Q143" s="167">
        <f t="shared" si="116"/>
        <v>6.4935064935064939E-3</v>
      </c>
      <c r="R143" s="164">
        <f t="shared" si="106"/>
        <v>12</v>
      </c>
      <c r="S143" s="165">
        <f t="shared" si="117"/>
        <v>1.3336277866519808E-2</v>
      </c>
      <c r="U143" s="170">
        <f t="shared" si="118"/>
        <v>1</v>
      </c>
      <c r="V143" s="6">
        <v>1</v>
      </c>
      <c r="W143" s="6">
        <v>0</v>
      </c>
      <c r="X143" s="138">
        <f t="shared" si="119"/>
        <v>156</v>
      </c>
      <c r="Y143" s="181">
        <f t="shared" si="120"/>
        <v>6.4516129032258064E-3</v>
      </c>
      <c r="Z143" s="405">
        <f t="shared" si="121"/>
        <v>1</v>
      </c>
      <c r="AA143" s="406">
        <v>1</v>
      </c>
      <c r="AB143" s="406">
        <v>0</v>
      </c>
      <c r="AC143" s="405">
        <f t="shared" si="122"/>
        <v>157</v>
      </c>
      <c r="AD143" s="409">
        <f t="shared" si="123"/>
        <v>6.41025641025641E-3</v>
      </c>
      <c r="AE143" s="170">
        <f t="shared" si="124"/>
        <v>1</v>
      </c>
      <c r="AF143" s="6">
        <v>1</v>
      </c>
      <c r="AG143" s="6">
        <v>0</v>
      </c>
      <c r="AH143" s="138">
        <f t="shared" si="125"/>
        <v>158</v>
      </c>
      <c r="AI143" s="160">
        <f t="shared" si="126"/>
        <v>6.369426751592357E-3</v>
      </c>
      <c r="AJ143" s="170">
        <f t="shared" si="127"/>
        <v>1</v>
      </c>
      <c r="AK143" s="6">
        <v>1</v>
      </c>
      <c r="AL143" s="6">
        <v>0</v>
      </c>
      <c r="AM143" s="138">
        <f t="shared" si="128"/>
        <v>159</v>
      </c>
      <c r="AN143" s="160">
        <f t="shared" si="129"/>
        <v>6.3291139240506328E-3</v>
      </c>
      <c r="AO143" s="170">
        <f t="shared" si="130"/>
        <v>2</v>
      </c>
      <c r="AP143" s="6">
        <v>1</v>
      </c>
      <c r="AQ143" s="6">
        <v>1</v>
      </c>
      <c r="AR143" s="138">
        <f t="shared" si="131"/>
        <v>161</v>
      </c>
      <c r="AS143" s="160">
        <f t="shared" si="132"/>
        <v>1.2578616352201259E-2</v>
      </c>
      <c r="AT143" s="164">
        <f t="shared" si="133"/>
        <v>6</v>
      </c>
      <c r="AU143" s="165">
        <f t="shared" si="134"/>
        <v>7.9182744560382101E-3</v>
      </c>
      <c r="AW143" s="358"/>
    </row>
    <row r="144" spans="2:51" outlineLevel="1" x14ac:dyDescent="0.35">
      <c r="B144" s="48" t="s">
        <v>80</v>
      </c>
      <c r="C144" s="62" t="s">
        <v>135</v>
      </c>
      <c r="D144" s="70">
        <v>3</v>
      </c>
      <c r="E144" s="71">
        <v>50</v>
      </c>
      <c r="F144" s="70">
        <v>2</v>
      </c>
      <c r="G144" s="138">
        <f t="shared" si="99"/>
        <v>52</v>
      </c>
      <c r="H144" s="167">
        <f t="shared" si="100"/>
        <v>0.04</v>
      </c>
      <c r="I144" s="70">
        <v>2</v>
      </c>
      <c r="J144" s="138">
        <f t="shared" si="101"/>
        <v>54</v>
      </c>
      <c r="K144" s="167">
        <f t="shared" si="102"/>
        <v>3.8461538461538464E-2</v>
      </c>
      <c r="L144" s="70">
        <v>1</v>
      </c>
      <c r="M144" s="138">
        <f t="shared" si="103"/>
        <v>55</v>
      </c>
      <c r="N144" s="167">
        <f t="shared" si="104"/>
        <v>1.8518518518518517E-2</v>
      </c>
      <c r="O144" s="70">
        <v>7</v>
      </c>
      <c r="P144" s="138">
        <f t="shared" si="105"/>
        <v>62</v>
      </c>
      <c r="Q144" s="167">
        <f t="shared" si="116"/>
        <v>0.12727272727272726</v>
      </c>
      <c r="R144" s="164">
        <f t="shared" si="106"/>
        <v>15</v>
      </c>
      <c r="S144" s="165">
        <f t="shared" si="117"/>
        <v>5.5250146915888587E-2</v>
      </c>
      <c r="U144" s="170">
        <f t="shared" si="118"/>
        <v>5</v>
      </c>
      <c r="V144" s="6">
        <v>5</v>
      </c>
      <c r="W144" s="6">
        <v>0</v>
      </c>
      <c r="X144" s="138">
        <f t="shared" si="119"/>
        <v>67</v>
      </c>
      <c r="Y144" s="181">
        <f t="shared" si="120"/>
        <v>8.0645161290322578E-2</v>
      </c>
      <c r="Z144" s="405">
        <f t="shared" si="121"/>
        <v>5</v>
      </c>
      <c r="AA144" s="406">
        <v>4</v>
      </c>
      <c r="AB144" s="406">
        <v>1</v>
      </c>
      <c r="AC144" s="405">
        <f t="shared" si="122"/>
        <v>72</v>
      </c>
      <c r="AD144" s="409">
        <f t="shared" si="123"/>
        <v>7.4626865671641784E-2</v>
      </c>
      <c r="AE144" s="170">
        <f t="shared" si="124"/>
        <v>4</v>
      </c>
      <c r="AF144" s="6">
        <v>3</v>
      </c>
      <c r="AG144" s="6">
        <v>1</v>
      </c>
      <c r="AH144" s="138">
        <f t="shared" si="125"/>
        <v>76</v>
      </c>
      <c r="AI144" s="160">
        <f t="shared" si="126"/>
        <v>5.5555555555555552E-2</v>
      </c>
      <c r="AJ144" s="170">
        <f t="shared" si="127"/>
        <v>4</v>
      </c>
      <c r="AK144" s="6">
        <v>3</v>
      </c>
      <c r="AL144" s="6">
        <v>1</v>
      </c>
      <c r="AM144" s="138">
        <f t="shared" si="128"/>
        <v>80</v>
      </c>
      <c r="AN144" s="160">
        <f t="shared" si="129"/>
        <v>5.2631578947368418E-2</v>
      </c>
      <c r="AO144" s="170">
        <f t="shared" si="130"/>
        <v>3</v>
      </c>
      <c r="AP144" s="6">
        <v>2</v>
      </c>
      <c r="AQ144" s="6">
        <v>1</v>
      </c>
      <c r="AR144" s="138">
        <f t="shared" si="131"/>
        <v>83</v>
      </c>
      <c r="AS144" s="160">
        <f t="shared" si="132"/>
        <v>3.7499999999999999E-2</v>
      </c>
      <c r="AT144" s="164">
        <f t="shared" si="133"/>
        <v>21</v>
      </c>
      <c r="AU144" s="165">
        <f t="shared" si="134"/>
        <v>5.4996022840410497E-2</v>
      </c>
      <c r="AW144" s="358"/>
    </row>
    <row r="145" spans="2:49" outlineLevel="1" x14ac:dyDescent="0.35">
      <c r="B145" s="48" t="s">
        <v>81</v>
      </c>
      <c r="C145" s="62" t="s">
        <v>135</v>
      </c>
      <c r="D145" s="70">
        <v>9</v>
      </c>
      <c r="E145" s="71">
        <v>253</v>
      </c>
      <c r="F145" s="70">
        <v>5</v>
      </c>
      <c r="G145" s="138">
        <f t="shared" si="99"/>
        <v>258</v>
      </c>
      <c r="H145" s="167">
        <f t="shared" si="100"/>
        <v>1.9762845849802372E-2</v>
      </c>
      <c r="I145" s="70">
        <v>4</v>
      </c>
      <c r="J145" s="138">
        <f t="shared" si="101"/>
        <v>262</v>
      </c>
      <c r="K145" s="167">
        <f t="shared" si="102"/>
        <v>1.5503875968992248E-2</v>
      </c>
      <c r="L145" s="70">
        <v>3</v>
      </c>
      <c r="M145" s="138">
        <f t="shared" si="103"/>
        <v>265</v>
      </c>
      <c r="N145" s="167">
        <f t="shared" si="104"/>
        <v>1.1450381679389313E-2</v>
      </c>
      <c r="O145" s="70">
        <v>3</v>
      </c>
      <c r="P145" s="138">
        <f t="shared" si="105"/>
        <v>268</v>
      </c>
      <c r="Q145" s="167">
        <f t="shared" si="116"/>
        <v>1.1320754716981131E-2</v>
      </c>
      <c r="R145" s="164">
        <f t="shared" si="106"/>
        <v>24</v>
      </c>
      <c r="S145" s="165">
        <f t="shared" si="117"/>
        <v>1.4503543311890077E-2</v>
      </c>
      <c r="U145" s="170">
        <f t="shared" si="118"/>
        <v>5</v>
      </c>
      <c r="V145" s="6">
        <v>4</v>
      </c>
      <c r="W145" s="6">
        <v>1</v>
      </c>
      <c r="X145" s="138">
        <f t="shared" si="119"/>
        <v>273</v>
      </c>
      <c r="Y145" s="181">
        <f t="shared" si="120"/>
        <v>1.8656716417910446E-2</v>
      </c>
      <c r="Z145" s="405">
        <f t="shared" si="121"/>
        <v>4</v>
      </c>
      <c r="AA145" s="406">
        <v>4</v>
      </c>
      <c r="AB145" s="406">
        <v>0</v>
      </c>
      <c r="AC145" s="405">
        <f t="shared" si="122"/>
        <v>277</v>
      </c>
      <c r="AD145" s="409">
        <f t="shared" si="123"/>
        <v>1.4652014652014652E-2</v>
      </c>
      <c r="AE145" s="170">
        <f t="shared" si="124"/>
        <v>4</v>
      </c>
      <c r="AF145" s="6">
        <v>3</v>
      </c>
      <c r="AG145" s="6">
        <v>1</v>
      </c>
      <c r="AH145" s="138">
        <f t="shared" si="125"/>
        <v>281</v>
      </c>
      <c r="AI145" s="160">
        <f t="shared" si="126"/>
        <v>1.444043321299639E-2</v>
      </c>
      <c r="AJ145" s="170">
        <f t="shared" si="127"/>
        <v>3</v>
      </c>
      <c r="AK145" s="6">
        <v>2</v>
      </c>
      <c r="AL145" s="6">
        <v>1</v>
      </c>
      <c r="AM145" s="138">
        <f t="shared" si="128"/>
        <v>284</v>
      </c>
      <c r="AN145" s="160">
        <f t="shared" si="129"/>
        <v>1.0676156583629894E-2</v>
      </c>
      <c r="AO145" s="170">
        <f t="shared" si="130"/>
        <v>2</v>
      </c>
      <c r="AP145" s="6">
        <v>2</v>
      </c>
      <c r="AQ145" s="6">
        <v>0</v>
      </c>
      <c r="AR145" s="138">
        <f t="shared" si="131"/>
        <v>286</v>
      </c>
      <c r="AS145" s="160">
        <f t="shared" si="132"/>
        <v>7.0422535211267607E-3</v>
      </c>
      <c r="AT145" s="164">
        <f t="shared" si="133"/>
        <v>18</v>
      </c>
      <c r="AU145" s="165">
        <f t="shared" si="134"/>
        <v>1.1697895341449271E-2</v>
      </c>
      <c r="AW145" s="358"/>
    </row>
    <row r="146" spans="2:49" outlineLevel="1" x14ac:dyDescent="0.35">
      <c r="B146" s="48" t="s">
        <v>82</v>
      </c>
      <c r="C146" s="62" t="s">
        <v>135</v>
      </c>
      <c r="D146" s="70">
        <v>0</v>
      </c>
      <c r="E146" s="71">
        <v>11</v>
      </c>
      <c r="F146" s="70">
        <v>0</v>
      </c>
      <c r="G146" s="138">
        <f t="shared" si="99"/>
        <v>11</v>
      </c>
      <c r="H146" s="167">
        <f t="shared" si="100"/>
        <v>0</v>
      </c>
      <c r="I146" s="70">
        <v>1</v>
      </c>
      <c r="J146" s="138">
        <f t="shared" si="101"/>
        <v>12</v>
      </c>
      <c r="K146" s="167">
        <f t="shared" si="102"/>
        <v>9.0909090909090912E-2</v>
      </c>
      <c r="L146" s="70">
        <v>0</v>
      </c>
      <c r="M146" s="138">
        <f t="shared" si="103"/>
        <v>12</v>
      </c>
      <c r="N146" s="167">
        <f t="shared" si="104"/>
        <v>0</v>
      </c>
      <c r="O146" s="70">
        <v>0</v>
      </c>
      <c r="P146" s="138">
        <f t="shared" si="105"/>
        <v>12</v>
      </c>
      <c r="Q146" s="167">
        <f t="shared" si="116"/>
        <v>0</v>
      </c>
      <c r="R146" s="164">
        <f t="shared" si="106"/>
        <v>1</v>
      </c>
      <c r="S146" s="165">
        <f t="shared" si="117"/>
        <v>2.1991162258356844E-2</v>
      </c>
      <c r="U146" s="170">
        <f t="shared" si="118"/>
        <v>0</v>
      </c>
      <c r="V146" s="6">
        <v>0</v>
      </c>
      <c r="W146" s="6">
        <v>0</v>
      </c>
      <c r="X146" s="138">
        <f t="shared" si="119"/>
        <v>12</v>
      </c>
      <c r="Y146" s="181">
        <f t="shared" si="120"/>
        <v>0</v>
      </c>
      <c r="Z146" s="405">
        <f t="shared" si="121"/>
        <v>0</v>
      </c>
      <c r="AA146" s="406">
        <v>0</v>
      </c>
      <c r="AB146" s="406">
        <v>0</v>
      </c>
      <c r="AC146" s="405">
        <f t="shared" si="122"/>
        <v>12</v>
      </c>
      <c r="AD146" s="409">
        <f t="shared" si="123"/>
        <v>0</v>
      </c>
      <c r="AE146" s="170">
        <f t="shared" si="124"/>
        <v>0</v>
      </c>
      <c r="AF146" s="6">
        <v>0</v>
      </c>
      <c r="AG146" s="6">
        <v>0</v>
      </c>
      <c r="AH146" s="138">
        <f t="shared" si="125"/>
        <v>12</v>
      </c>
      <c r="AI146" s="160">
        <f t="shared" si="126"/>
        <v>0</v>
      </c>
      <c r="AJ146" s="170">
        <f t="shared" si="127"/>
        <v>0</v>
      </c>
      <c r="AK146" s="6">
        <v>0</v>
      </c>
      <c r="AL146" s="6">
        <v>0</v>
      </c>
      <c r="AM146" s="138">
        <f t="shared" si="128"/>
        <v>12</v>
      </c>
      <c r="AN146" s="160">
        <f t="shared" si="129"/>
        <v>0</v>
      </c>
      <c r="AO146" s="170">
        <f t="shared" si="130"/>
        <v>0</v>
      </c>
      <c r="AP146" s="6">
        <v>0</v>
      </c>
      <c r="AQ146" s="6">
        <v>0</v>
      </c>
      <c r="AR146" s="138">
        <f t="shared" si="131"/>
        <v>12</v>
      </c>
      <c r="AS146" s="160">
        <f t="shared" si="132"/>
        <v>0</v>
      </c>
      <c r="AT146" s="164">
        <f t="shared" si="133"/>
        <v>0</v>
      </c>
      <c r="AU146" s="165">
        <f t="shared" si="134"/>
        <v>0</v>
      </c>
      <c r="AW146" s="358"/>
    </row>
    <row r="147" spans="2:49" outlineLevel="1" x14ac:dyDescent="0.35">
      <c r="B147" s="48" t="s">
        <v>83</v>
      </c>
      <c r="C147" s="62" t="s">
        <v>135</v>
      </c>
      <c r="D147" s="70">
        <v>3</v>
      </c>
      <c r="E147" s="71">
        <v>51</v>
      </c>
      <c r="F147" s="70">
        <v>1</v>
      </c>
      <c r="G147" s="138">
        <f t="shared" si="99"/>
        <v>52</v>
      </c>
      <c r="H147" s="167">
        <f t="shared" si="100"/>
        <v>1.9607843137254902E-2</v>
      </c>
      <c r="I147" s="70">
        <v>2</v>
      </c>
      <c r="J147" s="138">
        <f t="shared" si="101"/>
        <v>54</v>
      </c>
      <c r="K147" s="167">
        <f t="shared" si="102"/>
        <v>3.8461538461538464E-2</v>
      </c>
      <c r="L147" s="70">
        <v>1</v>
      </c>
      <c r="M147" s="138">
        <f t="shared" si="103"/>
        <v>55</v>
      </c>
      <c r="N147" s="167">
        <f t="shared" si="104"/>
        <v>1.8518518518518517E-2</v>
      </c>
      <c r="O147" s="70">
        <v>2</v>
      </c>
      <c r="P147" s="138">
        <f t="shared" si="105"/>
        <v>57</v>
      </c>
      <c r="Q147" s="167">
        <f t="shared" si="116"/>
        <v>3.6363636363636362E-2</v>
      </c>
      <c r="R147" s="164">
        <f t="shared" si="106"/>
        <v>9</v>
      </c>
      <c r="S147" s="165">
        <f t="shared" si="117"/>
        <v>2.8196615313359485E-2</v>
      </c>
      <c r="U147" s="170">
        <f t="shared" si="118"/>
        <v>4</v>
      </c>
      <c r="V147" s="6">
        <v>4</v>
      </c>
      <c r="W147" s="6">
        <v>0</v>
      </c>
      <c r="X147" s="138">
        <f t="shared" si="119"/>
        <v>61</v>
      </c>
      <c r="Y147" s="181">
        <f t="shared" si="120"/>
        <v>7.0175438596491224E-2</v>
      </c>
      <c r="Z147" s="405">
        <f t="shared" si="121"/>
        <v>4</v>
      </c>
      <c r="AA147" s="406">
        <v>3</v>
      </c>
      <c r="AB147" s="406">
        <v>1</v>
      </c>
      <c r="AC147" s="405">
        <f t="shared" si="122"/>
        <v>65</v>
      </c>
      <c r="AD147" s="409">
        <f t="shared" si="123"/>
        <v>6.5573770491803282E-2</v>
      </c>
      <c r="AE147" s="170">
        <f t="shared" si="124"/>
        <v>4</v>
      </c>
      <c r="AF147" s="6">
        <v>3</v>
      </c>
      <c r="AG147" s="6">
        <v>1</v>
      </c>
      <c r="AH147" s="138">
        <f t="shared" si="125"/>
        <v>69</v>
      </c>
      <c r="AI147" s="160">
        <f t="shared" si="126"/>
        <v>6.1538461538461542E-2</v>
      </c>
      <c r="AJ147" s="170">
        <f t="shared" si="127"/>
        <v>4</v>
      </c>
      <c r="AK147" s="6">
        <v>2</v>
      </c>
      <c r="AL147" s="6">
        <v>2</v>
      </c>
      <c r="AM147" s="138">
        <f t="shared" si="128"/>
        <v>73</v>
      </c>
      <c r="AN147" s="160">
        <f t="shared" si="129"/>
        <v>5.7971014492753624E-2</v>
      </c>
      <c r="AO147" s="170">
        <f t="shared" si="130"/>
        <v>3</v>
      </c>
      <c r="AP147" s="6">
        <v>1</v>
      </c>
      <c r="AQ147" s="6">
        <v>2</v>
      </c>
      <c r="AR147" s="138">
        <f t="shared" si="131"/>
        <v>76</v>
      </c>
      <c r="AS147" s="160">
        <f t="shared" si="132"/>
        <v>4.1095890410958902E-2</v>
      </c>
      <c r="AT147" s="164">
        <f t="shared" si="133"/>
        <v>19</v>
      </c>
      <c r="AU147" s="165">
        <f t="shared" si="134"/>
        <v>5.6503498028988464E-2</v>
      </c>
      <c r="AW147" s="358"/>
    </row>
    <row r="148" spans="2:49" outlineLevel="1" x14ac:dyDescent="0.35">
      <c r="B148" s="48" t="s">
        <v>84</v>
      </c>
      <c r="C148" s="62" t="s">
        <v>135</v>
      </c>
      <c r="D148" s="70">
        <v>0</v>
      </c>
      <c r="E148" s="71">
        <v>39</v>
      </c>
      <c r="F148" s="70">
        <v>0</v>
      </c>
      <c r="G148" s="138">
        <f t="shared" si="99"/>
        <v>39</v>
      </c>
      <c r="H148" s="167">
        <f t="shared" si="100"/>
        <v>0</v>
      </c>
      <c r="I148" s="70">
        <v>1</v>
      </c>
      <c r="J148" s="138">
        <f t="shared" si="101"/>
        <v>40</v>
      </c>
      <c r="K148" s="167">
        <f t="shared" si="102"/>
        <v>2.564102564102564E-2</v>
      </c>
      <c r="L148" s="70">
        <v>2</v>
      </c>
      <c r="M148" s="138">
        <f t="shared" si="103"/>
        <v>42</v>
      </c>
      <c r="N148" s="167">
        <f t="shared" si="104"/>
        <v>0.05</v>
      </c>
      <c r="O148" s="70">
        <v>1</v>
      </c>
      <c r="P148" s="138">
        <f t="shared" si="105"/>
        <v>43</v>
      </c>
      <c r="Q148" s="167">
        <f t="shared" si="116"/>
        <v>2.3809523809523808E-2</v>
      </c>
      <c r="R148" s="164">
        <f t="shared" si="106"/>
        <v>4</v>
      </c>
      <c r="S148" s="165">
        <f t="shared" si="117"/>
        <v>2.4709970960971273E-2</v>
      </c>
      <c r="U148" s="170">
        <f t="shared" si="118"/>
        <v>5</v>
      </c>
      <c r="V148" s="6">
        <v>5</v>
      </c>
      <c r="W148" s="6">
        <v>0</v>
      </c>
      <c r="X148" s="138">
        <f t="shared" si="119"/>
        <v>48</v>
      </c>
      <c r="Y148" s="181">
        <f t="shared" si="120"/>
        <v>0.11627906976744186</v>
      </c>
      <c r="Z148" s="405">
        <f t="shared" si="121"/>
        <v>3</v>
      </c>
      <c r="AA148" s="406">
        <v>2</v>
      </c>
      <c r="AB148" s="406">
        <v>1</v>
      </c>
      <c r="AC148" s="405">
        <f t="shared" si="122"/>
        <v>51</v>
      </c>
      <c r="AD148" s="409">
        <f t="shared" si="123"/>
        <v>6.25E-2</v>
      </c>
      <c r="AE148" s="170">
        <f t="shared" si="124"/>
        <v>4</v>
      </c>
      <c r="AF148" s="6">
        <v>1</v>
      </c>
      <c r="AG148" s="6">
        <v>3</v>
      </c>
      <c r="AH148" s="138">
        <f t="shared" si="125"/>
        <v>55</v>
      </c>
      <c r="AI148" s="160">
        <f t="shared" si="126"/>
        <v>7.8431372549019607E-2</v>
      </c>
      <c r="AJ148" s="170">
        <f t="shared" si="127"/>
        <v>5</v>
      </c>
      <c r="AK148" s="6">
        <v>1</v>
      </c>
      <c r="AL148" s="6">
        <v>4</v>
      </c>
      <c r="AM148" s="138">
        <f t="shared" si="128"/>
        <v>60</v>
      </c>
      <c r="AN148" s="160">
        <f t="shared" si="129"/>
        <v>9.0909090909090912E-2</v>
      </c>
      <c r="AO148" s="170">
        <f t="shared" si="130"/>
        <v>5</v>
      </c>
      <c r="AP148" s="6">
        <v>1</v>
      </c>
      <c r="AQ148" s="6">
        <v>4</v>
      </c>
      <c r="AR148" s="138">
        <f t="shared" si="131"/>
        <v>65</v>
      </c>
      <c r="AS148" s="160">
        <f t="shared" si="132"/>
        <v>8.3333333333333329E-2</v>
      </c>
      <c r="AT148" s="164">
        <f t="shared" si="133"/>
        <v>22</v>
      </c>
      <c r="AU148" s="165">
        <f t="shared" si="134"/>
        <v>7.8743097458370048E-2</v>
      </c>
      <c r="AW148" s="358"/>
    </row>
    <row r="149" spans="2:49" outlineLevel="1" x14ac:dyDescent="0.35">
      <c r="B149" s="48" t="s">
        <v>85</v>
      </c>
      <c r="C149" s="62" t="s">
        <v>135</v>
      </c>
      <c r="D149" s="70">
        <v>10</v>
      </c>
      <c r="E149" s="71">
        <v>35</v>
      </c>
      <c r="F149" s="70">
        <v>5</v>
      </c>
      <c r="G149" s="138">
        <f t="shared" si="99"/>
        <v>40</v>
      </c>
      <c r="H149" s="167">
        <f t="shared" si="100"/>
        <v>0.14285714285714285</v>
      </c>
      <c r="I149" s="70">
        <v>2</v>
      </c>
      <c r="J149" s="138">
        <f t="shared" si="101"/>
        <v>42</v>
      </c>
      <c r="K149" s="167">
        <f t="shared" si="102"/>
        <v>0.05</v>
      </c>
      <c r="L149" s="70">
        <v>0</v>
      </c>
      <c r="M149" s="138">
        <f t="shared" si="103"/>
        <v>42</v>
      </c>
      <c r="N149" s="167">
        <f t="shared" si="104"/>
        <v>0</v>
      </c>
      <c r="O149" s="70">
        <v>0</v>
      </c>
      <c r="P149" s="138">
        <f t="shared" si="105"/>
        <v>42</v>
      </c>
      <c r="Q149" s="167">
        <f t="shared" si="116"/>
        <v>0</v>
      </c>
      <c r="R149" s="164">
        <f t="shared" si="106"/>
        <v>17</v>
      </c>
      <c r="S149" s="165">
        <f t="shared" si="117"/>
        <v>4.6635139392105618E-2</v>
      </c>
      <c r="U149" s="170">
        <f t="shared" si="118"/>
        <v>0</v>
      </c>
      <c r="V149" s="6">
        <v>0</v>
      </c>
      <c r="W149" s="6">
        <v>0</v>
      </c>
      <c r="X149" s="138">
        <f t="shared" si="119"/>
        <v>42</v>
      </c>
      <c r="Y149" s="181">
        <f t="shared" si="120"/>
        <v>0</v>
      </c>
      <c r="Z149" s="405">
        <f t="shared" si="121"/>
        <v>1</v>
      </c>
      <c r="AA149" s="406">
        <v>0</v>
      </c>
      <c r="AB149" s="406">
        <v>1</v>
      </c>
      <c r="AC149" s="405">
        <f t="shared" si="122"/>
        <v>43</v>
      </c>
      <c r="AD149" s="409">
        <f t="shared" si="123"/>
        <v>2.3809523809523808E-2</v>
      </c>
      <c r="AE149" s="170">
        <f t="shared" si="124"/>
        <v>1</v>
      </c>
      <c r="AF149" s="6">
        <v>0</v>
      </c>
      <c r="AG149" s="6">
        <v>1</v>
      </c>
      <c r="AH149" s="138">
        <f t="shared" si="125"/>
        <v>44</v>
      </c>
      <c r="AI149" s="160">
        <f t="shared" si="126"/>
        <v>2.3255813953488372E-2</v>
      </c>
      <c r="AJ149" s="170">
        <f t="shared" si="127"/>
        <v>1</v>
      </c>
      <c r="AK149" s="6">
        <v>0</v>
      </c>
      <c r="AL149" s="6">
        <v>1</v>
      </c>
      <c r="AM149" s="138">
        <f t="shared" si="128"/>
        <v>45</v>
      </c>
      <c r="AN149" s="160">
        <f t="shared" si="129"/>
        <v>2.2727272727272728E-2</v>
      </c>
      <c r="AO149" s="170">
        <f t="shared" si="130"/>
        <v>1</v>
      </c>
      <c r="AP149" s="6">
        <v>0</v>
      </c>
      <c r="AQ149" s="6">
        <v>1</v>
      </c>
      <c r="AR149" s="138">
        <f t="shared" si="131"/>
        <v>46</v>
      </c>
      <c r="AS149" s="160">
        <f t="shared" si="132"/>
        <v>2.2222222222222223E-2</v>
      </c>
      <c r="AT149" s="164">
        <f t="shared" si="133"/>
        <v>4</v>
      </c>
      <c r="AU149" s="165">
        <f t="shared" si="134"/>
        <v>2.3003537112441963E-2</v>
      </c>
      <c r="AW149" s="358"/>
    </row>
    <row r="150" spans="2:49" outlineLevel="1" x14ac:dyDescent="0.35">
      <c r="B150" s="48" t="s">
        <v>86</v>
      </c>
      <c r="C150" s="62" t="s">
        <v>135</v>
      </c>
      <c r="D150" s="70">
        <v>0</v>
      </c>
      <c r="E150" s="71">
        <v>70</v>
      </c>
      <c r="F150" s="70">
        <v>6</v>
      </c>
      <c r="G150" s="138">
        <f t="shared" si="99"/>
        <v>76</v>
      </c>
      <c r="H150" s="167">
        <f t="shared" si="100"/>
        <v>8.5714285714285715E-2</v>
      </c>
      <c r="I150" s="70">
        <v>4</v>
      </c>
      <c r="J150" s="138">
        <f t="shared" si="101"/>
        <v>80</v>
      </c>
      <c r="K150" s="167">
        <f t="shared" si="102"/>
        <v>5.2631578947368418E-2</v>
      </c>
      <c r="L150" s="70">
        <v>2</v>
      </c>
      <c r="M150" s="138">
        <f t="shared" si="103"/>
        <v>82</v>
      </c>
      <c r="N150" s="167">
        <f t="shared" si="104"/>
        <v>2.5000000000000001E-2</v>
      </c>
      <c r="O150" s="70">
        <v>0</v>
      </c>
      <c r="P150" s="138">
        <f t="shared" si="105"/>
        <v>82</v>
      </c>
      <c r="Q150" s="167">
        <f t="shared" si="116"/>
        <v>0</v>
      </c>
      <c r="R150" s="164">
        <f t="shared" si="106"/>
        <v>12</v>
      </c>
      <c r="S150" s="165">
        <f t="shared" si="117"/>
        <v>4.0348758140428709E-2</v>
      </c>
      <c r="U150" s="170">
        <f t="shared" si="118"/>
        <v>2</v>
      </c>
      <c r="V150" s="6">
        <v>2</v>
      </c>
      <c r="W150" s="6">
        <v>0</v>
      </c>
      <c r="X150" s="138">
        <f t="shared" si="119"/>
        <v>84</v>
      </c>
      <c r="Y150" s="181">
        <f t="shared" si="120"/>
        <v>2.4390243902439025E-2</v>
      </c>
      <c r="Z150" s="405">
        <f t="shared" si="121"/>
        <v>6</v>
      </c>
      <c r="AA150" s="406">
        <v>2</v>
      </c>
      <c r="AB150" s="406">
        <v>4</v>
      </c>
      <c r="AC150" s="405">
        <f t="shared" si="122"/>
        <v>90</v>
      </c>
      <c r="AD150" s="409">
        <f t="shared" si="123"/>
        <v>7.1428571428571425E-2</v>
      </c>
      <c r="AE150" s="170">
        <f t="shared" si="124"/>
        <v>10</v>
      </c>
      <c r="AF150" s="6">
        <v>2</v>
      </c>
      <c r="AG150" s="6">
        <v>8</v>
      </c>
      <c r="AH150" s="138">
        <f t="shared" si="125"/>
        <v>100</v>
      </c>
      <c r="AI150" s="160">
        <f t="shared" si="126"/>
        <v>0.1111111111111111</v>
      </c>
      <c r="AJ150" s="170">
        <f t="shared" si="127"/>
        <v>10</v>
      </c>
      <c r="AK150" s="6">
        <v>1</v>
      </c>
      <c r="AL150" s="6">
        <v>9</v>
      </c>
      <c r="AM150" s="138">
        <f t="shared" si="128"/>
        <v>110</v>
      </c>
      <c r="AN150" s="160">
        <f t="shared" si="129"/>
        <v>0.1</v>
      </c>
      <c r="AO150" s="170">
        <f t="shared" si="130"/>
        <v>9</v>
      </c>
      <c r="AP150" s="6">
        <v>1</v>
      </c>
      <c r="AQ150" s="6">
        <v>8</v>
      </c>
      <c r="AR150" s="138">
        <f t="shared" si="131"/>
        <v>119</v>
      </c>
      <c r="AS150" s="160">
        <f t="shared" si="132"/>
        <v>8.1818181818181818E-2</v>
      </c>
      <c r="AT150" s="164">
        <f t="shared" si="133"/>
        <v>37</v>
      </c>
      <c r="AU150" s="165">
        <f t="shared" si="134"/>
        <v>9.0980325864682188E-2</v>
      </c>
      <c r="AW150" s="358"/>
    </row>
    <row r="151" spans="2:49" outlineLevel="1" x14ac:dyDescent="0.35">
      <c r="B151" s="48" t="s">
        <v>87</v>
      </c>
      <c r="C151" s="62" t="s">
        <v>135</v>
      </c>
      <c r="D151" s="70">
        <v>2</v>
      </c>
      <c r="E151" s="71">
        <v>85</v>
      </c>
      <c r="F151" s="70">
        <v>3</v>
      </c>
      <c r="G151" s="138">
        <f t="shared" si="99"/>
        <v>88</v>
      </c>
      <c r="H151" s="167">
        <f t="shared" si="100"/>
        <v>3.5294117647058823E-2</v>
      </c>
      <c r="I151" s="70">
        <v>2</v>
      </c>
      <c r="J151" s="138">
        <f t="shared" si="101"/>
        <v>90</v>
      </c>
      <c r="K151" s="167">
        <f t="shared" si="102"/>
        <v>2.2727272727272728E-2</v>
      </c>
      <c r="L151" s="70">
        <v>0</v>
      </c>
      <c r="M151" s="138">
        <f t="shared" si="103"/>
        <v>90</v>
      </c>
      <c r="N151" s="167">
        <f t="shared" si="104"/>
        <v>0</v>
      </c>
      <c r="O151" s="70">
        <v>3</v>
      </c>
      <c r="P151" s="138">
        <f t="shared" si="105"/>
        <v>93</v>
      </c>
      <c r="Q151" s="167">
        <f t="shared" si="116"/>
        <v>3.3333333333333333E-2</v>
      </c>
      <c r="R151" s="164">
        <f t="shared" si="106"/>
        <v>10</v>
      </c>
      <c r="S151" s="165">
        <f t="shared" si="117"/>
        <v>2.2741798946692482E-2</v>
      </c>
      <c r="U151" s="170">
        <f t="shared" si="118"/>
        <v>4</v>
      </c>
      <c r="V151" s="6">
        <v>4</v>
      </c>
      <c r="W151" s="6">
        <v>0</v>
      </c>
      <c r="X151" s="138">
        <f t="shared" si="119"/>
        <v>97</v>
      </c>
      <c r="Y151" s="181">
        <f t="shared" si="120"/>
        <v>4.3010752688172046E-2</v>
      </c>
      <c r="Z151" s="405">
        <f t="shared" si="121"/>
        <v>5</v>
      </c>
      <c r="AA151" s="406">
        <v>3</v>
      </c>
      <c r="AB151" s="406">
        <v>2</v>
      </c>
      <c r="AC151" s="405">
        <f t="shared" si="122"/>
        <v>102</v>
      </c>
      <c r="AD151" s="409">
        <f t="shared" si="123"/>
        <v>5.1546391752577317E-2</v>
      </c>
      <c r="AE151" s="170">
        <f t="shared" si="124"/>
        <v>5</v>
      </c>
      <c r="AF151" s="6">
        <v>2</v>
      </c>
      <c r="AG151" s="6">
        <v>3</v>
      </c>
      <c r="AH151" s="138">
        <f t="shared" si="125"/>
        <v>107</v>
      </c>
      <c r="AI151" s="160">
        <f t="shared" si="126"/>
        <v>4.9019607843137254E-2</v>
      </c>
      <c r="AJ151" s="170">
        <f t="shared" si="127"/>
        <v>4</v>
      </c>
      <c r="AK151" s="6">
        <v>2</v>
      </c>
      <c r="AL151" s="6">
        <v>2</v>
      </c>
      <c r="AM151" s="138">
        <f t="shared" si="128"/>
        <v>111</v>
      </c>
      <c r="AN151" s="160">
        <f t="shared" si="129"/>
        <v>3.7383177570093455E-2</v>
      </c>
      <c r="AO151" s="170">
        <f t="shared" si="130"/>
        <v>4</v>
      </c>
      <c r="AP151" s="6">
        <v>1</v>
      </c>
      <c r="AQ151" s="6">
        <v>3</v>
      </c>
      <c r="AR151" s="138">
        <f t="shared" si="131"/>
        <v>115</v>
      </c>
      <c r="AS151" s="160">
        <f t="shared" si="132"/>
        <v>3.6036036036036036E-2</v>
      </c>
      <c r="AT151" s="164">
        <f t="shared" si="133"/>
        <v>22</v>
      </c>
      <c r="AU151" s="165">
        <f t="shared" si="134"/>
        <v>4.3473745797077079E-2</v>
      </c>
      <c r="AW151" s="358"/>
    </row>
    <row r="152" spans="2:49" outlineLevel="1" x14ac:dyDescent="0.35">
      <c r="B152" s="48" t="s">
        <v>88</v>
      </c>
      <c r="C152" s="62" t="s">
        <v>135</v>
      </c>
      <c r="D152" s="70">
        <v>3</v>
      </c>
      <c r="E152" s="71">
        <v>187</v>
      </c>
      <c r="F152" s="70">
        <v>3</v>
      </c>
      <c r="G152" s="138">
        <f t="shared" si="99"/>
        <v>190</v>
      </c>
      <c r="H152" s="167">
        <f t="shared" si="100"/>
        <v>1.6042780748663103E-2</v>
      </c>
      <c r="I152" s="70">
        <v>7</v>
      </c>
      <c r="J152" s="138">
        <f t="shared" si="101"/>
        <v>197</v>
      </c>
      <c r="K152" s="167">
        <f t="shared" si="102"/>
        <v>3.6842105263157891E-2</v>
      </c>
      <c r="L152" s="70">
        <v>9</v>
      </c>
      <c r="M152" s="138">
        <f t="shared" si="103"/>
        <v>206</v>
      </c>
      <c r="N152" s="167">
        <f t="shared" si="104"/>
        <v>4.5685279187817257E-2</v>
      </c>
      <c r="O152" s="70">
        <v>6</v>
      </c>
      <c r="P152" s="138">
        <f t="shared" si="105"/>
        <v>212</v>
      </c>
      <c r="Q152" s="167">
        <f t="shared" si="116"/>
        <v>2.9126213592233011E-2</v>
      </c>
      <c r="R152" s="164">
        <f t="shared" si="106"/>
        <v>28</v>
      </c>
      <c r="S152" s="165">
        <f t="shared" si="117"/>
        <v>3.1866619931671281E-2</v>
      </c>
      <c r="U152" s="170">
        <f t="shared" si="118"/>
        <v>7</v>
      </c>
      <c r="V152" s="6">
        <v>7</v>
      </c>
      <c r="W152" s="6">
        <v>0</v>
      </c>
      <c r="X152" s="138">
        <f t="shared" si="119"/>
        <v>219</v>
      </c>
      <c r="Y152" s="181">
        <f t="shared" si="120"/>
        <v>3.3018867924528301E-2</v>
      </c>
      <c r="Z152" s="405">
        <f t="shared" si="121"/>
        <v>9</v>
      </c>
      <c r="AA152" s="406">
        <v>6</v>
      </c>
      <c r="AB152" s="406">
        <v>3</v>
      </c>
      <c r="AC152" s="405">
        <f t="shared" si="122"/>
        <v>228</v>
      </c>
      <c r="AD152" s="409">
        <f t="shared" si="123"/>
        <v>4.1095890410958902E-2</v>
      </c>
      <c r="AE152" s="170">
        <f t="shared" si="124"/>
        <v>11</v>
      </c>
      <c r="AF152" s="6">
        <v>5</v>
      </c>
      <c r="AG152" s="6">
        <v>6</v>
      </c>
      <c r="AH152" s="138">
        <f t="shared" si="125"/>
        <v>239</v>
      </c>
      <c r="AI152" s="160">
        <f t="shared" si="126"/>
        <v>4.8245614035087717E-2</v>
      </c>
      <c r="AJ152" s="170">
        <f t="shared" si="127"/>
        <v>9</v>
      </c>
      <c r="AK152" s="6">
        <v>4</v>
      </c>
      <c r="AL152" s="6">
        <v>5</v>
      </c>
      <c r="AM152" s="138">
        <f t="shared" si="128"/>
        <v>248</v>
      </c>
      <c r="AN152" s="160">
        <f t="shared" si="129"/>
        <v>3.7656903765690378E-2</v>
      </c>
      <c r="AO152" s="170">
        <f t="shared" si="130"/>
        <v>9</v>
      </c>
      <c r="AP152" s="6">
        <v>3</v>
      </c>
      <c r="AQ152" s="6">
        <v>6</v>
      </c>
      <c r="AR152" s="138">
        <f t="shared" si="131"/>
        <v>257</v>
      </c>
      <c r="AS152" s="160">
        <f t="shared" si="132"/>
        <v>3.6290322580645164E-2</v>
      </c>
      <c r="AT152" s="164">
        <f t="shared" si="133"/>
        <v>45</v>
      </c>
      <c r="AU152" s="165">
        <f t="shared" si="134"/>
        <v>4.0811907396218539E-2</v>
      </c>
      <c r="AW152" s="358"/>
    </row>
    <row r="153" spans="2:49" outlineLevel="1" x14ac:dyDescent="0.35">
      <c r="B153" s="48" t="s">
        <v>89</v>
      </c>
      <c r="C153" s="62" t="s">
        <v>135</v>
      </c>
      <c r="D153" s="70">
        <v>4</v>
      </c>
      <c r="E153" s="71">
        <v>85</v>
      </c>
      <c r="F153" s="70">
        <v>1</v>
      </c>
      <c r="G153" s="138">
        <f t="shared" si="99"/>
        <v>86</v>
      </c>
      <c r="H153" s="167">
        <f t="shared" si="100"/>
        <v>1.1764705882352941E-2</v>
      </c>
      <c r="I153" s="70">
        <v>3</v>
      </c>
      <c r="J153" s="138">
        <f t="shared" si="101"/>
        <v>89</v>
      </c>
      <c r="K153" s="167">
        <f t="shared" si="102"/>
        <v>3.4883720930232558E-2</v>
      </c>
      <c r="L153" s="70">
        <v>5</v>
      </c>
      <c r="M153" s="138">
        <f t="shared" si="103"/>
        <v>94</v>
      </c>
      <c r="N153" s="167">
        <f t="shared" si="104"/>
        <v>5.6179775280898875E-2</v>
      </c>
      <c r="O153" s="70">
        <v>0</v>
      </c>
      <c r="P153" s="138">
        <f t="shared" si="105"/>
        <v>94</v>
      </c>
      <c r="Q153" s="167">
        <f t="shared" si="116"/>
        <v>0</v>
      </c>
      <c r="R153" s="164">
        <f t="shared" si="106"/>
        <v>13</v>
      </c>
      <c r="S153" s="165">
        <f t="shared" si="117"/>
        <v>2.5480087972263865E-2</v>
      </c>
      <c r="U153" s="170">
        <f t="shared" si="118"/>
        <v>3</v>
      </c>
      <c r="V153" s="6">
        <v>2</v>
      </c>
      <c r="W153" s="6">
        <v>1</v>
      </c>
      <c r="X153" s="138">
        <f t="shared" si="119"/>
        <v>97</v>
      </c>
      <c r="Y153" s="181">
        <f t="shared" si="120"/>
        <v>3.1914893617021274E-2</v>
      </c>
      <c r="Z153" s="405">
        <f t="shared" si="121"/>
        <v>3</v>
      </c>
      <c r="AA153" s="406">
        <v>2</v>
      </c>
      <c r="AB153" s="406">
        <v>1</v>
      </c>
      <c r="AC153" s="405">
        <f t="shared" si="122"/>
        <v>100</v>
      </c>
      <c r="AD153" s="409">
        <f t="shared" si="123"/>
        <v>3.0927835051546393E-2</v>
      </c>
      <c r="AE153" s="170">
        <f t="shared" si="124"/>
        <v>4</v>
      </c>
      <c r="AF153" s="6">
        <v>2</v>
      </c>
      <c r="AG153" s="6">
        <v>2</v>
      </c>
      <c r="AH153" s="138">
        <f t="shared" si="125"/>
        <v>104</v>
      </c>
      <c r="AI153" s="160">
        <f t="shared" si="126"/>
        <v>0.04</v>
      </c>
      <c r="AJ153" s="170">
        <f t="shared" si="127"/>
        <v>4</v>
      </c>
      <c r="AK153" s="6">
        <v>1</v>
      </c>
      <c r="AL153" s="6">
        <v>3</v>
      </c>
      <c r="AM153" s="138">
        <f t="shared" si="128"/>
        <v>108</v>
      </c>
      <c r="AN153" s="160">
        <f t="shared" si="129"/>
        <v>3.8461538461538464E-2</v>
      </c>
      <c r="AO153" s="170">
        <f t="shared" si="130"/>
        <v>4</v>
      </c>
      <c r="AP153" s="6">
        <v>1</v>
      </c>
      <c r="AQ153" s="6">
        <v>3</v>
      </c>
      <c r="AR153" s="138">
        <f t="shared" si="131"/>
        <v>112</v>
      </c>
      <c r="AS153" s="160">
        <f t="shared" si="132"/>
        <v>3.7037037037037035E-2</v>
      </c>
      <c r="AT153" s="164">
        <f t="shared" si="133"/>
        <v>18</v>
      </c>
      <c r="AU153" s="165">
        <f t="shared" si="134"/>
        <v>3.6600877403965226E-2</v>
      </c>
      <c r="AW153" s="358"/>
    </row>
    <row r="154" spans="2:49" outlineLevel="1" x14ac:dyDescent="0.35">
      <c r="B154" s="48" t="s">
        <v>90</v>
      </c>
      <c r="C154" s="62" t="s">
        <v>135</v>
      </c>
      <c r="D154" s="70">
        <v>0</v>
      </c>
      <c r="E154" s="71">
        <v>14</v>
      </c>
      <c r="F154" s="70">
        <v>0</v>
      </c>
      <c r="G154" s="138">
        <f t="shared" si="99"/>
        <v>14</v>
      </c>
      <c r="H154" s="167">
        <f t="shared" si="100"/>
        <v>0</v>
      </c>
      <c r="I154" s="70">
        <v>1</v>
      </c>
      <c r="J154" s="138">
        <f t="shared" si="101"/>
        <v>15</v>
      </c>
      <c r="K154" s="167">
        <f t="shared" si="102"/>
        <v>7.1428571428571425E-2</v>
      </c>
      <c r="L154" s="70">
        <v>0</v>
      </c>
      <c r="M154" s="138">
        <f t="shared" si="103"/>
        <v>15</v>
      </c>
      <c r="N154" s="167">
        <f t="shared" si="104"/>
        <v>0</v>
      </c>
      <c r="O154" s="70">
        <v>0</v>
      </c>
      <c r="P154" s="138">
        <f t="shared" si="105"/>
        <v>15</v>
      </c>
      <c r="Q154" s="167">
        <f t="shared" si="116"/>
        <v>0</v>
      </c>
      <c r="R154" s="164">
        <f t="shared" si="106"/>
        <v>1</v>
      </c>
      <c r="S154" s="165">
        <f t="shared" si="117"/>
        <v>1.7397827309224789E-2</v>
      </c>
      <c r="U154" s="170">
        <f t="shared" si="118"/>
        <v>0</v>
      </c>
      <c r="V154" s="6">
        <v>0</v>
      </c>
      <c r="W154" s="6">
        <v>0</v>
      </c>
      <c r="X154" s="138">
        <f t="shared" si="119"/>
        <v>15</v>
      </c>
      <c r="Y154" s="181">
        <f t="shared" si="120"/>
        <v>0</v>
      </c>
      <c r="Z154" s="405">
        <f t="shared" si="121"/>
        <v>0</v>
      </c>
      <c r="AA154" s="406">
        <v>0</v>
      </c>
      <c r="AB154" s="406">
        <v>0</v>
      </c>
      <c r="AC154" s="405">
        <f t="shared" si="122"/>
        <v>15</v>
      </c>
      <c r="AD154" s="409">
        <f t="shared" si="123"/>
        <v>0</v>
      </c>
      <c r="AE154" s="170">
        <f t="shared" si="124"/>
        <v>0</v>
      </c>
      <c r="AF154" s="6">
        <v>0</v>
      </c>
      <c r="AG154" s="6">
        <v>0</v>
      </c>
      <c r="AH154" s="138">
        <f t="shared" si="125"/>
        <v>15</v>
      </c>
      <c r="AI154" s="160">
        <f t="shared" si="126"/>
        <v>0</v>
      </c>
      <c r="AJ154" s="170">
        <f t="shared" si="127"/>
        <v>0</v>
      </c>
      <c r="AK154" s="6">
        <v>0</v>
      </c>
      <c r="AL154" s="6">
        <v>0</v>
      </c>
      <c r="AM154" s="138">
        <f t="shared" si="128"/>
        <v>15</v>
      </c>
      <c r="AN154" s="160">
        <f t="shared" si="129"/>
        <v>0</v>
      </c>
      <c r="AO154" s="170">
        <f t="shared" si="130"/>
        <v>0</v>
      </c>
      <c r="AP154" s="6">
        <v>0</v>
      </c>
      <c r="AQ154" s="6">
        <v>0</v>
      </c>
      <c r="AR154" s="138">
        <f t="shared" si="131"/>
        <v>15</v>
      </c>
      <c r="AS154" s="160">
        <f t="shared" si="132"/>
        <v>0</v>
      </c>
      <c r="AT154" s="164">
        <f t="shared" si="133"/>
        <v>0</v>
      </c>
      <c r="AU154" s="165">
        <f t="shared" si="134"/>
        <v>0</v>
      </c>
      <c r="AW154" s="358"/>
    </row>
    <row r="155" spans="2:49" outlineLevel="1" x14ac:dyDescent="0.35">
      <c r="B155" s="48" t="s">
        <v>91</v>
      </c>
      <c r="C155" s="62" t="s">
        <v>135</v>
      </c>
      <c r="D155" s="70">
        <v>0</v>
      </c>
      <c r="E155" s="71">
        <v>12</v>
      </c>
      <c r="F155" s="70">
        <v>0</v>
      </c>
      <c r="G155" s="138">
        <f t="shared" si="99"/>
        <v>12</v>
      </c>
      <c r="H155" s="167">
        <f t="shared" si="100"/>
        <v>0</v>
      </c>
      <c r="I155" s="70">
        <v>0</v>
      </c>
      <c r="J155" s="138">
        <f t="shared" si="101"/>
        <v>12</v>
      </c>
      <c r="K155" s="167">
        <f t="shared" si="102"/>
        <v>0</v>
      </c>
      <c r="L155" s="70">
        <v>0</v>
      </c>
      <c r="M155" s="138">
        <f t="shared" si="103"/>
        <v>12</v>
      </c>
      <c r="N155" s="167">
        <f t="shared" si="104"/>
        <v>0</v>
      </c>
      <c r="O155" s="70">
        <v>0</v>
      </c>
      <c r="P155" s="138">
        <f t="shared" si="105"/>
        <v>12</v>
      </c>
      <c r="Q155" s="167">
        <f t="shared" si="116"/>
        <v>0</v>
      </c>
      <c r="R155" s="164">
        <f t="shared" si="106"/>
        <v>0</v>
      </c>
      <c r="S155" s="165">
        <f t="shared" si="117"/>
        <v>0</v>
      </c>
      <c r="U155" s="170">
        <f t="shared" si="118"/>
        <v>0</v>
      </c>
      <c r="V155" s="6">
        <v>0</v>
      </c>
      <c r="W155" s="6">
        <v>0</v>
      </c>
      <c r="X155" s="138">
        <f t="shared" si="119"/>
        <v>12</v>
      </c>
      <c r="Y155" s="181">
        <f t="shared" si="120"/>
        <v>0</v>
      </c>
      <c r="Z155" s="405">
        <f t="shared" si="121"/>
        <v>0</v>
      </c>
      <c r="AA155" s="406">
        <v>0</v>
      </c>
      <c r="AB155" s="406">
        <v>0</v>
      </c>
      <c r="AC155" s="405">
        <f t="shared" si="122"/>
        <v>12</v>
      </c>
      <c r="AD155" s="409">
        <f t="shared" si="123"/>
        <v>0</v>
      </c>
      <c r="AE155" s="170">
        <f t="shared" si="124"/>
        <v>0</v>
      </c>
      <c r="AF155" s="6">
        <v>0</v>
      </c>
      <c r="AG155" s="6">
        <v>0</v>
      </c>
      <c r="AH155" s="138">
        <f t="shared" si="125"/>
        <v>12</v>
      </c>
      <c r="AI155" s="160">
        <f t="shared" si="126"/>
        <v>0</v>
      </c>
      <c r="AJ155" s="170">
        <f t="shared" si="127"/>
        <v>0</v>
      </c>
      <c r="AK155" s="6">
        <v>0</v>
      </c>
      <c r="AL155" s="6">
        <v>0</v>
      </c>
      <c r="AM155" s="138">
        <f t="shared" si="128"/>
        <v>12</v>
      </c>
      <c r="AN155" s="160">
        <f t="shared" si="129"/>
        <v>0</v>
      </c>
      <c r="AO155" s="170">
        <f t="shared" si="130"/>
        <v>0</v>
      </c>
      <c r="AP155" s="6">
        <v>0</v>
      </c>
      <c r="AQ155" s="6">
        <v>0</v>
      </c>
      <c r="AR155" s="138">
        <f t="shared" si="131"/>
        <v>12</v>
      </c>
      <c r="AS155" s="160">
        <f t="shared" si="132"/>
        <v>0</v>
      </c>
      <c r="AT155" s="164">
        <f t="shared" si="133"/>
        <v>0</v>
      </c>
      <c r="AU155" s="165">
        <f t="shared" si="134"/>
        <v>0</v>
      </c>
      <c r="AW155" s="358"/>
    </row>
    <row r="156" spans="2:49" outlineLevel="1" x14ac:dyDescent="0.35">
      <c r="B156" s="48" t="s">
        <v>92</v>
      </c>
      <c r="C156" s="62" t="s">
        <v>135</v>
      </c>
      <c r="D156" s="70">
        <v>7</v>
      </c>
      <c r="E156" s="71">
        <v>102</v>
      </c>
      <c r="F156" s="70">
        <v>10</v>
      </c>
      <c r="G156" s="138">
        <f t="shared" si="99"/>
        <v>112</v>
      </c>
      <c r="H156" s="167">
        <f t="shared" si="100"/>
        <v>9.8039215686274508E-2</v>
      </c>
      <c r="I156" s="70">
        <v>8</v>
      </c>
      <c r="J156" s="138">
        <f t="shared" si="101"/>
        <v>120</v>
      </c>
      <c r="K156" s="167">
        <f t="shared" si="102"/>
        <v>7.1428571428571425E-2</v>
      </c>
      <c r="L156" s="70">
        <v>0</v>
      </c>
      <c r="M156" s="138">
        <f t="shared" si="103"/>
        <v>120</v>
      </c>
      <c r="N156" s="167">
        <f t="shared" si="104"/>
        <v>0</v>
      </c>
      <c r="O156" s="70">
        <v>3</v>
      </c>
      <c r="P156" s="138">
        <f t="shared" si="105"/>
        <v>123</v>
      </c>
      <c r="Q156" s="167">
        <f t="shared" si="116"/>
        <v>2.5000000000000001E-2</v>
      </c>
      <c r="R156" s="164">
        <f t="shared" si="106"/>
        <v>28</v>
      </c>
      <c r="S156" s="165">
        <f t="shared" si="117"/>
        <v>4.7915429417583866E-2</v>
      </c>
      <c r="U156" s="170">
        <f t="shared" si="118"/>
        <v>4</v>
      </c>
      <c r="V156" s="6">
        <v>4</v>
      </c>
      <c r="W156" s="6">
        <v>0</v>
      </c>
      <c r="X156" s="138">
        <f t="shared" si="119"/>
        <v>127</v>
      </c>
      <c r="Y156" s="181">
        <f t="shared" si="120"/>
        <v>3.2520325203252036E-2</v>
      </c>
      <c r="Z156" s="405">
        <f t="shared" si="121"/>
        <v>4</v>
      </c>
      <c r="AA156" s="406">
        <v>3</v>
      </c>
      <c r="AB156" s="406">
        <v>1</v>
      </c>
      <c r="AC156" s="405">
        <f t="shared" si="122"/>
        <v>131</v>
      </c>
      <c r="AD156" s="409">
        <f t="shared" si="123"/>
        <v>3.1496062992125984E-2</v>
      </c>
      <c r="AE156" s="170">
        <f t="shared" si="124"/>
        <v>5</v>
      </c>
      <c r="AF156" s="6">
        <v>3</v>
      </c>
      <c r="AG156" s="6">
        <v>2</v>
      </c>
      <c r="AH156" s="138">
        <f t="shared" si="125"/>
        <v>136</v>
      </c>
      <c r="AI156" s="160">
        <f t="shared" si="126"/>
        <v>3.8167938931297711E-2</v>
      </c>
      <c r="AJ156" s="170">
        <f t="shared" si="127"/>
        <v>4</v>
      </c>
      <c r="AK156" s="6">
        <v>2</v>
      </c>
      <c r="AL156" s="6">
        <v>2</v>
      </c>
      <c r="AM156" s="138">
        <f t="shared" si="128"/>
        <v>140</v>
      </c>
      <c r="AN156" s="160">
        <f t="shared" si="129"/>
        <v>2.9411764705882353E-2</v>
      </c>
      <c r="AO156" s="170">
        <f t="shared" si="130"/>
        <v>5</v>
      </c>
      <c r="AP156" s="6">
        <v>2</v>
      </c>
      <c r="AQ156" s="6">
        <v>3</v>
      </c>
      <c r="AR156" s="138">
        <f t="shared" si="131"/>
        <v>145</v>
      </c>
      <c r="AS156" s="160">
        <f t="shared" si="132"/>
        <v>3.5714285714285712E-2</v>
      </c>
      <c r="AT156" s="164">
        <f t="shared" si="133"/>
        <v>22</v>
      </c>
      <c r="AU156" s="165">
        <f t="shared" si="134"/>
        <v>3.3691798034652498E-2</v>
      </c>
      <c r="AW156" s="358"/>
    </row>
    <row r="157" spans="2:49" outlineLevel="1" x14ac:dyDescent="0.35">
      <c r="B157" s="48" t="s">
        <v>93</v>
      </c>
      <c r="C157" s="62" t="s">
        <v>135</v>
      </c>
      <c r="D157" s="70">
        <v>4</v>
      </c>
      <c r="E157" s="71">
        <v>65</v>
      </c>
      <c r="F157" s="70">
        <v>9</v>
      </c>
      <c r="G157" s="138">
        <f t="shared" si="99"/>
        <v>74</v>
      </c>
      <c r="H157" s="167">
        <f t="shared" si="100"/>
        <v>0.13846153846153847</v>
      </c>
      <c r="I157" s="70">
        <v>9</v>
      </c>
      <c r="J157" s="138">
        <f t="shared" si="101"/>
        <v>83</v>
      </c>
      <c r="K157" s="167">
        <f t="shared" si="102"/>
        <v>0.12162162162162163</v>
      </c>
      <c r="L157" s="70">
        <v>4</v>
      </c>
      <c r="M157" s="138">
        <f t="shared" si="103"/>
        <v>87</v>
      </c>
      <c r="N157" s="167">
        <f t="shared" si="104"/>
        <v>4.8192771084337352E-2</v>
      </c>
      <c r="O157" s="70">
        <v>2</v>
      </c>
      <c r="P157" s="138">
        <f t="shared" si="105"/>
        <v>89</v>
      </c>
      <c r="Q157" s="167">
        <f t="shared" si="116"/>
        <v>2.2988505747126436E-2</v>
      </c>
      <c r="R157" s="164">
        <f t="shared" si="106"/>
        <v>28</v>
      </c>
      <c r="S157" s="165">
        <f t="shared" si="117"/>
        <v>8.1730717800988284E-2</v>
      </c>
      <c r="U157" s="170">
        <f t="shared" si="118"/>
        <v>5</v>
      </c>
      <c r="V157" s="6">
        <v>4</v>
      </c>
      <c r="W157" s="6">
        <v>1</v>
      </c>
      <c r="X157" s="138">
        <f t="shared" si="119"/>
        <v>94</v>
      </c>
      <c r="Y157" s="181">
        <f t="shared" si="120"/>
        <v>5.6179775280898875E-2</v>
      </c>
      <c r="Z157" s="405">
        <f t="shared" si="121"/>
        <v>7</v>
      </c>
      <c r="AA157" s="406">
        <v>4</v>
      </c>
      <c r="AB157" s="406">
        <v>3</v>
      </c>
      <c r="AC157" s="405">
        <f t="shared" si="122"/>
        <v>101</v>
      </c>
      <c r="AD157" s="409">
        <f t="shared" si="123"/>
        <v>7.4468085106382975E-2</v>
      </c>
      <c r="AE157" s="170">
        <f t="shared" si="124"/>
        <v>12</v>
      </c>
      <c r="AF157" s="6">
        <v>3</v>
      </c>
      <c r="AG157" s="6">
        <v>9</v>
      </c>
      <c r="AH157" s="138">
        <f t="shared" si="125"/>
        <v>113</v>
      </c>
      <c r="AI157" s="160">
        <f t="shared" si="126"/>
        <v>0.11881188118811881</v>
      </c>
      <c r="AJ157" s="170">
        <f t="shared" si="127"/>
        <v>14</v>
      </c>
      <c r="AK157" s="6">
        <v>2</v>
      </c>
      <c r="AL157" s="6">
        <v>12</v>
      </c>
      <c r="AM157" s="138">
        <f t="shared" si="128"/>
        <v>127</v>
      </c>
      <c r="AN157" s="160">
        <f t="shared" si="129"/>
        <v>0.12389380530973451</v>
      </c>
      <c r="AO157" s="170">
        <f t="shared" si="130"/>
        <v>13</v>
      </c>
      <c r="AP157" s="6">
        <v>2</v>
      </c>
      <c r="AQ157" s="6">
        <v>11</v>
      </c>
      <c r="AR157" s="138">
        <f t="shared" si="131"/>
        <v>140</v>
      </c>
      <c r="AS157" s="160">
        <f t="shared" si="132"/>
        <v>0.10236220472440945</v>
      </c>
      <c r="AT157" s="164">
        <f t="shared" si="133"/>
        <v>51</v>
      </c>
      <c r="AU157" s="165">
        <f t="shared" si="134"/>
        <v>0.10471447739685735</v>
      </c>
      <c r="AW157" s="358"/>
    </row>
    <row r="158" spans="2:49" outlineLevel="1" x14ac:dyDescent="0.35">
      <c r="B158" s="48" t="s">
        <v>94</v>
      </c>
      <c r="C158" s="62" t="s">
        <v>135</v>
      </c>
      <c r="D158" s="70">
        <v>3</v>
      </c>
      <c r="E158" s="71">
        <v>119</v>
      </c>
      <c r="F158" s="70">
        <v>2</v>
      </c>
      <c r="G158" s="138">
        <f t="shared" si="99"/>
        <v>121</v>
      </c>
      <c r="H158" s="167">
        <f t="shared" si="100"/>
        <v>1.680672268907563E-2</v>
      </c>
      <c r="I158" s="70">
        <v>4</v>
      </c>
      <c r="J158" s="138">
        <f t="shared" si="101"/>
        <v>125</v>
      </c>
      <c r="K158" s="167">
        <f t="shared" si="102"/>
        <v>3.3057851239669422E-2</v>
      </c>
      <c r="L158" s="70">
        <v>1</v>
      </c>
      <c r="M158" s="138">
        <f t="shared" si="103"/>
        <v>126</v>
      </c>
      <c r="N158" s="167">
        <f t="shared" si="104"/>
        <v>8.0000000000000002E-3</v>
      </c>
      <c r="O158" s="70">
        <v>0</v>
      </c>
      <c r="P158" s="138">
        <f t="shared" si="105"/>
        <v>126</v>
      </c>
      <c r="Q158" s="167">
        <f t="shared" si="116"/>
        <v>0</v>
      </c>
      <c r="R158" s="164">
        <f t="shared" si="106"/>
        <v>10</v>
      </c>
      <c r="S158" s="165">
        <f t="shared" si="117"/>
        <v>1.4392187891376196E-2</v>
      </c>
      <c r="U158" s="170">
        <f t="shared" si="118"/>
        <v>2</v>
      </c>
      <c r="V158" s="6">
        <v>2</v>
      </c>
      <c r="W158" s="6">
        <v>0</v>
      </c>
      <c r="X158" s="138">
        <f t="shared" si="119"/>
        <v>128</v>
      </c>
      <c r="Y158" s="181">
        <f t="shared" si="120"/>
        <v>1.5873015873015872E-2</v>
      </c>
      <c r="Z158" s="405">
        <f t="shared" si="121"/>
        <v>3</v>
      </c>
      <c r="AA158" s="406">
        <v>2</v>
      </c>
      <c r="AB158" s="406">
        <v>1</v>
      </c>
      <c r="AC158" s="405">
        <f t="shared" si="122"/>
        <v>131</v>
      </c>
      <c r="AD158" s="409">
        <f t="shared" si="123"/>
        <v>2.34375E-2</v>
      </c>
      <c r="AE158" s="170">
        <f t="shared" si="124"/>
        <v>5</v>
      </c>
      <c r="AF158" s="6">
        <v>2</v>
      </c>
      <c r="AG158" s="6">
        <v>3</v>
      </c>
      <c r="AH158" s="138">
        <f t="shared" si="125"/>
        <v>136</v>
      </c>
      <c r="AI158" s="160">
        <f t="shared" si="126"/>
        <v>3.8167938931297711E-2</v>
      </c>
      <c r="AJ158" s="170">
        <f t="shared" si="127"/>
        <v>4</v>
      </c>
      <c r="AK158" s="6">
        <v>1</v>
      </c>
      <c r="AL158" s="6">
        <v>3</v>
      </c>
      <c r="AM158" s="138">
        <f t="shared" si="128"/>
        <v>140</v>
      </c>
      <c r="AN158" s="160">
        <f t="shared" si="129"/>
        <v>2.9411764705882353E-2</v>
      </c>
      <c r="AO158" s="170">
        <f t="shared" si="130"/>
        <v>5</v>
      </c>
      <c r="AP158" s="6">
        <v>1</v>
      </c>
      <c r="AQ158" s="6">
        <v>4</v>
      </c>
      <c r="AR158" s="138">
        <f t="shared" si="131"/>
        <v>145</v>
      </c>
      <c r="AS158" s="160">
        <f t="shared" si="132"/>
        <v>3.5714285714285712E-2</v>
      </c>
      <c r="AT158" s="164">
        <f t="shared" si="133"/>
        <v>19</v>
      </c>
      <c r="AU158" s="165">
        <f t="shared" si="134"/>
        <v>3.1666926808453955E-2</v>
      </c>
      <c r="AW158" s="358"/>
    </row>
    <row r="159" spans="2:49" outlineLevel="1" x14ac:dyDescent="0.35">
      <c r="B159" s="48" t="s">
        <v>95</v>
      </c>
      <c r="C159" s="62" t="s">
        <v>135</v>
      </c>
      <c r="D159" s="70">
        <v>3</v>
      </c>
      <c r="E159" s="71">
        <v>91</v>
      </c>
      <c r="F159" s="70">
        <v>8</v>
      </c>
      <c r="G159" s="138">
        <f t="shared" si="99"/>
        <v>99</v>
      </c>
      <c r="H159" s="167">
        <f t="shared" si="100"/>
        <v>8.7912087912087919E-2</v>
      </c>
      <c r="I159" s="70">
        <v>7</v>
      </c>
      <c r="J159" s="138">
        <f t="shared" si="101"/>
        <v>106</v>
      </c>
      <c r="K159" s="167">
        <f t="shared" si="102"/>
        <v>7.0707070707070704E-2</v>
      </c>
      <c r="L159" s="70">
        <v>0</v>
      </c>
      <c r="M159" s="138">
        <f t="shared" si="103"/>
        <v>106</v>
      </c>
      <c r="N159" s="167">
        <f t="shared" si="104"/>
        <v>0</v>
      </c>
      <c r="O159" s="70">
        <v>1</v>
      </c>
      <c r="P159" s="138">
        <f t="shared" si="105"/>
        <v>107</v>
      </c>
      <c r="Q159" s="167">
        <f t="shared" si="116"/>
        <v>9.433962264150943E-3</v>
      </c>
      <c r="R159" s="164">
        <f t="shared" si="106"/>
        <v>19</v>
      </c>
      <c r="S159" s="165">
        <f t="shared" si="117"/>
        <v>4.1323324790345284E-2</v>
      </c>
      <c r="U159" s="170">
        <f t="shared" si="118"/>
        <v>1</v>
      </c>
      <c r="V159" s="6">
        <v>1</v>
      </c>
      <c r="W159" s="6">
        <v>0</v>
      </c>
      <c r="X159" s="138">
        <f t="shared" si="119"/>
        <v>108</v>
      </c>
      <c r="Y159" s="181">
        <f t="shared" si="120"/>
        <v>9.3457943925233638E-3</v>
      </c>
      <c r="Z159" s="405">
        <f t="shared" si="121"/>
        <v>1</v>
      </c>
      <c r="AA159" s="406">
        <v>0</v>
      </c>
      <c r="AB159" s="406">
        <v>1</v>
      </c>
      <c r="AC159" s="405">
        <f t="shared" si="122"/>
        <v>109</v>
      </c>
      <c r="AD159" s="409">
        <f t="shared" si="123"/>
        <v>9.2592592592592587E-3</v>
      </c>
      <c r="AE159" s="170">
        <f t="shared" si="124"/>
        <v>2</v>
      </c>
      <c r="AF159" s="6">
        <v>0</v>
      </c>
      <c r="AG159" s="6">
        <v>2</v>
      </c>
      <c r="AH159" s="138">
        <f t="shared" si="125"/>
        <v>111</v>
      </c>
      <c r="AI159" s="160">
        <f t="shared" si="126"/>
        <v>1.834862385321101E-2</v>
      </c>
      <c r="AJ159" s="170">
        <f t="shared" si="127"/>
        <v>3</v>
      </c>
      <c r="AK159" s="6">
        <v>0</v>
      </c>
      <c r="AL159" s="6">
        <v>3</v>
      </c>
      <c r="AM159" s="138">
        <f t="shared" si="128"/>
        <v>114</v>
      </c>
      <c r="AN159" s="160">
        <f t="shared" si="129"/>
        <v>2.7027027027027029E-2</v>
      </c>
      <c r="AO159" s="170">
        <f t="shared" si="130"/>
        <v>2</v>
      </c>
      <c r="AP159" s="6">
        <v>0</v>
      </c>
      <c r="AQ159" s="6">
        <v>2</v>
      </c>
      <c r="AR159" s="138">
        <f t="shared" si="131"/>
        <v>116</v>
      </c>
      <c r="AS159" s="160">
        <f t="shared" si="132"/>
        <v>1.7543859649122806E-2</v>
      </c>
      <c r="AT159" s="164">
        <f t="shared" si="133"/>
        <v>9</v>
      </c>
      <c r="AU159" s="165">
        <f t="shared" si="134"/>
        <v>1.8025269992450577E-2</v>
      </c>
      <c r="AW159" s="358"/>
    </row>
    <row r="160" spans="2:49" outlineLevel="1" x14ac:dyDescent="0.35">
      <c r="B160" s="48" t="s">
        <v>96</v>
      </c>
      <c r="C160" s="62" t="s">
        <v>135</v>
      </c>
      <c r="D160" s="70">
        <v>2</v>
      </c>
      <c r="E160" s="71">
        <v>74</v>
      </c>
      <c r="F160" s="70">
        <v>2</v>
      </c>
      <c r="G160" s="138">
        <f t="shared" si="99"/>
        <v>76</v>
      </c>
      <c r="H160" s="167">
        <f t="shared" si="100"/>
        <v>2.7027027027027029E-2</v>
      </c>
      <c r="I160" s="70">
        <v>2</v>
      </c>
      <c r="J160" s="138">
        <f t="shared" si="101"/>
        <v>78</v>
      </c>
      <c r="K160" s="167">
        <f t="shared" si="102"/>
        <v>2.6315789473684209E-2</v>
      </c>
      <c r="L160" s="70">
        <v>1</v>
      </c>
      <c r="M160" s="138">
        <f t="shared" si="103"/>
        <v>79</v>
      </c>
      <c r="N160" s="167">
        <f t="shared" si="104"/>
        <v>1.282051282051282E-2</v>
      </c>
      <c r="O160" s="70">
        <v>0</v>
      </c>
      <c r="P160" s="138">
        <f t="shared" si="105"/>
        <v>79</v>
      </c>
      <c r="Q160" s="167">
        <f t="shared" si="116"/>
        <v>0</v>
      </c>
      <c r="R160" s="164">
        <f t="shared" si="106"/>
        <v>7</v>
      </c>
      <c r="S160" s="165">
        <f t="shared" si="117"/>
        <v>1.6480011465515254E-2</v>
      </c>
      <c r="U160" s="170">
        <f t="shared" si="118"/>
        <v>1</v>
      </c>
      <c r="V160" s="6">
        <v>1</v>
      </c>
      <c r="W160" s="6">
        <v>0</v>
      </c>
      <c r="X160" s="138">
        <f t="shared" si="119"/>
        <v>80</v>
      </c>
      <c r="Y160" s="181">
        <f t="shared" si="120"/>
        <v>1.2658227848101266E-2</v>
      </c>
      <c r="Z160" s="405">
        <f t="shared" si="121"/>
        <v>2</v>
      </c>
      <c r="AA160" s="406">
        <v>1</v>
      </c>
      <c r="AB160" s="406">
        <v>1</v>
      </c>
      <c r="AC160" s="405">
        <f t="shared" si="122"/>
        <v>82</v>
      </c>
      <c r="AD160" s="409">
        <f t="shared" si="123"/>
        <v>2.5000000000000001E-2</v>
      </c>
      <c r="AE160" s="170">
        <f t="shared" si="124"/>
        <v>3</v>
      </c>
      <c r="AF160" s="6">
        <v>1</v>
      </c>
      <c r="AG160" s="6">
        <v>2</v>
      </c>
      <c r="AH160" s="138">
        <f t="shared" si="125"/>
        <v>85</v>
      </c>
      <c r="AI160" s="160">
        <f t="shared" si="126"/>
        <v>3.6585365853658534E-2</v>
      </c>
      <c r="AJ160" s="170">
        <f t="shared" si="127"/>
        <v>3</v>
      </c>
      <c r="AK160" s="6">
        <v>1</v>
      </c>
      <c r="AL160" s="6">
        <v>2</v>
      </c>
      <c r="AM160" s="138">
        <f t="shared" si="128"/>
        <v>88</v>
      </c>
      <c r="AN160" s="160">
        <f t="shared" si="129"/>
        <v>3.5294117647058823E-2</v>
      </c>
      <c r="AO160" s="170">
        <f t="shared" si="130"/>
        <v>3</v>
      </c>
      <c r="AP160" s="6">
        <v>1</v>
      </c>
      <c r="AQ160" s="6">
        <v>2</v>
      </c>
      <c r="AR160" s="138">
        <f t="shared" si="131"/>
        <v>91</v>
      </c>
      <c r="AS160" s="160">
        <f t="shared" si="132"/>
        <v>3.4090909090909088E-2</v>
      </c>
      <c r="AT160" s="164">
        <f t="shared" si="133"/>
        <v>12</v>
      </c>
      <c r="AU160" s="165">
        <f t="shared" si="134"/>
        <v>3.2732516378310317E-2</v>
      </c>
      <c r="AW160" s="358"/>
    </row>
    <row r="161" spans="2:49" outlineLevel="1" x14ac:dyDescent="0.35">
      <c r="B161" s="48" t="s">
        <v>97</v>
      </c>
      <c r="C161" s="62" t="s">
        <v>135</v>
      </c>
      <c r="D161" s="70">
        <v>11</v>
      </c>
      <c r="E161" s="71">
        <v>262</v>
      </c>
      <c r="F161" s="70">
        <v>5</v>
      </c>
      <c r="G161" s="138">
        <f t="shared" si="99"/>
        <v>267</v>
      </c>
      <c r="H161" s="167">
        <f t="shared" si="100"/>
        <v>1.9083969465648856E-2</v>
      </c>
      <c r="I161" s="70">
        <v>4</v>
      </c>
      <c r="J161" s="138">
        <f t="shared" si="101"/>
        <v>271</v>
      </c>
      <c r="K161" s="167">
        <f t="shared" si="102"/>
        <v>1.4981273408239701E-2</v>
      </c>
      <c r="L161" s="70">
        <v>6</v>
      </c>
      <c r="M161" s="138">
        <f t="shared" si="103"/>
        <v>277</v>
      </c>
      <c r="N161" s="167">
        <f t="shared" si="104"/>
        <v>2.2140221402214021E-2</v>
      </c>
      <c r="O161" s="70">
        <v>1</v>
      </c>
      <c r="P161" s="138">
        <f t="shared" si="105"/>
        <v>278</v>
      </c>
      <c r="Q161" s="167">
        <f t="shared" si="116"/>
        <v>3.6101083032490976E-3</v>
      </c>
      <c r="R161" s="164">
        <f t="shared" si="106"/>
        <v>27</v>
      </c>
      <c r="S161" s="165">
        <f t="shared" si="117"/>
        <v>1.4929500536938978E-2</v>
      </c>
      <c r="U161" s="170">
        <f t="shared" si="118"/>
        <v>10</v>
      </c>
      <c r="V161" s="6">
        <v>10</v>
      </c>
      <c r="W161" s="6">
        <v>0</v>
      </c>
      <c r="X161" s="138">
        <f t="shared" si="119"/>
        <v>288</v>
      </c>
      <c r="Y161" s="181">
        <f t="shared" si="120"/>
        <v>3.5971223021582732E-2</v>
      </c>
      <c r="Z161" s="405">
        <f t="shared" si="121"/>
        <v>13</v>
      </c>
      <c r="AA161" s="406">
        <v>8</v>
      </c>
      <c r="AB161" s="406">
        <v>5</v>
      </c>
      <c r="AC161" s="405">
        <f t="shared" si="122"/>
        <v>301</v>
      </c>
      <c r="AD161" s="409">
        <f t="shared" si="123"/>
        <v>4.5138888888888888E-2</v>
      </c>
      <c r="AE161" s="170">
        <f t="shared" si="124"/>
        <v>13</v>
      </c>
      <c r="AF161" s="6">
        <v>7</v>
      </c>
      <c r="AG161" s="6">
        <v>6</v>
      </c>
      <c r="AH161" s="138">
        <f t="shared" si="125"/>
        <v>314</v>
      </c>
      <c r="AI161" s="160">
        <f t="shared" si="126"/>
        <v>4.3189368770764118E-2</v>
      </c>
      <c r="AJ161" s="170">
        <f t="shared" si="127"/>
        <v>10</v>
      </c>
      <c r="AK161" s="6">
        <v>5</v>
      </c>
      <c r="AL161" s="6">
        <v>5</v>
      </c>
      <c r="AM161" s="138">
        <f t="shared" si="128"/>
        <v>324</v>
      </c>
      <c r="AN161" s="160">
        <f t="shared" si="129"/>
        <v>3.1847133757961783E-2</v>
      </c>
      <c r="AO161" s="170">
        <f t="shared" si="130"/>
        <v>11</v>
      </c>
      <c r="AP161" s="6">
        <v>4</v>
      </c>
      <c r="AQ161" s="6">
        <v>7</v>
      </c>
      <c r="AR161" s="138">
        <f t="shared" si="131"/>
        <v>335</v>
      </c>
      <c r="AS161" s="160">
        <f t="shared" si="132"/>
        <v>3.3950617283950615E-2</v>
      </c>
      <c r="AT161" s="164">
        <f t="shared" si="133"/>
        <v>57</v>
      </c>
      <c r="AU161" s="165">
        <f t="shared" si="134"/>
        <v>3.8515731928055796E-2</v>
      </c>
      <c r="AW161" s="358"/>
    </row>
    <row r="162" spans="2:49" outlineLevel="1" x14ac:dyDescent="0.35">
      <c r="B162" s="48" t="s">
        <v>98</v>
      </c>
      <c r="C162" s="62" t="s">
        <v>135</v>
      </c>
      <c r="D162" s="70">
        <v>3</v>
      </c>
      <c r="E162" s="71">
        <v>104</v>
      </c>
      <c r="F162" s="70">
        <v>4</v>
      </c>
      <c r="G162" s="138">
        <f t="shared" si="99"/>
        <v>108</v>
      </c>
      <c r="H162" s="167">
        <f t="shared" si="100"/>
        <v>3.8461538461538464E-2</v>
      </c>
      <c r="I162" s="70">
        <v>2</v>
      </c>
      <c r="J162" s="138">
        <f t="shared" si="101"/>
        <v>110</v>
      </c>
      <c r="K162" s="167">
        <f t="shared" si="102"/>
        <v>1.8518518518518517E-2</v>
      </c>
      <c r="L162" s="70">
        <v>1</v>
      </c>
      <c r="M162" s="138">
        <f t="shared" si="103"/>
        <v>111</v>
      </c>
      <c r="N162" s="167">
        <f t="shared" si="104"/>
        <v>9.0909090909090905E-3</v>
      </c>
      <c r="O162" s="70">
        <v>1</v>
      </c>
      <c r="P162" s="138">
        <f t="shared" si="105"/>
        <v>112</v>
      </c>
      <c r="Q162" s="167">
        <f t="shared" si="116"/>
        <v>9.0090090090090089E-3</v>
      </c>
      <c r="R162" s="164">
        <f t="shared" si="106"/>
        <v>11</v>
      </c>
      <c r="S162" s="165">
        <f t="shared" si="117"/>
        <v>1.869968259813537E-2</v>
      </c>
      <c r="U162" s="170">
        <f t="shared" si="118"/>
        <v>1</v>
      </c>
      <c r="V162" s="6">
        <v>1</v>
      </c>
      <c r="W162" s="6">
        <v>0</v>
      </c>
      <c r="X162" s="138">
        <f t="shared" si="119"/>
        <v>113</v>
      </c>
      <c r="Y162" s="181">
        <f t="shared" si="120"/>
        <v>8.9285714285714281E-3</v>
      </c>
      <c r="Z162" s="405">
        <f t="shared" si="121"/>
        <v>3</v>
      </c>
      <c r="AA162" s="406">
        <v>1</v>
      </c>
      <c r="AB162" s="406">
        <v>2</v>
      </c>
      <c r="AC162" s="405">
        <f t="shared" si="122"/>
        <v>116</v>
      </c>
      <c r="AD162" s="409">
        <f t="shared" si="123"/>
        <v>2.6548672566371681E-2</v>
      </c>
      <c r="AE162" s="170">
        <f t="shared" si="124"/>
        <v>5</v>
      </c>
      <c r="AF162" s="6">
        <v>1</v>
      </c>
      <c r="AG162" s="6">
        <v>4</v>
      </c>
      <c r="AH162" s="138">
        <f t="shared" si="125"/>
        <v>121</v>
      </c>
      <c r="AI162" s="160">
        <f t="shared" si="126"/>
        <v>4.3103448275862072E-2</v>
      </c>
      <c r="AJ162" s="170">
        <f t="shared" si="127"/>
        <v>5</v>
      </c>
      <c r="AK162" s="6">
        <v>1</v>
      </c>
      <c r="AL162" s="6">
        <v>4</v>
      </c>
      <c r="AM162" s="138">
        <f t="shared" si="128"/>
        <v>126</v>
      </c>
      <c r="AN162" s="160">
        <f t="shared" si="129"/>
        <v>4.1322314049586778E-2</v>
      </c>
      <c r="AO162" s="170">
        <f t="shared" si="130"/>
        <v>6</v>
      </c>
      <c r="AP162" s="6">
        <v>1</v>
      </c>
      <c r="AQ162" s="6">
        <v>5</v>
      </c>
      <c r="AR162" s="138">
        <f t="shared" si="131"/>
        <v>132</v>
      </c>
      <c r="AS162" s="160">
        <f t="shared" si="132"/>
        <v>4.7619047619047616E-2</v>
      </c>
      <c r="AT162" s="164">
        <f t="shared" si="133"/>
        <v>20</v>
      </c>
      <c r="AU162" s="165">
        <f t="shared" si="134"/>
        <v>3.9618195428997804E-2</v>
      </c>
      <c r="AW162" s="358"/>
    </row>
    <row r="163" spans="2:49" outlineLevel="1" x14ac:dyDescent="0.35">
      <c r="B163" s="48" t="s">
        <v>99</v>
      </c>
      <c r="C163" s="62" t="s">
        <v>135</v>
      </c>
      <c r="D163" s="70">
        <v>6</v>
      </c>
      <c r="E163" s="71">
        <v>250</v>
      </c>
      <c r="F163" s="70">
        <v>18</v>
      </c>
      <c r="G163" s="138">
        <f t="shared" si="99"/>
        <v>268</v>
      </c>
      <c r="H163" s="167">
        <f t="shared" si="100"/>
        <v>7.1999999999999995E-2</v>
      </c>
      <c r="I163" s="70">
        <v>8</v>
      </c>
      <c r="J163" s="138">
        <f t="shared" si="101"/>
        <v>276</v>
      </c>
      <c r="K163" s="167">
        <f t="shared" si="102"/>
        <v>2.9850746268656716E-2</v>
      </c>
      <c r="L163" s="70">
        <v>7</v>
      </c>
      <c r="M163" s="138">
        <f t="shared" si="103"/>
        <v>283</v>
      </c>
      <c r="N163" s="167">
        <f t="shared" si="104"/>
        <v>2.5362318840579712E-2</v>
      </c>
      <c r="O163" s="70">
        <v>3</v>
      </c>
      <c r="P163" s="138">
        <f t="shared" si="105"/>
        <v>286</v>
      </c>
      <c r="Q163" s="167">
        <f t="shared" si="116"/>
        <v>1.0600706713780919E-2</v>
      </c>
      <c r="R163" s="164">
        <f t="shared" si="106"/>
        <v>42</v>
      </c>
      <c r="S163" s="165">
        <f t="shared" si="117"/>
        <v>3.4204697615358493E-2</v>
      </c>
      <c r="U163" s="170">
        <f t="shared" si="118"/>
        <v>11</v>
      </c>
      <c r="V163" s="6">
        <v>11</v>
      </c>
      <c r="W163" s="6">
        <v>0</v>
      </c>
      <c r="X163" s="138">
        <f t="shared" si="119"/>
        <v>297</v>
      </c>
      <c r="Y163" s="181">
        <f t="shared" si="120"/>
        <v>3.8461538461538464E-2</v>
      </c>
      <c r="Z163" s="405">
        <f t="shared" si="121"/>
        <v>10</v>
      </c>
      <c r="AA163" s="406">
        <v>9</v>
      </c>
      <c r="AB163" s="406">
        <v>1</v>
      </c>
      <c r="AC163" s="405">
        <f t="shared" si="122"/>
        <v>307</v>
      </c>
      <c r="AD163" s="409">
        <f t="shared" si="123"/>
        <v>3.3670033670033669E-2</v>
      </c>
      <c r="AE163" s="170">
        <f t="shared" si="124"/>
        <v>10</v>
      </c>
      <c r="AF163" s="6">
        <v>8</v>
      </c>
      <c r="AG163" s="6">
        <v>2</v>
      </c>
      <c r="AH163" s="138">
        <f t="shared" si="125"/>
        <v>317</v>
      </c>
      <c r="AI163" s="160">
        <f t="shared" si="126"/>
        <v>3.2573289902280131E-2</v>
      </c>
      <c r="AJ163" s="170">
        <f t="shared" si="127"/>
        <v>9</v>
      </c>
      <c r="AK163" s="6">
        <v>6</v>
      </c>
      <c r="AL163" s="6">
        <v>3</v>
      </c>
      <c r="AM163" s="138">
        <f t="shared" si="128"/>
        <v>326</v>
      </c>
      <c r="AN163" s="160">
        <f t="shared" si="129"/>
        <v>2.8391167192429023E-2</v>
      </c>
      <c r="AO163" s="170">
        <f t="shared" si="130"/>
        <v>8</v>
      </c>
      <c r="AP163" s="6">
        <v>5</v>
      </c>
      <c r="AQ163" s="6">
        <v>3</v>
      </c>
      <c r="AR163" s="138">
        <f t="shared" si="131"/>
        <v>334</v>
      </c>
      <c r="AS163" s="160">
        <f t="shared" si="132"/>
        <v>2.4539877300613498E-2</v>
      </c>
      <c r="AT163" s="164">
        <f t="shared" si="133"/>
        <v>48</v>
      </c>
      <c r="AU163" s="165">
        <f t="shared" si="134"/>
        <v>2.9787235619129326E-2</v>
      </c>
      <c r="AW163" s="358"/>
    </row>
    <row r="164" spans="2:49" outlineLevel="1" x14ac:dyDescent="0.35">
      <c r="B164" s="48" t="s">
        <v>100</v>
      </c>
      <c r="C164" s="62" t="s">
        <v>135</v>
      </c>
      <c r="D164" s="70">
        <v>2</v>
      </c>
      <c r="E164" s="71">
        <v>81</v>
      </c>
      <c r="F164" s="70">
        <v>3</v>
      </c>
      <c r="G164" s="138">
        <f t="shared" si="99"/>
        <v>84</v>
      </c>
      <c r="H164" s="167">
        <f t="shared" si="100"/>
        <v>3.7037037037037035E-2</v>
      </c>
      <c r="I164" s="70">
        <v>1</v>
      </c>
      <c r="J164" s="138">
        <f t="shared" si="101"/>
        <v>85</v>
      </c>
      <c r="K164" s="167">
        <f t="shared" si="102"/>
        <v>1.1904761904761904E-2</v>
      </c>
      <c r="L164" s="70">
        <v>2</v>
      </c>
      <c r="M164" s="138">
        <f t="shared" si="103"/>
        <v>87</v>
      </c>
      <c r="N164" s="167">
        <f t="shared" si="104"/>
        <v>2.3529411764705882E-2</v>
      </c>
      <c r="O164" s="70">
        <v>2</v>
      </c>
      <c r="P164" s="138">
        <f t="shared" si="105"/>
        <v>89</v>
      </c>
      <c r="Q164" s="167">
        <f t="shared" si="116"/>
        <v>2.2988505747126436E-2</v>
      </c>
      <c r="R164" s="164">
        <f t="shared" si="106"/>
        <v>10</v>
      </c>
      <c r="S164" s="165">
        <f t="shared" si="117"/>
        <v>2.3826218546910916E-2</v>
      </c>
      <c r="U164" s="170">
        <f t="shared" si="118"/>
        <v>6</v>
      </c>
      <c r="V164" s="6">
        <v>5</v>
      </c>
      <c r="W164" s="6">
        <v>1</v>
      </c>
      <c r="X164" s="138">
        <f t="shared" si="119"/>
        <v>95</v>
      </c>
      <c r="Y164" s="181">
        <f t="shared" si="120"/>
        <v>6.741573033707865E-2</v>
      </c>
      <c r="Z164" s="405">
        <f t="shared" si="121"/>
        <v>7</v>
      </c>
      <c r="AA164" s="406">
        <v>4</v>
      </c>
      <c r="AB164" s="406">
        <v>3</v>
      </c>
      <c r="AC164" s="405">
        <f t="shared" si="122"/>
        <v>102</v>
      </c>
      <c r="AD164" s="409">
        <f t="shared" si="123"/>
        <v>7.3684210526315783E-2</v>
      </c>
      <c r="AE164" s="170">
        <f t="shared" si="124"/>
        <v>9</v>
      </c>
      <c r="AF164" s="6">
        <v>4</v>
      </c>
      <c r="AG164" s="6">
        <v>5</v>
      </c>
      <c r="AH164" s="138">
        <f t="shared" si="125"/>
        <v>111</v>
      </c>
      <c r="AI164" s="160">
        <f t="shared" si="126"/>
        <v>8.8235294117647065E-2</v>
      </c>
      <c r="AJ164" s="170">
        <f t="shared" si="127"/>
        <v>8</v>
      </c>
      <c r="AK164" s="6">
        <v>3</v>
      </c>
      <c r="AL164" s="6">
        <v>5</v>
      </c>
      <c r="AM164" s="138">
        <f t="shared" si="128"/>
        <v>119</v>
      </c>
      <c r="AN164" s="160">
        <f t="shared" si="129"/>
        <v>7.2072072072072071E-2</v>
      </c>
      <c r="AO164" s="170">
        <f t="shared" si="130"/>
        <v>10</v>
      </c>
      <c r="AP164" s="6">
        <v>2</v>
      </c>
      <c r="AQ164" s="6">
        <v>8</v>
      </c>
      <c r="AR164" s="138">
        <f t="shared" si="131"/>
        <v>129</v>
      </c>
      <c r="AS164" s="160">
        <f t="shared" si="132"/>
        <v>8.4033613445378158E-2</v>
      </c>
      <c r="AT164" s="164">
        <f t="shared" si="133"/>
        <v>40</v>
      </c>
      <c r="AU164" s="165">
        <f t="shared" si="134"/>
        <v>7.94847869485511E-2</v>
      </c>
      <c r="AW164" s="358"/>
    </row>
    <row r="165" spans="2:49" outlineLevel="1" x14ac:dyDescent="0.35">
      <c r="B165" s="48" t="s">
        <v>176</v>
      </c>
      <c r="C165" s="62" t="s">
        <v>135</v>
      </c>
      <c r="D165" s="70">
        <v>2</v>
      </c>
      <c r="E165" s="71">
        <v>17</v>
      </c>
      <c r="F165" s="70">
        <v>0</v>
      </c>
      <c r="G165" s="138">
        <f t="shared" si="99"/>
        <v>17</v>
      </c>
      <c r="H165" s="167">
        <f t="shared" si="100"/>
        <v>0</v>
      </c>
      <c r="I165" s="70">
        <v>2</v>
      </c>
      <c r="J165" s="138">
        <f t="shared" si="101"/>
        <v>19</v>
      </c>
      <c r="K165" s="167">
        <f t="shared" si="102"/>
        <v>0.11764705882352941</v>
      </c>
      <c r="L165" s="70">
        <v>0</v>
      </c>
      <c r="M165" s="138">
        <f t="shared" si="103"/>
        <v>19</v>
      </c>
      <c r="N165" s="167">
        <f t="shared" si="104"/>
        <v>0</v>
      </c>
      <c r="O165" s="70">
        <v>0</v>
      </c>
      <c r="P165" s="138">
        <f t="shared" si="105"/>
        <v>19</v>
      </c>
      <c r="Q165" s="167">
        <f t="shared" si="116"/>
        <v>0</v>
      </c>
      <c r="R165" s="164">
        <f t="shared" si="106"/>
        <v>4</v>
      </c>
      <c r="S165" s="165">
        <f t="shared" si="117"/>
        <v>2.8196615313359485E-2</v>
      </c>
      <c r="U165" s="170">
        <f t="shared" si="118"/>
        <v>0</v>
      </c>
      <c r="V165" s="6">
        <v>0</v>
      </c>
      <c r="W165" s="6">
        <v>0</v>
      </c>
      <c r="X165" s="138">
        <f t="shared" si="119"/>
        <v>19</v>
      </c>
      <c r="Y165" s="181">
        <f t="shared" si="120"/>
        <v>0</v>
      </c>
      <c r="Z165" s="405">
        <f t="shared" si="121"/>
        <v>0</v>
      </c>
      <c r="AA165" s="406">
        <v>0</v>
      </c>
      <c r="AB165" s="406">
        <v>0</v>
      </c>
      <c r="AC165" s="405">
        <f t="shared" si="122"/>
        <v>19</v>
      </c>
      <c r="AD165" s="409">
        <f t="shared" si="123"/>
        <v>0</v>
      </c>
      <c r="AE165" s="170">
        <f t="shared" si="124"/>
        <v>0</v>
      </c>
      <c r="AF165" s="6">
        <v>0</v>
      </c>
      <c r="AG165" s="6">
        <v>0</v>
      </c>
      <c r="AH165" s="138">
        <f t="shared" si="125"/>
        <v>19</v>
      </c>
      <c r="AI165" s="160">
        <f t="shared" si="126"/>
        <v>0</v>
      </c>
      <c r="AJ165" s="170">
        <f t="shared" si="127"/>
        <v>0</v>
      </c>
      <c r="AK165" s="6">
        <v>0</v>
      </c>
      <c r="AL165" s="6">
        <v>0</v>
      </c>
      <c r="AM165" s="138">
        <f t="shared" si="128"/>
        <v>19</v>
      </c>
      <c r="AN165" s="160">
        <f t="shared" si="129"/>
        <v>0</v>
      </c>
      <c r="AO165" s="170">
        <f t="shared" si="130"/>
        <v>0</v>
      </c>
      <c r="AP165" s="6">
        <v>0</v>
      </c>
      <c r="AQ165" s="6">
        <v>0</v>
      </c>
      <c r="AR165" s="138">
        <f t="shared" si="131"/>
        <v>19</v>
      </c>
      <c r="AS165" s="160">
        <f t="shared" si="132"/>
        <v>0</v>
      </c>
      <c r="AT165" s="164">
        <f t="shared" si="133"/>
        <v>0</v>
      </c>
      <c r="AU165" s="165">
        <f t="shared" si="134"/>
        <v>0</v>
      </c>
      <c r="AW165" s="358"/>
    </row>
    <row r="166" spans="2:49" outlineLevel="1" x14ac:dyDescent="0.35">
      <c r="B166" s="48" t="s">
        <v>102</v>
      </c>
      <c r="C166" s="62" t="s">
        <v>135</v>
      </c>
      <c r="D166" s="70">
        <v>1</v>
      </c>
      <c r="E166" s="71">
        <v>96</v>
      </c>
      <c r="F166" s="70">
        <v>4</v>
      </c>
      <c r="G166" s="138">
        <f t="shared" si="99"/>
        <v>100</v>
      </c>
      <c r="H166" s="167">
        <f t="shared" si="100"/>
        <v>4.1666666666666664E-2</v>
      </c>
      <c r="I166" s="70">
        <v>3</v>
      </c>
      <c r="J166" s="138">
        <f t="shared" si="101"/>
        <v>103</v>
      </c>
      <c r="K166" s="167">
        <f t="shared" si="102"/>
        <v>0.03</v>
      </c>
      <c r="L166" s="70">
        <v>3</v>
      </c>
      <c r="M166" s="138">
        <f t="shared" si="103"/>
        <v>106</v>
      </c>
      <c r="N166" s="167">
        <f t="shared" si="104"/>
        <v>2.9126213592233011E-2</v>
      </c>
      <c r="O166" s="70">
        <v>3</v>
      </c>
      <c r="P166" s="138">
        <f t="shared" si="105"/>
        <v>109</v>
      </c>
      <c r="Q166" s="167">
        <f t="shared" si="116"/>
        <v>2.8301886792452831E-2</v>
      </c>
      <c r="R166" s="164">
        <f t="shared" si="106"/>
        <v>14</v>
      </c>
      <c r="S166" s="165">
        <f t="shared" si="117"/>
        <v>3.2259328388641206E-2</v>
      </c>
      <c r="U166" s="170">
        <f t="shared" si="118"/>
        <v>2</v>
      </c>
      <c r="V166" s="6">
        <v>2</v>
      </c>
      <c r="W166" s="6">
        <v>0</v>
      </c>
      <c r="X166" s="138">
        <f t="shared" si="119"/>
        <v>111</v>
      </c>
      <c r="Y166" s="181">
        <f t="shared" si="120"/>
        <v>1.834862385321101E-2</v>
      </c>
      <c r="Z166" s="405">
        <f t="shared" si="121"/>
        <v>2</v>
      </c>
      <c r="AA166" s="406">
        <v>2</v>
      </c>
      <c r="AB166" s="406">
        <v>0</v>
      </c>
      <c r="AC166" s="405">
        <f t="shared" si="122"/>
        <v>113</v>
      </c>
      <c r="AD166" s="409">
        <f t="shared" si="123"/>
        <v>1.8018018018018018E-2</v>
      </c>
      <c r="AE166" s="170">
        <f t="shared" si="124"/>
        <v>2</v>
      </c>
      <c r="AF166" s="6">
        <v>2</v>
      </c>
      <c r="AG166" s="6">
        <v>0</v>
      </c>
      <c r="AH166" s="138">
        <f t="shared" si="125"/>
        <v>115</v>
      </c>
      <c r="AI166" s="160">
        <f t="shared" si="126"/>
        <v>1.7699115044247787E-2</v>
      </c>
      <c r="AJ166" s="170">
        <f t="shared" si="127"/>
        <v>2</v>
      </c>
      <c r="AK166" s="6">
        <v>2</v>
      </c>
      <c r="AL166" s="6">
        <v>0</v>
      </c>
      <c r="AM166" s="138">
        <f t="shared" si="128"/>
        <v>117</v>
      </c>
      <c r="AN166" s="160">
        <f t="shared" si="129"/>
        <v>1.7391304347826087E-2</v>
      </c>
      <c r="AO166" s="170">
        <f t="shared" si="130"/>
        <v>1</v>
      </c>
      <c r="AP166" s="6">
        <v>1</v>
      </c>
      <c r="AQ166" s="6">
        <v>0</v>
      </c>
      <c r="AR166" s="138">
        <f t="shared" si="131"/>
        <v>118</v>
      </c>
      <c r="AS166" s="160">
        <f t="shared" si="132"/>
        <v>8.5470085470085479E-3</v>
      </c>
      <c r="AT166" s="164">
        <f t="shared" si="133"/>
        <v>9</v>
      </c>
      <c r="AU166" s="165">
        <f t="shared" si="134"/>
        <v>1.5406074402105618E-2</v>
      </c>
      <c r="AW166" s="358"/>
    </row>
    <row r="167" spans="2:49" outlineLevel="1" x14ac:dyDescent="0.35">
      <c r="B167" s="48" t="s">
        <v>103</v>
      </c>
      <c r="C167" s="62" t="s">
        <v>135</v>
      </c>
      <c r="D167" s="70">
        <v>0</v>
      </c>
      <c r="E167" s="71">
        <v>8</v>
      </c>
      <c r="F167" s="70">
        <v>0</v>
      </c>
      <c r="G167" s="138">
        <f t="shared" si="99"/>
        <v>8</v>
      </c>
      <c r="H167" s="167">
        <f t="shared" si="100"/>
        <v>0</v>
      </c>
      <c r="I167" s="70">
        <v>0</v>
      </c>
      <c r="J167" s="138">
        <f t="shared" si="101"/>
        <v>8</v>
      </c>
      <c r="K167" s="167">
        <f t="shared" si="102"/>
        <v>0</v>
      </c>
      <c r="L167" s="70">
        <v>0</v>
      </c>
      <c r="M167" s="138">
        <f t="shared" si="103"/>
        <v>8</v>
      </c>
      <c r="N167" s="167">
        <f t="shared" si="104"/>
        <v>0</v>
      </c>
      <c r="O167" s="70">
        <v>0</v>
      </c>
      <c r="P167" s="138">
        <f t="shared" si="105"/>
        <v>8</v>
      </c>
      <c r="Q167" s="167">
        <f t="shared" si="116"/>
        <v>0</v>
      </c>
      <c r="R167" s="164">
        <f t="shared" si="106"/>
        <v>0</v>
      </c>
      <c r="S167" s="165">
        <f t="shared" si="117"/>
        <v>0</v>
      </c>
      <c r="U167" s="170">
        <f t="shared" si="118"/>
        <v>0</v>
      </c>
      <c r="V167" s="6">
        <v>0</v>
      </c>
      <c r="W167" s="6">
        <v>0</v>
      </c>
      <c r="X167" s="138">
        <f t="shared" si="119"/>
        <v>8</v>
      </c>
      <c r="Y167" s="181">
        <f t="shared" si="120"/>
        <v>0</v>
      </c>
      <c r="Z167" s="405">
        <f t="shared" si="121"/>
        <v>0</v>
      </c>
      <c r="AA167" s="406">
        <v>0</v>
      </c>
      <c r="AB167" s="406">
        <v>0</v>
      </c>
      <c r="AC167" s="405">
        <f t="shared" si="122"/>
        <v>8</v>
      </c>
      <c r="AD167" s="409">
        <f t="shared" si="123"/>
        <v>0</v>
      </c>
      <c r="AE167" s="170">
        <f t="shared" si="124"/>
        <v>0</v>
      </c>
      <c r="AF167" s="6">
        <v>0</v>
      </c>
      <c r="AG167" s="6">
        <v>0</v>
      </c>
      <c r="AH167" s="138">
        <f t="shared" si="125"/>
        <v>8</v>
      </c>
      <c r="AI167" s="160">
        <f t="shared" si="126"/>
        <v>0</v>
      </c>
      <c r="AJ167" s="170">
        <f t="shared" si="127"/>
        <v>0</v>
      </c>
      <c r="AK167" s="6">
        <v>0</v>
      </c>
      <c r="AL167" s="6">
        <v>0</v>
      </c>
      <c r="AM167" s="138">
        <f t="shared" si="128"/>
        <v>8</v>
      </c>
      <c r="AN167" s="160">
        <f t="shared" si="129"/>
        <v>0</v>
      </c>
      <c r="AO167" s="170">
        <f t="shared" si="130"/>
        <v>0</v>
      </c>
      <c r="AP167" s="6">
        <v>0</v>
      </c>
      <c r="AQ167" s="6">
        <v>0</v>
      </c>
      <c r="AR167" s="138">
        <f t="shared" si="131"/>
        <v>8</v>
      </c>
      <c r="AS167" s="160">
        <f t="shared" si="132"/>
        <v>0</v>
      </c>
      <c r="AT167" s="164">
        <f t="shared" si="133"/>
        <v>0</v>
      </c>
      <c r="AU167" s="165">
        <f t="shared" si="134"/>
        <v>0</v>
      </c>
      <c r="AW167" s="358"/>
    </row>
    <row r="168" spans="2:49" outlineLevel="1" x14ac:dyDescent="0.35">
      <c r="B168" s="48" t="s">
        <v>177</v>
      </c>
      <c r="C168" s="62" t="s">
        <v>135</v>
      </c>
      <c r="D168" s="70">
        <v>0</v>
      </c>
      <c r="E168" s="71">
        <v>1</v>
      </c>
      <c r="F168" s="70">
        <v>0</v>
      </c>
      <c r="G168" s="138">
        <f t="shared" si="99"/>
        <v>1</v>
      </c>
      <c r="H168" s="167">
        <f t="shared" si="100"/>
        <v>0</v>
      </c>
      <c r="I168" s="70">
        <v>0</v>
      </c>
      <c r="J168" s="138">
        <f t="shared" si="101"/>
        <v>1</v>
      </c>
      <c r="K168" s="167">
        <f t="shared" si="102"/>
        <v>0</v>
      </c>
      <c r="L168" s="70">
        <v>0</v>
      </c>
      <c r="M168" s="138">
        <f t="shared" si="103"/>
        <v>1</v>
      </c>
      <c r="N168" s="167">
        <f t="shared" si="104"/>
        <v>0</v>
      </c>
      <c r="O168" s="70">
        <v>0</v>
      </c>
      <c r="P168" s="138">
        <f t="shared" si="105"/>
        <v>1</v>
      </c>
      <c r="Q168" s="167">
        <f t="shared" si="116"/>
        <v>0</v>
      </c>
      <c r="R168" s="164">
        <f t="shared" si="106"/>
        <v>0</v>
      </c>
      <c r="S168" s="165">
        <f t="shared" si="117"/>
        <v>0</v>
      </c>
      <c r="U168" s="170">
        <f t="shared" si="118"/>
        <v>0</v>
      </c>
      <c r="V168" s="6">
        <v>0</v>
      </c>
      <c r="W168" s="6">
        <v>0</v>
      </c>
      <c r="X168" s="138">
        <f t="shared" si="119"/>
        <v>1</v>
      </c>
      <c r="Y168" s="181">
        <f t="shared" si="120"/>
        <v>0</v>
      </c>
      <c r="Z168" s="405">
        <f t="shared" si="121"/>
        <v>0</v>
      </c>
      <c r="AA168" s="406">
        <v>0</v>
      </c>
      <c r="AB168" s="406">
        <v>0</v>
      </c>
      <c r="AC168" s="405">
        <f t="shared" si="122"/>
        <v>1</v>
      </c>
      <c r="AD168" s="409">
        <f t="shared" si="123"/>
        <v>0</v>
      </c>
      <c r="AE168" s="170">
        <f t="shared" si="124"/>
        <v>0</v>
      </c>
      <c r="AF168" s="6">
        <v>0</v>
      </c>
      <c r="AG168" s="6">
        <v>0</v>
      </c>
      <c r="AH168" s="138">
        <f t="shared" si="125"/>
        <v>1</v>
      </c>
      <c r="AI168" s="160">
        <f t="shared" si="126"/>
        <v>0</v>
      </c>
      <c r="AJ168" s="170">
        <f t="shared" si="127"/>
        <v>1</v>
      </c>
      <c r="AK168" s="6">
        <v>0</v>
      </c>
      <c r="AL168" s="6">
        <v>1</v>
      </c>
      <c r="AM168" s="138">
        <f t="shared" si="128"/>
        <v>2</v>
      </c>
      <c r="AN168" s="160">
        <f t="shared" si="129"/>
        <v>1</v>
      </c>
      <c r="AO168" s="170">
        <f t="shared" si="130"/>
        <v>2</v>
      </c>
      <c r="AP168" s="6">
        <v>0</v>
      </c>
      <c r="AQ168" s="6">
        <v>2</v>
      </c>
      <c r="AR168" s="138">
        <f t="shared" si="131"/>
        <v>4</v>
      </c>
      <c r="AS168" s="160">
        <f t="shared" si="132"/>
        <v>1</v>
      </c>
      <c r="AT168" s="164">
        <f t="shared" si="133"/>
        <v>3</v>
      </c>
      <c r="AU168" s="165">
        <f t="shared" si="134"/>
        <v>0.41421356237309492</v>
      </c>
      <c r="AW168" s="358"/>
    </row>
    <row r="169" spans="2:49" outlineLevel="1" x14ac:dyDescent="0.35">
      <c r="B169" s="48" t="s">
        <v>136</v>
      </c>
      <c r="C169" s="62" t="s">
        <v>135</v>
      </c>
      <c r="D169" s="70">
        <v>0</v>
      </c>
      <c r="E169" s="71">
        <v>0</v>
      </c>
      <c r="F169" s="70">
        <v>0</v>
      </c>
      <c r="G169" s="138">
        <f t="shared" si="99"/>
        <v>0</v>
      </c>
      <c r="H169" s="167">
        <f t="shared" si="100"/>
        <v>0</v>
      </c>
      <c r="I169" s="70">
        <v>0</v>
      </c>
      <c r="J169" s="138">
        <f t="shared" si="101"/>
        <v>0</v>
      </c>
      <c r="K169" s="167">
        <f t="shared" si="102"/>
        <v>0</v>
      </c>
      <c r="L169" s="70">
        <v>0</v>
      </c>
      <c r="M169" s="138">
        <f t="shared" si="103"/>
        <v>0</v>
      </c>
      <c r="N169" s="167">
        <f t="shared" si="104"/>
        <v>0</v>
      </c>
      <c r="O169" s="70">
        <v>0</v>
      </c>
      <c r="P169" s="138">
        <f t="shared" si="105"/>
        <v>0</v>
      </c>
      <c r="Q169" s="167">
        <f t="shared" si="116"/>
        <v>0</v>
      </c>
      <c r="R169" s="164">
        <f t="shared" si="106"/>
        <v>0</v>
      </c>
      <c r="S169" s="165">
        <f t="shared" si="117"/>
        <v>0</v>
      </c>
      <c r="U169" s="170">
        <f t="shared" si="118"/>
        <v>0</v>
      </c>
      <c r="V169" s="6">
        <v>0</v>
      </c>
      <c r="W169" s="6">
        <v>0</v>
      </c>
      <c r="X169" s="138">
        <f t="shared" si="119"/>
        <v>0</v>
      </c>
      <c r="Y169" s="181">
        <f t="shared" si="120"/>
        <v>0</v>
      </c>
      <c r="Z169" s="405">
        <f t="shared" si="121"/>
        <v>0</v>
      </c>
      <c r="AA169" s="406">
        <v>0</v>
      </c>
      <c r="AB169" s="406">
        <v>0</v>
      </c>
      <c r="AC169" s="405">
        <f t="shared" si="122"/>
        <v>0</v>
      </c>
      <c r="AD169" s="409">
        <f t="shared" si="123"/>
        <v>0</v>
      </c>
      <c r="AE169" s="170">
        <f t="shared" si="124"/>
        <v>0</v>
      </c>
      <c r="AF169" s="6">
        <v>0</v>
      </c>
      <c r="AG169" s="6">
        <v>0</v>
      </c>
      <c r="AH169" s="138">
        <f t="shared" si="125"/>
        <v>0</v>
      </c>
      <c r="AI169" s="160">
        <f t="shared" si="126"/>
        <v>0</v>
      </c>
      <c r="AJ169" s="170">
        <f t="shared" si="127"/>
        <v>1</v>
      </c>
      <c r="AK169" s="6">
        <v>0</v>
      </c>
      <c r="AL169" s="6">
        <v>1</v>
      </c>
      <c r="AM169" s="138">
        <f t="shared" si="128"/>
        <v>1</v>
      </c>
      <c r="AN169" s="160">
        <f t="shared" si="129"/>
        <v>0</v>
      </c>
      <c r="AO169" s="170">
        <f t="shared" si="130"/>
        <v>1</v>
      </c>
      <c r="AP169" s="6">
        <v>0</v>
      </c>
      <c r="AQ169" s="6">
        <v>1</v>
      </c>
      <c r="AR169" s="138">
        <f t="shared" si="131"/>
        <v>2</v>
      </c>
      <c r="AS169" s="160">
        <f t="shared" si="132"/>
        <v>1</v>
      </c>
      <c r="AT169" s="164">
        <f t="shared" si="133"/>
        <v>2</v>
      </c>
      <c r="AU169" s="165">
        <f t="shared" si="134"/>
        <v>0</v>
      </c>
    </row>
    <row r="170" spans="2:49" outlineLevel="1" x14ac:dyDescent="0.35">
      <c r="B170" s="48" t="s">
        <v>106</v>
      </c>
      <c r="C170" s="62" t="s">
        <v>135</v>
      </c>
      <c r="D170" s="70">
        <v>5</v>
      </c>
      <c r="E170" s="71">
        <v>81</v>
      </c>
      <c r="F170" s="70">
        <v>4</v>
      </c>
      <c r="G170" s="138">
        <f t="shared" si="99"/>
        <v>85</v>
      </c>
      <c r="H170" s="167">
        <f t="shared" si="100"/>
        <v>4.9382716049382713E-2</v>
      </c>
      <c r="I170" s="70">
        <v>1</v>
      </c>
      <c r="J170" s="138">
        <f t="shared" si="101"/>
        <v>86</v>
      </c>
      <c r="K170" s="167">
        <f t="shared" si="102"/>
        <v>1.1764705882352941E-2</v>
      </c>
      <c r="L170" s="70">
        <v>2</v>
      </c>
      <c r="M170" s="138">
        <f t="shared" ref="M170:M191" si="135">J170+L170</f>
        <v>88</v>
      </c>
      <c r="N170" s="167">
        <f t="shared" si="104"/>
        <v>2.3255813953488372E-2</v>
      </c>
      <c r="O170" s="70">
        <v>0</v>
      </c>
      <c r="P170" s="138">
        <f t="shared" ref="P170:P191" si="136">M170+O170</f>
        <v>88</v>
      </c>
      <c r="Q170" s="167">
        <f t="shared" si="116"/>
        <v>0</v>
      </c>
      <c r="R170" s="164">
        <f t="shared" ref="R170:R191" si="137">D170+F170+I170+L170+O170</f>
        <v>12</v>
      </c>
      <c r="S170" s="165">
        <f t="shared" si="117"/>
        <v>2.0938104536261992E-2</v>
      </c>
      <c r="U170" s="170">
        <f t="shared" si="118"/>
        <v>0</v>
      </c>
      <c r="V170" s="6">
        <v>0</v>
      </c>
      <c r="W170" s="6">
        <v>0</v>
      </c>
      <c r="X170" s="138">
        <f t="shared" si="119"/>
        <v>88</v>
      </c>
      <c r="Y170" s="181">
        <f t="shared" si="120"/>
        <v>0</v>
      </c>
      <c r="Z170" s="405">
        <f t="shared" si="121"/>
        <v>1</v>
      </c>
      <c r="AA170" s="406">
        <v>1</v>
      </c>
      <c r="AB170" s="406">
        <v>0</v>
      </c>
      <c r="AC170" s="405">
        <f t="shared" si="122"/>
        <v>89</v>
      </c>
      <c r="AD170" s="409">
        <f t="shared" si="123"/>
        <v>1.1363636363636364E-2</v>
      </c>
      <c r="AE170" s="170">
        <f t="shared" si="124"/>
        <v>1</v>
      </c>
      <c r="AF170" s="6">
        <v>1</v>
      </c>
      <c r="AG170" s="6">
        <v>0</v>
      </c>
      <c r="AH170" s="138">
        <f t="shared" si="125"/>
        <v>90</v>
      </c>
      <c r="AI170" s="160">
        <f t="shared" si="126"/>
        <v>1.1235955056179775E-2</v>
      </c>
      <c r="AJ170" s="170">
        <f t="shared" si="127"/>
        <v>2</v>
      </c>
      <c r="AK170" s="6">
        <v>1</v>
      </c>
      <c r="AL170" s="6">
        <v>1</v>
      </c>
      <c r="AM170" s="138">
        <f t="shared" si="128"/>
        <v>92</v>
      </c>
      <c r="AN170" s="160">
        <f t="shared" si="129"/>
        <v>2.2222222222222223E-2</v>
      </c>
      <c r="AO170" s="170">
        <f t="shared" si="130"/>
        <v>2</v>
      </c>
      <c r="AP170" s="6">
        <v>1</v>
      </c>
      <c r="AQ170" s="6">
        <v>1</v>
      </c>
      <c r="AR170" s="138">
        <f t="shared" si="131"/>
        <v>94</v>
      </c>
      <c r="AS170" s="160">
        <f t="shared" si="132"/>
        <v>2.1739130434782608E-2</v>
      </c>
      <c r="AT170" s="164">
        <f t="shared" si="133"/>
        <v>6</v>
      </c>
      <c r="AU170" s="165">
        <f t="shared" si="134"/>
        <v>1.6626193968965586E-2</v>
      </c>
      <c r="AW170" s="358"/>
    </row>
    <row r="171" spans="2:49" outlineLevel="1" x14ac:dyDescent="0.35">
      <c r="B171" s="48" t="s">
        <v>188</v>
      </c>
      <c r="C171" s="62" t="s">
        <v>135</v>
      </c>
      <c r="D171" s="70">
        <v>4</v>
      </c>
      <c r="E171" s="71">
        <v>113</v>
      </c>
      <c r="F171" s="70">
        <v>10</v>
      </c>
      <c r="G171" s="138">
        <f t="shared" si="99"/>
        <v>123</v>
      </c>
      <c r="H171" s="167">
        <f t="shared" si="100"/>
        <v>8.8495575221238937E-2</v>
      </c>
      <c r="I171" s="70">
        <v>4</v>
      </c>
      <c r="J171" s="138">
        <f t="shared" si="101"/>
        <v>127</v>
      </c>
      <c r="K171" s="167">
        <f t="shared" si="102"/>
        <v>3.2520325203252036E-2</v>
      </c>
      <c r="L171" s="70">
        <v>1</v>
      </c>
      <c r="M171" s="138">
        <f t="shared" si="135"/>
        <v>128</v>
      </c>
      <c r="N171" s="167">
        <f t="shared" si="104"/>
        <v>7.874015748031496E-3</v>
      </c>
      <c r="O171" s="70">
        <v>2</v>
      </c>
      <c r="P171" s="138">
        <f t="shared" si="136"/>
        <v>130</v>
      </c>
      <c r="Q171" s="167">
        <f t="shared" si="116"/>
        <v>1.5625E-2</v>
      </c>
      <c r="R171" s="164">
        <f t="shared" si="137"/>
        <v>21</v>
      </c>
      <c r="S171" s="165">
        <f t="shared" si="117"/>
        <v>3.5657673176276106E-2</v>
      </c>
      <c r="U171" s="170">
        <f t="shared" si="118"/>
        <v>3</v>
      </c>
      <c r="V171" s="6">
        <v>3</v>
      </c>
      <c r="W171" s="6">
        <v>0</v>
      </c>
      <c r="X171" s="138">
        <f t="shared" si="119"/>
        <v>133</v>
      </c>
      <c r="Y171" s="181">
        <f t="shared" si="120"/>
        <v>2.3076923076923078E-2</v>
      </c>
      <c r="Z171" s="405">
        <f t="shared" si="121"/>
        <v>4</v>
      </c>
      <c r="AA171" s="406">
        <v>3</v>
      </c>
      <c r="AB171" s="406">
        <v>1</v>
      </c>
      <c r="AC171" s="405">
        <f t="shared" si="122"/>
        <v>137</v>
      </c>
      <c r="AD171" s="409">
        <f t="shared" si="123"/>
        <v>3.007518796992481E-2</v>
      </c>
      <c r="AE171" s="170">
        <f t="shared" si="124"/>
        <v>3</v>
      </c>
      <c r="AF171" s="6">
        <v>2</v>
      </c>
      <c r="AG171" s="6">
        <v>1</v>
      </c>
      <c r="AH171" s="138">
        <f t="shared" si="125"/>
        <v>140</v>
      </c>
      <c r="AI171" s="160">
        <f t="shared" si="126"/>
        <v>2.1897810218978103E-2</v>
      </c>
      <c r="AJ171" s="170">
        <f t="shared" si="127"/>
        <v>3</v>
      </c>
      <c r="AK171" s="6">
        <v>2</v>
      </c>
      <c r="AL171" s="6">
        <v>1</v>
      </c>
      <c r="AM171" s="138">
        <f t="shared" si="128"/>
        <v>143</v>
      </c>
      <c r="AN171" s="160">
        <f t="shared" si="129"/>
        <v>2.1428571428571429E-2</v>
      </c>
      <c r="AO171" s="170">
        <f t="shared" si="130"/>
        <v>2</v>
      </c>
      <c r="AP171" s="6">
        <v>1</v>
      </c>
      <c r="AQ171" s="6">
        <v>1</v>
      </c>
      <c r="AR171" s="138">
        <f t="shared" si="131"/>
        <v>145</v>
      </c>
      <c r="AS171" s="160">
        <f t="shared" si="132"/>
        <v>1.3986013986013986E-2</v>
      </c>
      <c r="AT171" s="164">
        <f t="shared" si="133"/>
        <v>15</v>
      </c>
      <c r="AU171" s="165">
        <f t="shared" si="134"/>
        <v>2.1831038295392347E-2</v>
      </c>
      <c r="AW171" s="358"/>
    </row>
    <row r="172" spans="2:49" outlineLevel="1" x14ac:dyDescent="0.35">
      <c r="B172" s="48" t="s">
        <v>108</v>
      </c>
      <c r="C172" s="62" t="s">
        <v>135</v>
      </c>
      <c r="D172" s="70">
        <v>4</v>
      </c>
      <c r="E172" s="71">
        <v>121</v>
      </c>
      <c r="F172" s="70">
        <v>5</v>
      </c>
      <c r="G172" s="138">
        <f t="shared" si="99"/>
        <v>126</v>
      </c>
      <c r="H172" s="167">
        <f t="shared" si="100"/>
        <v>4.1322314049586778E-2</v>
      </c>
      <c r="I172" s="70">
        <v>8</v>
      </c>
      <c r="J172" s="138">
        <f t="shared" si="101"/>
        <v>134</v>
      </c>
      <c r="K172" s="167">
        <f t="shared" si="102"/>
        <v>6.3492063492063489E-2</v>
      </c>
      <c r="L172" s="70">
        <v>4</v>
      </c>
      <c r="M172" s="138">
        <f t="shared" si="135"/>
        <v>138</v>
      </c>
      <c r="N172" s="167">
        <f t="shared" si="104"/>
        <v>2.9850746268656716E-2</v>
      </c>
      <c r="O172" s="70">
        <v>3</v>
      </c>
      <c r="P172" s="138">
        <f t="shared" si="136"/>
        <v>141</v>
      </c>
      <c r="Q172" s="167">
        <f t="shared" si="116"/>
        <v>2.1739130434782608E-2</v>
      </c>
      <c r="R172" s="164">
        <f t="shared" si="137"/>
        <v>24</v>
      </c>
      <c r="S172" s="165">
        <f t="shared" si="117"/>
        <v>3.8982985556632821E-2</v>
      </c>
      <c r="U172" s="170">
        <f t="shared" si="118"/>
        <v>6</v>
      </c>
      <c r="V172" s="6">
        <v>5</v>
      </c>
      <c r="W172" s="6">
        <v>1</v>
      </c>
      <c r="X172" s="138">
        <f t="shared" si="119"/>
        <v>147</v>
      </c>
      <c r="Y172" s="181">
        <f t="shared" si="120"/>
        <v>4.2553191489361701E-2</v>
      </c>
      <c r="Z172" s="405">
        <f t="shared" si="121"/>
        <v>5</v>
      </c>
      <c r="AA172" s="406">
        <v>4</v>
      </c>
      <c r="AB172" s="406">
        <v>1</v>
      </c>
      <c r="AC172" s="405">
        <f t="shared" si="122"/>
        <v>152</v>
      </c>
      <c r="AD172" s="409">
        <f t="shared" si="123"/>
        <v>3.4013605442176874E-2</v>
      </c>
      <c r="AE172" s="170">
        <f t="shared" si="124"/>
        <v>7</v>
      </c>
      <c r="AF172" s="6">
        <v>3</v>
      </c>
      <c r="AG172" s="6">
        <v>4</v>
      </c>
      <c r="AH172" s="138">
        <f t="shared" si="125"/>
        <v>159</v>
      </c>
      <c r="AI172" s="160">
        <f t="shared" si="126"/>
        <v>4.6052631578947366E-2</v>
      </c>
      <c r="AJ172" s="170">
        <f t="shared" si="127"/>
        <v>10</v>
      </c>
      <c r="AK172" s="6">
        <v>3</v>
      </c>
      <c r="AL172" s="6">
        <v>7</v>
      </c>
      <c r="AM172" s="138">
        <f t="shared" si="128"/>
        <v>169</v>
      </c>
      <c r="AN172" s="160">
        <f t="shared" si="129"/>
        <v>6.2893081761006289E-2</v>
      </c>
      <c r="AO172" s="170">
        <f t="shared" si="130"/>
        <v>9</v>
      </c>
      <c r="AP172" s="6">
        <v>2</v>
      </c>
      <c r="AQ172" s="6">
        <v>7</v>
      </c>
      <c r="AR172" s="138">
        <f t="shared" si="131"/>
        <v>178</v>
      </c>
      <c r="AS172" s="160">
        <f t="shared" si="132"/>
        <v>5.3254437869822487E-2</v>
      </c>
      <c r="AT172" s="164">
        <f t="shared" si="133"/>
        <v>37</v>
      </c>
      <c r="AU172" s="165">
        <f t="shared" si="134"/>
        <v>4.9000431626010643E-2</v>
      </c>
      <c r="AW172" s="358"/>
    </row>
    <row r="173" spans="2:49" outlineLevel="1" x14ac:dyDescent="0.35">
      <c r="B173" s="48" t="s">
        <v>109</v>
      </c>
      <c r="C173" s="62" t="s">
        <v>135</v>
      </c>
      <c r="D173" s="70">
        <v>4</v>
      </c>
      <c r="E173" s="71">
        <v>182</v>
      </c>
      <c r="F173" s="70">
        <v>6</v>
      </c>
      <c r="G173" s="138">
        <f t="shared" si="99"/>
        <v>188</v>
      </c>
      <c r="H173" s="167">
        <f t="shared" si="100"/>
        <v>3.2967032967032968E-2</v>
      </c>
      <c r="I173" s="70">
        <v>3</v>
      </c>
      <c r="J173" s="138">
        <f t="shared" si="101"/>
        <v>191</v>
      </c>
      <c r="K173" s="167">
        <f t="shared" si="102"/>
        <v>1.5957446808510637E-2</v>
      </c>
      <c r="L173" s="70">
        <v>0</v>
      </c>
      <c r="M173" s="138">
        <f t="shared" si="135"/>
        <v>191</v>
      </c>
      <c r="N173" s="167">
        <f t="shared" si="104"/>
        <v>0</v>
      </c>
      <c r="O173" s="70">
        <v>2</v>
      </c>
      <c r="P173" s="138">
        <f t="shared" si="136"/>
        <v>193</v>
      </c>
      <c r="Q173" s="167">
        <f t="shared" si="116"/>
        <v>1.0471204188481676E-2</v>
      </c>
      <c r="R173" s="164">
        <f t="shared" si="137"/>
        <v>15</v>
      </c>
      <c r="S173" s="165">
        <f t="shared" si="117"/>
        <v>1.4779020966253942E-2</v>
      </c>
      <c r="U173" s="170">
        <f t="shared" si="118"/>
        <v>4</v>
      </c>
      <c r="V173" s="6">
        <v>4</v>
      </c>
      <c r="W173" s="6">
        <v>0</v>
      </c>
      <c r="X173" s="138">
        <f t="shared" si="119"/>
        <v>197</v>
      </c>
      <c r="Y173" s="181">
        <f t="shared" si="120"/>
        <v>2.072538860103627E-2</v>
      </c>
      <c r="Z173" s="405">
        <f t="shared" si="121"/>
        <v>4</v>
      </c>
      <c r="AA173" s="406">
        <v>4</v>
      </c>
      <c r="AB173" s="406">
        <v>0</v>
      </c>
      <c r="AC173" s="405">
        <f t="shared" si="122"/>
        <v>201</v>
      </c>
      <c r="AD173" s="409">
        <f t="shared" si="123"/>
        <v>2.030456852791878E-2</v>
      </c>
      <c r="AE173" s="170">
        <f t="shared" si="124"/>
        <v>4</v>
      </c>
      <c r="AF173" s="6">
        <v>3</v>
      </c>
      <c r="AG173" s="6">
        <v>1</v>
      </c>
      <c r="AH173" s="138">
        <f t="shared" si="125"/>
        <v>205</v>
      </c>
      <c r="AI173" s="160">
        <f t="shared" si="126"/>
        <v>1.9900497512437811E-2</v>
      </c>
      <c r="AJ173" s="170">
        <f t="shared" si="127"/>
        <v>3</v>
      </c>
      <c r="AK173" s="6">
        <v>2</v>
      </c>
      <c r="AL173" s="6">
        <v>1</v>
      </c>
      <c r="AM173" s="138">
        <f t="shared" si="128"/>
        <v>208</v>
      </c>
      <c r="AN173" s="160">
        <f t="shared" si="129"/>
        <v>1.4634146341463415E-2</v>
      </c>
      <c r="AO173" s="170">
        <f t="shared" si="130"/>
        <v>3</v>
      </c>
      <c r="AP173" s="6">
        <v>2</v>
      </c>
      <c r="AQ173" s="6">
        <v>1</v>
      </c>
      <c r="AR173" s="138">
        <f t="shared" si="131"/>
        <v>211</v>
      </c>
      <c r="AS173" s="160">
        <f t="shared" si="132"/>
        <v>1.4423076923076924E-2</v>
      </c>
      <c r="AT173" s="164">
        <f t="shared" si="133"/>
        <v>18</v>
      </c>
      <c r="AU173" s="165">
        <f t="shared" si="134"/>
        <v>1.7311742117668061E-2</v>
      </c>
      <c r="AW173" s="358"/>
    </row>
    <row r="174" spans="2:49" outlineLevel="1" x14ac:dyDescent="0.35">
      <c r="B174" s="48" t="s">
        <v>189</v>
      </c>
      <c r="C174" s="62" t="s">
        <v>135</v>
      </c>
      <c r="D174" s="70">
        <v>0</v>
      </c>
      <c r="E174" s="71">
        <v>71</v>
      </c>
      <c r="F174" s="70">
        <v>0</v>
      </c>
      <c r="G174" s="138">
        <f t="shared" si="99"/>
        <v>71</v>
      </c>
      <c r="H174" s="167">
        <f t="shared" si="100"/>
        <v>0</v>
      </c>
      <c r="I174" s="70">
        <v>1</v>
      </c>
      <c r="J174" s="138">
        <f t="shared" si="101"/>
        <v>72</v>
      </c>
      <c r="K174" s="167">
        <f t="shared" si="102"/>
        <v>1.4084507042253521E-2</v>
      </c>
      <c r="L174" s="70">
        <v>5</v>
      </c>
      <c r="M174" s="138">
        <f t="shared" si="135"/>
        <v>77</v>
      </c>
      <c r="N174" s="167">
        <f t="shared" si="104"/>
        <v>6.9444444444444448E-2</v>
      </c>
      <c r="O174" s="70">
        <v>3</v>
      </c>
      <c r="P174" s="138">
        <f t="shared" si="136"/>
        <v>80</v>
      </c>
      <c r="Q174" s="167">
        <f t="shared" si="116"/>
        <v>3.896103896103896E-2</v>
      </c>
      <c r="R174" s="164">
        <f t="shared" si="137"/>
        <v>9</v>
      </c>
      <c r="S174" s="165">
        <f t="shared" si="117"/>
        <v>3.0286263554236914E-2</v>
      </c>
      <c r="U174" s="170">
        <f t="shared" si="118"/>
        <v>5</v>
      </c>
      <c r="V174" s="6">
        <v>5</v>
      </c>
      <c r="W174" s="6">
        <v>0</v>
      </c>
      <c r="X174" s="138">
        <f t="shared" si="119"/>
        <v>85</v>
      </c>
      <c r="Y174" s="181">
        <f t="shared" si="120"/>
        <v>6.25E-2</v>
      </c>
      <c r="Z174" s="405">
        <f t="shared" si="121"/>
        <v>4</v>
      </c>
      <c r="AA174" s="406">
        <v>4</v>
      </c>
      <c r="AB174" s="406">
        <v>0</v>
      </c>
      <c r="AC174" s="405">
        <f t="shared" si="122"/>
        <v>89</v>
      </c>
      <c r="AD174" s="409">
        <f t="shared" si="123"/>
        <v>4.7058823529411764E-2</v>
      </c>
      <c r="AE174" s="170">
        <f t="shared" si="124"/>
        <v>3</v>
      </c>
      <c r="AF174" s="6">
        <v>3</v>
      </c>
      <c r="AG174" s="6">
        <v>0</v>
      </c>
      <c r="AH174" s="138">
        <f t="shared" si="125"/>
        <v>92</v>
      </c>
      <c r="AI174" s="160">
        <f t="shared" si="126"/>
        <v>3.3707865168539325E-2</v>
      </c>
      <c r="AJ174" s="170">
        <f t="shared" si="127"/>
        <v>3</v>
      </c>
      <c r="AK174" s="6">
        <v>3</v>
      </c>
      <c r="AL174" s="6">
        <v>0</v>
      </c>
      <c r="AM174" s="138">
        <f t="shared" si="128"/>
        <v>95</v>
      </c>
      <c r="AN174" s="160">
        <f t="shared" si="129"/>
        <v>3.2608695652173912E-2</v>
      </c>
      <c r="AO174" s="170">
        <f t="shared" si="130"/>
        <v>3</v>
      </c>
      <c r="AP174" s="6">
        <v>2</v>
      </c>
      <c r="AQ174" s="6">
        <v>1</v>
      </c>
      <c r="AR174" s="138">
        <f t="shared" si="131"/>
        <v>98</v>
      </c>
      <c r="AS174" s="160">
        <f t="shared" si="132"/>
        <v>3.1578947368421054E-2</v>
      </c>
      <c r="AT174" s="164">
        <f t="shared" si="133"/>
        <v>18</v>
      </c>
      <c r="AU174" s="165">
        <f t="shared" si="134"/>
        <v>3.6219563792499798E-2</v>
      </c>
      <c r="AW174" s="358"/>
    </row>
    <row r="175" spans="2:49" outlineLevel="1" x14ac:dyDescent="0.35">
      <c r="B175" s="48" t="s">
        <v>111</v>
      </c>
      <c r="C175" s="62" t="s">
        <v>135</v>
      </c>
      <c r="D175" s="70">
        <v>2</v>
      </c>
      <c r="E175" s="71">
        <v>62</v>
      </c>
      <c r="F175" s="70">
        <v>6</v>
      </c>
      <c r="G175" s="138">
        <f t="shared" si="99"/>
        <v>68</v>
      </c>
      <c r="H175" s="167">
        <f t="shared" si="100"/>
        <v>9.6774193548387094E-2</v>
      </c>
      <c r="I175" s="70">
        <v>0</v>
      </c>
      <c r="J175" s="138">
        <f t="shared" si="101"/>
        <v>68</v>
      </c>
      <c r="K175" s="167">
        <f t="shared" si="102"/>
        <v>0</v>
      </c>
      <c r="L175" s="70">
        <v>2</v>
      </c>
      <c r="M175" s="138">
        <f t="shared" si="135"/>
        <v>70</v>
      </c>
      <c r="N175" s="167">
        <f t="shared" si="104"/>
        <v>2.9411764705882353E-2</v>
      </c>
      <c r="O175" s="70">
        <v>2</v>
      </c>
      <c r="P175" s="138">
        <f t="shared" si="136"/>
        <v>72</v>
      </c>
      <c r="Q175" s="167">
        <f t="shared" si="116"/>
        <v>2.8571428571428571E-2</v>
      </c>
      <c r="R175" s="164">
        <f t="shared" si="137"/>
        <v>12</v>
      </c>
      <c r="S175" s="165">
        <f t="shared" si="117"/>
        <v>3.8090464343377706E-2</v>
      </c>
      <c r="U175" s="170">
        <f t="shared" si="118"/>
        <v>2</v>
      </c>
      <c r="V175" s="6">
        <v>2</v>
      </c>
      <c r="W175" s="6">
        <v>0</v>
      </c>
      <c r="X175" s="138">
        <f t="shared" si="119"/>
        <v>74</v>
      </c>
      <c r="Y175" s="181">
        <f t="shared" si="120"/>
        <v>2.7777777777777776E-2</v>
      </c>
      <c r="Z175" s="405">
        <f t="shared" si="121"/>
        <v>2</v>
      </c>
      <c r="AA175" s="406">
        <v>1</v>
      </c>
      <c r="AB175" s="406">
        <v>1</v>
      </c>
      <c r="AC175" s="405">
        <f t="shared" si="122"/>
        <v>76</v>
      </c>
      <c r="AD175" s="409">
        <f t="shared" si="123"/>
        <v>2.7027027027027029E-2</v>
      </c>
      <c r="AE175" s="170">
        <f t="shared" si="124"/>
        <v>3</v>
      </c>
      <c r="AF175" s="6">
        <v>1</v>
      </c>
      <c r="AG175" s="6">
        <v>2</v>
      </c>
      <c r="AH175" s="138">
        <f t="shared" si="125"/>
        <v>79</v>
      </c>
      <c r="AI175" s="160">
        <f t="shared" si="126"/>
        <v>3.9473684210526314E-2</v>
      </c>
      <c r="AJ175" s="170">
        <f t="shared" si="127"/>
        <v>3</v>
      </c>
      <c r="AK175" s="6">
        <v>1</v>
      </c>
      <c r="AL175" s="6">
        <v>2</v>
      </c>
      <c r="AM175" s="138">
        <f t="shared" si="128"/>
        <v>82</v>
      </c>
      <c r="AN175" s="160">
        <f t="shared" si="129"/>
        <v>3.7974683544303799E-2</v>
      </c>
      <c r="AO175" s="170">
        <f t="shared" si="130"/>
        <v>3</v>
      </c>
      <c r="AP175" s="6">
        <v>1</v>
      </c>
      <c r="AQ175" s="6">
        <v>2</v>
      </c>
      <c r="AR175" s="138">
        <f t="shared" si="131"/>
        <v>85</v>
      </c>
      <c r="AS175" s="160">
        <f t="shared" si="132"/>
        <v>3.6585365853658534E-2</v>
      </c>
      <c r="AT175" s="164">
        <f t="shared" si="133"/>
        <v>13</v>
      </c>
      <c r="AU175" s="165">
        <f t="shared" si="134"/>
        <v>3.5253724192270131E-2</v>
      </c>
      <c r="AW175" s="358"/>
    </row>
    <row r="176" spans="2:49" outlineLevel="1" x14ac:dyDescent="0.35">
      <c r="B176" s="48" t="s">
        <v>179</v>
      </c>
      <c r="C176" s="62" t="s">
        <v>135</v>
      </c>
      <c r="D176" s="70">
        <v>6</v>
      </c>
      <c r="E176" s="71">
        <v>167</v>
      </c>
      <c r="F176" s="70">
        <v>5</v>
      </c>
      <c r="G176" s="138">
        <f t="shared" si="99"/>
        <v>172</v>
      </c>
      <c r="H176" s="167">
        <f t="shared" si="100"/>
        <v>2.9940119760479042E-2</v>
      </c>
      <c r="I176" s="70">
        <v>4</v>
      </c>
      <c r="J176" s="138">
        <f t="shared" si="101"/>
        <v>176</v>
      </c>
      <c r="K176" s="167">
        <f t="shared" si="102"/>
        <v>2.3255813953488372E-2</v>
      </c>
      <c r="L176" s="70">
        <v>2</v>
      </c>
      <c r="M176" s="138">
        <f t="shared" si="135"/>
        <v>178</v>
      </c>
      <c r="N176" s="167">
        <f t="shared" si="104"/>
        <v>1.1363636363636364E-2</v>
      </c>
      <c r="O176" s="70">
        <v>3</v>
      </c>
      <c r="P176" s="138">
        <f t="shared" si="136"/>
        <v>181</v>
      </c>
      <c r="Q176" s="167">
        <f t="shared" si="116"/>
        <v>1.6853932584269662E-2</v>
      </c>
      <c r="R176" s="164">
        <f t="shared" si="137"/>
        <v>20</v>
      </c>
      <c r="S176" s="165">
        <f t="shared" si="117"/>
        <v>2.032969423640596E-2</v>
      </c>
      <c r="U176" s="170">
        <f t="shared" si="118"/>
        <v>4</v>
      </c>
      <c r="V176" s="6">
        <v>4</v>
      </c>
      <c r="W176" s="6">
        <v>0</v>
      </c>
      <c r="X176" s="138">
        <f t="shared" si="119"/>
        <v>185</v>
      </c>
      <c r="Y176" s="181">
        <f t="shared" si="120"/>
        <v>2.2099447513812154E-2</v>
      </c>
      <c r="Z176" s="405">
        <f t="shared" si="121"/>
        <v>5</v>
      </c>
      <c r="AA176" s="406">
        <v>3</v>
      </c>
      <c r="AB176" s="406">
        <v>2</v>
      </c>
      <c r="AC176" s="405">
        <f t="shared" si="122"/>
        <v>190</v>
      </c>
      <c r="AD176" s="409">
        <f t="shared" si="123"/>
        <v>2.7027027027027029E-2</v>
      </c>
      <c r="AE176" s="170">
        <f t="shared" si="124"/>
        <v>7</v>
      </c>
      <c r="AF176" s="6">
        <v>3</v>
      </c>
      <c r="AG176" s="6">
        <v>4</v>
      </c>
      <c r="AH176" s="138">
        <f t="shared" si="125"/>
        <v>197</v>
      </c>
      <c r="AI176" s="160">
        <f t="shared" si="126"/>
        <v>3.6842105263157891E-2</v>
      </c>
      <c r="AJ176" s="170">
        <f t="shared" si="127"/>
        <v>6</v>
      </c>
      <c r="AK176" s="6">
        <v>2</v>
      </c>
      <c r="AL176" s="6">
        <v>4</v>
      </c>
      <c r="AM176" s="138">
        <f t="shared" si="128"/>
        <v>203</v>
      </c>
      <c r="AN176" s="160">
        <f t="shared" si="129"/>
        <v>3.0456852791878174E-2</v>
      </c>
      <c r="AO176" s="170">
        <f t="shared" si="130"/>
        <v>7</v>
      </c>
      <c r="AP176" s="6">
        <v>2</v>
      </c>
      <c r="AQ176" s="6">
        <v>5</v>
      </c>
      <c r="AR176" s="138">
        <f t="shared" si="131"/>
        <v>210</v>
      </c>
      <c r="AS176" s="160">
        <f t="shared" si="132"/>
        <v>3.4482758620689655E-2</v>
      </c>
      <c r="AT176" s="164">
        <f t="shared" si="133"/>
        <v>29</v>
      </c>
      <c r="AU176" s="165">
        <f t="shared" si="134"/>
        <v>3.2195334133450881E-2</v>
      </c>
      <c r="AW176" s="358"/>
    </row>
    <row r="177" spans="1:51" outlineLevel="1" x14ac:dyDescent="0.35">
      <c r="B177" s="48" t="s">
        <v>113</v>
      </c>
      <c r="C177" s="62" t="s">
        <v>135</v>
      </c>
      <c r="D177" s="70">
        <v>0</v>
      </c>
      <c r="E177" s="71">
        <v>1</v>
      </c>
      <c r="F177" s="70">
        <v>0</v>
      </c>
      <c r="G177" s="138">
        <f t="shared" si="99"/>
        <v>1</v>
      </c>
      <c r="H177" s="167">
        <f t="shared" si="100"/>
        <v>0</v>
      </c>
      <c r="I177" s="70">
        <v>0</v>
      </c>
      <c r="J177" s="138">
        <f t="shared" si="101"/>
        <v>1</v>
      </c>
      <c r="K177" s="167">
        <f t="shared" si="102"/>
        <v>0</v>
      </c>
      <c r="L177" s="70">
        <v>0</v>
      </c>
      <c r="M177" s="138">
        <f t="shared" si="135"/>
        <v>1</v>
      </c>
      <c r="N177" s="167">
        <f t="shared" si="104"/>
        <v>0</v>
      </c>
      <c r="O177" s="70">
        <v>0</v>
      </c>
      <c r="P177" s="138">
        <f t="shared" si="136"/>
        <v>1</v>
      </c>
      <c r="Q177" s="167">
        <f t="shared" si="116"/>
        <v>0</v>
      </c>
      <c r="R177" s="164">
        <f t="shared" si="137"/>
        <v>0</v>
      </c>
      <c r="S177" s="165">
        <f t="shared" si="117"/>
        <v>0</v>
      </c>
      <c r="U177" s="170">
        <f t="shared" si="118"/>
        <v>0</v>
      </c>
      <c r="V177" s="6">
        <v>0</v>
      </c>
      <c r="W177" s="6">
        <v>0</v>
      </c>
      <c r="X177" s="138">
        <f t="shared" si="119"/>
        <v>1</v>
      </c>
      <c r="Y177" s="181">
        <f t="shared" si="120"/>
        <v>0</v>
      </c>
      <c r="Z177" s="405">
        <f t="shared" si="121"/>
        <v>0</v>
      </c>
      <c r="AA177" s="406">
        <v>0</v>
      </c>
      <c r="AB177" s="406">
        <v>0</v>
      </c>
      <c r="AC177" s="405">
        <f t="shared" si="122"/>
        <v>1</v>
      </c>
      <c r="AD177" s="409">
        <f t="shared" si="123"/>
        <v>0</v>
      </c>
      <c r="AE177" s="170">
        <f t="shared" si="124"/>
        <v>0</v>
      </c>
      <c r="AF177" s="6">
        <v>0</v>
      </c>
      <c r="AG177" s="6">
        <v>0</v>
      </c>
      <c r="AH177" s="138">
        <f t="shared" si="125"/>
        <v>1</v>
      </c>
      <c r="AI177" s="160">
        <f t="shared" si="126"/>
        <v>0</v>
      </c>
      <c r="AJ177" s="170">
        <f t="shared" si="127"/>
        <v>0</v>
      </c>
      <c r="AK177" s="6">
        <v>0</v>
      </c>
      <c r="AL177" s="6">
        <v>0</v>
      </c>
      <c r="AM177" s="138">
        <f t="shared" si="128"/>
        <v>1</v>
      </c>
      <c r="AN177" s="160">
        <f t="shared" si="129"/>
        <v>0</v>
      </c>
      <c r="AO177" s="170">
        <f t="shared" si="130"/>
        <v>0</v>
      </c>
      <c r="AP177" s="6">
        <v>0</v>
      </c>
      <c r="AQ177" s="6">
        <v>0</v>
      </c>
      <c r="AR177" s="138">
        <f t="shared" si="131"/>
        <v>1</v>
      </c>
      <c r="AS177" s="160">
        <f t="shared" si="132"/>
        <v>0</v>
      </c>
      <c r="AT177" s="164">
        <f t="shared" si="133"/>
        <v>0</v>
      </c>
      <c r="AU177" s="165">
        <f t="shared" si="134"/>
        <v>0</v>
      </c>
    </row>
    <row r="178" spans="1:51" outlineLevel="1" x14ac:dyDescent="0.35">
      <c r="B178" s="48" t="s">
        <v>114</v>
      </c>
      <c r="C178" s="62" t="s">
        <v>135</v>
      </c>
      <c r="D178" s="70">
        <v>3</v>
      </c>
      <c r="E178" s="71">
        <v>197</v>
      </c>
      <c r="F178" s="70">
        <v>4</v>
      </c>
      <c r="G178" s="138">
        <f t="shared" si="99"/>
        <v>201</v>
      </c>
      <c r="H178" s="167">
        <f t="shared" si="100"/>
        <v>2.030456852791878E-2</v>
      </c>
      <c r="I178" s="70">
        <v>1</v>
      </c>
      <c r="J178" s="138">
        <f t="shared" si="101"/>
        <v>202</v>
      </c>
      <c r="K178" s="167">
        <f t="shared" si="102"/>
        <v>4.9751243781094526E-3</v>
      </c>
      <c r="L178" s="70">
        <v>2</v>
      </c>
      <c r="M178" s="138">
        <f t="shared" si="135"/>
        <v>204</v>
      </c>
      <c r="N178" s="167">
        <f t="shared" si="104"/>
        <v>9.9009900990099011E-3</v>
      </c>
      <c r="O178" s="70">
        <v>3</v>
      </c>
      <c r="P178" s="138">
        <f t="shared" si="136"/>
        <v>207</v>
      </c>
      <c r="Q178" s="167">
        <f t="shared" si="116"/>
        <v>1.4705882352941176E-2</v>
      </c>
      <c r="R178" s="164">
        <f t="shared" si="137"/>
        <v>13</v>
      </c>
      <c r="S178" s="165">
        <f t="shared" si="117"/>
        <v>1.2455700179105467E-2</v>
      </c>
      <c r="U178" s="170">
        <f t="shared" si="118"/>
        <v>4</v>
      </c>
      <c r="V178" s="6">
        <v>4</v>
      </c>
      <c r="W178" s="6">
        <v>0</v>
      </c>
      <c r="X178" s="138">
        <f t="shared" si="119"/>
        <v>211</v>
      </c>
      <c r="Y178" s="181">
        <f t="shared" si="120"/>
        <v>1.932367149758454E-2</v>
      </c>
      <c r="Z178" s="405">
        <f t="shared" si="121"/>
        <v>4</v>
      </c>
      <c r="AA178" s="406">
        <v>4</v>
      </c>
      <c r="AB178" s="406">
        <v>0</v>
      </c>
      <c r="AC178" s="405">
        <f t="shared" si="122"/>
        <v>215</v>
      </c>
      <c r="AD178" s="409">
        <f t="shared" si="123"/>
        <v>1.8957345971563982E-2</v>
      </c>
      <c r="AE178" s="170">
        <f t="shared" si="124"/>
        <v>3</v>
      </c>
      <c r="AF178" s="6">
        <v>3</v>
      </c>
      <c r="AG178" s="6">
        <v>0</v>
      </c>
      <c r="AH178" s="138">
        <f t="shared" si="125"/>
        <v>218</v>
      </c>
      <c r="AI178" s="160">
        <f t="shared" si="126"/>
        <v>1.3953488372093023E-2</v>
      </c>
      <c r="AJ178" s="170">
        <f t="shared" si="127"/>
        <v>2</v>
      </c>
      <c r="AK178" s="6">
        <v>2</v>
      </c>
      <c r="AL178" s="6">
        <v>0</v>
      </c>
      <c r="AM178" s="138">
        <f t="shared" si="128"/>
        <v>220</v>
      </c>
      <c r="AN178" s="160">
        <f t="shared" si="129"/>
        <v>9.1743119266055051E-3</v>
      </c>
      <c r="AO178" s="170">
        <f t="shared" si="130"/>
        <v>2</v>
      </c>
      <c r="AP178" s="6">
        <v>2</v>
      </c>
      <c r="AQ178" s="6">
        <v>0</v>
      </c>
      <c r="AR178" s="138">
        <f t="shared" si="131"/>
        <v>222</v>
      </c>
      <c r="AS178" s="160">
        <f t="shared" si="132"/>
        <v>9.0909090909090905E-3</v>
      </c>
      <c r="AT178" s="164">
        <f t="shared" si="133"/>
        <v>15</v>
      </c>
      <c r="AU178" s="165">
        <f t="shared" si="134"/>
        <v>1.2785861098018936E-2</v>
      </c>
      <c r="AW178" s="358"/>
    </row>
    <row r="179" spans="1:51" outlineLevel="1" x14ac:dyDescent="0.35">
      <c r="B179" s="48" t="s">
        <v>115</v>
      </c>
      <c r="C179" s="62" t="s">
        <v>135</v>
      </c>
      <c r="D179" s="70">
        <v>28</v>
      </c>
      <c r="E179" s="71">
        <v>31</v>
      </c>
      <c r="F179" s="70">
        <v>9</v>
      </c>
      <c r="G179" s="138">
        <f t="shared" si="99"/>
        <v>40</v>
      </c>
      <c r="H179" s="167">
        <f t="shared" si="100"/>
        <v>0.29032258064516131</v>
      </c>
      <c r="I179" s="70">
        <v>5</v>
      </c>
      <c r="J179" s="138">
        <f t="shared" si="101"/>
        <v>45</v>
      </c>
      <c r="K179" s="167">
        <f t="shared" si="102"/>
        <v>0.125</v>
      </c>
      <c r="L179" s="70">
        <v>2</v>
      </c>
      <c r="M179" s="138">
        <f t="shared" si="135"/>
        <v>47</v>
      </c>
      <c r="N179" s="167">
        <f t="shared" si="104"/>
        <v>4.4444444444444446E-2</v>
      </c>
      <c r="O179" s="70">
        <v>2</v>
      </c>
      <c r="P179" s="138">
        <f t="shared" si="136"/>
        <v>49</v>
      </c>
      <c r="Q179" s="167">
        <f t="shared" si="116"/>
        <v>4.2553191489361701E-2</v>
      </c>
      <c r="R179" s="164">
        <f t="shared" si="137"/>
        <v>46</v>
      </c>
      <c r="S179" s="165">
        <f t="shared" si="117"/>
        <v>0.12126585348320673</v>
      </c>
      <c r="U179" s="170">
        <f t="shared" si="118"/>
        <v>2</v>
      </c>
      <c r="V179" s="6">
        <v>2</v>
      </c>
      <c r="W179" s="6">
        <v>0</v>
      </c>
      <c r="X179" s="138">
        <f t="shared" si="119"/>
        <v>51</v>
      </c>
      <c r="Y179" s="181">
        <f t="shared" si="120"/>
        <v>4.0816326530612242E-2</v>
      </c>
      <c r="Z179" s="405">
        <f t="shared" si="121"/>
        <v>3</v>
      </c>
      <c r="AA179" s="406">
        <v>2</v>
      </c>
      <c r="AB179" s="406">
        <v>1</v>
      </c>
      <c r="AC179" s="405">
        <f t="shared" si="122"/>
        <v>54</v>
      </c>
      <c r="AD179" s="409">
        <f t="shared" si="123"/>
        <v>5.8823529411764705E-2</v>
      </c>
      <c r="AE179" s="170">
        <f t="shared" si="124"/>
        <v>3</v>
      </c>
      <c r="AF179" s="6">
        <v>1</v>
      </c>
      <c r="AG179" s="6">
        <v>2</v>
      </c>
      <c r="AH179" s="138">
        <f t="shared" si="125"/>
        <v>57</v>
      </c>
      <c r="AI179" s="160">
        <f t="shared" si="126"/>
        <v>5.5555555555555552E-2</v>
      </c>
      <c r="AJ179" s="170">
        <f t="shared" si="127"/>
        <v>3</v>
      </c>
      <c r="AK179" s="6">
        <v>1</v>
      </c>
      <c r="AL179" s="6">
        <v>2</v>
      </c>
      <c r="AM179" s="138">
        <f t="shared" si="128"/>
        <v>60</v>
      </c>
      <c r="AN179" s="160">
        <f t="shared" si="129"/>
        <v>5.2631578947368418E-2</v>
      </c>
      <c r="AO179" s="170">
        <f t="shared" si="130"/>
        <v>4</v>
      </c>
      <c r="AP179" s="6">
        <v>1</v>
      </c>
      <c r="AQ179" s="6">
        <v>3</v>
      </c>
      <c r="AR179" s="138">
        <f t="shared" si="131"/>
        <v>64</v>
      </c>
      <c r="AS179" s="160">
        <f t="shared" si="132"/>
        <v>6.6666666666666666E-2</v>
      </c>
      <c r="AT179" s="164">
        <f t="shared" si="133"/>
        <v>15</v>
      </c>
      <c r="AU179" s="165">
        <f t="shared" si="134"/>
        <v>5.840638094373185E-2</v>
      </c>
      <c r="AW179" s="358"/>
    </row>
    <row r="180" spans="1:51" outlineLevel="1" x14ac:dyDescent="0.35">
      <c r="B180" s="48" t="s">
        <v>180</v>
      </c>
      <c r="C180" s="62" t="s">
        <v>135</v>
      </c>
      <c r="D180" s="70">
        <v>2</v>
      </c>
      <c r="E180" s="71">
        <v>115</v>
      </c>
      <c r="F180" s="70">
        <v>3</v>
      </c>
      <c r="G180" s="138">
        <f t="shared" si="99"/>
        <v>118</v>
      </c>
      <c r="H180" s="167">
        <f t="shared" si="100"/>
        <v>2.6086956521739129E-2</v>
      </c>
      <c r="I180" s="70">
        <v>5</v>
      </c>
      <c r="J180" s="138">
        <f t="shared" si="101"/>
        <v>123</v>
      </c>
      <c r="K180" s="167">
        <f t="shared" si="102"/>
        <v>4.2372881355932202E-2</v>
      </c>
      <c r="L180" s="70">
        <v>1</v>
      </c>
      <c r="M180" s="138">
        <f t="shared" si="135"/>
        <v>124</v>
      </c>
      <c r="N180" s="167">
        <f t="shared" si="104"/>
        <v>8.130081300813009E-3</v>
      </c>
      <c r="O180" s="70">
        <v>3</v>
      </c>
      <c r="P180" s="138">
        <f t="shared" si="136"/>
        <v>127</v>
      </c>
      <c r="Q180" s="167">
        <f t="shared" si="116"/>
        <v>2.4193548387096774E-2</v>
      </c>
      <c r="R180" s="164">
        <f t="shared" si="137"/>
        <v>14</v>
      </c>
      <c r="S180" s="165">
        <f t="shared" si="117"/>
        <v>2.512416262636763E-2</v>
      </c>
      <c r="U180" s="170">
        <f t="shared" si="118"/>
        <v>6</v>
      </c>
      <c r="V180" s="6">
        <v>5</v>
      </c>
      <c r="W180" s="6">
        <v>1</v>
      </c>
      <c r="X180" s="138">
        <f t="shared" si="119"/>
        <v>133</v>
      </c>
      <c r="Y180" s="181">
        <f t="shared" si="120"/>
        <v>4.7244094488188976E-2</v>
      </c>
      <c r="Z180" s="405">
        <f t="shared" si="121"/>
        <v>5</v>
      </c>
      <c r="AA180" s="406">
        <v>5</v>
      </c>
      <c r="AB180" s="406">
        <v>0</v>
      </c>
      <c r="AC180" s="405">
        <f t="shared" si="122"/>
        <v>138</v>
      </c>
      <c r="AD180" s="409">
        <f t="shared" si="123"/>
        <v>3.7593984962406013E-2</v>
      </c>
      <c r="AE180" s="170">
        <f t="shared" si="124"/>
        <v>4</v>
      </c>
      <c r="AF180" s="6">
        <v>4</v>
      </c>
      <c r="AG180" s="6">
        <v>0</v>
      </c>
      <c r="AH180" s="138">
        <f t="shared" si="125"/>
        <v>142</v>
      </c>
      <c r="AI180" s="160">
        <f t="shared" si="126"/>
        <v>2.8985507246376812E-2</v>
      </c>
      <c r="AJ180" s="170">
        <f t="shared" si="127"/>
        <v>3</v>
      </c>
      <c r="AK180" s="6">
        <v>3</v>
      </c>
      <c r="AL180" s="6">
        <v>0</v>
      </c>
      <c r="AM180" s="138">
        <f t="shared" si="128"/>
        <v>145</v>
      </c>
      <c r="AN180" s="160">
        <f t="shared" si="129"/>
        <v>2.1126760563380281E-2</v>
      </c>
      <c r="AO180" s="170">
        <f t="shared" si="130"/>
        <v>3</v>
      </c>
      <c r="AP180" s="6">
        <v>3</v>
      </c>
      <c r="AQ180" s="6">
        <v>0</v>
      </c>
      <c r="AR180" s="138">
        <f t="shared" si="131"/>
        <v>148</v>
      </c>
      <c r="AS180" s="160">
        <f t="shared" si="132"/>
        <v>2.0689655172413793E-2</v>
      </c>
      <c r="AT180" s="164">
        <f t="shared" si="133"/>
        <v>21</v>
      </c>
      <c r="AU180" s="165">
        <f t="shared" si="134"/>
        <v>2.7075852337046014E-2</v>
      </c>
      <c r="AW180" s="358"/>
    </row>
    <row r="181" spans="1:51" outlineLevel="1" x14ac:dyDescent="0.35">
      <c r="B181" s="48" t="s">
        <v>117</v>
      </c>
      <c r="C181" s="62" t="s">
        <v>135</v>
      </c>
      <c r="D181" s="70">
        <v>14</v>
      </c>
      <c r="E181" s="71">
        <v>381</v>
      </c>
      <c r="F181" s="70">
        <v>14</v>
      </c>
      <c r="G181" s="138">
        <f t="shared" si="99"/>
        <v>395</v>
      </c>
      <c r="H181" s="167">
        <f t="shared" si="100"/>
        <v>3.6745406824146981E-2</v>
      </c>
      <c r="I181" s="70">
        <v>9</v>
      </c>
      <c r="J181" s="138">
        <f t="shared" si="101"/>
        <v>404</v>
      </c>
      <c r="K181" s="167">
        <f t="shared" si="102"/>
        <v>2.2784810126582278E-2</v>
      </c>
      <c r="L181" s="70">
        <v>4</v>
      </c>
      <c r="M181" s="138">
        <f t="shared" si="135"/>
        <v>408</v>
      </c>
      <c r="N181" s="167">
        <f t="shared" si="104"/>
        <v>9.9009900990099011E-3</v>
      </c>
      <c r="O181" s="70">
        <v>5</v>
      </c>
      <c r="P181" s="138">
        <f t="shared" si="136"/>
        <v>413</v>
      </c>
      <c r="Q181" s="167">
        <f t="shared" si="116"/>
        <v>1.2254901960784314E-2</v>
      </c>
      <c r="R181" s="164">
        <f t="shared" si="137"/>
        <v>46</v>
      </c>
      <c r="S181" s="165">
        <f t="shared" si="117"/>
        <v>2.0366681599367054E-2</v>
      </c>
      <c r="U181" s="170">
        <f t="shared" si="118"/>
        <v>14</v>
      </c>
      <c r="V181" s="6">
        <v>12</v>
      </c>
      <c r="W181" s="6">
        <v>2</v>
      </c>
      <c r="X181" s="138">
        <f t="shared" si="119"/>
        <v>427</v>
      </c>
      <c r="Y181" s="181">
        <f t="shared" si="120"/>
        <v>3.3898305084745763E-2</v>
      </c>
      <c r="Z181" s="405">
        <f t="shared" si="121"/>
        <v>18</v>
      </c>
      <c r="AA181" s="406">
        <v>10</v>
      </c>
      <c r="AB181" s="406">
        <v>8</v>
      </c>
      <c r="AC181" s="405">
        <f t="shared" si="122"/>
        <v>445</v>
      </c>
      <c r="AD181" s="409">
        <f t="shared" si="123"/>
        <v>4.2154566744730677E-2</v>
      </c>
      <c r="AE181" s="170">
        <f t="shared" si="124"/>
        <v>20</v>
      </c>
      <c r="AF181" s="6">
        <v>9</v>
      </c>
      <c r="AG181" s="6">
        <v>11</v>
      </c>
      <c r="AH181" s="138">
        <f t="shared" si="125"/>
        <v>465</v>
      </c>
      <c r="AI181" s="160">
        <f t="shared" si="126"/>
        <v>4.49438202247191E-2</v>
      </c>
      <c r="AJ181" s="170">
        <f t="shared" si="127"/>
        <v>22</v>
      </c>
      <c r="AK181" s="6">
        <v>7</v>
      </c>
      <c r="AL181" s="6">
        <v>15</v>
      </c>
      <c r="AM181" s="138">
        <f t="shared" si="128"/>
        <v>487</v>
      </c>
      <c r="AN181" s="160">
        <f t="shared" si="129"/>
        <v>4.7311827956989246E-2</v>
      </c>
      <c r="AO181" s="170">
        <f t="shared" si="130"/>
        <v>21</v>
      </c>
      <c r="AP181" s="6">
        <v>5</v>
      </c>
      <c r="AQ181" s="6">
        <v>16</v>
      </c>
      <c r="AR181" s="138">
        <f t="shared" si="131"/>
        <v>508</v>
      </c>
      <c r="AS181" s="160">
        <f t="shared" si="132"/>
        <v>4.3121149897330596E-2</v>
      </c>
      <c r="AT181" s="164">
        <f t="shared" si="133"/>
        <v>95</v>
      </c>
      <c r="AU181" s="165">
        <f t="shared" si="134"/>
        <v>4.438099287064734E-2</v>
      </c>
      <c r="AW181" s="358"/>
    </row>
    <row r="182" spans="1:51" outlineLevel="1" x14ac:dyDescent="0.35">
      <c r="B182" s="48" t="s">
        <v>118</v>
      </c>
      <c r="C182" s="62" t="s">
        <v>135</v>
      </c>
      <c r="D182" s="70">
        <v>5</v>
      </c>
      <c r="E182" s="71">
        <v>70</v>
      </c>
      <c r="F182" s="70">
        <v>13</v>
      </c>
      <c r="G182" s="138">
        <f t="shared" si="99"/>
        <v>83</v>
      </c>
      <c r="H182" s="167">
        <f t="shared" si="100"/>
        <v>0.18571428571428572</v>
      </c>
      <c r="I182" s="70">
        <v>8</v>
      </c>
      <c r="J182" s="138">
        <f t="shared" si="101"/>
        <v>91</v>
      </c>
      <c r="K182" s="167">
        <f t="shared" si="102"/>
        <v>9.6385542168674704E-2</v>
      </c>
      <c r="L182" s="70">
        <v>3</v>
      </c>
      <c r="M182" s="138">
        <f t="shared" si="135"/>
        <v>94</v>
      </c>
      <c r="N182" s="167">
        <f t="shared" si="104"/>
        <v>3.2967032967032968E-2</v>
      </c>
      <c r="O182" s="70">
        <v>1</v>
      </c>
      <c r="P182" s="138">
        <f t="shared" si="136"/>
        <v>95</v>
      </c>
      <c r="Q182" s="167">
        <f t="shared" si="116"/>
        <v>1.0638297872340425E-2</v>
      </c>
      <c r="R182" s="164">
        <f t="shared" si="137"/>
        <v>30</v>
      </c>
      <c r="S182" s="165">
        <f t="shared" si="117"/>
        <v>7.9335325569137138E-2</v>
      </c>
      <c r="U182" s="170">
        <f t="shared" si="118"/>
        <v>2</v>
      </c>
      <c r="V182" s="6">
        <v>2</v>
      </c>
      <c r="W182" s="6">
        <v>0</v>
      </c>
      <c r="X182" s="138">
        <f t="shared" si="119"/>
        <v>97</v>
      </c>
      <c r="Y182" s="181">
        <f t="shared" si="120"/>
        <v>2.1052631578947368E-2</v>
      </c>
      <c r="Z182" s="405">
        <f t="shared" si="121"/>
        <v>2</v>
      </c>
      <c r="AA182" s="406">
        <v>2</v>
      </c>
      <c r="AB182" s="406">
        <v>0</v>
      </c>
      <c r="AC182" s="405">
        <f t="shared" si="122"/>
        <v>99</v>
      </c>
      <c r="AD182" s="409">
        <f t="shared" si="123"/>
        <v>2.0618556701030927E-2</v>
      </c>
      <c r="AE182" s="170">
        <f t="shared" si="124"/>
        <v>1</v>
      </c>
      <c r="AF182" s="6">
        <v>1</v>
      </c>
      <c r="AG182" s="6">
        <v>0</v>
      </c>
      <c r="AH182" s="138">
        <f t="shared" si="125"/>
        <v>100</v>
      </c>
      <c r="AI182" s="160">
        <f t="shared" si="126"/>
        <v>1.0101010101010102E-2</v>
      </c>
      <c r="AJ182" s="170">
        <f t="shared" si="127"/>
        <v>1</v>
      </c>
      <c r="AK182" s="6">
        <v>1</v>
      </c>
      <c r="AL182" s="6">
        <v>0</v>
      </c>
      <c r="AM182" s="138">
        <f t="shared" si="128"/>
        <v>101</v>
      </c>
      <c r="AN182" s="160">
        <f t="shared" si="129"/>
        <v>0.01</v>
      </c>
      <c r="AO182" s="170">
        <f t="shared" si="130"/>
        <v>1</v>
      </c>
      <c r="AP182" s="6">
        <v>1</v>
      </c>
      <c r="AQ182" s="6">
        <v>0</v>
      </c>
      <c r="AR182" s="138">
        <f t="shared" si="131"/>
        <v>102</v>
      </c>
      <c r="AS182" s="160">
        <f t="shared" si="132"/>
        <v>9.9009900990099011E-3</v>
      </c>
      <c r="AT182" s="164">
        <f t="shared" si="133"/>
        <v>7</v>
      </c>
      <c r="AU182" s="165">
        <f t="shared" si="134"/>
        <v>1.2644735774298255E-2</v>
      </c>
      <c r="AW182" s="358"/>
    </row>
    <row r="183" spans="1:51" outlineLevel="1" x14ac:dyDescent="0.35">
      <c r="B183" s="48" t="s">
        <v>119</v>
      </c>
      <c r="C183" s="62" t="s">
        <v>135</v>
      </c>
      <c r="D183" s="70">
        <v>0</v>
      </c>
      <c r="E183" s="71">
        <v>55</v>
      </c>
      <c r="F183" s="70">
        <v>1</v>
      </c>
      <c r="G183" s="138">
        <f t="shared" si="99"/>
        <v>56</v>
      </c>
      <c r="H183" s="167">
        <f t="shared" si="100"/>
        <v>1.8181818181818181E-2</v>
      </c>
      <c r="I183" s="70">
        <v>1</v>
      </c>
      <c r="J183" s="138">
        <f t="shared" si="101"/>
        <v>57</v>
      </c>
      <c r="K183" s="167">
        <f t="shared" si="102"/>
        <v>1.7857142857142856E-2</v>
      </c>
      <c r="L183" s="70">
        <v>0</v>
      </c>
      <c r="M183" s="138">
        <f t="shared" si="135"/>
        <v>57</v>
      </c>
      <c r="N183" s="167">
        <f t="shared" si="104"/>
        <v>0</v>
      </c>
      <c r="O183" s="70">
        <v>0</v>
      </c>
      <c r="P183" s="138">
        <f t="shared" si="136"/>
        <v>57</v>
      </c>
      <c r="Q183" s="167">
        <f t="shared" si="116"/>
        <v>0</v>
      </c>
      <c r="R183" s="164">
        <f t="shared" si="137"/>
        <v>2</v>
      </c>
      <c r="S183" s="165">
        <f t="shared" si="117"/>
        <v>8.9695077533105128E-3</v>
      </c>
      <c r="U183" s="170">
        <f t="shared" si="118"/>
        <v>-1</v>
      </c>
      <c r="V183" s="6">
        <v>-1</v>
      </c>
      <c r="W183" s="6">
        <v>0</v>
      </c>
      <c r="X183" s="138">
        <f t="shared" si="119"/>
        <v>56</v>
      </c>
      <c r="Y183" s="181">
        <f t="shared" si="120"/>
        <v>-1.7543859649122806E-2</v>
      </c>
      <c r="Z183" s="405">
        <f t="shared" si="121"/>
        <v>0</v>
      </c>
      <c r="AA183" s="406">
        <v>0</v>
      </c>
      <c r="AB183" s="406">
        <v>0</v>
      </c>
      <c r="AC183" s="405">
        <f t="shared" si="122"/>
        <v>56</v>
      </c>
      <c r="AD183" s="409">
        <f t="shared" si="123"/>
        <v>0</v>
      </c>
      <c r="AE183" s="170">
        <f t="shared" si="124"/>
        <v>0</v>
      </c>
      <c r="AF183" s="6">
        <v>0</v>
      </c>
      <c r="AG183" s="6">
        <v>0</v>
      </c>
      <c r="AH183" s="138">
        <f t="shared" si="125"/>
        <v>56</v>
      </c>
      <c r="AI183" s="160">
        <f t="shared" si="126"/>
        <v>0</v>
      </c>
      <c r="AJ183" s="170">
        <f t="shared" si="127"/>
        <v>0</v>
      </c>
      <c r="AK183" s="6">
        <v>0</v>
      </c>
      <c r="AL183" s="6">
        <v>0</v>
      </c>
      <c r="AM183" s="138">
        <f t="shared" si="128"/>
        <v>56</v>
      </c>
      <c r="AN183" s="160">
        <f t="shared" si="129"/>
        <v>0</v>
      </c>
      <c r="AO183" s="170">
        <f t="shared" si="130"/>
        <v>0</v>
      </c>
      <c r="AP183" s="6">
        <v>0</v>
      </c>
      <c r="AQ183" s="6">
        <v>0</v>
      </c>
      <c r="AR183" s="138">
        <f t="shared" si="131"/>
        <v>56</v>
      </c>
      <c r="AS183" s="160">
        <f t="shared" si="132"/>
        <v>0</v>
      </c>
      <c r="AT183" s="164">
        <f t="shared" si="133"/>
        <v>-1</v>
      </c>
      <c r="AU183" s="165">
        <f t="shared" si="134"/>
        <v>0</v>
      </c>
      <c r="AW183" s="358"/>
    </row>
    <row r="184" spans="1:51" outlineLevel="1" x14ac:dyDescent="0.35">
      <c r="B184" s="48" t="s">
        <v>120</v>
      </c>
      <c r="C184" s="62" t="s">
        <v>135</v>
      </c>
      <c r="D184" s="70">
        <v>31</v>
      </c>
      <c r="E184" s="71">
        <v>349</v>
      </c>
      <c r="F184" s="70">
        <v>48</v>
      </c>
      <c r="G184" s="138">
        <f t="shared" si="99"/>
        <v>397</v>
      </c>
      <c r="H184" s="167">
        <f t="shared" si="100"/>
        <v>0.13753581661891118</v>
      </c>
      <c r="I184" s="70">
        <v>22</v>
      </c>
      <c r="J184" s="138">
        <f t="shared" si="101"/>
        <v>419</v>
      </c>
      <c r="K184" s="167">
        <f t="shared" si="102"/>
        <v>5.5415617128463476E-2</v>
      </c>
      <c r="L184" s="70">
        <v>8</v>
      </c>
      <c r="M184" s="138">
        <f t="shared" si="135"/>
        <v>427</v>
      </c>
      <c r="N184" s="167">
        <f t="shared" si="104"/>
        <v>1.9093078758949882E-2</v>
      </c>
      <c r="O184" s="70">
        <v>3</v>
      </c>
      <c r="P184" s="138">
        <f t="shared" si="136"/>
        <v>430</v>
      </c>
      <c r="Q184" s="167">
        <f t="shared" si="116"/>
        <v>7.0257611241217799E-3</v>
      </c>
      <c r="R184" s="164">
        <f t="shared" si="137"/>
        <v>112</v>
      </c>
      <c r="S184" s="165">
        <f t="shared" si="117"/>
        <v>5.3563598932535594E-2</v>
      </c>
      <c r="U184" s="170">
        <f t="shared" si="118"/>
        <v>9</v>
      </c>
      <c r="V184" s="6">
        <v>9</v>
      </c>
      <c r="W184" s="6">
        <v>0</v>
      </c>
      <c r="X184" s="138">
        <f t="shared" si="119"/>
        <v>439</v>
      </c>
      <c r="Y184" s="181">
        <f t="shared" si="120"/>
        <v>2.0930232558139535E-2</v>
      </c>
      <c r="Z184" s="405">
        <f t="shared" si="121"/>
        <v>8</v>
      </c>
      <c r="AA184" s="406">
        <v>7</v>
      </c>
      <c r="AB184" s="406">
        <v>1</v>
      </c>
      <c r="AC184" s="405">
        <f t="shared" si="122"/>
        <v>447</v>
      </c>
      <c r="AD184" s="409">
        <f t="shared" si="123"/>
        <v>1.8223234624145785E-2</v>
      </c>
      <c r="AE184" s="170">
        <f t="shared" si="124"/>
        <v>9</v>
      </c>
      <c r="AF184" s="6">
        <v>6</v>
      </c>
      <c r="AG184" s="6">
        <v>3</v>
      </c>
      <c r="AH184" s="138">
        <f t="shared" si="125"/>
        <v>456</v>
      </c>
      <c r="AI184" s="160">
        <f t="shared" si="126"/>
        <v>2.0134228187919462E-2</v>
      </c>
      <c r="AJ184" s="170">
        <f t="shared" si="127"/>
        <v>8</v>
      </c>
      <c r="AK184" s="6">
        <v>5</v>
      </c>
      <c r="AL184" s="6">
        <v>3</v>
      </c>
      <c r="AM184" s="138">
        <f t="shared" si="128"/>
        <v>464</v>
      </c>
      <c r="AN184" s="160">
        <f t="shared" si="129"/>
        <v>1.7543859649122806E-2</v>
      </c>
      <c r="AO184" s="170">
        <f t="shared" si="130"/>
        <v>8</v>
      </c>
      <c r="AP184" s="6">
        <v>4</v>
      </c>
      <c r="AQ184" s="6">
        <v>4</v>
      </c>
      <c r="AR184" s="138">
        <f t="shared" si="131"/>
        <v>472</v>
      </c>
      <c r="AS184" s="160">
        <f t="shared" si="132"/>
        <v>1.7241379310344827E-2</v>
      </c>
      <c r="AT184" s="164">
        <f t="shared" si="133"/>
        <v>42</v>
      </c>
      <c r="AU184" s="165">
        <f t="shared" si="134"/>
        <v>1.8285054451449678E-2</v>
      </c>
      <c r="AW184" s="358"/>
    </row>
    <row r="185" spans="1:51" outlineLevel="1" x14ac:dyDescent="0.35">
      <c r="B185" s="48" t="s">
        <v>121</v>
      </c>
      <c r="C185" s="62" t="s">
        <v>135</v>
      </c>
      <c r="D185" s="70">
        <v>0</v>
      </c>
      <c r="E185" s="71">
        <v>17</v>
      </c>
      <c r="F185" s="70">
        <v>15</v>
      </c>
      <c r="G185" s="138">
        <f t="shared" si="99"/>
        <v>32</v>
      </c>
      <c r="H185" s="167">
        <f t="shared" si="100"/>
        <v>0.88235294117647056</v>
      </c>
      <c r="I185" s="70">
        <v>9</v>
      </c>
      <c r="J185" s="138">
        <f t="shared" si="101"/>
        <v>41</v>
      </c>
      <c r="K185" s="167">
        <f t="shared" si="102"/>
        <v>0.28125</v>
      </c>
      <c r="L185" s="70">
        <v>2</v>
      </c>
      <c r="M185" s="138">
        <f t="shared" si="135"/>
        <v>43</v>
      </c>
      <c r="N185" s="167">
        <f t="shared" si="104"/>
        <v>4.878048780487805E-2</v>
      </c>
      <c r="O185" s="70">
        <v>0</v>
      </c>
      <c r="P185" s="138">
        <f t="shared" si="136"/>
        <v>43</v>
      </c>
      <c r="Q185" s="167">
        <f t="shared" si="116"/>
        <v>0</v>
      </c>
      <c r="R185" s="164">
        <f t="shared" si="137"/>
        <v>26</v>
      </c>
      <c r="S185" s="165">
        <f t="shared" si="117"/>
        <v>0.26111555819794519</v>
      </c>
      <c r="U185" s="170">
        <f t="shared" si="118"/>
        <v>0</v>
      </c>
      <c r="V185" s="6">
        <v>0</v>
      </c>
      <c r="W185" s="6">
        <v>0</v>
      </c>
      <c r="X185" s="138">
        <f t="shared" si="119"/>
        <v>43</v>
      </c>
      <c r="Y185" s="181">
        <f t="shared" si="120"/>
        <v>0</v>
      </c>
      <c r="Z185" s="405">
        <f t="shared" si="121"/>
        <v>1</v>
      </c>
      <c r="AA185" s="406">
        <v>0</v>
      </c>
      <c r="AB185" s="406">
        <v>1</v>
      </c>
      <c r="AC185" s="405">
        <f t="shared" si="122"/>
        <v>44</v>
      </c>
      <c r="AD185" s="409">
        <f t="shared" si="123"/>
        <v>2.3255813953488372E-2</v>
      </c>
      <c r="AE185" s="170">
        <f t="shared" si="124"/>
        <v>3</v>
      </c>
      <c r="AF185" s="6">
        <v>0</v>
      </c>
      <c r="AG185" s="6">
        <v>3</v>
      </c>
      <c r="AH185" s="138">
        <f t="shared" si="125"/>
        <v>47</v>
      </c>
      <c r="AI185" s="160">
        <f t="shared" si="126"/>
        <v>6.8181818181818177E-2</v>
      </c>
      <c r="AJ185" s="170">
        <f t="shared" si="127"/>
        <v>3</v>
      </c>
      <c r="AK185" s="6">
        <v>0</v>
      </c>
      <c r="AL185" s="6">
        <v>3</v>
      </c>
      <c r="AM185" s="138">
        <f t="shared" si="128"/>
        <v>50</v>
      </c>
      <c r="AN185" s="160">
        <f t="shared" si="129"/>
        <v>6.3829787234042548E-2</v>
      </c>
      <c r="AO185" s="170">
        <f t="shared" si="130"/>
        <v>5</v>
      </c>
      <c r="AP185" s="6">
        <v>0</v>
      </c>
      <c r="AQ185" s="6">
        <v>5</v>
      </c>
      <c r="AR185" s="138">
        <f t="shared" si="131"/>
        <v>55</v>
      </c>
      <c r="AS185" s="160">
        <f t="shared" si="132"/>
        <v>0.1</v>
      </c>
      <c r="AT185" s="164">
        <f t="shared" si="133"/>
        <v>12</v>
      </c>
      <c r="AU185" s="165">
        <f t="shared" si="134"/>
        <v>6.3465874668723998E-2</v>
      </c>
      <c r="AW185" s="358"/>
    </row>
    <row r="186" spans="1:51" outlineLevel="1" x14ac:dyDescent="0.35">
      <c r="B186" s="48" t="s">
        <v>137</v>
      </c>
      <c r="C186" s="62" t="s">
        <v>135</v>
      </c>
      <c r="D186" s="70">
        <v>0</v>
      </c>
      <c r="E186" s="71">
        <v>0</v>
      </c>
      <c r="F186" s="70">
        <v>0</v>
      </c>
      <c r="G186" s="138">
        <f t="shared" si="99"/>
        <v>0</v>
      </c>
      <c r="H186" s="167">
        <f t="shared" si="100"/>
        <v>0</v>
      </c>
      <c r="I186" s="70">
        <v>0</v>
      </c>
      <c r="J186" s="138">
        <f t="shared" si="101"/>
        <v>0</v>
      </c>
      <c r="K186" s="167">
        <f t="shared" si="102"/>
        <v>0</v>
      </c>
      <c r="L186" s="70">
        <v>0</v>
      </c>
      <c r="M186" s="138">
        <f t="shared" si="135"/>
        <v>0</v>
      </c>
      <c r="N186" s="167">
        <f t="shared" si="104"/>
        <v>0</v>
      </c>
      <c r="O186" s="70">
        <v>0</v>
      </c>
      <c r="P186" s="138">
        <f t="shared" si="136"/>
        <v>0</v>
      </c>
      <c r="Q186" s="167">
        <f t="shared" si="116"/>
        <v>0</v>
      </c>
      <c r="R186" s="164">
        <f t="shared" si="137"/>
        <v>0</v>
      </c>
      <c r="S186" s="165">
        <f t="shared" si="117"/>
        <v>0</v>
      </c>
      <c r="U186" s="170">
        <f t="shared" si="118"/>
        <v>0</v>
      </c>
      <c r="V186" s="6">
        <v>0</v>
      </c>
      <c r="W186" s="6">
        <v>0</v>
      </c>
      <c r="X186" s="138">
        <f t="shared" si="119"/>
        <v>0</v>
      </c>
      <c r="Y186" s="181">
        <f t="shared" si="120"/>
        <v>0</v>
      </c>
      <c r="Z186" s="405">
        <f t="shared" si="121"/>
        <v>0</v>
      </c>
      <c r="AA186" s="406">
        <v>0</v>
      </c>
      <c r="AB186" s="406">
        <v>0</v>
      </c>
      <c r="AC186" s="405">
        <f t="shared" si="122"/>
        <v>0</v>
      </c>
      <c r="AD186" s="409">
        <f t="shared" si="123"/>
        <v>0</v>
      </c>
      <c r="AE186" s="170">
        <f t="shared" si="124"/>
        <v>0</v>
      </c>
      <c r="AF186" s="6">
        <v>0</v>
      </c>
      <c r="AG186" s="6">
        <v>0</v>
      </c>
      <c r="AH186" s="138">
        <f t="shared" si="125"/>
        <v>0</v>
      </c>
      <c r="AI186" s="160">
        <f t="shared" si="126"/>
        <v>0</v>
      </c>
      <c r="AJ186" s="170">
        <f t="shared" si="127"/>
        <v>0</v>
      </c>
      <c r="AK186" s="6">
        <v>0</v>
      </c>
      <c r="AL186" s="6">
        <v>0</v>
      </c>
      <c r="AM186" s="138">
        <f t="shared" si="128"/>
        <v>0</v>
      </c>
      <c r="AN186" s="160">
        <f t="shared" si="129"/>
        <v>0</v>
      </c>
      <c r="AO186" s="170">
        <f t="shared" si="130"/>
        <v>0</v>
      </c>
      <c r="AP186" s="6">
        <v>0</v>
      </c>
      <c r="AQ186" s="6">
        <v>0</v>
      </c>
      <c r="AR186" s="138">
        <f t="shared" si="131"/>
        <v>0</v>
      </c>
      <c r="AS186" s="160">
        <f t="shared" si="132"/>
        <v>0</v>
      </c>
      <c r="AT186" s="164">
        <f t="shared" si="133"/>
        <v>0</v>
      </c>
      <c r="AU186" s="165">
        <f t="shared" si="134"/>
        <v>0</v>
      </c>
    </row>
    <row r="187" spans="1:51" s="52" customFormat="1" outlineLevel="1" x14ac:dyDescent="0.35">
      <c r="A187"/>
      <c r="B187" s="48" t="s">
        <v>190</v>
      </c>
      <c r="C187" s="62" t="s">
        <v>135</v>
      </c>
      <c r="D187" s="70">
        <v>5</v>
      </c>
      <c r="E187" s="71">
        <v>115</v>
      </c>
      <c r="F187" s="70">
        <v>2</v>
      </c>
      <c r="G187" s="138">
        <f t="shared" si="99"/>
        <v>117</v>
      </c>
      <c r="H187" s="167">
        <f t="shared" si="100"/>
        <v>1.7391304347826087E-2</v>
      </c>
      <c r="I187" s="70">
        <v>3</v>
      </c>
      <c r="J187" s="138">
        <f t="shared" si="101"/>
        <v>120</v>
      </c>
      <c r="K187" s="167">
        <f t="shared" si="102"/>
        <v>2.564102564102564E-2</v>
      </c>
      <c r="L187" s="70">
        <v>1</v>
      </c>
      <c r="M187" s="138">
        <f t="shared" si="135"/>
        <v>121</v>
      </c>
      <c r="N187" s="167">
        <f t="shared" si="104"/>
        <v>8.3333333333333332E-3</v>
      </c>
      <c r="O187" s="70">
        <v>1</v>
      </c>
      <c r="P187" s="138">
        <f t="shared" si="136"/>
        <v>122</v>
      </c>
      <c r="Q187" s="167">
        <f t="shared" si="116"/>
        <v>8.2644628099173556E-3</v>
      </c>
      <c r="R187" s="164">
        <f t="shared" si="137"/>
        <v>12</v>
      </c>
      <c r="S187" s="165">
        <f t="shared" si="117"/>
        <v>1.4881877721601766E-2</v>
      </c>
      <c r="T187"/>
      <c r="U187" s="170">
        <f t="shared" si="118"/>
        <v>1</v>
      </c>
      <c r="V187" s="6">
        <v>1</v>
      </c>
      <c r="W187" s="51">
        <v>0</v>
      </c>
      <c r="X187" s="138">
        <f t="shared" si="119"/>
        <v>123</v>
      </c>
      <c r="Y187" s="181">
        <f t="shared" si="120"/>
        <v>8.1967213114754103E-3</v>
      </c>
      <c r="Z187" s="405">
        <f t="shared" si="121"/>
        <v>1</v>
      </c>
      <c r="AA187" s="406">
        <v>1</v>
      </c>
      <c r="AB187" s="406">
        <v>0</v>
      </c>
      <c r="AC187" s="405">
        <f t="shared" si="122"/>
        <v>124</v>
      </c>
      <c r="AD187" s="409">
        <f t="shared" si="123"/>
        <v>8.130081300813009E-3</v>
      </c>
      <c r="AE187" s="170">
        <f t="shared" si="124"/>
        <v>2</v>
      </c>
      <c r="AF187" s="6">
        <v>1</v>
      </c>
      <c r="AG187" s="6">
        <v>1</v>
      </c>
      <c r="AH187" s="138">
        <f t="shared" si="125"/>
        <v>126</v>
      </c>
      <c r="AI187" s="160">
        <f t="shared" si="126"/>
        <v>1.6129032258064516E-2</v>
      </c>
      <c r="AJ187" s="170">
        <f t="shared" si="127"/>
        <v>2</v>
      </c>
      <c r="AK187" s="6">
        <v>1</v>
      </c>
      <c r="AL187" s="6">
        <v>1</v>
      </c>
      <c r="AM187" s="138">
        <f t="shared" si="128"/>
        <v>128</v>
      </c>
      <c r="AN187" s="160">
        <f t="shared" si="129"/>
        <v>1.5873015873015872E-2</v>
      </c>
      <c r="AO187" s="170">
        <f t="shared" si="130"/>
        <v>2</v>
      </c>
      <c r="AP187" s="51">
        <v>1</v>
      </c>
      <c r="AQ187" s="51">
        <v>1</v>
      </c>
      <c r="AR187" s="138">
        <f t="shared" si="131"/>
        <v>130</v>
      </c>
      <c r="AS187" s="160">
        <f t="shared" si="132"/>
        <v>1.5625E-2</v>
      </c>
      <c r="AT187" s="164">
        <f t="shared" si="133"/>
        <v>8</v>
      </c>
      <c r="AU187" s="165">
        <f t="shared" si="134"/>
        <v>1.3933705429464371E-2</v>
      </c>
      <c r="AW187" s="358"/>
      <c r="AX187"/>
      <c r="AY187"/>
    </row>
    <row r="188" spans="1:51" s="52" customFormat="1" outlineLevel="1" x14ac:dyDescent="0.35">
      <c r="A188"/>
      <c r="B188" s="48" t="s">
        <v>181</v>
      </c>
      <c r="C188" s="62" t="s">
        <v>135</v>
      </c>
      <c r="D188" s="70">
        <v>1</v>
      </c>
      <c r="E188" s="71">
        <v>13</v>
      </c>
      <c r="F188" s="70">
        <v>0</v>
      </c>
      <c r="G188" s="138">
        <f>E188+F188</f>
        <v>13</v>
      </c>
      <c r="H188" s="167">
        <f>IFERROR((G188-E188)/E188,0)</f>
        <v>0</v>
      </c>
      <c r="I188" s="70">
        <v>0</v>
      </c>
      <c r="J188" s="138">
        <f>G188+I188</f>
        <v>13</v>
      </c>
      <c r="K188" s="167">
        <f>IFERROR((J188-G188)/G188,0)</f>
        <v>0</v>
      </c>
      <c r="L188" s="70">
        <v>0</v>
      </c>
      <c r="M188" s="138">
        <f>J188+L188</f>
        <v>13</v>
      </c>
      <c r="N188" s="167">
        <f>IFERROR((M188-J188)/J188,0)</f>
        <v>0</v>
      </c>
      <c r="O188" s="70">
        <v>0</v>
      </c>
      <c r="P188" s="138">
        <f>M188+O188</f>
        <v>13</v>
      </c>
      <c r="Q188" s="167">
        <f>IFERROR((P188-M188)/M188,0)</f>
        <v>0</v>
      </c>
      <c r="R188" s="164">
        <f>D188+F188+I188+L188+O188</f>
        <v>1</v>
      </c>
      <c r="S188" s="165">
        <f>IFERROR((P188/E188)^(1/4)-1,0)</f>
        <v>0</v>
      </c>
      <c r="T188"/>
      <c r="U188" s="170">
        <f>V188+W188</f>
        <v>2</v>
      </c>
      <c r="V188" s="6">
        <v>2</v>
      </c>
      <c r="W188" s="51">
        <v>0</v>
      </c>
      <c r="X188" s="138">
        <f>P188+U188</f>
        <v>15</v>
      </c>
      <c r="Y188" s="181">
        <f>IFERROR((X188-P188)/P188,0)</f>
        <v>0.15384615384615385</v>
      </c>
      <c r="Z188" s="405">
        <f>AA188+AB188</f>
        <v>1</v>
      </c>
      <c r="AA188" s="406">
        <v>1</v>
      </c>
      <c r="AB188" s="406">
        <v>0</v>
      </c>
      <c r="AC188" s="405">
        <f>X188+Z188</f>
        <v>16</v>
      </c>
      <c r="AD188" s="409">
        <f>IFERROR((AC188-X188)/X188,0)</f>
        <v>6.6666666666666666E-2</v>
      </c>
      <c r="AE188" s="170">
        <f>AF188+AG188</f>
        <v>1</v>
      </c>
      <c r="AF188" s="6">
        <v>1</v>
      </c>
      <c r="AG188" s="6">
        <v>0</v>
      </c>
      <c r="AH188" s="138">
        <f>AC188+AE188</f>
        <v>17</v>
      </c>
      <c r="AI188" s="160">
        <f>IFERROR((AH188-AC188)/AC188,0)</f>
        <v>6.25E-2</v>
      </c>
      <c r="AJ188" s="170">
        <f>AK188+AL188</f>
        <v>1</v>
      </c>
      <c r="AK188" s="6">
        <v>1</v>
      </c>
      <c r="AL188" s="6">
        <v>0</v>
      </c>
      <c r="AM188" s="138">
        <f>AH188+AJ188</f>
        <v>18</v>
      </c>
      <c r="AN188" s="160">
        <f>IFERROR((AM188-AH188)/AH188,0)</f>
        <v>5.8823529411764705E-2</v>
      </c>
      <c r="AO188" s="170">
        <f>AP188+AQ188</f>
        <v>1</v>
      </c>
      <c r="AP188" s="51">
        <v>1</v>
      </c>
      <c r="AQ188" s="51">
        <v>0</v>
      </c>
      <c r="AR188" s="138">
        <f>AM188+AO188</f>
        <v>19</v>
      </c>
      <c r="AS188" s="160">
        <f>IFERROR((AR188-AM188)/AM188,0)</f>
        <v>5.5555555555555552E-2</v>
      </c>
      <c r="AT188" s="164">
        <f>U188+Z188+AE188+AJ188+AO188</f>
        <v>6</v>
      </c>
      <c r="AU188" s="165">
        <f>IFERROR((AR188/X188)^(1/4)-1,0)</f>
        <v>6.0878347286942969E-2</v>
      </c>
      <c r="AW188" s="358"/>
    </row>
    <row r="189" spans="1:51" s="52" customFormat="1" outlineLevel="1" x14ac:dyDescent="0.35">
      <c r="A189"/>
      <c r="B189" s="48" t="s">
        <v>182</v>
      </c>
      <c r="C189" s="62" t="s">
        <v>135</v>
      </c>
      <c r="D189" s="70">
        <v>3</v>
      </c>
      <c r="E189" s="71">
        <v>58</v>
      </c>
      <c r="F189" s="70">
        <v>3</v>
      </c>
      <c r="G189" s="138">
        <f t="shared" si="99"/>
        <v>61</v>
      </c>
      <c r="H189" s="167">
        <f t="shared" si="100"/>
        <v>5.1724137931034482E-2</v>
      </c>
      <c r="I189" s="70">
        <v>1</v>
      </c>
      <c r="J189" s="138">
        <f t="shared" si="101"/>
        <v>62</v>
      </c>
      <c r="K189" s="167">
        <f t="shared" si="102"/>
        <v>1.6393442622950821E-2</v>
      </c>
      <c r="L189" s="70">
        <v>3</v>
      </c>
      <c r="M189" s="138">
        <f t="shared" si="135"/>
        <v>65</v>
      </c>
      <c r="N189" s="167">
        <f t="shared" si="104"/>
        <v>4.8387096774193547E-2</v>
      </c>
      <c r="O189" s="70">
        <v>1</v>
      </c>
      <c r="P189" s="138">
        <f t="shared" si="136"/>
        <v>66</v>
      </c>
      <c r="Q189" s="167">
        <f t="shared" si="116"/>
        <v>1.5384615384615385E-2</v>
      </c>
      <c r="R189" s="164">
        <f t="shared" si="137"/>
        <v>11</v>
      </c>
      <c r="S189" s="165">
        <f t="shared" si="117"/>
        <v>3.2830336177311903E-2</v>
      </c>
      <c r="T189"/>
      <c r="U189" s="170">
        <f t="shared" si="118"/>
        <v>3</v>
      </c>
      <c r="V189" s="6">
        <v>3</v>
      </c>
      <c r="W189" s="6">
        <v>0</v>
      </c>
      <c r="X189" s="138">
        <f t="shared" si="119"/>
        <v>69</v>
      </c>
      <c r="Y189" s="181">
        <f t="shared" si="120"/>
        <v>4.5454545454545456E-2</v>
      </c>
      <c r="Z189" s="405">
        <f t="shared" si="121"/>
        <v>3</v>
      </c>
      <c r="AA189" s="406">
        <v>3</v>
      </c>
      <c r="AB189" s="406">
        <v>0</v>
      </c>
      <c r="AC189" s="405">
        <f t="shared" si="122"/>
        <v>72</v>
      </c>
      <c r="AD189" s="409">
        <f t="shared" si="123"/>
        <v>4.3478260869565216E-2</v>
      </c>
      <c r="AE189" s="170">
        <f t="shared" si="124"/>
        <v>2</v>
      </c>
      <c r="AF189" s="6">
        <v>2</v>
      </c>
      <c r="AG189" s="6">
        <v>0</v>
      </c>
      <c r="AH189" s="138">
        <f t="shared" si="125"/>
        <v>74</v>
      </c>
      <c r="AI189" s="160">
        <f t="shared" si="126"/>
        <v>2.7777777777777776E-2</v>
      </c>
      <c r="AJ189" s="170">
        <f t="shared" si="127"/>
        <v>2</v>
      </c>
      <c r="AK189" s="6">
        <v>2</v>
      </c>
      <c r="AL189" s="6">
        <v>0</v>
      </c>
      <c r="AM189" s="138">
        <f t="shared" si="128"/>
        <v>76</v>
      </c>
      <c r="AN189" s="160">
        <f t="shared" si="129"/>
        <v>2.7027027027027029E-2</v>
      </c>
      <c r="AO189" s="170">
        <f t="shared" si="130"/>
        <v>1</v>
      </c>
      <c r="AP189" s="6">
        <v>1</v>
      </c>
      <c r="AQ189" s="6">
        <v>0</v>
      </c>
      <c r="AR189" s="138">
        <f t="shared" si="131"/>
        <v>77</v>
      </c>
      <c r="AS189" s="160">
        <f t="shared" si="132"/>
        <v>1.3157894736842105E-2</v>
      </c>
      <c r="AT189" s="164">
        <f t="shared" si="133"/>
        <v>11</v>
      </c>
      <c r="AU189" s="165">
        <f t="shared" si="134"/>
        <v>2.7804248664814901E-2</v>
      </c>
      <c r="AW189" s="358"/>
      <c r="AX189"/>
      <c r="AY189"/>
    </row>
    <row r="190" spans="1:51" outlineLevel="1" x14ac:dyDescent="0.35">
      <c r="B190" s="48" t="s">
        <v>126</v>
      </c>
      <c r="C190" s="62" t="s">
        <v>135</v>
      </c>
      <c r="D190" s="70">
        <v>9</v>
      </c>
      <c r="E190" s="71">
        <v>144</v>
      </c>
      <c r="F190" s="70">
        <v>12</v>
      </c>
      <c r="G190" s="138">
        <f t="shared" si="99"/>
        <v>156</v>
      </c>
      <c r="H190" s="167">
        <f t="shared" si="100"/>
        <v>8.3333333333333329E-2</v>
      </c>
      <c r="I190" s="70">
        <v>8</v>
      </c>
      <c r="J190" s="138">
        <f t="shared" si="101"/>
        <v>164</v>
      </c>
      <c r="K190" s="167">
        <f t="shared" si="102"/>
        <v>5.128205128205128E-2</v>
      </c>
      <c r="L190" s="70">
        <v>7</v>
      </c>
      <c r="M190" s="138">
        <f t="shared" si="135"/>
        <v>171</v>
      </c>
      <c r="N190" s="167">
        <f t="shared" si="104"/>
        <v>4.2682926829268296E-2</v>
      </c>
      <c r="O190" s="70">
        <v>5</v>
      </c>
      <c r="P190" s="138">
        <f t="shared" si="136"/>
        <v>176</v>
      </c>
      <c r="Q190" s="167">
        <f t="shared" si="116"/>
        <v>2.9239766081871343E-2</v>
      </c>
      <c r="R190" s="164">
        <f t="shared" si="137"/>
        <v>41</v>
      </c>
      <c r="S190" s="165">
        <f t="shared" si="117"/>
        <v>5.1447381843301443E-2</v>
      </c>
      <c r="U190" s="170">
        <f t="shared" si="118"/>
        <v>8</v>
      </c>
      <c r="V190" s="6">
        <v>8</v>
      </c>
      <c r="W190" s="51">
        <v>0</v>
      </c>
      <c r="X190" s="138">
        <f t="shared" si="119"/>
        <v>184</v>
      </c>
      <c r="Y190" s="181">
        <f t="shared" si="120"/>
        <v>4.5454545454545456E-2</v>
      </c>
      <c r="Z190" s="405">
        <f t="shared" si="121"/>
        <v>9</v>
      </c>
      <c r="AA190" s="406">
        <v>7</v>
      </c>
      <c r="AB190" s="406">
        <v>2</v>
      </c>
      <c r="AC190" s="405">
        <f t="shared" si="122"/>
        <v>193</v>
      </c>
      <c r="AD190" s="409">
        <f t="shared" si="123"/>
        <v>4.8913043478260872E-2</v>
      </c>
      <c r="AE190" s="170">
        <f t="shared" si="124"/>
        <v>9</v>
      </c>
      <c r="AF190" s="6">
        <v>6</v>
      </c>
      <c r="AG190" s="6">
        <v>3</v>
      </c>
      <c r="AH190" s="138">
        <f t="shared" si="125"/>
        <v>202</v>
      </c>
      <c r="AI190" s="160">
        <f t="shared" si="126"/>
        <v>4.6632124352331605E-2</v>
      </c>
      <c r="AJ190" s="170">
        <f t="shared" si="127"/>
        <v>6</v>
      </c>
      <c r="AK190" s="6">
        <v>4</v>
      </c>
      <c r="AL190" s="6">
        <v>2</v>
      </c>
      <c r="AM190" s="138">
        <f t="shared" si="128"/>
        <v>208</v>
      </c>
      <c r="AN190" s="160">
        <f t="shared" si="129"/>
        <v>2.9702970297029702E-2</v>
      </c>
      <c r="AO190" s="170">
        <f t="shared" si="130"/>
        <v>7</v>
      </c>
      <c r="AP190" s="404">
        <v>4</v>
      </c>
      <c r="AQ190" s="51">
        <v>3</v>
      </c>
      <c r="AR190" s="138">
        <f t="shared" si="131"/>
        <v>215</v>
      </c>
      <c r="AS190" s="160">
        <f t="shared" si="132"/>
        <v>3.3653846153846152E-2</v>
      </c>
      <c r="AT190" s="164">
        <f t="shared" si="133"/>
        <v>39</v>
      </c>
      <c r="AU190" s="165">
        <f t="shared" si="134"/>
        <v>3.9693093948645064E-2</v>
      </c>
      <c r="AW190" s="358"/>
    </row>
    <row r="191" spans="1:51" outlineLevel="1" x14ac:dyDescent="0.35">
      <c r="B191" s="48" t="s">
        <v>127</v>
      </c>
      <c r="C191" s="62" t="s">
        <v>135</v>
      </c>
      <c r="D191" s="70">
        <v>0</v>
      </c>
      <c r="E191" s="71">
        <v>0</v>
      </c>
      <c r="F191" s="70">
        <v>0</v>
      </c>
      <c r="G191" s="138">
        <f t="shared" si="99"/>
        <v>0</v>
      </c>
      <c r="H191" s="167">
        <f t="shared" si="100"/>
        <v>0</v>
      </c>
      <c r="I191" s="70">
        <v>0</v>
      </c>
      <c r="J191" s="138">
        <f t="shared" si="101"/>
        <v>0</v>
      </c>
      <c r="K191" s="167">
        <f t="shared" si="102"/>
        <v>0</v>
      </c>
      <c r="L191" s="70">
        <v>0</v>
      </c>
      <c r="M191" s="138">
        <f t="shared" si="135"/>
        <v>0</v>
      </c>
      <c r="N191" s="167">
        <f t="shared" si="104"/>
        <v>0</v>
      </c>
      <c r="O191" s="70">
        <v>0</v>
      </c>
      <c r="P191" s="138">
        <f t="shared" si="136"/>
        <v>0</v>
      </c>
      <c r="Q191" s="167">
        <f t="shared" si="116"/>
        <v>0</v>
      </c>
      <c r="R191" s="164">
        <f t="shared" si="137"/>
        <v>0</v>
      </c>
      <c r="S191" s="165">
        <f t="shared" si="117"/>
        <v>0</v>
      </c>
      <c r="U191" s="170">
        <f t="shared" si="118"/>
        <v>0</v>
      </c>
      <c r="V191" s="6">
        <v>0</v>
      </c>
      <c r="W191" s="6">
        <v>0</v>
      </c>
      <c r="X191" s="138">
        <f t="shared" si="119"/>
        <v>0</v>
      </c>
      <c r="Y191" s="181">
        <f t="shared" si="120"/>
        <v>0</v>
      </c>
      <c r="Z191" s="405">
        <f t="shared" si="121"/>
        <v>0</v>
      </c>
      <c r="AA191" s="406">
        <v>0</v>
      </c>
      <c r="AB191" s="406">
        <v>0</v>
      </c>
      <c r="AC191" s="405">
        <f t="shared" si="122"/>
        <v>0</v>
      </c>
      <c r="AD191" s="409">
        <f t="shared" si="123"/>
        <v>0</v>
      </c>
      <c r="AE191" s="170">
        <f t="shared" si="124"/>
        <v>0</v>
      </c>
      <c r="AF191" s="6">
        <v>0</v>
      </c>
      <c r="AG191" s="6">
        <v>0</v>
      </c>
      <c r="AH191" s="138">
        <f t="shared" si="125"/>
        <v>0</v>
      </c>
      <c r="AI191" s="160">
        <f t="shared" si="126"/>
        <v>0</v>
      </c>
      <c r="AJ191" s="170">
        <f t="shared" si="127"/>
        <v>0</v>
      </c>
      <c r="AK191" s="6">
        <v>0</v>
      </c>
      <c r="AL191" s="6">
        <v>0</v>
      </c>
      <c r="AM191" s="138">
        <f t="shared" si="128"/>
        <v>0</v>
      </c>
      <c r="AN191" s="160">
        <f t="shared" si="129"/>
        <v>0</v>
      </c>
      <c r="AO191" s="170">
        <f t="shared" si="130"/>
        <v>0</v>
      </c>
      <c r="AP191" s="6">
        <v>0</v>
      </c>
      <c r="AQ191" s="6">
        <v>0</v>
      </c>
      <c r="AR191" s="138">
        <f t="shared" si="131"/>
        <v>0</v>
      </c>
      <c r="AS191" s="160">
        <f t="shared" si="132"/>
        <v>0</v>
      </c>
      <c r="AT191" s="164">
        <f t="shared" si="133"/>
        <v>0</v>
      </c>
      <c r="AU191" s="165">
        <f t="shared" si="134"/>
        <v>0</v>
      </c>
      <c r="AW191" s="358"/>
      <c r="AX191" s="52"/>
      <c r="AY191" s="52"/>
    </row>
    <row r="192" spans="1:51" s="345" customFormat="1" ht="15" customHeight="1" outlineLevel="1" x14ac:dyDescent="0.35">
      <c r="B192" s="346" t="s">
        <v>138</v>
      </c>
      <c r="C192" s="354" t="s">
        <v>141</v>
      </c>
      <c r="D192" s="348">
        <f>SUM(D138:D191)</f>
        <v>325</v>
      </c>
      <c r="E192" s="348">
        <f>SUM(E138:E191)</f>
        <v>8374</v>
      </c>
      <c r="F192" s="348">
        <f>SUM(F138:F191)</f>
        <v>337</v>
      </c>
      <c r="G192" s="348">
        <f>SUM(G138:G191)</f>
        <v>8711</v>
      </c>
      <c r="H192" s="349">
        <f>IFERROR((G192-E192)/E192,0)</f>
        <v>4.0243611177454022E-2</v>
      </c>
      <c r="I192" s="348">
        <f>SUM(I138:I191)</f>
        <v>257</v>
      </c>
      <c r="J192" s="348">
        <f>SUM(J138:J191)</f>
        <v>8968</v>
      </c>
      <c r="K192" s="349">
        <f t="shared" si="102"/>
        <v>2.9502927333256802E-2</v>
      </c>
      <c r="L192" s="348">
        <f>SUM(L138:L191)</f>
        <v>150</v>
      </c>
      <c r="M192" s="348">
        <f>SUM(M138:M191)</f>
        <v>9118</v>
      </c>
      <c r="N192" s="349">
        <f t="shared" si="104"/>
        <v>1.672613737734166E-2</v>
      </c>
      <c r="O192" s="348">
        <f>SUM(O138:O191)</f>
        <v>146</v>
      </c>
      <c r="P192" s="348">
        <f>SUM(P138:P191)</f>
        <v>9264</v>
      </c>
      <c r="Q192" s="349">
        <f>IFERROR((P192-M192)/M192,0)</f>
        <v>1.6012283395481466E-2</v>
      </c>
      <c r="R192" s="348">
        <f>SUM(R138:R191)</f>
        <v>1215</v>
      </c>
      <c r="S192" s="351">
        <f>IFERROR((P192/E192)^(1/4)-1,0)</f>
        <v>2.5572571847700898E-2</v>
      </c>
      <c r="U192" s="355">
        <f t="shared" si="118"/>
        <v>263</v>
      </c>
      <c r="V192" s="348">
        <f>SUM(V138:V191)</f>
        <v>252</v>
      </c>
      <c r="W192" s="348">
        <f>SUM(W138:W191)</f>
        <v>11</v>
      </c>
      <c r="X192" s="356">
        <f t="shared" si="119"/>
        <v>9527</v>
      </c>
      <c r="Y192" s="408">
        <f t="shared" si="120"/>
        <v>2.8389464594127806E-2</v>
      </c>
      <c r="Z192" s="407">
        <f t="shared" si="121"/>
        <v>273</v>
      </c>
      <c r="AA192" s="407">
        <f>SUM(AA138:AA191)</f>
        <v>211</v>
      </c>
      <c r="AB192" s="407">
        <f>SUM(AB138:AB191)</f>
        <v>62</v>
      </c>
      <c r="AC192" s="407">
        <f>X192+Z192</f>
        <v>9800</v>
      </c>
      <c r="AD192" s="410">
        <f t="shared" si="123"/>
        <v>2.8655400440852314E-2</v>
      </c>
      <c r="AE192" s="355">
        <f t="shared" si="124"/>
        <v>298</v>
      </c>
      <c r="AF192" s="348">
        <f>SUM(AF138:AF191)</f>
        <v>178</v>
      </c>
      <c r="AG192" s="348">
        <f>SUM(AG138:AG191)</f>
        <v>120</v>
      </c>
      <c r="AH192" s="356">
        <f t="shared" si="125"/>
        <v>10098</v>
      </c>
      <c r="AI192" s="353">
        <f t="shared" si="126"/>
        <v>3.0408163265306123E-2</v>
      </c>
      <c r="AJ192" s="355">
        <f t="shared" si="127"/>
        <v>286</v>
      </c>
      <c r="AK192" s="348">
        <f>SUM(AK138:AK191)</f>
        <v>142</v>
      </c>
      <c r="AL192" s="348">
        <f>SUM(AL138:AL191)</f>
        <v>144</v>
      </c>
      <c r="AM192" s="356">
        <f t="shared" si="128"/>
        <v>10384</v>
      </c>
      <c r="AN192" s="353">
        <f t="shared" si="129"/>
        <v>2.8322440087145968E-2</v>
      </c>
      <c r="AO192" s="348">
        <f>SUM(AO138:AO191)</f>
        <v>276</v>
      </c>
      <c r="AP192" s="348">
        <f>SUM(AP138:AP191)</f>
        <v>115</v>
      </c>
      <c r="AQ192" s="348">
        <f>SUM(AQ138:AQ191)</f>
        <v>161</v>
      </c>
      <c r="AR192" s="356">
        <f t="shared" si="131"/>
        <v>10660</v>
      </c>
      <c r="AS192" s="353">
        <f t="shared" si="132"/>
        <v>2.6579352850539292E-2</v>
      </c>
      <c r="AT192" s="350">
        <f t="shared" si="133"/>
        <v>1396</v>
      </c>
      <c r="AU192" s="351">
        <f t="shared" si="134"/>
        <v>2.8490441568988611E-2</v>
      </c>
    </row>
    <row r="193" spans="2:47" x14ac:dyDescent="0.35">
      <c r="AJ193" s="39">
        <f>AJ192-AJ168-AJ169</f>
        <v>284</v>
      </c>
      <c r="AO193" s="39"/>
      <c r="AP193" s="39"/>
      <c r="AQ193" s="39"/>
      <c r="AT193" s="39"/>
    </row>
    <row r="195" spans="2:47" ht="15.5" x14ac:dyDescent="0.35">
      <c r="B195" s="419" t="s">
        <v>144</v>
      </c>
      <c r="C195" s="419"/>
      <c r="D195" s="419"/>
      <c r="E195" s="419"/>
      <c r="F195" s="419"/>
      <c r="G195" s="419"/>
      <c r="H195" s="419"/>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c r="AJ195" s="419"/>
      <c r="AK195" s="419"/>
      <c r="AL195" s="419"/>
      <c r="AM195" s="419"/>
      <c r="AN195" s="419"/>
      <c r="AO195" s="419"/>
      <c r="AP195" s="419"/>
      <c r="AQ195" s="419"/>
      <c r="AR195" s="419"/>
      <c r="AS195" s="419"/>
      <c r="AT195" s="419"/>
      <c r="AU195" s="419"/>
    </row>
    <row r="196" spans="2:47" ht="5.9" customHeight="1" outlineLevel="1" x14ac:dyDescent="0.35">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103"/>
      <c r="AF196" s="103"/>
      <c r="AG196" s="103"/>
      <c r="AH196" s="103"/>
      <c r="AI196" s="103"/>
      <c r="AJ196" s="103"/>
      <c r="AK196" s="103"/>
    </row>
    <row r="197" spans="2:47" outlineLevel="1" x14ac:dyDescent="0.35">
      <c r="B197" s="462"/>
      <c r="C197" s="450" t="s">
        <v>134</v>
      </c>
      <c r="D197" s="435" t="s">
        <v>169</v>
      </c>
      <c r="E197" s="436"/>
      <c r="F197" s="436"/>
      <c r="G197" s="436"/>
      <c r="H197" s="436"/>
      <c r="I197" s="436"/>
      <c r="J197" s="436"/>
      <c r="K197" s="436"/>
      <c r="L197" s="436"/>
      <c r="M197" s="436"/>
      <c r="N197" s="436"/>
      <c r="O197" s="435"/>
      <c r="P197" s="436"/>
      <c r="Q197" s="437"/>
      <c r="R197" s="431" t="str">
        <f xml:space="preserve"> D198&amp;" - "&amp;O198</f>
        <v>2019 - 2023</v>
      </c>
      <c r="S197" s="456"/>
      <c r="U197" s="435" t="s">
        <v>170</v>
      </c>
      <c r="V197" s="436"/>
      <c r="W197" s="436"/>
      <c r="X197" s="436"/>
      <c r="Y197" s="436"/>
      <c r="Z197" s="436"/>
      <c r="AA197" s="436"/>
      <c r="AB197" s="436"/>
      <c r="AC197" s="436"/>
      <c r="AD197" s="436"/>
      <c r="AE197" s="436"/>
      <c r="AF197" s="436"/>
      <c r="AG197" s="436"/>
      <c r="AH197" s="436"/>
      <c r="AI197" s="436"/>
      <c r="AJ197" s="436"/>
      <c r="AK197" s="436"/>
      <c r="AL197" s="436"/>
      <c r="AM197" s="436"/>
      <c r="AN197" s="436"/>
      <c r="AO197" s="436"/>
      <c r="AP197" s="436"/>
      <c r="AQ197" s="436"/>
      <c r="AR197" s="436"/>
      <c r="AS197" s="436"/>
      <c r="AT197" s="436"/>
      <c r="AU197" s="437"/>
    </row>
    <row r="198" spans="2:47" outlineLevel="1" x14ac:dyDescent="0.35">
      <c r="B198" s="463"/>
      <c r="C198" s="451"/>
      <c r="D198" s="435">
        <f>$C$3-5</f>
        <v>2019</v>
      </c>
      <c r="E198" s="437"/>
      <c r="F198" s="435">
        <f>$C$3-4</f>
        <v>2020</v>
      </c>
      <c r="G198" s="436"/>
      <c r="H198" s="437"/>
      <c r="I198" s="435">
        <f>$C$3-3</f>
        <v>2021</v>
      </c>
      <c r="J198" s="436"/>
      <c r="K198" s="437"/>
      <c r="L198" s="435">
        <f>$C$3-2</f>
        <v>2022</v>
      </c>
      <c r="M198" s="436"/>
      <c r="N198" s="437"/>
      <c r="O198" s="435">
        <f>$C$3-1</f>
        <v>2023</v>
      </c>
      <c r="P198" s="436"/>
      <c r="Q198" s="437"/>
      <c r="R198" s="433"/>
      <c r="S198" s="457"/>
      <c r="U198" s="435">
        <f>$C$3</f>
        <v>2024</v>
      </c>
      <c r="V198" s="436"/>
      <c r="W198" s="436"/>
      <c r="X198" s="436"/>
      <c r="Y198" s="437"/>
      <c r="Z198" s="435">
        <f>$C$3+1</f>
        <v>2025</v>
      </c>
      <c r="AA198" s="436"/>
      <c r="AB198" s="436"/>
      <c r="AC198" s="436"/>
      <c r="AD198" s="437"/>
      <c r="AE198" s="435">
        <f>$C$3+2</f>
        <v>2026</v>
      </c>
      <c r="AF198" s="436"/>
      <c r="AG198" s="436"/>
      <c r="AH198" s="436"/>
      <c r="AI198" s="437"/>
      <c r="AJ198" s="435">
        <f>$C$3+3</f>
        <v>2027</v>
      </c>
      <c r="AK198" s="436"/>
      <c r="AL198" s="436"/>
      <c r="AM198" s="436"/>
      <c r="AN198" s="437"/>
      <c r="AO198" s="435">
        <f>$C$3+4</f>
        <v>2028</v>
      </c>
      <c r="AP198" s="436"/>
      <c r="AQ198" s="436"/>
      <c r="AR198" s="436"/>
      <c r="AS198" s="437"/>
      <c r="AT198" s="439" t="str">
        <f>U198&amp;" - "&amp;AO198</f>
        <v>2024 - 2028</v>
      </c>
      <c r="AU198" s="458"/>
    </row>
    <row r="199" spans="2:47" ht="43.5" outlineLevel="1" x14ac:dyDescent="0.35">
      <c r="B199" s="464"/>
      <c r="C199" s="452"/>
      <c r="D199" s="66" t="s">
        <v>192</v>
      </c>
      <c r="E199" s="67" t="s">
        <v>193</v>
      </c>
      <c r="F199" s="66" t="s">
        <v>192</v>
      </c>
      <c r="G199" s="9" t="s">
        <v>193</v>
      </c>
      <c r="H199" s="67" t="s">
        <v>173</v>
      </c>
      <c r="I199" s="66" t="s">
        <v>192</v>
      </c>
      <c r="J199" s="9" t="s">
        <v>193</v>
      </c>
      <c r="K199" s="67" t="s">
        <v>173</v>
      </c>
      <c r="L199" s="66" t="s">
        <v>192</v>
      </c>
      <c r="M199" s="9" t="s">
        <v>193</v>
      </c>
      <c r="N199" s="67" t="s">
        <v>173</v>
      </c>
      <c r="O199" s="66" t="s">
        <v>192</v>
      </c>
      <c r="P199" s="9" t="s">
        <v>193</v>
      </c>
      <c r="Q199" s="67" t="s">
        <v>173</v>
      </c>
      <c r="R199" s="66" t="s">
        <v>164</v>
      </c>
      <c r="S199" s="134" t="s">
        <v>174</v>
      </c>
      <c r="U199" s="66" t="s">
        <v>192</v>
      </c>
      <c r="V199" s="105" t="s">
        <v>202</v>
      </c>
      <c r="W199" s="105" t="s">
        <v>203</v>
      </c>
      <c r="X199" s="9" t="s">
        <v>193</v>
      </c>
      <c r="Y199" s="67" t="s">
        <v>173</v>
      </c>
      <c r="Z199" s="66" t="s">
        <v>192</v>
      </c>
      <c r="AA199" s="105" t="s">
        <v>202</v>
      </c>
      <c r="AB199" s="105" t="s">
        <v>203</v>
      </c>
      <c r="AC199" s="9" t="s">
        <v>193</v>
      </c>
      <c r="AD199" s="67" t="s">
        <v>173</v>
      </c>
      <c r="AE199" s="66" t="s">
        <v>192</v>
      </c>
      <c r="AF199" s="105" t="s">
        <v>202</v>
      </c>
      <c r="AG199" s="105" t="s">
        <v>203</v>
      </c>
      <c r="AH199" s="9" t="s">
        <v>193</v>
      </c>
      <c r="AI199" s="67" t="s">
        <v>173</v>
      </c>
      <c r="AJ199" s="66" t="s">
        <v>192</v>
      </c>
      <c r="AK199" s="105" t="s">
        <v>202</v>
      </c>
      <c r="AL199" s="105" t="s">
        <v>203</v>
      </c>
      <c r="AM199" s="9" t="s">
        <v>193</v>
      </c>
      <c r="AN199" s="67" t="s">
        <v>173</v>
      </c>
      <c r="AO199" s="66" t="s">
        <v>192</v>
      </c>
      <c r="AP199" s="105" t="s">
        <v>202</v>
      </c>
      <c r="AQ199" s="105" t="s">
        <v>203</v>
      </c>
      <c r="AR199" s="9" t="s">
        <v>193</v>
      </c>
      <c r="AS199" s="67" t="s">
        <v>173</v>
      </c>
      <c r="AT199" s="66" t="s">
        <v>164</v>
      </c>
      <c r="AU199" s="134" t="s">
        <v>174</v>
      </c>
    </row>
    <row r="200" spans="2:47" outlineLevel="1" x14ac:dyDescent="0.35">
      <c r="B200" s="48" t="s">
        <v>74</v>
      </c>
      <c r="C200" s="62" t="s">
        <v>135</v>
      </c>
      <c r="D200" s="70">
        <v>0</v>
      </c>
      <c r="E200" s="71">
        <v>0</v>
      </c>
      <c r="F200" s="70">
        <v>1</v>
      </c>
      <c r="G200" s="138">
        <f t="shared" ref="G200:G253" si="138">E200+F200</f>
        <v>1</v>
      </c>
      <c r="H200" s="167">
        <f t="shared" ref="H200:H253" si="139">IFERROR((G200-E200)/E200,0)</f>
        <v>0</v>
      </c>
      <c r="I200" s="70">
        <v>0</v>
      </c>
      <c r="J200" s="138">
        <v>1</v>
      </c>
      <c r="K200" s="167">
        <f t="shared" ref="K200:K254" si="140">IFERROR((J200-G200)/G200,0)</f>
        <v>0</v>
      </c>
      <c r="L200" s="70">
        <v>0</v>
      </c>
      <c r="M200" s="138">
        <v>1</v>
      </c>
      <c r="N200" s="167">
        <f t="shared" ref="N200:N254" si="141">IFERROR((M200-J200)/J200,0)</f>
        <v>0</v>
      </c>
      <c r="O200" s="70">
        <v>0</v>
      </c>
      <c r="P200" s="138">
        <v>1</v>
      </c>
      <c r="Q200" s="167">
        <f t="shared" ref="Q200:Q253" si="142">IFERROR((P200-M200)/M200,0)</f>
        <v>0</v>
      </c>
      <c r="R200" s="164">
        <f>D200+F200+I200+L200+O200</f>
        <v>1</v>
      </c>
      <c r="S200" s="165">
        <f t="shared" ref="S200:S253" si="143">IFERROR((P200/E200)^(1/4)-1,0)</f>
        <v>0</v>
      </c>
      <c r="U200" s="170">
        <f>V200+W200</f>
        <v>0</v>
      </c>
      <c r="V200" s="6"/>
      <c r="W200" s="6"/>
      <c r="X200" s="138">
        <f t="shared" ref="X200:X253" si="144">P200+U200</f>
        <v>1</v>
      </c>
      <c r="Y200" s="167">
        <f t="shared" ref="Y200:Y253" si="145">IFERROR((X200-P200)/P200,0)</f>
        <v>0</v>
      </c>
      <c r="Z200" s="170">
        <f>AA200+AB200</f>
        <v>0</v>
      </c>
      <c r="AA200" s="6"/>
      <c r="AB200" s="6"/>
      <c r="AC200" s="138">
        <f t="shared" ref="AC200:AC253" si="146">X200+Z200</f>
        <v>1</v>
      </c>
      <c r="AD200" s="160">
        <f t="shared" ref="AD200:AD253" si="147">IFERROR((AC200-X200)/X200,0)</f>
        <v>0</v>
      </c>
      <c r="AE200" s="170">
        <f>AF200+AG200</f>
        <v>0</v>
      </c>
      <c r="AF200" s="6"/>
      <c r="AG200" s="6"/>
      <c r="AH200" s="138">
        <f t="shared" ref="AH200:AH253" si="148">AC200+AE200</f>
        <v>1</v>
      </c>
      <c r="AI200" s="160">
        <f t="shared" ref="AI200:AI253" si="149">IFERROR((AH200-AC200)/AC200,0)</f>
        <v>0</v>
      </c>
      <c r="AJ200" s="170">
        <f>AK200+AL200</f>
        <v>0</v>
      </c>
      <c r="AK200" s="6"/>
      <c r="AL200" s="6"/>
      <c r="AM200" s="138">
        <f t="shared" ref="AM200:AM253" si="150">AH200+AJ200</f>
        <v>1</v>
      </c>
      <c r="AN200" s="160">
        <f t="shared" ref="AN200:AN253" si="151">IFERROR((AM200-AH200)/AH200,0)</f>
        <v>0</v>
      </c>
      <c r="AO200" s="170">
        <f>AP200+AQ200</f>
        <v>0</v>
      </c>
      <c r="AP200" s="6"/>
      <c r="AQ200" s="6"/>
      <c r="AR200" s="138">
        <f t="shared" ref="AR200:AR253" si="152">AM200+AO200</f>
        <v>1</v>
      </c>
      <c r="AS200" s="160">
        <f t="shared" ref="AS200:AS253" si="153">IFERROR((AR200-AM200)/AM200,0)</f>
        <v>0</v>
      </c>
      <c r="AT200" s="164">
        <f t="shared" ref="AT200:AT253" si="154">U200+Z200+AE200+AJ200+AO200</f>
        <v>0</v>
      </c>
      <c r="AU200" s="165">
        <f t="shared" ref="AU200:AU254" si="155">IFERROR((AR200/X200)^(1/4)-1,0)</f>
        <v>0</v>
      </c>
    </row>
    <row r="201" spans="2:47" outlineLevel="1" x14ac:dyDescent="0.35">
      <c r="B201" s="48" t="s">
        <v>75</v>
      </c>
      <c r="C201" s="62" t="s">
        <v>135</v>
      </c>
      <c r="D201" s="70">
        <v>0</v>
      </c>
      <c r="E201" s="71">
        <v>0</v>
      </c>
      <c r="F201" s="70">
        <v>0</v>
      </c>
      <c r="G201" s="138">
        <f t="shared" si="138"/>
        <v>0</v>
      </c>
      <c r="H201" s="167">
        <f t="shared" si="139"/>
        <v>0</v>
      </c>
      <c r="I201" s="70">
        <v>0</v>
      </c>
      <c r="J201" s="138">
        <v>0</v>
      </c>
      <c r="K201" s="167">
        <f t="shared" si="140"/>
        <v>0</v>
      </c>
      <c r="L201" s="70">
        <v>0</v>
      </c>
      <c r="M201" s="138"/>
      <c r="N201" s="167">
        <f t="shared" si="141"/>
        <v>0</v>
      </c>
      <c r="O201" s="70">
        <v>0</v>
      </c>
      <c r="P201" s="138"/>
      <c r="Q201" s="167">
        <f t="shared" si="142"/>
        <v>0</v>
      </c>
      <c r="R201" s="164">
        <f t="shared" ref="R201:R253" si="156">D201+F201+I201+L201+O201</f>
        <v>0</v>
      </c>
      <c r="S201" s="165">
        <f t="shared" si="143"/>
        <v>0</v>
      </c>
      <c r="U201" s="170">
        <f t="shared" ref="U201:U253" si="157">V201+W201</f>
        <v>0</v>
      </c>
      <c r="V201" s="6"/>
      <c r="W201" s="6"/>
      <c r="X201" s="138">
        <f t="shared" si="144"/>
        <v>0</v>
      </c>
      <c r="Y201" s="167">
        <f t="shared" si="145"/>
        <v>0</v>
      </c>
      <c r="Z201" s="170">
        <f t="shared" ref="Z201:Z253" si="158">AA201+AB201</f>
        <v>0</v>
      </c>
      <c r="AA201" s="6"/>
      <c r="AB201" s="6"/>
      <c r="AC201" s="138">
        <f t="shared" si="146"/>
        <v>0</v>
      </c>
      <c r="AD201" s="160">
        <f t="shared" si="147"/>
        <v>0</v>
      </c>
      <c r="AE201" s="170">
        <f t="shared" ref="AE201:AE250" si="159">AF201+AG201</f>
        <v>0</v>
      </c>
      <c r="AF201" s="6"/>
      <c r="AG201" s="6"/>
      <c r="AH201" s="138">
        <f t="shared" si="148"/>
        <v>0</v>
      </c>
      <c r="AI201" s="160">
        <f t="shared" si="149"/>
        <v>0</v>
      </c>
      <c r="AJ201" s="170">
        <f t="shared" ref="AJ201:AJ250" si="160">AK201+AL201</f>
        <v>0</v>
      </c>
      <c r="AK201" s="6"/>
      <c r="AL201" s="6"/>
      <c r="AM201" s="138">
        <f t="shared" si="150"/>
        <v>0</v>
      </c>
      <c r="AN201" s="160">
        <f t="shared" si="151"/>
        <v>0</v>
      </c>
      <c r="AO201" s="170">
        <f t="shared" ref="AO201:AO250" si="161">AP201+AQ201</f>
        <v>0</v>
      </c>
      <c r="AP201" s="6"/>
      <c r="AQ201" s="6"/>
      <c r="AR201" s="138">
        <f t="shared" si="152"/>
        <v>0</v>
      </c>
      <c r="AS201" s="160">
        <f t="shared" si="153"/>
        <v>0</v>
      </c>
      <c r="AT201" s="164">
        <f t="shared" si="154"/>
        <v>0</v>
      </c>
      <c r="AU201" s="165">
        <f t="shared" si="155"/>
        <v>0</v>
      </c>
    </row>
    <row r="202" spans="2:47" outlineLevel="1" x14ac:dyDescent="0.35">
      <c r="B202" s="48" t="s">
        <v>76</v>
      </c>
      <c r="C202" s="62" t="s">
        <v>135</v>
      </c>
      <c r="D202" s="70">
        <v>0</v>
      </c>
      <c r="E202" s="71">
        <v>0</v>
      </c>
      <c r="F202" s="70">
        <v>0</v>
      </c>
      <c r="G202" s="138">
        <f t="shared" si="138"/>
        <v>0</v>
      </c>
      <c r="H202" s="167">
        <f t="shared" si="139"/>
        <v>0</v>
      </c>
      <c r="I202" s="70">
        <v>0</v>
      </c>
      <c r="J202" s="138">
        <v>0</v>
      </c>
      <c r="K202" s="167">
        <f t="shared" si="140"/>
        <v>0</v>
      </c>
      <c r="L202" s="70">
        <v>0</v>
      </c>
      <c r="M202" s="138"/>
      <c r="N202" s="167">
        <f t="shared" si="141"/>
        <v>0</v>
      </c>
      <c r="O202" s="70">
        <v>0</v>
      </c>
      <c r="P202" s="138"/>
      <c r="Q202" s="167">
        <f t="shared" si="142"/>
        <v>0</v>
      </c>
      <c r="R202" s="164">
        <f t="shared" si="156"/>
        <v>0</v>
      </c>
      <c r="S202" s="165">
        <f t="shared" si="143"/>
        <v>0</v>
      </c>
      <c r="U202" s="170">
        <f t="shared" si="157"/>
        <v>0</v>
      </c>
      <c r="V202" s="6"/>
      <c r="W202" s="6"/>
      <c r="X202" s="138">
        <f t="shared" si="144"/>
        <v>0</v>
      </c>
      <c r="Y202" s="167">
        <f t="shared" si="145"/>
        <v>0</v>
      </c>
      <c r="Z202" s="170">
        <f t="shared" si="158"/>
        <v>0</v>
      </c>
      <c r="AA202" s="6"/>
      <c r="AB202" s="6"/>
      <c r="AC202" s="138">
        <f t="shared" si="146"/>
        <v>0</v>
      </c>
      <c r="AD202" s="160">
        <f t="shared" si="147"/>
        <v>0</v>
      </c>
      <c r="AE202" s="170">
        <f t="shared" si="159"/>
        <v>0</v>
      </c>
      <c r="AF202" s="6"/>
      <c r="AG202" s="6"/>
      <c r="AH202" s="138">
        <f t="shared" si="148"/>
        <v>0</v>
      </c>
      <c r="AI202" s="160">
        <f t="shared" si="149"/>
        <v>0</v>
      </c>
      <c r="AJ202" s="170">
        <f t="shared" si="160"/>
        <v>0</v>
      </c>
      <c r="AK202" s="6"/>
      <c r="AL202" s="6"/>
      <c r="AM202" s="138">
        <f t="shared" si="150"/>
        <v>0</v>
      </c>
      <c r="AN202" s="160">
        <f t="shared" si="151"/>
        <v>0</v>
      </c>
      <c r="AO202" s="170">
        <f t="shared" si="161"/>
        <v>0</v>
      </c>
      <c r="AP202" s="6"/>
      <c r="AQ202" s="6"/>
      <c r="AR202" s="138">
        <f t="shared" si="152"/>
        <v>0</v>
      </c>
      <c r="AS202" s="160">
        <f t="shared" si="153"/>
        <v>0</v>
      </c>
      <c r="AT202" s="164">
        <f t="shared" si="154"/>
        <v>0</v>
      </c>
      <c r="AU202" s="165">
        <f t="shared" si="155"/>
        <v>0</v>
      </c>
    </row>
    <row r="203" spans="2:47" outlineLevel="1" x14ac:dyDescent="0.35">
      <c r="B203" s="48" t="s">
        <v>77</v>
      </c>
      <c r="C203" s="62" t="s">
        <v>135</v>
      </c>
      <c r="D203" s="70">
        <v>0</v>
      </c>
      <c r="E203" s="71">
        <v>0</v>
      </c>
      <c r="F203" s="70">
        <v>0</v>
      </c>
      <c r="G203" s="138">
        <f t="shared" si="138"/>
        <v>0</v>
      </c>
      <c r="H203" s="167">
        <f t="shared" si="139"/>
        <v>0</v>
      </c>
      <c r="I203" s="70">
        <v>0</v>
      </c>
      <c r="J203" s="138">
        <v>0</v>
      </c>
      <c r="K203" s="167">
        <f t="shared" si="140"/>
        <v>0</v>
      </c>
      <c r="L203" s="70">
        <v>0</v>
      </c>
      <c r="M203" s="138"/>
      <c r="N203" s="167">
        <f t="shared" si="141"/>
        <v>0</v>
      </c>
      <c r="O203" s="70">
        <v>0</v>
      </c>
      <c r="P203" s="138"/>
      <c r="Q203" s="167">
        <f t="shared" si="142"/>
        <v>0</v>
      </c>
      <c r="R203" s="164">
        <f t="shared" si="156"/>
        <v>0</v>
      </c>
      <c r="S203" s="165">
        <f t="shared" si="143"/>
        <v>0</v>
      </c>
      <c r="U203" s="170">
        <f t="shared" si="157"/>
        <v>0</v>
      </c>
      <c r="V203" s="6"/>
      <c r="W203" s="6"/>
      <c r="X203" s="138">
        <f t="shared" si="144"/>
        <v>0</v>
      </c>
      <c r="Y203" s="167">
        <f t="shared" si="145"/>
        <v>0</v>
      </c>
      <c r="Z203" s="170">
        <f t="shared" si="158"/>
        <v>0</v>
      </c>
      <c r="AA203" s="6"/>
      <c r="AB203" s="6"/>
      <c r="AC203" s="138">
        <f t="shared" si="146"/>
        <v>0</v>
      </c>
      <c r="AD203" s="160">
        <f t="shared" si="147"/>
        <v>0</v>
      </c>
      <c r="AE203" s="170">
        <f t="shared" si="159"/>
        <v>0</v>
      </c>
      <c r="AF203" s="6"/>
      <c r="AG203" s="6"/>
      <c r="AH203" s="138">
        <f t="shared" si="148"/>
        <v>0</v>
      </c>
      <c r="AI203" s="160">
        <f t="shared" si="149"/>
        <v>0</v>
      </c>
      <c r="AJ203" s="170">
        <f t="shared" si="160"/>
        <v>0</v>
      </c>
      <c r="AK203" s="6"/>
      <c r="AL203" s="6"/>
      <c r="AM203" s="138">
        <f t="shared" si="150"/>
        <v>0</v>
      </c>
      <c r="AN203" s="160">
        <f t="shared" si="151"/>
        <v>0</v>
      </c>
      <c r="AO203" s="170">
        <f t="shared" si="161"/>
        <v>0</v>
      </c>
      <c r="AP203" s="6"/>
      <c r="AQ203" s="6"/>
      <c r="AR203" s="138">
        <f t="shared" si="152"/>
        <v>0</v>
      </c>
      <c r="AS203" s="160">
        <f t="shared" si="153"/>
        <v>0</v>
      </c>
      <c r="AT203" s="164">
        <f t="shared" si="154"/>
        <v>0</v>
      </c>
      <c r="AU203" s="165">
        <f t="shared" si="155"/>
        <v>0</v>
      </c>
    </row>
    <row r="204" spans="2:47" outlineLevel="1" x14ac:dyDescent="0.35">
      <c r="B204" s="48" t="s">
        <v>78</v>
      </c>
      <c r="C204" s="62" t="s">
        <v>135</v>
      </c>
      <c r="D204" s="70">
        <v>0</v>
      </c>
      <c r="E204" s="71">
        <v>6</v>
      </c>
      <c r="F204" s="70">
        <v>0</v>
      </c>
      <c r="G204" s="138">
        <f t="shared" si="138"/>
        <v>6</v>
      </c>
      <c r="H204" s="167">
        <f t="shared" si="139"/>
        <v>0</v>
      </c>
      <c r="I204" s="70">
        <v>0</v>
      </c>
      <c r="J204" s="138">
        <v>6</v>
      </c>
      <c r="K204" s="167">
        <f t="shared" si="140"/>
        <v>0</v>
      </c>
      <c r="L204" s="70">
        <v>0</v>
      </c>
      <c r="M204" s="138">
        <v>6</v>
      </c>
      <c r="N204" s="167">
        <f t="shared" si="141"/>
        <v>0</v>
      </c>
      <c r="O204" s="70">
        <v>0</v>
      </c>
      <c r="P204" s="138">
        <v>6</v>
      </c>
      <c r="Q204" s="167">
        <f t="shared" si="142"/>
        <v>0</v>
      </c>
      <c r="R204" s="164">
        <f t="shared" si="156"/>
        <v>0</v>
      </c>
      <c r="S204" s="165">
        <f t="shared" si="143"/>
        <v>0</v>
      </c>
      <c r="U204" s="170">
        <f t="shared" si="157"/>
        <v>0</v>
      </c>
      <c r="V204" s="6"/>
      <c r="W204" s="6"/>
      <c r="X204" s="138">
        <f t="shared" si="144"/>
        <v>6</v>
      </c>
      <c r="Y204" s="167">
        <f t="shared" si="145"/>
        <v>0</v>
      </c>
      <c r="Z204" s="170">
        <f t="shared" si="158"/>
        <v>0</v>
      </c>
      <c r="AA204" s="6"/>
      <c r="AB204" s="6"/>
      <c r="AC204" s="138">
        <f t="shared" si="146"/>
        <v>6</v>
      </c>
      <c r="AD204" s="160">
        <f t="shared" si="147"/>
        <v>0</v>
      </c>
      <c r="AE204" s="170">
        <f t="shared" si="159"/>
        <v>0</v>
      </c>
      <c r="AF204" s="6"/>
      <c r="AG204" s="6"/>
      <c r="AH204" s="138">
        <f t="shared" si="148"/>
        <v>6</v>
      </c>
      <c r="AI204" s="160">
        <f t="shared" si="149"/>
        <v>0</v>
      </c>
      <c r="AJ204" s="170">
        <f t="shared" si="160"/>
        <v>0</v>
      </c>
      <c r="AK204" s="6"/>
      <c r="AL204" s="6"/>
      <c r="AM204" s="138">
        <f t="shared" si="150"/>
        <v>6</v>
      </c>
      <c r="AN204" s="160">
        <f t="shared" si="151"/>
        <v>0</v>
      </c>
      <c r="AO204" s="170">
        <f t="shared" si="161"/>
        <v>0</v>
      </c>
      <c r="AP204" s="6"/>
      <c r="AQ204" s="6"/>
      <c r="AR204" s="138">
        <f t="shared" si="152"/>
        <v>6</v>
      </c>
      <c r="AS204" s="160">
        <f t="shared" si="153"/>
        <v>0</v>
      </c>
      <c r="AT204" s="164">
        <f t="shared" si="154"/>
        <v>0</v>
      </c>
      <c r="AU204" s="165">
        <f t="shared" si="155"/>
        <v>0</v>
      </c>
    </row>
    <row r="205" spans="2:47" outlineLevel="1" x14ac:dyDescent="0.35">
      <c r="B205" s="48" t="s">
        <v>79</v>
      </c>
      <c r="C205" s="62" t="s">
        <v>135</v>
      </c>
      <c r="D205" s="70">
        <v>0</v>
      </c>
      <c r="E205" s="71">
        <v>3</v>
      </c>
      <c r="F205" s="70">
        <v>0</v>
      </c>
      <c r="G205" s="138">
        <f t="shared" si="138"/>
        <v>3</v>
      </c>
      <c r="H205" s="167">
        <f t="shared" si="139"/>
        <v>0</v>
      </c>
      <c r="I205" s="70">
        <v>0</v>
      </c>
      <c r="J205" s="138">
        <v>3</v>
      </c>
      <c r="K205" s="167">
        <f t="shared" si="140"/>
        <v>0</v>
      </c>
      <c r="L205" s="70">
        <v>0</v>
      </c>
      <c r="M205" s="138">
        <v>3</v>
      </c>
      <c r="N205" s="167">
        <f t="shared" si="141"/>
        <v>0</v>
      </c>
      <c r="O205" s="70">
        <v>0</v>
      </c>
      <c r="P205" s="138">
        <v>3</v>
      </c>
      <c r="Q205" s="167">
        <f t="shared" si="142"/>
        <v>0</v>
      </c>
      <c r="R205" s="164">
        <f t="shared" si="156"/>
        <v>0</v>
      </c>
      <c r="S205" s="165">
        <f t="shared" si="143"/>
        <v>0</v>
      </c>
      <c r="U205" s="170">
        <f t="shared" si="157"/>
        <v>0</v>
      </c>
      <c r="V205" s="6"/>
      <c r="W205" s="6"/>
      <c r="X205" s="138">
        <f t="shared" si="144"/>
        <v>3</v>
      </c>
      <c r="Y205" s="167">
        <f t="shared" si="145"/>
        <v>0</v>
      </c>
      <c r="Z205" s="170">
        <f t="shared" si="158"/>
        <v>0</v>
      </c>
      <c r="AA205" s="6"/>
      <c r="AB205" s="6"/>
      <c r="AC205" s="138">
        <f t="shared" si="146"/>
        <v>3</v>
      </c>
      <c r="AD205" s="160">
        <f t="shared" si="147"/>
        <v>0</v>
      </c>
      <c r="AE205" s="170">
        <f t="shared" si="159"/>
        <v>0</v>
      </c>
      <c r="AF205" s="6"/>
      <c r="AG205" s="6"/>
      <c r="AH205" s="138">
        <f t="shared" si="148"/>
        <v>3</v>
      </c>
      <c r="AI205" s="160">
        <f t="shared" si="149"/>
        <v>0</v>
      </c>
      <c r="AJ205" s="170">
        <f t="shared" si="160"/>
        <v>0</v>
      </c>
      <c r="AK205" s="6"/>
      <c r="AL205" s="6"/>
      <c r="AM205" s="138">
        <f t="shared" si="150"/>
        <v>3</v>
      </c>
      <c r="AN205" s="160">
        <f t="shared" si="151"/>
        <v>0</v>
      </c>
      <c r="AO205" s="170">
        <f t="shared" si="161"/>
        <v>0</v>
      </c>
      <c r="AP205" s="6"/>
      <c r="AQ205" s="6"/>
      <c r="AR205" s="138">
        <f t="shared" si="152"/>
        <v>3</v>
      </c>
      <c r="AS205" s="160">
        <f t="shared" si="153"/>
        <v>0</v>
      </c>
      <c r="AT205" s="164">
        <f t="shared" si="154"/>
        <v>0</v>
      </c>
      <c r="AU205" s="165">
        <f t="shared" si="155"/>
        <v>0</v>
      </c>
    </row>
    <row r="206" spans="2:47" outlineLevel="1" x14ac:dyDescent="0.35">
      <c r="B206" s="48" t="s">
        <v>80</v>
      </c>
      <c r="C206" s="62" t="s">
        <v>135</v>
      </c>
      <c r="D206" s="70">
        <v>0</v>
      </c>
      <c r="E206" s="71">
        <v>2</v>
      </c>
      <c r="F206" s="70">
        <v>0</v>
      </c>
      <c r="G206" s="138">
        <f t="shared" si="138"/>
        <v>2</v>
      </c>
      <c r="H206" s="167">
        <f t="shared" si="139"/>
        <v>0</v>
      </c>
      <c r="I206" s="70">
        <v>0</v>
      </c>
      <c r="J206" s="138">
        <v>2</v>
      </c>
      <c r="K206" s="167">
        <f t="shared" si="140"/>
        <v>0</v>
      </c>
      <c r="L206" s="70">
        <v>0</v>
      </c>
      <c r="M206" s="138">
        <v>2</v>
      </c>
      <c r="N206" s="167">
        <f t="shared" si="141"/>
        <v>0</v>
      </c>
      <c r="O206" s="70">
        <v>0</v>
      </c>
      <c r="P206" s="138">
        <v>2</v>
      </c>
      <c r="Q206" s="167">
        <f t="shared" si="142"/>
        <v>0</v>
      </c>
      <c r="R206" s="164">
        <f t="shared" si="156"/>
        <v>0</v>
      </c>
      <c r="S206" s="165">
        <f t="shared" si="143"/>
        <v>0</v>
      </c>
      <c r="U206" s="170">
        <f t="shared" si="157"/>
        <v>0</v>
      </c>
      <c r="V206" s="6"/>
      <c r="W206" s="6"/>
      <c r="X206" s="138">
        <f t="shared" si="144"/>
        <v>2</v>
      </c>
      <c r="Y206" s="167">
        <f t="shared" si="145"/>
        <v>0</v>
      </c>
      <c r="Z206" s="170">
        <f t="shared" si="158"/>
        <v>0</v>
      </c>
      <c r="AA206" s="6"/>
      <c r="AB206" s="6"/>
      <c r="AC206" s="138">
        <f t="shared" si="146"/>
        <v>2</v>
      </c>
      <c r="AD206" s="160">
        <f t="shared" si="147"/>
        <v>0</v>
      </c>
      <c r="AE206" s="170">
        <f t="shared" si="159"/>
        <v>0</v>
      </c>
      <c r="AF206" s="6"/>
      <c r="AG206" s="6"/>
      <c r="AH206" s="138">
        <f t="shared" si="148"/>
        <v>2</v>
      </c>
      <c r="AI206" s="160">
        <f t="shared" si="149"/>
        <v>0</v>
      </c>
      <c r="AJ206" s="170">
        <f t="shared" si="160"/>
        <v>0</v>
      </c>
      <c r="AK206" s="6"/>
      <c r="AL206" s="6"/>
      <c r="AM206" s="138">
        <f t="shared" si="150"/>
        <v>2</v>
      </c>
      <c r="AN206" s="160">
        <f t="shared" si="151"/>
        <v>0</v>
      </c>
      <c r="AO206" s="170">
        <f t="shared" si="161"/>
        <v>0</v>
      </c>
      <c r="AP206" s="6"/>
      <c r="AQ206" s="6"/>
      <c r="AR206" s="138">
        <f t="shared" si="152"/>
        <v>2</v>
      </c>
      <c r="AS206" s="160">
        <f t="shared" si="153"/>
        <v>0</v>
      </c>
      <c r="AT206" s="164">
        <f t="shared" si="154"/>
        <v>0</v>
      </c>
      <c r="AU206" s="165">
        <f t="shared" si="155"/>
        <v>0</v>
      </c>
    </row>
    <row r="207" spans="2:47" outlineLevel="1" x14ac:dyDescent="0.35">
      <c r="B207" s="48" t="s">
        <v>81</v>
      </c>
      <c r="C207" s="62" t="s">
        <v>135</v>
      </c>
      <c r="D207" s="70">
        <v>0</v>
      </c>
      <c r="E207" s="71">
        <v>0</v>
      </c>
      <c r="F207" s="70">
        <v>0</v>
      </c>
      <c r="G207" s="138">
        <f t="shared" si="138"/>
        <v>0</v>
      </c>
      <c r="H207" s="167">
        <f t="shared" si="139"/>
        <v>0</v>
      </c>
      <c r="I207" s="70">
        <v>0</v>
      </c>
      <c r="J207" s="138">
        <v>0</v>
      </c>
      <c r="K207" s="167">
        <f t="shared" si="140"/>
        <v>0</v>
      </c>
      <c r="L207" s="70">
        <v>0</v>
      </c>
      <c r="M207" s="138"/>
      <c r="N207" s="167">
        <f t="shared" si="141"/>
        <v>0</v>
      </c>
      <c r="O207" s="70">
        <v>0</v>
      </c>
      <c r="P207" s="138"/>
      <c r="Q207" s="167">
        <f t="shared" si="142"/>
        <v>0</v>
      </c>
      <c r="R207" s="164">
        <f t="shared" si="156"/>
        <v>0</v>
      </c>
      <c r="S207" s="165">
        <f t="shared" si="143"/>
        <v>0</v>
      </c>
      <c r="U207" s="170">
        <f t="shared" si="157"/>
        <v>0</v>
      </c>
      <c r="V207" s="6"/>
      <c r="W207" s="6"/>
      <c r="X207" s="138">
        <f t="shared" si="144"/>
        <v>0</v>
      </c>
      <c r="Y207" s="167">
        <f t="shared" si="145"/>
        <v>0</v>
      </c>
      <c r="Z207" s="170">
        <f t="shared" si="158"/>
        <v>0</v>
      </c>
      <c r="AA207" s="6"/>
      <c r="AB207" s="6"/>
      <c r="AC207" s="138">
        <f t="shared" si="146"/>
        <v>0</v>
      </c>
      <c r="AD207" s="160">
        <f t="shared" si="147"/>
        <v>0</v>
      </c>
      <c r="AE207" s="170">
        <f t="shared" si="159"/>
        <v>0</v>
      </c>
      <c r="AF207" s="6"/>
      <c r="AG207" s="6"/>
      <c r="AH207" s="138">
        <f t="shared" si="148"/>
        <v>0</v>
      </c>
      <c r="AI207" s="160">
        <f t="shared" si="149"/>
        <v>0</v>
      </c>
      <c r="AJ207" s="170">
        <f t="shared" si="160"/>
        <v>0</v>
      </c>
      <c r="AK207" s="6"/>
      <c r="AL207" s="6"/>
      <c r="AM207" s="138">
        <f t="shared" si="150"/>
        <v>0</v>
      </c>
      <c r="AN207" s="160">
        <f t="shared" si="151"/>
        <v>0</v>
      </c>
      <c r="AO207" s="170">
        <f t="shared" si="161"/>
        <v>0</v>
      </c>
      <c r="AP207" s="6"/>
      <c r="AQ207" s="6"/>
      <c r="AR207" s="138">
        <f t="shared" si="152"/>
        <v>0</v>
      </c>
      <c r="AS207" s="160">
        <f t="shared" si="153"/>
        <v>0</v>
      </c>
      <c r="AT207" s="164">
        <f t="shared" si="154"/>
        <v>0</v>
      </c>
      <c r="AU207" s="165">
        <f t="shared" si="155"/>
        <v>0</v>
      </c>
    </row>
    <row r="208" spans="2:47" outlineLevel="1" x14ac:dyDescent="0.35">
      <c r="B208" s="48" t="s">
        <v>82</v>
      </c>
      <c r="C208" s="62" t="s">
        <v>135</v>
      </c>
      <c r="D208" s="70">
        <v>0</v>
      </c>
      <c r="E208" s="71">
        <v>7</v>
      </c>
      <c r="F208" s="70">
        <v>1</v>
      </c>
      <c r="G208" s="138">
        <f t="shared" si="138"/>
        <v>8</v>
      </c>
      <c r="H208" s="167">
        <f t="shared" si="139"/>
        <v>0.14285714285714285</v>
      </c>
      <c r="I208" s="70">
        <v>0</v>
      </c>
      <c r="J208" s="138">
        <v>8</v>
      </c>
      <c r="K208" s="167">
        <f t="shared" si="140"/>
        <v>0</v>
      </c>
      <c r="L208" s="70">
        <v>0</v>
      </c>
      <c r="M208" s="138">
        <v>8</v>
      </c>
      <c r="N208" s="167">
        <f t="shared" si="141"/>
        <v>0</v>
      </c>
      <c r="O208" s="70">
        <v>-1</v>
      </c>
      <c r="P208" s="138">
        <v>7</v>
      </c>
      <c r="Q208" s="167">
        <f t="shared" si="142"/>
        <v>-0.125</v>
      </c>
      <c r="R208" s="164">
        <f t="shared" si="156"/>
        <v>0</v>
      </c>
      <c r="S208" s="165">
        <f t="shared" si="143"/>
        <v>0</v>
      </c>
      <c r="U208" s="170">
        <f t="shared" si="157"/>
        <v>0</v>
      </c>
      <c r="V208" s="6"/>
      <c r="W208" s="6"/>
      <c r="X208" s="138">
        <f t="shared" si="144"/>
        <v>7</v>
      </c>
      <c r="Y208" s="167">
        <f t="shared" si="145"/>
        <v>0</v>
      </c>
      <c r="Z208" s="170">
        <f t="shared" si="158"/>
        <v>0</v>
      </c>
      <c r="AA208" s="6"/>
      <c r="AB208" s="6"/>
      <c r="AC208" s="138">
        <f t="shared" si="146"/>
        <v>7</v>
      </c>
      <c r="AD208" s="160">
        <f t="shared" si="147"/>
        <v>0</v>
      </c>
      <c r="AE208" s="170">
        <f t="shared" si="159"/>
        <v>0</v>
      </c>
      <c r="AF208" s="6"/>
      <c r="AG208" s="6"/>
      <c r="AH208" s="138">
        <f t="shared" si="148"/>
        <v>7</v>
      </c>
      <c r="AI208" s="160">
        <f t="shared" si="149"/>
        <v>0</v>
      </c>
      <c r="AJ208" s="170">
        <f t="shared" si="160"/>
        <v>0</v>
      </c>
      <c r="AK208" s="6"/>
      <c r="AL208" s="6"/>
      <c r="AM208" s="138">
        <f t="shared" si="150"/>
        <v>7</v>
      </c>
      <c r="AN208" s="160">
        <f t="shared" si="151"/>
        <v>0</v>
      </c>
      <c r="AO208" s="170">
        <f t="shared" si="161"/>
        <v>0</v>
      </c>
      <c r="AP208" s="6"/>
      <c r="AQ208" s="6"/>
      <c r="AR208" s="138">
        <f t="shared" si="152"/>
        <v>7</v>
      </c>
      <c r="AS208" s="160">
        <f t="shared" si="153"/>
        <v>0</v>
      </c>
      <c r="AT208" s="164">
        <f t="shared" si="154"/>
        <v>0</v>
      </c>
      <c r="AU208" s="165">
        <f t="shared" si="155"/>
        <v>0</v>
      </c>
    </row>
    <row r="209" spans="2:47" outlineLevel="1" x14ac:dyDescent="0.35">
      <c r="B209" s="48" t="s">
        <v>83</v>
      </c>
      <c r="C209" s="62" t="s">
        <v>135</v>
      </c>
      <c r="D209" s="70">
        <v>1</v>
      </c>
      <c r="E209" s="71">
        <v>5</v>
      </c>
      <c r="F209" s="70">
        <v>0</v>
      </c>
      <c r="G209" s="138">
        <f t="shared" si="138"/>
        <v>5</v>
      </c>
      <c r="H209" s="167">
        <f t="shared" si="139"/>
        <v>0</v>
      </c>
      <c r="I209" s="70">
        <v>3</v>
      </c>
      <c r="J209" s="138">
        <v>8</v>
      </c>
      <c r="K209" s="167">
        <f t="shared" si="140"/>
        <v>0.6</v>
      </c>
      <c r="L209" s="70">
        <v>1</v>
      </c>
      <c r="M209" s="138">
        <v>9</v>
      </c>
      <c r="N209" s="167">
        <f t="shared" si="141"/>
        <v>0.125</v>
      </c>
      <c r="O209" s="70">
        <v>-1</v>
      </c>
      <c r="P209" s="138">
        <v>8</v>
      </c>
      <c r="Q209" s="167">
        <f t="shared" si="142"/>
        <v>-0.1111111111111111</v>
      </c>
      <c r="R209" s="164">
        <f t="shared" si="156"/>
        <v>4</v>
      </c>
      <c r="S209" s="165">
        <f t="shared" si="143"/>
        <v>0.12468265038069815</v>
      </c>
      <c r="U209" s="170">
        <f t="shared" si="157"/>
        <v>0</v>
      </c>
      <c r="V209" s="6"/>
      <c r="W209" s="6"/>
      <c r="X209" s="138">
        <f t="shared" si="144"/>
        <v>8</v>
      </c>
      <c r="Y209" s="167">
        <f t="shared" si="145"/>
        <v>0</v>
      </c>
      <c r="Z209" s="170">
        <f t="shared" si="158"/>
        <v>0</v>
      </c>
      <c r="AA209" s="6"/>
      <c r="AB209" s="6"/>
      <c r="AC209" s="138">
        <f t="shared" si="146"/>
        <v>8</v>
      </c>
      <c r="AD209" s="160">
        <f t="shared" si="147"/>
        <v>0</v>
      </c>
      <c r="AE209" s="170">
        <f t="shared" si="159"/>
        <v>0</v>
      </c>
      <c r="AF209" s="6"/>
      <c r="AG209" s="6"/>
      <c r="AH209" s="138">
        <f t="shared" si="148"/>
        <v>8</v>
      </c>
      <c r="AI209" s="160">
        <f t="shared" si="149"/>
        <v>0</v>
      </c>
      <c r="AJ209" s="170">
        <f t="shared" si="160"/>
        <v>0</v>
      </c>
      <c r="AK209" s="6"/>
      <c r="AL209" s="6"/>
      <c r="AM209" s="138">
        <f t="shared" si="150"/>
        <v>8</v>
      </c>
      <c r="AN209" s="160">
        <f t="shared" si="151"/>
        <v>0</v>
      </c>
      <c r="AO209" s="170">
        <f t="shared" si="161"/>
        <v>0</v>
      </c>
      <c r="AP209" s="6"/>
      <c r="AQ209" s="6"/>
      <c r="AR209" s="138">
        <f t="shared" si="152"/>
        <v>8</v>
      </c>
      <c r="AS209" s="160">
        <f t="shared" si="153"/>
        <v>0</v>
      </c>
      <c r="AT209" s="164">
        <f t="shared" si="154"/>
        <v>0</v>
      </c>
      <c r="AU209" s="165">
        <f t="shared" si="155"/>
        <v>0</v>
      </c>
    </row>
    <row r="210" spans="2:47" outlineLevel="1" x14ac:dyDescent="0.35">
      <c r="B210" s="48" t="s">
        <v>84</v>
      </c>
      <c r="C210" s="62" t="s">
        <v>135</v>
      </c>
      <c r="D210" s="70">
        <v>0</v>
      </c>
      <c r="E210" s="71">
        <v>0</v>
      </c>
      <c r="F210" s="70">
        <v>0</v>
      </c>
      <c r="G210" s="138">
        <f t="shared" si="138"/>
        <v>0</v>
      </c>
      <c r="H210" s="167">
        <f t="shared" si="139"/>
        <v>0</v>
      </c>
      <c r="I210" s="70">
        <v>0</v>
      </c>
      <c r="J210" s="138">
        <v>0</v>
      </c>
      <c r="K210" s="167">
        <f t="shared" si="140"/>
        <v>0</v>
      </c>
      <c r="L210" s="70">
        <v>0</v>
      </c>
      <c r="M210" s="138"/>
      <c r="N210" s="167">
        <f t="shared" si="141"/>
        <v>0</v>
      </c>
      <c r="O210" s="70">
        <v>0</v>
      </c>
      <c r="P210" s="138"/>
      <c r="Q210" s="167">
        <f t="shared" si="142"/>
        <v>0</v>
      </c>
      <c r="R210" s="164">
        <f t="shared" si="156"/>
        <v>0</v>
      </c>
      <c r="S210" s="165">
        <f t="shared" si="143"/>
        <v>0</v>
      </c>
      <c r="U210" s="170">
        <f t="shared" si="157"/>
        <v>0</v>
      </c>
      <c r="V210" s="6"/>
      <c r="W210" s="6"/>
      <c r="X210" s="138">
        <f t="shared" si="144"/>
        <v>0</v>
      </c>
      <c r="Y210" s="167">
        <f t="shared" si="145"/>
        <v>0</v>
      </c>
      <c r="Z210" s="170">
        <f t="shared" si="158"/>
        <v>0</v>
      </c>
      <c r="AA210" s="6"/>
      <c r="AB210" s="6"/>
      <c r="AC210" s="138">
        <f t="shared" si="146"/>
        <v>0</v>
      </c>
      <c r="AD210" s="160">
        <f t="shared" si="147"/>
        <v>0</v>
      </c>
      <c r="AE210" s="170">
        <f t="shared" si="159"/>
        <v>0</v>
      </c>
      <c r="AF210" s="6"/>
      <c r="AG210" s="6"/>
      <c r="AH210" s="138">
        <f t="shared" si="148"/>
        <v>0</v>
      </c>
      <c r="AI210" s="160">
        <f t="shared" si="149"/>
        <v>0</v>
      </c>
      <c r="AJ210" s="170">
        <f t="shared" si="160"/>
        <v>0</v>
      </c>
      <c r="AK210" s="6"/>
      <c r="AL210" s="6"/>
      <c r="AM210" s="138">
        <f t="shared" si="150"/>
        <v>0</v>
      </c>
      <c r="AN210" s="160">
        <f t="shared" si="151"/>
        <v>0</v>
      </c>
      <c r="AO210" s="170">
        <f t="shared" si="161"/>
        <v>0</v>
      </c>
      <c r="AP210" s="6"/>
      <c r="AQ210" s="6"/>
      <c r="AR210" s="138">
        <f t="shared" si="152"/>
        <v>0</v>
      </c>
      <c r="AS210" s="160">
        <f t="shared" si="153"/>
        <v>0</v>
      </c>
      <c r="AT210" s="164">
        <f t="shared" si="154"/>
        <v>0</v>
      </c>
      <c r="AU210" s="165">
        <f t="shared" si="155"/>
        <v>0</v>
      </c>
    </row>
    <row r="211" spans="2:47" outlineLevel="1" x14ac:dyDescent="0.35">
      <c r="B211" s="48" t="s">
        <v>85</v>
      </c>
      <c r="C211" s="62" t="s">
        <v>135</v>
      </c>
      <c r="D211" s="70">
        <v>0</v>
      </c>
      <c r="E211" s="71">
        <v>0</v>
      </c>
      <c r="F211" s="70">
        <v>0</v>
      </c>
      <c r="G211" s="138">
        <f t="shared" si="138"/>
        <v>0</v>
      </c>
      <c r="H211" s="167">
        <f t="shared" si="139"/>
        <v>0</v>
      </c>
      <c r="I211" s="70">
        <v>0</v>
      </c>
      <c r="J211" s="138">
        <v>0</v>
      </c>
      <c r="K211" s="167">
        <f t="shared" si="140"/>
        <v>0</v>
      </c>
      <c r="L211" s="70">
        <v>0</v>
      </c>
      <c r="M211" s="138"/>
      <c r="N211" s="167">
        <f t="shared" si="141"/>
        <v>0</v>
      </c>
      <c r="O211" s="70">
        <v>0</v>
      </c>
      <c r="P211" s="138"/>
      <c r="Q211" s="167">
        <f t="shared" si="142"/>
        <v>0</v>
      </c>
      <c r="R211" s="164">
        <f t="shared" si="156"/>
        <v>0</v>
      </c>
      <c r="S211" s="165">
        <f t="shared" si="143"/>
        <v>0</v>
      </c>
      <c r="U211" s="170">
        <f t="shared" si="157"/>
        <v>0</v>
      </c>
      <c r="V211" s="6"/>
      <c r="W211" s="6"/>
      <c r="X211" s="138">
        <f t="shared" si="144"/>
        <v>0</v>
      </c>
      <c r="Y211" s="167">
        <f t="shared" si="145"/>
        <v>0</v>
      </c>
      <c r="Z211" s="170">
        <f t="shared" si="158"/>
        <v>0</v>
      </c>
      <c r="AA211" s="6"/>
      <c r="AB211" s="6"/>
      <c r="AC211" s="138">
        <f t="shared" si="146"/>
        <v>0</v>
      </c>
      <c r="AD211" s="160">
        <f t="shared" si="147"/>
        <v>0</v>
      </c>
      <c r="AE211" s="170">
        <f t="shared" si="159"/>
        <v>0</v>
      </c>
      <c r="AF211" s="6"/>
      <c r="AG211" s="6"/>
      <c r="AH211" s="138">
        <f t="shared" si="148"/>
        <v>0</v>
      </c>
      <c r="AI211" s="160">
        <f t="shared" si="149"/>
        <v>0</v>
      </c>
      <c r="AJ211" s="170">
        <f t="shared" si="160"/>
        <v>0</v>
      </c>
      <c r="AK211" s="6"/>
      <c r="AL211" s="6"/>
      <c r="AM211" s="138">
        <f t="shared" si="150"/>
        <v>0</v>
      </c>
      <c r="AN211" s="160">
        <f t="shared" si="151"/>
        <v>0</v>
      </c>
      <c r="AO211" s="170">
        <f t="shared" si="161"/>
        <v>0</v>
      </c>
      <c r="AP211" s="6"/>
      <c r="AQ211" s="6"/>
      <c r="AR211" s="138">
        <f t="shared" si="152"/>
        <v>0</v>
      </c>
      <c r="AS211" s="160">
        <f t="shared" si="153"/>
        <v>0</v>
      </c>
      <c r="AT211" s="164">
        <f t="shared" si="154"/>
        <v>0</v>
      </c>
      <c r="AU211" s="165">
        <f t="shared" si="155"/>
        <v>0</v>
      </c>
    </row>
    <row r="212" spans="2:47" outlineLevel="1" x14ac:dyDescent="0.35">
      <c r="B212" s="48" t="s">
        <v>86</v>
      </c>
      <c r="C212" s="62" t="s">
        <v>135</v>
      </c>
      <c r="D212" s="70">
        <v>0</v>
      </c>
      <c r="E212" s="71">
        <v>0</v>
      </c>
      <c r="F212" s="70">
        <v>0</v>
      </c>
      <c r="G212" s="138">
        <f t="shared" si="138"/>
        <v>0</v>
      </c>
      <c r="H212" s="167">
        <f t="shared" si="139"/>
        <v>0</v>
      </c>
      <c r="I212" s="70">
        <v>0</v>
      </c>
      <c r="J212" s="138">
        <v>0</v>
      </c>
      <c r="K212" s="167">
        <f t="shared" si="140"/>
        <v>0</v>
      </c>
      <c r="L212" s="70">
        <v>0</v>
      </c>
      <c r="M212" s="138"/>
      <c r="N212" s="167">
        <f t="shared" si="141"/>
        <v>0</v>
      </c>
      <c r="O212" s="70">
        <v>0</v>
      </c>
      <c r="P212" s="138"/>
      <c r="Q212" s="167">
        <f t="shared" si="142"/>
        <v>0</v>
      </c>
      <c r="R212" s="164">
        <f t="shared" si="156"/>
        <v>0</v>
      </c>
      <c r="S212" s="165">
        <f t="shared" si="143"/>
        <v>0</v>
      </c>
      <c r="U212" s="170">
        <f t="shared" si="157"/>
        <v>0</v>
      </c>
      <c r="V212" s="6"/>
      <c r="W212" s="6"/>
      <c r="X212" s="138">
        <f t="shared" si="144"/>
        <v>0</v>
      </c>
      <c r="Y212" s="167">
        <f t="shared" si="145"/>
        <v>0</v>
      </c>
      <c r="Z212" s="170">
        <f t="shared" si="158"/>
        <v>0</v>
      </c>
      <c r="AA212" s="6"/>
      <c r="AB212" s="6"/>
      <c r="AC212" s="138">
        <f t="shared" si="146"/>
        <v>0</v>
      </c>
      <c r="AD212" s="160">
        <f t="shared" si="147"/>
        <v>0</v>
      </c>
      <c r="AE212" s="170">
        <f t="shared" si="159"/>
        <v>0</v>
      </c>
      <c r="AF212" s="6"/>
      <c r="AG212" s="6"/>
      <c r="AH212" s="138">
        <f t="shared" si="148"/>
        <v>0</v>
      </c>
      <c r="AI212" s="160">
        <f t="shared" si="149"/>
        <v>0</v>
      </c>
      <c r="AJ212" s="170">
        <f t="shared" si="160"/>
        <v>0</v>
      </c>
      <c r="AK212" s="6"/>
      <c r="AL212" s="6"/>
      <c r="AM212" s="138">
        <f t="shared" si="150"/>
        <v>0</v>
      </c>
      <c r="AN212" s="160">
        <f t="shared" si="151"/>
        <v>0</v>
      </c>
      <c r="AO212" s="170">
        <f t="shared" si="161"/>
        <v>0</v>
      </c>
      <c r="AP212" s="6"/>
      <c r="AQ212" s="6"/>
      <c r="AR212" s="138">
        <f t="shared" si="152"/>
        <v>0</v>
      </c>
      <c r="AS212" s="160">
        <f t="shared" si="153"/>
        <v>0</v>
      </c>
      <c r="AT212" s="164">
        <f t="shared" si="154"/>
        <v>0</v>
      </c>
      <c r="AU212" s="165">
        <f t="shared" si="155"/>
        <v>0</v>
      </c>
    </row>
    <row r="213" spans="2:47" outlineLevel="1" x14ac:dyDescent="0.35">
      <c r="B213" s="48" t="s">
        <v>87</v>
      </c>
      <c r="C213" s="62" t="s">
        <v>135</v>
      </c>
      <c r="D213" s="70">
        <v>0</v>
      </c>
      <c r="E213" s="71">
        <v>0</v>
      </c>
      <c r="F213" s="70">
        <v>0</v>
      </c>
      <c r="G213" s="138">
        <f t="shared" si="138"/>
        <v>0</v>
      </c>
      <c r="H213" s="167">
        <f t="shared" si="139"/>
        <v>0</v>
      </c>
      <c r="I213" s="70">
        <v>0</v>
      </c>
      <c r="J213" s="138">
        <v>0</v>
      </c>
      <c r="K213" s="167">
        <f t="shared" si="140"/>
        <v>0</v>
      </c>
      <c r="L213" s="70">
        <v>0</v>
      </c>
      <c r="M213" s="138"/>
      <c r="N213" s="167">
        <f t="shared" si="141"/>
        <v>0</v>
      </c>
      <c r="O213" s="70">
        <v>0</v>
      </c>
      <c r="P213" s="138"/>
      <c r="Q213" s="167">
        <f t="shared" si="142"/>
        <v>0</v>
      </c>
      <c r="R213" s="164">
        <f t="shared" si="156"/>
        <v>0</v>
      </c>
      <c r="S213" s="165">
        <f t="shared" si="143"/>
        <v>0</v>
      </c>
      <c r="U213" s="170">
        <f t="shared" si="157"/>
        <v>0</v>
      </c>
      <c r="V213" s="6"/>
      <c r="W213" s="6"/>
      <c r="X213" s="138">
        <f t="shared" si="144"/>
        <v>0</v>
      </c>
      <c r="Y213" s="167">
        <f t="shared" si="145"/>
        <v>0</v>
      </c>
      <c r="Z213" s="170">
        <f t="shared" si="158"/>
        <v>0</v>
      </c>
      <c r="AA213" s="6"/>
      <c r="AB213" s="6"/>
      <c r="AC213" s="138">
        <f t="shared" si="146"/>
        <v>0</v>
      </c>
      <c r="AD213" s="160">
        <f t="shared" si="147"/>
        <v>0</v>
      </c>
      <c r="AE213" s="170">
        <f t="shared" si="159"/>
        <v>0</v>
      </c>
      <c r="AF213" s="6"/>
      <c r="AG213" s="6"/>
      <c r="AH213" s="138">
        <f t="shared" si="148"/>
        <v>0</v>
      </c>
      <c r="AI213" s="160">
        <f t="shared" si="149"/>
        <v>0</v>
      </c>
      <c r="AJ213" s="170">
        <f t="shared" si="160"/>
        <v>0</v>
      </c>
      <c r="AK213" s="6"/>
      <c r="AL213" s="6"/>
      <c r="AM213" s="138">
        <f t="shared" si="150"/>
        <v>0</v>
      </c>
      <c r="AN213" s="160">
        <f t="shared" si="151"/>
        <v>0</v>
      </c>
      <c r="AO213" s="170">
        <f t="shared" si="161"/>
        <v>0</v>
      </c>
      <c r="AP213" s="6"/>
      <c r="AQ213" s="6"/>
      <c r="AR213" s="138">
        <f t="shared" si="152"/>
        <v>0</v>
      </c>
      <c r="AS213" s="160">
        <f t="shared" si="153"/>
        <v>0</v>
      </c>
      <c r="AT213" s="164">
        <f t="shared" si="154"/>
        <v>0</v>
      </c>
      <c r="AU213" s="165">
        <f t="shared" si="155"/>
        <v>0</v>
      </c>
    </row>
    <row r="214" spans="2:47" outlineLevel="1" x14ac:dyDescent="0.35">
      <c r="B214" s="48" t="s">
        <v>88</v>
      </c>
      <c r="C214" s="62" t="s">
        <v>135</v>
      </c>
      <c r="D214" s="70">
        <v>0</v>
      </c>
      <c r="E214" s="71">
        <v>0</v>
      </c>
      <c r="F214" s="70">
        <v>0</v>
      </c>
      <c r="G214" s="138">
        <f t="shared" si="138"/>
        <v>0</v>
      </c>
      <c r="H214" s="167">
        <f t="shared" si="139"/>
        <v>0</v>
      </c>
      <c r="I214" s="70">
        <v>0</v>
      </c>
      <c r="J214" s="138">
        <v>0</v>
      </c>
      <c r="K214" s="167">
        <f t="shared" si="140"/>
        <v>0</v>
      </c>
      <c r="L214" s="70">
        <v>0</v>
      </c>
      <c r="M214" s="138"/>
      <c r="N214" s="167">
        <f t="shared" si="141"/>
        <v>0</v>
      </c>
      <c r="O214" s="70">
        <v>0</v>
      </c>
      <c r="P214" s="138"/>
      <c r="Q214" s="167">
        <f t="shared" si="142"/>
        <v>0</v>
      </c>
      <c r="R214" s="164">
        <f t="shared" si="156"/>
        <v>0</v>
      </c>
      <c r="S214" s="165">
        <f t="shared" si="143"/>
        <v>0</v>
      </c>
      <c r="U214" s="170">
        <f t="shared" si="157"/>
        <v>0</v>
      </c>
      <c r="V214" s="6"/>
      <c r="W214" s="6"/>
      <c r="X214" s="138">
        <f t="shared" si="144"/>
        <v>0</v>
      </c>
      <c r="Y214" s="167">
        <f t="shared" si="145"/>
        <v>0</v>
      </c>
      <c r="Z214" s="170">
        <f t="shared" si="158"/>
        <v>0</v>
      </c>
      <c r="AA214" s="6"/>
      <c r="AB214" s="6"/>
      <c r="AC214" s="138">
        <f t="shared" si="146"/>
        <v>0</v>
      </c>
      <c r="AD214" s="160">
        <f t="shared" si="147"/>
        <v>0</v>
      </c>
      <c r="AE214" s="170">
        <f t="shared" si="159"/>
        <v>0</v>
      </c>
      <c r="AF214" s="6"/>
      <c r="AG214" s="6"/>
      <c r="AH214" s="138">
        <f t="shared" si="148"/>
        <v>0</v>
      </c>
      <c r="AI214" s="160">
        <f t="shared" si="149"/>
        <v>0</v>
      </c>
      <c r="AJ214" s="170">
        <f t="shared" si="160"/>
        <v>0</v>
      </c>
      <c r="AK214" s="6"/>
      <c r="AL214" s="6"/>
      <c r="AM214" s="138">
        <f t="shared" si="150"/>
        <v>0</v>
      </c>
      <c r="AN214" s="160">
        <f t="shared" si="151"/>
        <v>0</v>
      </c>
      <c r="AO214" s="170">
        <f t="shared" si="161"/>
        <v>0</v>
      </c>
      <c r="AP214" s="6"/>
      <c r="AQ214" s="6"/>
      <c r="AR214" s="138">
        <f t="shared" si="152"/>
        <v>0</v>
      </c>
      <c r="AS214" s="160">
        <f t="shared" si="153"/>
        <v>0</v>
      </c>
      <c r="AT214" s="164">
        <f t="shared" si="154"/>
        <v>0</v>
      </c>
      <c r="AU214" s="165">
        <f t="shared" si="155"/>
        <v>0</v>
      </c>
    </row>
    <row r="215" spans="2:47" outlineLevel="1" x14ac:dyDescent="0.35">
      <c r="B215" s="48" t="s">
        <v>89</v>
      </c>
      <c r="C215" s="62" t="s">
        <v>135</v>
      </c>
      <c r="D215" s="70">
        <v>0</v>
      </c>
      <c r="E215" s="71">
        <v>1</v>
      </c>
      <c r="F215" s="70">
        <v>0</v>
      </c>
      <c r="G215" s="138">
        <f t="shared" si="138"/>
        <v>1</v>
      </c>
      <c r="H215" s="167">
        <f t="shared" si="139"/>
        <v>0</v>
      </c>
      <c r="I215" s="70">
        <v>0</v>
      </c>
      <c r="J215" s="138">
        <v>1</v>
      </c>
      <c r="K215" s="167">
        <f t="shared" si="140"/>
        <v>0</v>
      </c>
      <c r="L215" s="70">
        <v>-1</v>
      </c>
      <c r="M215" s="138"/>
      <c r="N215" s="167">
        <f t="shared" si="141"/>
        <v>-1</v>
      </c>
      <c r="O215" s="70">
        <v>1</v>
      </c>
      <c r="P215" s="138">
        <v>1</v>
      </c>
      <c r="Q215" s="167">
        <f t="shared" si="142"/>
        <v>0</v>
      </c>
      <c r="R215" s="164">
        <f t="shared" si="156"/>
        <v>0</v>
      </c>
      <c r="S215" s="165">
        <f t="shared" si="143"/>
        <v>0</v>
      </c>
      <c r="U215" s="170">
        <f t="shared" si="157"/>
        <v>0</v>
      </c>
      <c r="V215" s="6"/>
      <c r="W215" s="6"/>
      <c r="X215" s="138">
        <f t="shared" si="144"/>
        <v>1</v>
      </c>
      <c r="Y215" s="167">
        <f t="shared" si="145"/>
        <v>0</v>
      </c>
      <c r="Z215" s="170">
        <f t="shared" si="158"/>
        <v>0</v>
      </c>
      <c r="AA215" s="6"/>
      <c r="AB215" s="6"/>
      <c r="AC215" s="138">
        <f t="shared" si="146"/>
        <v>1</v>
      </c>
      <c r="AD215" s="160">
        <f t="shared" si="147"/>
        <v>0</v>
      </c>
      <c r="AE215" s="170">
        <f t="shared" si="159"/>
        <v>0</v>
      </c>
      <c r="AF215" s="6"/>
      <c r="AG215" s="6"/>
      <c r="AH215" s="138">
        <f t="shared" si="148"/>
        <v>1</v>
      </c>
      <c r="AI215" s="160">
        <f t="shared" si="149"/>
        <v>0</v>
      </c>
      <c r="AJ215" s="170">
        <f t="shared" si="160"/>
        <v>0</v>
      </c>
      <c r="AK215" s="6"/>
      <c r="AL215" s="6"/>
      <c r="AM215" s="138">
        <f t="shared" si="150"/>
        <v>1</v>
      </c>
      <c r="AN215" s="160">
        <f t="shared" si="151"/>
        <v>0</v>
      </c>
      <c r="AO215" s="170">
        <f t="shared" si="161"/>
        <v>0</v>
      </c>
      <c r="AP215" s="6"/>
      <c r="AQ215" s="6"/>
      <c r="AR215" s="138">
        <f t="shared" si="152"/>
        <v>1</v>
      </c>
      <c r="AS215" s="160">
        <f t="shared" si="153"/>
        <v>0</v>
      </c>
      <c r="AT215" s="164">
        <f t="shared" si="154"/>
        <v>0</v>
      </c>
      <c r="AU215" s="165">
        <f t="shared" si="155"/>
        <v>0</v>
      </c>
    </row>
    <row r="216" spans="2:47" outlineLevel="1" x14ac:dyDescent="0.35">
      <c r="B216" s="48" t="s">
        <v>90</v>
      </c>
      <c r="C216" s="62" t="s">
        <v>135</v>
      </c>
      <c r="D216" s="70">
        <v>-2</v>
      </c>
      <c r="E216" s="71">
        <v>5</v>
      </c>
      <c r="F216" s="70">
        <v>1</v>
      </c>
      <c r="G216" s="138">
        <f t="shared" si="138"/>
        <v>6</v>
      </c>
      <c r="H216" s="167">
        <f t="shared" si="139"/>
        <v>0.2</v>
      </c>
      <c r="I216" s="70">
        <v>-1</v>
      </c>
      <c r="J216" s="138">
        <v>5</v>
      </c>
      <c r="K216" s="167">
        <f t="shared" si="140"/>
        <v>-0.16666666666666666</v>
      </c>
      <c r="L216" s="70">
        <v>1</v>
      </c>
      <c r="M216" s="138">
        <v>6</v>
      </c>
      <c r="N216" s="167">
        <f t="shared" si="141"/>
        <v>0.2</v>
      </c>
      <c r="O216" s="70">
        <v>0</v>
      </c>
      <c r="P216" s="138">
        <v>6</v>
      </c>
      <c r="Q216" s="167">
        <f t="shared" si="142"/>
        <v>0</v>
      </c>
      <c r="R216" s="164">
        <f t="shared" si="156"/>
        <v>-1</v>
      </c>
      <c r="S216" s="165">
        <f t="shared" si="143"/>
        <v>4.6635139392105618E-2</v>
      </c>
      <c r="U216" s="170">
        <f t="shared" si="157"/>
        <v>1</v>
      </c>
      <c r="V216" s="6">
        <v>1</v>
      </c>
      <c r="W216" s="6"/>
      <c r="X216" s="138">
        <f t="shared" si="144"/>
        <v>7</v>
      </c>
      <c r="Y216" s="167">
        <f t="shared" si="145"/>
        <v>0.16666666666666666</v>
      </c>
      <c r="Z216" s="170">
        <f t="shared" si="158"/>
        <v>0</v>
      </c>
      <c r="AA216" s="6"/>
      <c r="AB216" s="6"/>
      <c r="AC216" s="138">
        <f t="shared" si="146"/>
        <v>7</v>
      </c>
      <c r="AD216" s="160">
        <f t="shared" si="147"/>
        <v>0</v>
      </c>
      <c r="AE216" s="170">
        <f t="shared" si="159"/>
        <v>0</v>
      </c>
      <c r="AF216" s="6"/>
      <c r="AG216" s="6"/>
      <c r="AH216" s="138">
        <f t="shared" si="148"/>
        <v>7</v>
      </c>
      <c r="AI216" s="160">
        <f t="shared" si="149"/>
        <v>0</v>
      </c>
      <c r="AJ216" s="170">
        <f t="shared" si="160"/>
        <v>0</v>
      </c>
      <c r="AK216" s="6"/>
      <c r="AL216" s="6"/>
      <c r="AM216" s="138">
        <f t="shared" si="150"/>
        <v>7</v>
      </c>
      <c r="AN216" s="160">
        <f t="shared" si="151"/>
        <v>0</v>
      </c>
      <c r="AO216" s="170">
        <f t="shared" si="161"/>
        <v>0</v>
      </c>
      <c r="AP216" s="6"/>
      <c r="AQ216" s="6"/>
      <c r="AR216" s="138">
        <f t="shared" si="152"/>
        <v>7</v>
      </c>
      <c r="AS216" s="160">
        <f t="shared" si="153"/>
        <v>0</v>
      </c>
      <c r="AT216" s="164">
        <f t="shared" si="154"/>
        <v>1</v>
      </c>
      <c r="AU216" s="165">
        <f t="shared" si="155"/>
        <v>0</v>
      </c>
    </row>
    <row r="217" spans="2:47" outlineLevel="1" x14ac:dyDescent="0.35">
      <c r="B217" s="48" t="s">
        <v>91</v>
      </c>
      <c r="C217" s="62" t="s">
        <v>135</v>
      </c>
      <c r="D217" s="70">
        <v>0</v>
      </c>
      <c r="E217" s="71">
        <v>1</v>
      </c>
      <c r="F217" s="70">
        <v>0</v>
      </c>
      <c r="G217" s="138">
        <f t="shared" si="138"/>
        <v>1</v>
      </c>
      <c r="H217" s="167">
        <f t="shared" si="139"/>
        <v>0</v>
      </c>
      <c r="I217" s="70">
        <v>0</v>
      </c>
      <c r="J217" s="138">
        <v>1</v>
      </c>
      <c r="K217" s="167">
        <f t="shared" si="140"/>
        <v>0</v>
      </c>
      <c r="L217" s="70">
        <v>0</v>
      </c>
      <c r="M217" s="138">
        <v>1</v>
      </c>
      <c r="N217" s="167">
        <f t="shared" si="141"/>
        <v>0</v>
      </c>
      <c r="O217" s="70">
        <v>0</v>
      </c>
      <c r="P217" s="138">
        <v>1</v>
      </c>
      <c r="Q217" s="167">
        <f t="shared" si="142"/>
        <v>0</v>
      </c>
      <c r="R217" s="164">
        <f t="shared" si="156"/>
        <v>0</v>
      </c>
      <c r="S217" s="165">
        <f t="shared" si="143"/>
        <v>0</v>
      </c>
      <c r="U217" s="170">
        <f t="shared" si="157"/>
        <v>1</v>
      </c>
      <c r="V217" s="6">
        <v>1</v>
      </c>
      <c r="W217" s="6"/>
      <c r="X217" s="138">
        <f t="shared" si="144"/>
        <v>2</v>
      </c>
      <c r="Y217" s="167">
        <f t="shared" si="145"/>
        <v>1</v>
      </c>
      <c r="Z217" s="170">
        <f t="shared" si="158"/>
        <v>0</v>
      </c>
      <c r="AA217" s="6"/>
      <c r="AB217" s="6"/>
      <c r="AC217" s="138">
        <f t="shared" si="146"/>
        <v>2</v>
      </c>
      <c r="AD217" s="160">
        <f t="shared" si="147"/>
        <v>0</v>
      </c>
      <c r="AE217" s="170">
        <f t="shared" si="159"/>
        <v>0</v>
      </c>
      <c r="AF217" s="6"/>
      <c r="AG217" s="6"/>
      <c r="AH217" s="138">
        <f t="shared" si="148"/>
        <v>2</v>
      </c>
      <c r="AI217" s="160">
        <f t="shared" si="149"/>
        <v>0</v>
      </c>
      <c r="AJ217" s="170">
        <f t="shared" si="160"/>
        <v>0</v>
      </c>
      <c r="AK217" s="6"/>
      <c r="AL217" s="6"/>
      <c r="AM217" s="138">
        <f t="shared" si="150"/>
        <v>2</v>
      </c>
      <c r="AN217" s="160">
        <f t="shared" si="151"/>
        <v>0</v>
      </c>
      <c r="AO217" s="170">
        <f t="shared" si="161"/>
        <v>0</v>
      </c>
      <c r="AP217" s="6"/>
      <c r="AQ217" s="6"/>
      <c r="AR217" s="138">
        <f t="shared" si="152"/>
        <v>2</v>
      </c>
      <c r="AS217" s="160">
        <f t="shared" si="153"/>
        <v>0</v>
      </c>
      <c r="AT217" s="164">
        <f t="shared" si="154"/>
        <v>1</v>
      </c>
      <c r="AU217" s="165">
        <f t="shared" si="155"/>
        <v>0</v>
      </c>
    </row>
    <row r="218" spans="2:47" outlineLevel="1" x14ac:dyDescent="0.35">
      <c r="B218" s="48" t="s">
        <v>92</v>
      </c>
      <c r="C218" s="62" t="s">
        <v>135</v>
      </c>
      <c r="D218" s="70">
        <v>0</v>
      </c>
      <c r="E218" s="71">
        <v>0</v>
      </c>
      <c r="F218" s="70">
        <v>0</v>
      </c>
      <c r="G218" s="138">
        <f t="shared" si="138"/>
        <v>0</v>
      </c>
      <c r="H218" s="167">
        <f t="shared" si="139"/>
        <v>0</v>
      </c>
      <c r="I218" s="70">
        <v>0</v>
      </c>
      <c r="J218" s="138">
        <v>0</v>
      </c>
      <c r="K218" s="167">
        <f t="shared" si="140"/>
        <v>0</v>
      </c>
      <c r="L218" s="70">
        <v>0</v>
      </c>
      <c r="M218" s="138"/>
      <c r="N218" s="167">
        <f t="shared" si="141"/>
        <v>0</v>
      </c>
      <c r="O218" s="70">
        <v>0</v>
      </c>
      <c r="P218" s="138"/>
      <c r="Q218" s="167">
        <f t="shared" si="142"/>
        <v>0</v>
      </c>
      <c r="R218" s="164">
        <f t="shared" si="156"/>
        <v>0</v>
      </c>
      <c r="S218" s="165">
        <f t="shared" si="143"/>
        <v>0</v>
      </c>
      <c r="U218" s="170">
        <f t="shared" si="157"/>
        <v>0</v>
      </c>
      <c r="V218" s="6"/>
      <c r="W218" s="6"/>
      <c r="X218" s="138">
        <f t="shared" si="144"/>
        <v>0</v>
      </c>
      <c r="Y218" s="167">
        <f t="shared" si="145"/>
        <v>0</v>
      </c>
      <c r="Z218" s="170">
        <f t="shared" si="158"/>
        <v>0</v>
      </c>
      <c r="AA218" s="6"/>
      <c r="AB218" s="6"/>
      <c r="AC218" s="138">
        <f t="shared" si="146"/>
        <v>0</v>
      </c>
      <c r="AD218" s="160">
        <f t="shared" si="147"/>
        <v>0</v>
      </c>
      <c r="AE218" s="170">
        <f t="shared" si="159"/>
        <v>0</v>
      </c>
      <c r="AF218" s="6"/>
      <c r="AG218" s="6"/>
      <c r="AH218" s="138">
        <f t="shared" si="148"/>
        <v>0</v>
      </c>
      <c r="AI218" s="160">
        <f t="shared" si="149"/>
        <v>0</v>
      </c>
      <c r="AJ218" s="170">
        <f t="shared" si="160"/>
        <v>0</v>
      </c>
      <c r="AK218" s="6"/>
      <c r="AL218" s="6"/>
      <c r="AM218" s="138">
        <f t="shared" si="150"/>
        <v>0</v>
      </c>
      <c r="AN218" s="160">
        <f t="shared" si="151"/>
        <v>0</v>
      </c>
      <c r="AO218" s="170">
        <f t="shared" si="161"/>
        <v>0</v>
      </c>
      <c r="AP218" s="6"/>
      <c r="AQ218" s="6"/>
      <c r="AR218" s="138">
        <f t="shared" si="152"/>
        <v>0</v>
      </c>
      <c r="AS218" s="160">
        <f t="shared" si="153"/>
        <v>0</v>
      </c>
      <c r="AT218" s="164">
        <f t="shared" si="154"/>
        <v>0</v>
      </c>
      <c r="AU218" s="165">
        <f t="shared" si="155"/>
        <v>0</v>
      </c>
    </row>
    <row r="219" spans="2:47" outlineLevel="1" x14ac:dyDescent="0.35">
      <c r="B219" s="48" t="s">
        <v>93</v>
      </c>
      <c r="C219" s="62" t="s">
        <v>135</v>
      </c>
      <c r="D219" s="70">
        <v>0</v>
      </c>
      <c r="E219" s="71">
        <v>0</v>
      </c>
      <c r="F219" s="70">
        <v>0</v>
      </c>
      <c r="G219" s="138">
        <f t="shared" si="138"/>
        <v>0</v>
      </c>
      <c r="H219" s="167">
        <f t="shared" si="139"/>
        <v>0</v>
      </c>
      <c r="I219" s="70">
        <v>0</v>
      </c>
      <c r="J219" s="138">
        <v>0</v>
      </c>
      <c r="K219" s="167">
        <f t="shared" si="140"/>
        <v>0</v>
      </c>
      <c r="L219" s="70">
        <v>0</v>
      </c>
      <c r="M219" s="138"/>
      <c r="N219" s="167">
        <f t="shared" si="141"/>
        <v>0</v>
      </c>
      <c r="O219" s="70">
        <v>0</v>
      </c>
      <c r="P219" s="138"/>
      <c r="Q219" s="167">
        <f t="shared" si="142"/>
        <v>0</v>
      </c>
      <c r="R219" s="164">
        <f t="shared" si="156"/>
        <v>0</v>
      </c>
      <c r="S219" s="165">
        <f t="shared" si="143"/>
        <v>0</v>
      </c>
      <c r="U219" s="170">
        <f t="shared" si="157"/>
        <v>0</v>
      </c>
      <c r="V219" s="6"/>
      <c r="W219" s="6"/>
      <c r="X219" s="138">
        <f t="shared" si="144"/>
        <v>0</v>
      </c>
      <c r="Y219" s="167">
        <f t="shared" si="145"/>
        <v>0</v>
      </c>
      <c r="Z219" s="170">
        <f t="shared" si="158"/>
        <v>0</v>
      </c>
      <c r="AA219" s="6"/>
      <c r="AB219" s="6"/>
      <c r="AC219" s="138">
        <f t="shared" si="146"/>
        <v>0</v>
      </c>
      <c r="AD219" s="160">
        <f t="shared" si="147"/>
        <v>0</v>
      </c>
      <c r="AE219" s="170">
        <f t="shared" si="159"/>
        <v>0</v>
      </c>
      <c r="AF219" s="6"/>
      <c r="AG219" s="6"/>
      <c r="AH219" s="138">
        <f t="shared" si="148"/>
        <v>0</v>
      </c>
      <c r="AI219" s="160">
        <f t="shared" si="149"/>
        <v>0</v>
      </c>
      <c r="AJ219" s="170">
        <f t="shared" si="160"/>
        <v>0</v>
      </c>
      <c r="AK219" s="6"/>
      <c r="AL219" s="6"/>
      <c r="AM219" s="138">
        <f t="shared" si="150"/>
        <v>0</v>
      </c>
      <c r="AN219" s="160">
        <f t="shared" si="151"/>
        <v>0</v>
      </c>
      <c r="AO219" s="170">
        <f t="shared" si="161"/>
        <v>0</v>
      </c>
      <c r="AP219" s="6"/>
      <c r="AQ219" s="6"/>
      <c r="AR219" s="138">
        <f t="shared" si="152"/>
        <v>0</v>
      </c>
      <c r="AS219" s="160">
        <f t="shared" si="153"/>
        <v>0</v>
      </c>
      <c r="AT219" s="164">
        <f t="shared" si="154"/>
        <v>0</v>
      </c>
      <c r="AU219" s="165">
        <f t="shared" si="155"/>
        <v>0</v>
      </c>
    </row>
    <row r="220" spans="2:47" outlineLevel="1" x14ac:dyDescent="0.35">
      <c r="B220" s="48" t="s">
        <v>94</v>
      </c>
      <c r="C220" s="62" t="s">
        <v>135</v>
      </c>
      <c r="D220" s="70">
        <v>0</v>
      </c>
      <c r="E220" s="71">
        <v>0</v>
      </c>
      <c r="F220" s="70">
        <v>0</v>
      </c>
      <c r="G220" s="138">
        <f t="shared" si="138"/>
        <v>0</v>
      </c>
      <c r="H220" s="167">
        <f t="shared" si="139"/>
        <v>0</v>
      </c>
      <c r="I220" s="70">
        <v>0</v>
      </c>
      <c r="J220" s="138">
        <v>0</v>
      </c>
      <c r="K220" s="167">
        <f t="shared" si="140"/>
        <v>0</v>
      </c>
      <c r="L220" s="70">
        <v>0</v>
      </c>
      <c r="M220" s="138"/>
      <c r="N220" s="167">
        <f t="shared" si="141"/>
        <v>0</v>
      </c>
      <c r="O220" s="70">
        <v>0</v>
      </c>
      <c r="P220" s="138"/>
      <c r="Q220" s="167">
        <f t="shared" si="142"/>
        <v>0</v>
      </c>
      <c r="R220" s="164">
        <f t="shared" si="156"/>
        <v>0</v>
      </c>
      <c r="S220" s="165">
        <f t="shared" si="143"/>
        <v>0</v>
      </c>
      <c r="U220" s="170">
        <f t="shared" si="157"/>
        <v>0</v>
      </c>
      <c r="V220" s="6"/>
      <c r="W220" s="6"/>
      <c r="X220" s="138">
        <f t="shared" si="144"/>
        <v>0</v>
      </c>
      <c r="Y220" s="167">
        <f t="shared" si="145"/>
        <v>0</v>
      </c>
      <c r="Z220" s="170">
        <f t="shared" si="158"/>
        <v>0</v>
      </c>
      <c r="AA220" s="6"/>
      <c r="AB220" s="6"/>
      <c r="AC220" s="138">
        <f t="shared" si="146"/>
        <v>0</v>
      </c>
      <c r="AD220" s="160">
        <f t="shared" si="147"/>
        <v>0</v>
      </c>
      <c r="AE220" s="170">
        <f t="shared" si="159"/>
        <v>0</v>
      </c>
      <c r="AF220" s="6"/>
      <c r="AG220" s="6"/>
      <c r="AH220" s="138">
        <f t="shared" si="148"/>
        <v>0</v>
      </c>
      <c r="AI220" s="160">
        <f t="shared" si="149"/>
        <v>0</v>
      </c>
      <c r="AJ220" s="170">
        <f t="shared" si="160"/>
        <v>0</v>
      </c>
      <c r="AK220" s="6"/>
      <c r="AL220" s="6"/>
      <c r="AM220" s="138">
        <f t="shared" si="150"/>
        <v>0</v>
      </c>
      <c r="AN220" s="160">
        <f t="shared" si="151"/>
        <v>0</v>
      </c>
      <c r="AO220" s="170">
        <f t="shared" si="161"/>
        <v>0</v>
      </c>
      <c r="AP220" s="6"/>
      <c r="AQ220" s="6"/>
      <c r="AR220" s="138">
        <f t="shared" si="152"/>
        <v>0</v>
      </c>
      <c r="AS220" s="160">
        <f t="shared" si="153"/>
        <v>0</v>
      </c>
      <c r="AT220" s="164">
        <f t="shared" si="154"/>
        <v>0</v>
      </c>
      <c r="AU220" s="165">
        <f t="shared" si="155"/>
        <v>0</v>
      </c>
    </row>
    <row r="221" spans="2:47" outlineLevel="1" x14ac:dyDescent="0.35">
      <c r="B221" s="48" t="s">
        <v>95</v>
      </c>
      <c r="C221" s="62" t="s">
        <v>135</v>
      </c>
      <c r="D221" s="70">
        <v>0</v>
      </c>
      <c r="E221" s="71">
        <v>0</v>
      </c>
      <c r="F221" s="70">
        <v>0</v>
      </c>
      <c r="G221" s="138">
        <f t="shared" si="138"/>
        <v>0</v>
      </c>
      <c r="H221" s="167">
        <f t="shared" si="139"/>
        <v>0</v>
      </c>
      <c r="I221" s="70">
        <v>0</v>
      </c>
      <c r="J221" s="138">
        <v>0</v>
      </c>
      <c r="K221" s="167">
        <f t="shared" si="140"/>
        <v>0</v>
      </c>
      <c r="L221" s="70">
        <v>0</v>
      </c>
      <c r="M221" s="138"/>
      <c r="N221" s="167">
        <f t="shared" si="141"/>
        <v>0</v>
      </c>
      <c r="O221" s="70">
        <v>0</v>
      </c>
      <c r="P221" s="138"/>
      <c r="Q221" s="167">
        <f t="shared" si="142"/>
        <v>0</v>
      </c>
      <c r="R221" s="164">
        <f t="shared" si="156"/>
        <v>0</v>
      </c>
      <c r="S221" s="165">
        <f t="shared" si="143"/>
        <v>0</v>
      </c>
      <c r="U221" s="170">
        <f t="shared" si="157"/>
        <v>0</v>
      </c>
      <c r="V221" s="6"/>
      <c r="W221" s="6"/>
      <c r="X221" s="138">
        <f t="shared" si="144"/>
        <v>0</v>
      </c>
      <c r="Y221" s="167">
        <f t="shared" si="145"/>
        <v>0</v>
      </c>
      <c r="Z221" s="170">
        <f t="shared" si="158"/>
        <v>0</v>
      </c>
      <c r="AA221" s="6"/>
      <c r="AB221" s="6"/>
      <c r="AC221" s="138">
        <f t="shared" si="146"/>
        <v>0</v>
      </c>
      <c r="AD221" s="160">
        <f t="shared" si="147"/>
        <v>0</v>
      </c>
      <c r="AE221" s="170">
        <f t="shared" si="159"/>
        <v>0</v>
      </c>
      <c r="AF221" s="6"/>
      <c r="AG221" s="6"/>
      <c r="AH221" s="138">
        <f t="shared" si="148"/>
        <v>0</v>
      </c>
      <c r="AI221" s="160">
        <f t="shared" si="149"/>
        <v>0</v>
      </c>
      <c r="AJ221" s="170">
        <f t="shared" si="160"/>
        <v>0</v>
      </c>
      <c r="AK221" s="6"/>
      <c r="AL221" s="6"/>
      <c r="AM221" s="138">
        <f t="shared" si="150"/>
        <v>0</v>
      </c>
      <c r="AN221" s="160">
        <f t="shared" si="151"/>
        <v>0</v>
      </c>
      <c r="AO221" s="170">
        <f t="shared" si="161"/>
        <v>0</v>
      </c>
      <c r="AP221" s="6"/>
      <c r="AQ221" s="6"/>
      <c r="AR221" s="138">
        <f t="shared" si="152"/>
        <v>0</v>
      </c>
      <c r="AS221" s="160">
        <f t="shared" si="153"/>
        <v>0</v>
      </c>
      <c r="AT221" s="164">
        <f t="shared" si="154"/>
        <v>0</v>
      </c>
      <c r="AU221" s="165">
        <f t="shared" si="155"/>
        <v>0</v>
      </c>
    </row>
    <row r="222" spans="2:47" outlineLevel="1" x14ac:dyDescent="0.35">
      <c r="B222" s="48" t="s">
        <v>96</v>
      </c>
      <c r="C222" s="62" t="s">
        <v>135</v>
      </c>
      <c r="D222" s="70">
        <v>0</v>
      </c>
      <c r="E222" s="71">
        <v>0</v>
      </c>
      <c r="F222" s="70">
        <v>0</v>
      </c>
      <c r="G222" s="138">
        <f t="shared" si="138"/>
        <v>0</v>
      </c>
      <c r="H222" s="167">
        <f t="shared" si="139"/>
        <v>0</v>
      </c>
      <c r="I222" s="70">
        <v>0</v>
      </c>
      <c r="J222" s="138">
        <v>0</v>
      </c>
      <c r="K222" s="167">
        <f t="shared" si="140"/>
        <v>0</v>
      </c>
      <c r="L222" s="70">
        <v>0</v>
      </c>
      <c r="M222" s="138"/>
      <c r="N222" s="167">
        <f t="shared" si="141"/>
        <v>0</v>
      </c>
      <c r="O222" s="70">
        <v>0</v>
      </c>
      <c r="P222" s="138"/>
      <c r="Q222" s="167">
        <f t="shared" si="142"/>
        <v>0</v>
      </c>
      <c r="R222" s="164">
        <f t="shared" si="156"/>
        <v>0</v>
      </c>
      <c r="S222" s="165">
        <f t="shared" si="143"/>
        <v>0</v>
      </c>
      <c r="U222" s="170">
        <f t="shared" si="157"/>
        <v>0</v>
      </c>
      <c r="V222" s="6"/>
      <c r="W222" s="6"/>
      <c r="X222" s="138">
        <f t="shared" si="144"/>
        <v>0</v>
      </c>
      <c r="Y222" s="167">
        <f t="shared" si="145"/>
        <v>0</v>
      </c>
      <c r="Z222" s="170">
        <f t="shared" si="158"/>
        <v>0</v>
      </c>
      <c r="AA222" s="6"/>
      <c r="AB222" s="6"/>
      <c r="AC222" s="138">
        <f t="shared" si="146"/>
        <v>0</v>
      </c>
      <c r="AD222" s="160">
        <f t="shared" si="147"/>
        <v>0</v>
      </c>
      <c r="AE222" s="170">
        <f t="shared" si="159"/>
        <v>0</v>
      </c>
      <c r="AF222" s="6"/>
      <c r="AG222" s="6"/>
      <c r="AH222" s="138">
        <f t="shared" si="148"/>
        <v>0</v>
      </c>
      <c r="AI222" s="160">
        <f t="shared" si="149"/>
        <v>0</v>
      </c>
      <c r="AJ222" s="170">
        <f t="shared" si="160"/>
        <v>0</v>
      </c>
      <c r="AK222" s="6"/>
      <c r="AL222" s="6"/>
      <c r="AM222" s="138">
        <f t="shared" si="150"/>
        <v>0</v>
      </c>
      <c r="AN222" s="160">
        <f t="shared" si="151"/>
        <v>0</v>
      </c>
      <c r="AO222" s="170">
        <f t="shared" si="161"/>
        <v>0</v>
      </c>
      <c r="AP222" s="6"/>
      <c r="AQ222" s="6"/>
      <c r="AR222" s="138">
        <f t="shared" si="152"/>
        <v>0</v>
      </c>
      <c r="AS222" s="160">
        <f t="shared" si="153"/>
        <v>0</v>
      </c>
      <c r="AT222" s="164">
        <f t="shared" si="154"/>
        <v>0</v>
      </c>
      <c r="AU222" s="165">
        <f t="shared" si="155"/>
        <v>0</v>
      </c>
    </row>
    <row r="223" spans="2:47" outlineLevel="1" x14ac:dyDescent="0.35">
      <c r="B223" s="48" t="s">
        <v>97</v>
      </c>
      <c r="C223" s="62" t="s">
        <v>135</v>
      </c>
      <c r="D223" s="70">
        <v>0</v>
      </c>
      <c r="E223" s="71">
        <v>0</v>
      </c>
      <c r="F223" s="70">
        <v>0</v>
      </c>
      <c r="G223" s="138">
        <f t="shared" si="138"/>
        <v>0</v>
      </c>
      <c r="H223" s="167">
        <f t="shared" si="139"/>
        <v>0</v>
      </c>
      <c r="I223" s="70">
        <v>0</v>
      </c>
      <c r="J223" s="138">
        <v>0</v>
      </c>
      <c r="K223" s="167">
        <f t="shared" si="140"/>
        <v>0</v>
      </c>
      <c r="L223" s="70">
        <v>0</v>
      </c>
      <c r="M223" s="138"/>
      <c r="N223" s="167">
        <f t="shared" si="141"/>
        <v>0</v>
      </c>
      <c r="O223" s="70">
        <v>0</v>
      </c>
      <c r="P223" s="138"/>
      <c r="Q223" s="167">
        <f t="shared" si="142"/>
        <v>0</v>
      </c>
      <c r="R223" s="164">
        <f t="shared" si="156"/>
        <v>0</v>
      </c>
      <c r="S223" s="165">
        <f t="shared" si="143"/>
        <v>0</v>
      </c>
      <c r="U223" s="170">
        <f t="shared" si="157"/>
        <v>0</v>
      </c>
      <c r="V223" s="6"/>
      <c r="W223" s="6"/>
      <c r="X223" s="138">
        <f t="shared" si="144"/>
        <v>0</v>
      </c>
      <c r="Y223" s="167">
        <f t="shared" si="145"/>
        <v>0</v>
      </c>
      <c r="Z223" s="170">
        <f t="shared" si="158"/>
        <v>0</v>
      </c>
      <c r="AA223" s="6"/>
      <c r="AB223" s="6"/>
      <c r="AC223" s="138">
        <f t="shared" si="146"/>
        <v>0</v>
      </c>
      <c r="AD223" s="160">
        <f t="shared" si="147"/>
        <v>0</v>
      </c>
      <c r="AE223" s="170">
        <f t="shared" si="159"/>
        <v>0</v>
      </c>
      <c r="AF223" s="6"/>
      <c r="AG223" s="6"/>
      <c r="AH223" s="138">
        <f t="shared" si="148"/>
        <v>0</v>
      </c>
      <c r="AI223" s="160">
        <f t="shared" si="149"/>
        <v>0</v>
      </c>
      <c r="AJ223" s="170">
        <f t="shared" si="160"/>
        <v>0</v>
      </c>
      <c r="AK223" s="6"/>
      <c r="AL223" s="6"/>
      <c r="AM223" s="138">
        <f t="shared" si="150"/>
        <v>0</v>
      </c>
      <c r="AN223" s="160">
        <f t="shared" si="151"/>
        <v>0</v>
      </c>
      <c r="AO223" s="170">
        <f t="shared" si="161"/>
        <v>0</v>
      </c>
      <c r="AP223" s="6"/>
      <c r="AQ223" s="6"/>
      <c r="AR223" s="138">
        <f t="shared" si="152"/>
        <v>0</v>
      </c>
      <c r="AS223" s="160">
        <f t="shared" si="153"/>
        <v>0</v>
      </c>
      <c r="AT223" s="164">
        <f t="shared" si="154"/>
        <v>0</v>
      </c>
      <c r="AU223" s="165">
        <f t="shared" si="155"/>
        <v>0</v>
      </c>
    </row>
    <row r="224" spans="2:47" outlineLevel="1" x14ac:dyDescent="0.35">
      <c r="B224" s="48" t="s">
        <v>98</v>
      </c>
      <c r="C224" s="62" t="s">
        <v>135</v>
      </c>
      <c r="D224" s="70">
        <v>0</v>
      </c>
      <c r="E224" s="71">
        <v>2</v>
      </c>
      <c r="F224" s="70">
        <v>0</v>
      </c>
      <c r="G224" s="138">
        <f t="shared" si="138"/>
        <v>2</v>
      </c>
      <c r="H224" s="167">
        <f t="shared" si="139"/>
        <v>0</v>
      </c>
      <c r="I224" s="70">
        <v>0</v>
      </c>
      <c r="J224" s="138">
        <v>2</v>
      </c>
      <c r="K224" s="167">
        <f t="shared" si="140"/>
        <v>0</v>
      </c>
      <c r="L224" s="70">
        <v>0</v>
      </c>
      <c r="M224" s="138">
        <v>2</v>
      </c>
      <c r="N224" s="167">
        <f t="shared" si="141"/>
        <v>0</v>
      </c>
      <c r="O224" s="70">
        <v>0</v>
      </c>
      <c r="P224" s="138">
        <v>2</v>
      </c>
      <c r="Q224" s="167">
        <f t="shared" si="142"/>
        <v>0</v>
      </c>
      <c r="R224" s="164">
        <f t="shared" si="156"/>
        <v>0</v>
      </c>
      <c r="S224" s="165">
        <f t="shared" si="143"/>
        <v>0</v>
      </c>
      <c r="U224" s="170">
        <f t="shared" si="157"/>
        <v>0</v>
      </c>
      <c r="V224" s="6"/>
      <c r="W224" s="6"/>
      <c r="X224" s="138">
        <f t="shared" si="144"/>
        <v>2</v>
      </c>
      <c r="Y224" s="167">
        <f t="shared" si="145"/>
        <v>0</v>
      </c>
      <c r="Z224" s="170">
        <f t="shared" si="158"/>
        <v>0</v>
      </c>
      <c r="AA224" s="6"/>
      <c r="AB224" s="6"/>
      <c r="AC224" s="138">
        <f t="shared" si="146"/>
        <v>2</v>
      </c>
      <c r="AD224" s="160">
        <f t="shared" si="147"/>
        <v>0</v>
      </c>
      <c r="AE224" s="170">
        <f t="shared" si="159"/>
        <v>0</v>
      </c>
      <c r="AF224" s="6"/>
      <c r="AG224" s="6"/>
      <c r="AH224" s="138">
        <f t="shared" si="148"/>
        <v>2</v>
      </c>
      <c r="AI224" s="160">
        <f t="shared" si="149"/>
        <v>0</v>
      </c>
      <c r="AJ224" s="170">
        <f t="shared" si="160"/>
        <v>0</v>
      </c>
      <c r="AK224" s="6"/>
      <c r="AL224" s="6"/>
      <c r="AM224" s="138">
        <f t="shared" si="150"/>
        <v>2</v>
      </c>
      <c r="AN224" s="160">
        <f t="shared" si="151"/>
        <v>0</v>
      </c>
      <c r="AO224" s="170">
        <f t="shared" si="161"/>
        <v>0</v>
      </c>
      <c r="AP224" s="6"/>
      <c r="AQ224" s="6"/>
      <c r="AR224" s="138">
        <f t="shared" si="152"/>
        <v>2</v>
      </c>
      <c r="AS224" s="160">
        <f t="shared" si="153"/>
        <v>0</v>
      </c>
      <c r="AT224" s="164">
        <f t="shared" si="154"/>
        <v>0</v>
      </c>
      <c r="AU224" s="165">
        <f t="shared" si="155"/>
        <v>0</v>
      </c>
    </row>
    <row r="225" spans="2:47" outlineLevel="1" x14ac:dyDescent="0.35">
      <c r="B225" s="48" t="s">
        <v>99</v>
      </c>
      <c r="C225" s="62" t="s">
        <v>135</v>
      </c>
      <c r="D225" s="70">
        <v>0</v>
      </c>
      <c r="E225" s="71">
        <v>4</v>
      </c>
      <c r="F225" s="70">
        <v>1</v>
      </c>
      <c r="G225" s="138">
        <f t="shared" si="138"/>
        <v>5</v>
      </c>
      <c r="H225" s="167">
        <f t="shared" si="139"/>
        <v>0.25</v>
      </c>
      <c r="I225" s="70">
        <v>0</v>
      </c>
      <c r="J225" s="138">
        <v>5</v>
      </c>
      <c r="K225" s="167">
        <f t="shared" si="140"/>
        <v>0</v>
      </c>
      <c r="L225" s="70">
        <v>0</v>
      </c>
      <c r="M225" s="138">
        <v>5</v>
      </c>
      <c r="N225" s="167">
        <f t="shared" si="141"/>
        <v>0</v>
      </c>
      <c r="O225" s="70">
        <v>0</v>
      </c>
      <c r="P225" s="138">
        <v>5</v>
      </c>
      <c r="Q225" s="167">
        <f t="shared" si="142"/>
        <v>0</v>
      </c>
      <c r="R225" s="164">
        <f t="shared" si="156"/>
        <v>1</v>
      </c>
      <c r="S225" s="165">
        <f t="shared" si="143"/>
        <v>5.7371263440564091E-2</v>
      </c>
      <c r="U225" s="170">
        <f t="shared" si="157"/>
        <v>0</v>
      </c>
      <c r="V225" s="6"/>
      <c r="W225" s="6"/>
      <c r="X225" s="138">
        <f t="shared" si="144"/>
        <v>5</v>
      </c>
      <c r="Y225" s="167">
        <f t="shared" si="145"/>
        <v>0</v>
      </c>
      <c r="Z225" s="170">
        <f t="shared" si="158"/>
        <v>0</v>
      </c>
      <c r="AA225" s="6"/>
      <c r="AB225" s="6"/>
      <c r="AC225" s="138">
        <f t="shared" si="146"/>
        <v>5</v>
      </c>
      <c r="AD225" s="160">
        <f t="shared" si="147"/>
        <v>0</v>
      </c>
      <c r="AE225" s="170">
        <f t="shared" si="159"/>
        <v>0</v>
      </c>
      <c r="AF225" s="6"/>
      <c r="AG225" s="6"/>
      <c r="AH225" s="138">
        <f t="shared" si="148"/>
        <v>5</v>
      </c>
      <c r="AI225" s="160">
        <f t="shared" si="149"/>
        <v>0</v>
      </c>
      <c r="AJ225" s="170">
        <f t="shared" si="160"/>
        <v>1</v>
      </c>
      <c r="AK225" s="6"/>
      <c r="AL225" s="6">
        <v>1</v>
      </c>
      <c r="AM225" s="138">
        <f t="shared" si="150"/>
        <v>6</v>
      </c>
      <c r="AN225" s="160">
        <f t="shared" si="151"/>
        <v>0.2</v>
      </c>
      <c r="AO225" s="170">
        <f t="shared" si="161"/>
        <v>0</v>
      </c>
      <c r="AP225" s="6"/>
      <c r="AQ225" s="6"/>
      <c r="AR225" s="138">
        <f t="shared" si="152"/>
        <v>6</v>
      </c>
      <c r="AS225" s="160">
        <f t="shared" si="153"/>
        <v>0</v>
      </c>
      <c r="AT225" s="164">
        <f t="shared" si="154"/>
        <v>1</v>
      </c>
      <c r="AU225" s="165">
        <f t="shared" si="155"/>
        <v>4.6635139392105618E-2</v>
      </c>
    </row>
    <row r="226" spans="2:47" outlineLevel="1" x14ac:dyDescent="0.35">
      <c r="B226" s="48" t="s">
        <v>100</v>
      </c>
      <c r="C226" s="62" t="s">
        <v>135</v>
      </c>
      <c r="D226" s="70">
        <v>0</v>
      </c>
      <c r="E226" s="71">
        <v>0</v>
      </c>
      <c r="F226" s="70">
        <v>0</v>
      </c>
      <c r="G226" s="138">
        <f t="shared" si="138"/>
        <v>0</v>
      </c>
      <c r="H226" s="167">
        <f t="shared" si="139"/>
        <v>0</v>
      </c>
      <c r="I226" s="70">
        <v>0</v>
      </c>
      <c r="J226" s="138">
        <v>0</v>
      </c>
      <c r="K226" s="167">
        <f t="shared" si="140"/>
        <v>0</v>
      </c>
      <c r="L226" s="70">
        <v>0</v>
      </c>
      <c r="M226" s="138"/>
      <c r="N226" s="167">
        <f t="shared" si="141"/>
        <v>0</v>
      </c>
      <c r="O226" s="70">
        <v>0</v>
      </c>
      <c r="P226" s="138"/>
      <c r="Q226" s="167">
        <f t="shared" si="142"/>
        <v>0</v>
      </c>
      <c r="R226" s="164">
        <f t="shared" si="156"/>
        <v>0</v>
      </c>
      <c r="S226" s="165">
        <f t="shared" si="143"/>
        <v>0</v>
      </c>
      <c r="U226" s="170">
        <f t="shared" si="157"/>
        <v>0</v>
      </c>
      <c r="V226" s="6"/>
      <c r="W226" s="6"/>
      <c r="X226" s="138">
        <f t="shared" si="144"/>
        <v>0</v>
      </c>
      <c r="Y226" s="167">
        <f t="shared" si="145"/>
        <v>0</v>
      </c>
      <c r="Z226" s="170">
        <f t="shared" si="158"/>
        <v>0</v>
      </c>
      <c r="AA226" s="6"/>
      <c r="AB226" s="6"/>
      <c r="AC226" s="138">
        <f t="shared" si="146"/>
        <v>0</v>
      </c>
      <c r="AD226" s="160">
        <f t="shared" si="147"/>
        <v>0</v>
      </c>
      <c r="AE226" s="170">
        <f t="shared" si="159"/>
        <v>0</v>
      </c>
      <c r="AF226" s="6"/>
      <c r="AG226" s="6"/>
      <c r="AH226" s="138">
        <f t="shared" si="148"/>
        <v>0</v>
      </c>
      <c r="AI226" s="160">
        <f t="shared" si="149"/>
        <v>0</v>
      </c>
      <c r="AJ226" s="170">
        <f t="shared" si="160"/>
        <v>0</v>
      </c>
      <c r="AK226" s="6"/>
      <c r="AL226" s="6"/>
      <c r="AM226" s="138">
        <f t="shared" si="150"/>
        <v>0</v>
      </c>
      <c r="AN226" s="160">
        <f t="shared" si="151"/>
        <v>0</v>
      </c>
      <c r="AO226" s="170">
        <f t="shared" si="161"/>
        <v>0</v>
      </c>
      <c r="AP226" s="6"/>
      <c r="AQ226" s="6"/>
      <c r="AR226" s="138">
        <f t="shared" si="152"/>
        <v>0</v>
      </c>
      <c r="AS226" s="160">
        <f t="shared" si="153"/>
        <v>0</v>
      </c>
      <c r="AT226" s="164">
        <f t="shared" si="154"/>
        <v>0</v>
      </c>
      <c r="AU226" s="165">
        <f t="shared" si="155"/>
        <v>0</v>
      </c>
    </row>
    <row r="227" spans="2:47" outlineLevel="1" x14ac:dyDescent="0.35">
      <c r="B227" s="48" t="s">
        <v>101</v>
      </c>
      <c r="C227" s="62" t="s">
        <v>135</v>
      </c>
      <c r="D227" s="70">
        <v>1</v>
      </c>
      <c r="E227" s="71">
        <v>9</v>
      </c>
      <c r="F227" s="70">
        <v>1</v>
      </c>
      <c r="G227" s="138">
        <f t="shared" si="138"/>
        <v>10</v>
      </c>
      <c r="H227" s="167">
        <f t="shared" si="139"/>
        <v>0.1111111111111111</v>
      </c>
      <c r="I227" s="70">
        <v>1</v>
      </c>
      <c r="J227" s="138">
        <v>11</v>
      </c>
      <c r="K227" s="167">
        <f t="shared" si="140"/>
        <v>0.1</v>
      </c>
      <c r="L227" s="70">
        <v>-1</v>
      </c>
      <c r="M227" s="138">
        <v>10</v>
      </c>
      <c r="N227" s="167">
        <f t="shared" si="141"/>
        <v>-9.0909090909090912E-2</v>
      </c>
      <c r="O227" s="70">
        <v>-1</v>
      </c>
      <c r="P227" s="138">
        <v>9</v>
      </c>
      <c r="Q227" s="167">
        <f t="shared" si="142"/>
        <v>-0.1</v>
      </c>
      <c r="R227" s="164">
        <f t="shared" si="156"/>
        <v>1</v>
      </c>
      <c r="S227" s="165">
        <f t="shared" si="143"/>
        <v>0</v>
      </c>
      <c r="U227" s="170">
        <f t="shared" si="157"/>
        <v>2</v>
      </c>
      <c r="V227" s="6">
        <v>1</v>
      </c>
      <c r="W227" s="6">
        <v>1</v>
      </c>
      <c r="X227" s="138">
        <f t="shared" si="144"/>
        <v>11</v>
      </c>
      <c r="Y227" s="167">
        <f t="shared" si="145"/>
        <v>0.22222222222222221</v>
      </c>
      <c r="Z227" s="170">
        <f t="shared" si="158"/>
        <v>0</v>
      </c>
      <c r="AA227" s="6"/>
      <c r="AB227" s="6"/>
      <c r="AC227" s="138">
        <f t="shared" si="146"/>
        <v>11</v>
      </c>
      <c r="AD227" s="160">
        <f t="shared" si="147"/>
        <v>0</v>
      </c>
      <c r="AE227" s="170">
        <f t="shared" si="159"/>
        <v>0</v>
      </c>
      <c r="AF227" s="6"/>
      <c r="AG227" s="6"/>
      <c r="AH227" s="138">
        <f t="shared" si="148"/>
        <v>11</v>
      </c>
      <c r="AI227" s="160">
        <f t="shared" si="149"/>
        <v>0</v>
      </c>
      <c r="AJ227" s="170">
        <f t="shared" si="160"/>
        <v>0</v>
      </c>
      <c r="AK227" s="6"/>
      <c r="AL227" s="6"/>
      <c r="AM227" s="138">
        <f t="shared" si="150"/>
        <v>11</v>
      </c>
      <c r="AN227" s="160">
        <f t="shared" si="151"/>
        <v>0</v>
      </c>
      <c r="AO227" s="170">
        <f t="shared" si="161"/>
        <v>0</v>
      </c>
      <c r="AP227" s="6"/>
      <c r="AQ227" s="6"/>
      <c r="AR227" s="138">
        <f t="shared" si="152"/>
        <v>11</v>
      </c>
      <c r="AS227" s="160">
        <f t="shared" si="153"/>
        <v>0</v>
      </c>
      <c r="AT227" s="164">
        <f t="shared" si="154"/>
        <v>2</v>
      </c>
      <c r="AU227" s="165">
        <f t="shared" si="155"/>
        <v>0</v>
      </c>
    </row>
    <row r="228" spans="2:47" outlineLevel="1" x14ac:dyDescent="0.35">
      <c r="B228" s="48" t="s">
        <v>102</v>
      </c>
      <c r="C228" s="62" t="s">
        <v>135</v>
      </c>
      <c r="D228" s="70">
        <v>0</v>
      </c>
      <c r="E228" s="71">
        <v>0</v>
      </c>
      <c r="F228" s="70">
        <v>0</v>
      </c>
      <c r="G228" s="138">
        <f t="shared" si="138"/>
        <v>0</v>
      </c>
      <c r="H228" s="167">
        <f t="shared" si="139"/>
        <v>0</v>
      </c>
      <c r="I228" s="70">
        <v>0</v>
      </c>
      <c r="J228" s="138">
        <v>0</v>
      </c>
      <c r="K228" s="167">
        <f t="shared" si="140"/>
        <v>0</v>
      </c>
      <c r="L228" s="70">
        <v>0</v>
      </c>
      <c r="M228" s="138"/>
      <c r="N228" s="167">
        <f t="shared" si="141"/>
        <v>0</v>
      </c>
      <c r="O228" s="70">
        <v>0</v>
      </c>
      <c r="P228" s="138"/>
      <c r="Q228" s="167">
        <f t="shared" si="142"/>
        <v>0</v>
      </c>
      <c r="R228" s="164">
        <f t="shared" si="156"/>
        <v>0</v>
      </c>
      <c r="S228" s="165">
        <f t="shared" si="143"/>
        <v>0</v>
      </c>
      <c r="U228" s="170">
        <f t="shared" si="157"/>
        <v>0</v>
      </c>
      <c r="V228" s="6"/>
      <c r="W228" s="6"/>
      <c r="X228" s="138">
        <f t="shared" si="144"/>
        <v>0</v>
      </c>
      <c r="Y228" s="167">
        <f t="shared" si="145"/>
        <v>0</v>
      </c>
      <c r="Z228" s="170">
        <f t="shared" si="158"/>
        <v>0</v>
      </c>
      <c r="AA228" s="6"/>
      <c r="AB228" s="6"/>
      <c r="AC228" s="138">
        <f t="shared" si="146"/>
        <v>0</v>
      </c>
      <c r="AD228" s="160">
        <f t="shared" si="147"/>
        <v>0</v>
      </c>
      <c r="AE228" s="170">
        <f t="shared" si="159"/>
        <v>0</v>
      </c>
      <c r="AF228" s="6"/>
      <c r="AG228" s="6"/>
      <c r="AH228" s="138">
        <f t="shared" si="148"/>
        <v>0</v>
      </c>
      <c r="AI228" s="160">
        <f t="shared" si="149"/>
        <v>0</v>
      </c>
      <c r="AJ228" s="170">
        <f t="shared" si="160"/>
        <v>0</v>
      </c>
      <c r="AK228" s="6"/>
      <c r="AL228" s="6"/>
      <c r="AM228" s="138">
        <f t="shared" si="150"/>
        <v>0</v>
      </c>
      <c r="AN228" s="160">
        <f t="shared" si="151"/>
        <v>0</v>
      </c>
      <c r="AO228" s="170">
        <f t="shared" si="161"/>
        <v>0</v>
      </c>
      <c r="AP228" s="6"/>
      <c r="AQ228" s="6"/>
      <c r="AR228" s="138">
        <f t="shared" si="152"/>
        <v>0</v>
      </c>
      <c r="AS228" s="160">
        <f t="shared" si="153"/>
        <v>0</v>
      </c>
      <c r="AT228" s="164">
        <f t="shared" si="154"/>
        <v>0</v>
      </c>
      <c r="AU228" s="165">
        <f t="shared" si="155"/>
        <v>0</v>
      </c>
    </row>
    <row r="229" spans="2:47" outlineLevel="1" x14ac:dyDescent="0.35">
      <c r="B229" s="48" t="s">
        <v>103</v>
      </c>
      <c r="C229" s="62" t="s">
        <v>135</v>
      </c>
      <c r="D229" s="70">
        <v>0</v>
      </c>
      <c r="E229" s="71">
        <v>9</v>
      </c>
      <c r="F229" s="70">
        <v>0</v>
      </c>
      <c r="G229" s="138">
        <f t="shared" si="138"/>
        <v>9</v>
      </c>
      <c r="H229" s="167">
        <f t="shared" si="139"/>
        <v>0</v>
      </c>
      <c r="I229" s="70">
        <v>0</v>
      </c>
      <c r="J229" s="138">
        <v>9</v>
      </c>
      <c r="K229" s="167">
        <f t="shared" si="140"/>
        <v>0</v>
      </c>
      <c r="L229" s="70">
        <v>0</v>
      </c>
      <c r="M229" s="138">
        <v>9</v>
      </c>
      <c r="N229" s="167">
        <f t="shared" si="141"/>
        <v>0</v>
      </c>
      <c r="O229" s="70">
        <v>-1</v>
      </c>
      <c r="P229" s="138">
        <v>8</v>
      </c>
      <c r="Q229" s="167">
        <f t="shared" si="142"/>
        <v>-0.1111111111111111</v>
      </c>
      <c r="R229" s="164">
        <f t="shared" si="156"/>
        <v>-1</v>
      </c>
      <c r="S229" s="165">
        <f t="shared" si="143"/>
        <v>-2.9016456585353123E-2</v>
      </c>
      <c r="U229" s="170">
        <f t="shared" si="157"/>
        <v>0</v>
      </c>
      <c r="V229" s="6"/>
      <c r="W229" s="6"/>
      <c r="X229" s="138">
        <f t="shared" si="144"/>
        <v>8</v>
      </c>
      <c r="Y229" s="167">
        <f t="shared" si="145"/>
        <v>0</v>
      </c>
      <c r="Z229" s="170">
        <f t="shared" si="158"/>
        <v>0</v>
      </c>
      <c r="AA229" s="6"/>
      <c r="AB229" s="6"/>
      <c r="AC229" s="138">
        <f t="shared" si="146"/>
        <v>8</v>
      </c>
      <c r="AD229" s="160">
        <f t="shared" si="147"/>
        <v>0</v>
      </c>
      <c r="AE229" s="170">
        <f t="shared" si="159"/>
        <v>0</v>
      </c>
      <c r="AF229" s="6"/>
      <c r="AG229" s="6"/>
      <c r="AH229" s="138">
        <f t="shared" si="148"/>
        <v>8</v>
      </c>
      <c r="AI229" s="160">
        <f t="shared" si="149"/>
        <v>0</v>
      </c>
      <c r="AJ229" s="170">
        <f t="shared" si="160"/>
        <v>0</v>
      </c>
      <c r="AK229" s="6"/>
      <c r="AL229" s="6"/>
      <c r="AM229" s="138">
        <f t="shared" si="150"/>
        <v>8</v>
      </c>
      <c r="AN229" s="160">
        <f t="shared" si="151"/>
        <v>0</v>
      </c>
      <c r="AO229" s="170">
        <f t="shared" si="161"/>
        <v>0</v>
      </c>
      <c r="AP229" s="6"/>
      <c r="AQ229" s="6"/>
      <c r="AR229" s="138">
        <f t="shared" si="152"/>
        <v>8</v>
      </c>
      <c r="AS229" s="160">
        <f t="shared" si="153"/>
        <v>0</v>
      </c>
      <c r="AT229" s="164">
        <f t="shared" si="154"/>
        <v>0</v>
      </c>
      <c r="AU229" s="165">
        <f t="shared" si="155"/>
        <v>0</v>
      </c>
    </row>
    <row r="230" spans="2:47" outlineLevel="1" x14ac:dyDescent="0.35">
      <c r="B230" s="48" t="s">
        <v>104</v>
      </c>
      <c r="C230" s="62" t="s">
        <v>135</v>
      </c>
      <c r="D230" s="70">
        <v>0</v>
      </c>
      <c r="E230" s="71">
        <v>0</v>
      </c>
      <c r="F230" s="70">
        <v>0</v>
      </c>
      <c r="G230" s="138">
        <f t="shared" si="138"/>
        <v>0</v>
      </c>
      <c r="H230" s="167">
        <f t="shared" si="139"/>
        <v>0</v>
      </c>
      <c r="I230" s="70">
        <v>0</v>
      </c>
      <c r="J230" s="138">
        <v>0</v>
      </c>
      <c r="K230" s="167">
        <f t="shared" si="140"/>
        <v>0</v>
      </c>
      <c r="L230" s="70">
        <v>0</v>
      </c>
      <c r="M230" s="138"/>
      <c r="N230" s="167">
        <f t="shared" si="141"/>
        <v>0</v>
      </c>
      <c r="O230" s="70">
        <v>0</v>
      </c>
      <c r="P230" s="138"/>
      <c r="Q230" s="167">
        <f t="shared" si="142"/>
        <v>0</v>
      </c>
      <c r="R230" s="164">
        <f t="shared" si="156"/>
        <v>0</v>
      </c>
      <c r="S230" s="165">
        <f t="shared" si="143"/>
        <v>0</v>
      </c>
      <c r="U230" s="170">
        <f t="shared" si="157"/>
        <v>0</v>
      </c>
      <c r="V230" s="6"/>
      <c r="W230" s="6"/>
      <c r="X230" s="138">
        <f t="shared" si="144"/>
        <v>0</v>
      </c>
      <c r="Y230" s="167">
        <f t="shared" si="145"/>
        <v>0</v>
      </c>
      <c r="Z230" s="170">
        <f t="shared" si="158"/>
        <v>0</v>
      </c>
      <c r="AA230" s="6"/>
      <c r="AB230" s="6"/>
      <c r="AC230" s="138">
        <f t="shared" si="146"/>
        <v>0</v>
      </c>
      <c r="AD230" s="160">
        <f t="shared" si="147"/>
        <v>0</v>
      </c>
      <c r="AE230" s="170">
        <f t="shared" si="159"/>
        <v>0</v>
      </c>
      <c r="AF230" s="6"/>
      <c r="AG230" s="6"/>
      <c r="AH230" s="138">
        <f t="shared" si="148"/>
        <v>0</v>
      </c>
      <c r="AI230" s="160">
        <f t="shared" si="149"/>
        <v>0</v>
      </c>
      <c r="AJ230" s="170">
        <f t="shared" si="160"/>
        <v>0</v>
      </c>
      <c r="AK230" s="6"/>
      <c r="AL230" s="6"/>
      <c r="AM230" s="138">
        <f t="shared" si="150"/>
        <v>0</v>
      </c>
      <c r="AN230" s="160">
        <f t="shared" si="151"/>
        <v>0</v>
      </c>
      <c r="AO230" s="170">
        <f t="shared" si="161"/>
        <v>0</v>
      </c>
      <c r="AP230" s="6"/>
      <c r="AQ230" s="6"/>
      <c r="AR230" s="138">
        <f t="shared" si="152"/>
        <v>0</v>
      </c>
      <c r="AS230" s="160">
        <f t="shared" si="153"/>
        <v>0</v>
      </c>
      <c r="AT230" s="164">
        <f t="shared" si="154"/>
        <v>0</v>
      </c>
      <c r="AU230" s="165">
        <f t="shared" si="155"/>
        <v>0</v>
      </c>
    </row>
    <row r="231" spans="2:47" outlineLevel="1" x14ac:dyDescent="0.35">
      <c r="B231" s="48" t="s">
        <v>136</v>
      </c>
      <c r="C231" s="62" t="s">
        <v>135</v>
      </c>
      <c r="D231" s="70">
        <v>0</v>
      </c>
      <c r="E231" s="71">
        <v>0</v>
      </c>
      <c r="F231" s="70">
        <v>0</v>
      </c>
      <c r="G231" s="138">
        <f t="shared" si="138"/>
        <v>0</v>
      </c>
      <c r="H231" s="167">
        <f t="shared" si="139"/>
        <v>0</v>
      </c>
      <c r="I231" s="70">
        <v>0</v>
      </c>
      <c r="J231" s="138">
        <v>0</v>
      </c>
      <c r="K231" s="167">
        <f t="shared" si="140"/>
        <v>0</v>
      </c>
      <c r="L231" s="70">
        <v>0</v>
      </c>
      <c r="M231" s="138"/>
      <c r="N231" s="167">
        <f t="shared" si="141"/>
        <v>0</v>
      </c>
      <c r="O231" s="70">
        <v>0</v>
      </c>
      <c r="P231" s="138"/>
      <c r="Q231" s="167">
        <f t="shared" si="142"/>
        <v>0</v>
      </c>
      <c r="R231" s="164">
        <f t="shared" si="156"/>
        <v>0</v>
      </c>
      <c r="S231" s="165">
        <f t="shared" si="143"/>
        <v>0</v>
      </c>
      <c r="U231" s="170">
        <f t="shared" si="157"/>
        <v>0</v>
      </c>
      <c r="V231" s="6"/>
      <c r="W231" s="6"/>
      <c r="X231" s="138">
        <f t="shared" si="144"/>
        <v>0</v>
      </c>
      <c r="Y231" s="167">
        <f t="shared" si="145"/>
        <v>0</v>
      </c>
      <c r="Z231" s="170">
        <f t="shared" si="158"/>
        <v>0</v>
      </c>
      <c r="AA231" s="6"/>
      <c r="AB231" s="6"/>
      <c r="AC231" s="138">
        <f t="shared" si="146"/>
        <v>0</v>
      </c>
      <c r="AD231" s="160">
        <f t="shared" si="147"/>
        <v>0</v>
      </c>
      <c r="AE231" s="170">
        <f t="shared" si="159"/>
        <v>0</v>
      </c>
      <c r="AF231" s="6"/>
      <c r="AG231" s="6"/>
      <c r="AH231" s="138">
        <f t="shared" si="148"/>
        <v>0</v>
      </c>
      <c r="AI231" s="160">
        <f t="shared" si="149"/>
        <v>0</v>
      </c>
      <c r="AJ231" s="170">
        <f t="shared" si="160"/>
        <v>0</v>
      </c>
      <c r="AK231" s="6"/>
      <c r="AL231" s="6"/>
      <c r="AM231" s="138">
        <f t="shared" si="150"/>
        <v>0</v>
      </c>
      <c r="AN231" s="160">
        <f t="shared" si="151"/>
        <v>0</v>
      </c>
      <c r="AO231" s="170">
        <f t="shared" si="161"/>
        <v>0</v>
      </c>
      <c r="AP231" s="6"/>
      <c r="AQ231" s="6"/>
      <c r="AR231" s="138">
        <f t="shared" si="152"/>
        <v>0</v>
      </c>
      <c r="AS231" s="160">
        <f t="shared" si="153"/>
        <v>0</v>
      </c>
      <c r="AT231" s="164">
        <f t="shared" si="154"/>
        <v>0</v>
      </c>
      <c r="AU231" s="165">
        <f t="shared" si="155"/>
        <v>0</v>
      </c>
    </row>
    <row r="232" spans="2:47" outlineLevel="1" x14ac:dyDescent="0.35">
      <c r="B232" s="48" t="s">
        <v>106</v>
      </c>
      <c r="C232" s="62" t="s">
        <v>135</v>
      </c>
      <c r="D232" s="70">
        <v>0</v>
      </c>
      <c r="E232" s="71">
        <v>3</v>
      </c>
      <c r="F232" s="70">
        <v>0</v>
      </c>
      <c r="G232" s="138">
        <f t="shared" si="138"/>
        <v>3</v>
      </c>
      <c r="H232" s="167">
        <f t="shared" si="139"/>
        <v>0</v>
      </c>
      <c r="I232" s="70">
        <v>0</v>
      </c>
      <c r="J232" s="138">
        <v>3</v>
      </c>
      <c r="K232" s="167">
        <f t="shared" si="140"/>
        <v>0</v>
      </c>
      <c r="L232" s="70">
        <v>0</v>
      </c>
      <c r="M232" s="138">
        <v>3</v>
      </c>
      <c r="N232" s="167">
        <f t="shared" si="141"/>
        <v>0</v>
      </c>
      <c r="O232" s="70">
        <v>0</v>
      </c>
      <c r="P232" s="138">
        <v>3</v>
      </c>
      <c r="Q232" s="167">
        <f t="shared" si="142"/>
        <v>0</v>
      </c>
      <c r="R232" s="164">
        <f t="shared" si="156"/>
        <v>0</v>
      </c>
      <c r="S232" s="165">
        <f t="shared" si="143"/>
        <v>0</v>
      </c>
      <c r="U232" s="170">
        <f t="shared" si="157"/>
        <v>1</v>
      </c>
      <c r="V232" s="6">
        <v>1</v>
      </c>
      <c r="W232" s="6"/>
      <c r="X232" s="138">
        <f t="shared" si="144"/>
        <v>4</v>
      </c>
      <c r="Y232" s="167">
        <f t="shared" si="145"/>
        <v>0.33333333333333331</v>
      </c>
      <c r="Z232" s="170">
        <f t="shared" si="158"/>
        <v>1</v>
      </c>
      <c r="AA232" s="6"/>
      <c r="AB232" s="6">
        <v>1</v>
      </c>
      <c r="AC232" s="138">
        <f t="shared" si="146"/>
        <v>5</v>
      </c>
      <c r="AD232" s="160">
        <f t="shared" si="147"/>
        <v>0.25</v>
      </c>
      <c r="AE232" s="170">
        <f t="shared" si="159"/>
        <v>0</v>
      </c>
      <c r="AF232" s="6"/>
      <c r="AG232" s="6"/>
      <c r="AH232" s="138">
        <f t="shared" si="148"/>
        <v>5</v>
      </c>
      <c r="AI232" s="160">
        <f t="shared" si="149"/>
        <v>0</v>
      </c>
      <c r="AJ232" s="170">
        <f t="shared" si="160"/>
        <v>0</v>
      </c>
      <c r="AK232" s="6"/>
      <c r="AL232" s="6"/>
      <c r="AM232" s="138">
        <f t="shared" si="150"/>
        <v>5</v>
      </c>
      <c r="AN232" s="160">
        <f t="shared" si="151"/>
        <v>0</v>
      </c>
      <c r="AO232" s="170">
        <f t="shared" si="161"/>
        <v>0</v>
      </c>
      <c r="AP232" s="6"/>
      <c r="AQ232" s="6"/>
      <c r="AR232" s="138">
        <f t="shared" si="152"/>
        <v>5</v>
      </c>
      <c r="AS232" s="160">
        <f t="shared" si="153"/>
        <v>0</v>
      </c>
      <c r="AT232" s="164">
        <f t="shared" si="154"/>
        <v>2</v>
      </c>
      <c r="AU232" s="165">
        <f t="shared" si="155"/>
        <v>5.7371263440564091E-2</v>
      </c>
    </row>
    <row r="233" spans="2:47" outlineLevel="1" x14ac:dyDescent="0.35">
      <c r="B233" s="48" t="s">
        <v>107</v>
      </c>
      <c r="C233" s="62" t="s">
        <v>135</v>
      </c>
      <c r="D233" s="70">
        <v>0</v>
      </c>
      <c r="E233" s="71">
        <v>2</v>
      </c>
      <c r="F233" s="70">
        <v>0</v>
      </c>
      <c r="G233" s="138">
        <f t="shared" si="138"/>
        <v>2</v>
      </c>
      <c r="H233" s="167">
        <f t="shared" si="139"/>
        <v>0</v>
      </c>
      <c r="I233" s="70">
        <v>-1</v>
      </c>
      <c r="J233" s="138">
        <v>1</v>
      </c>
      <c r="K233" s="167">
        <f t="shared" si="140"/>
        <v>-0.5</v>
      </c>
      <c r="L233" s="70">
        <v>0</v>
      </c>
      <c r="M233" s="138">
        <v>1</v>
      </c>
      <c r="N233" s="167">
        <f t="shared" si="141"/>
        <v>0</v>
      </c>
      <c r="O233" s="70">
        <v>0</v>
      </c>
      <c r="P233" s="138">
        <v>1</v>
      </c>
      <c r="Q233" s="167">
        <f t="shared" si="142"/>
        <v>0</v>
      </c>
      <c r="R233" s="164">
        <f t="shared" si="156"/>
        <v>-1</v>
      </c>
      <c r="S233" s="165">
        <f t="shared" si="143"/>
        <v>-0.1591035847462855</v>
      </c>
      <c r="U233" s="170">
        <f t="shared" si="157"/>
        <v>0</v>
      </c>
      <c r="V233" s="6"/>
      <c r="W233" s="6"/>
      <c r="X233" s="138">
        <f t="shared" si="144"/>
        <v>1</v>
      </c>
      <c r="Y233" s="167">
        <f t="shared" si="145"/>
        <v>0</v>
      </c>
      <c r="Z233" s="170">
        <f t="shared" si="158"/>
        <v>0</v>
      </c>
      <c r="AA233" s="6"/>
      <c r="AB233" s="6"/>
      <c r="AC233" s="138">
        <f t="shared" si="146"/>
        <v>1</v>
      </c>
      <c r="AD233" s="160">
        <f t="shared" si="147"/>
        <v>0</v>
      </c>
      <c r="AE233" s="170">
        <f t="shared" si="159"/>
        <v>0</v>
      </c>
      <c r="AF233" s="6"/>
      <c r="AG233" s="6"/>
      <c r="AH233" s="138">
        <f t="shared" si="148"/>
        <v>1</v>
      </c>
      <c r="AI233" s="160">
        <f t="shared" si="149"/>
        <v>0</v>
      </c>
      <c r="AJ233" s="170">
        <f t="shared" si="160"/>
        <v>0</v>
      </c>
      <c r="AK233" s="6"/>
      <c r="AL233" s="6"/>
      <c r="AM233" s="138">
        <f t="shared" si="150"/>
        <v>1</v>
      </c>
      <c r="AN233" s="160">
        <f t="shared" si="151"/>
        <v>0</v>
      </c>
      <c r="AO233" s="170">
        <f t="shared" si="161"/>
        <v>0</v>
      </c>
      <c r="AP233" s="6"/>
      <c r="AQ233" s="6"/>
      <c r="AR233" s="138">
        <f t="shared" si="152"/>
        <v>1</v>
      </c>
      <c r="AS233" s="160">
        <f t="shared" si="153"/>
        <v>0</v>
      </c>
      <c r="AT233" s="164">
        <f t="shared" si="154"/>
        <v>0</v>
      </c>
      <c r="AU233" s="165">
        <f t="shared" si="155"/>
        <v>0</v>
      </c>
    </row>
    <row r="234" spans="2:47" outlineLevel="1" x14ac:dyDescent="0.35">
      <c r="B234" s="48" t="s">
        <v>108</v>
      </c>
      <c r="C234" s="62" t="s">
        <v>135</v>
      </c>
      <c r="D234" s="70">
        <v>0</v>
      </c>
      <c r="E234" s="71">
        <v>0</v>
      </c>
      <c r="F234" s="70">
        <v>0</v>
      </c>
      <c r="G234" s="138">
        <f t="shared" si="138"/>
        <v>0</v>
      </c>
      <c r="H234" s="167">
        <f t="shared" si="139"/>
        <v>0</v>
      </c>
      <c r="I234" s="70">
        <v>0</v>
      </c>
      <c r="J234" s="138">
        <v>0</v>
      </c>
      <c r="K234" s="167">
        <f t="shared" si="140"/>
        <v>0</v>
      </c>
      <c r="L234" s="70">
        <v>0</v>
      </c>
      <c r="M234" s="138"/>
      <c r="N234" s="167">
        <f t="shared" si="141"/>
        <v>0</v>
      </c>
      <c r="O234" s="70">
        <v>0</v>
      </c>
      <c r="P234" s="138"/>
      <c r="Q234" s="167">
        <f t="shared" si="142"/>
        <v>0</v>
      </c>
      <c r="R234" s="164">
        <f t="shared" si="156"/>
        <v>0</v>
      </c>
      <c r="S234" s="165">
        <f t="shared" si="143"/>
        <v>0</v>
      </c>
      <c r="U234" s="170">
        <f t="shared" si="157"/>
        <v>0</v>
      </c>
      <c r="V234" s="6"/>
      <c r="W234" s="6"/>
      <c r="X234" s="138">
        <f t="shared" si="144"/>
        <v>0</v>
      </c>
      <c r="Y234" s="167">
        <f t="shared" si="145"/>
        <v>0</v>
      </c>
      <c r="Z234" s="170">
        <f t="shared" si="158"/>
        <v>0</v>
      </c>
      <c r="AA234" s="6"/>
      <c r="AB234" s="6"/>
      <c r="AC234" s="138">
        <f t="shared" si="146"/>
        <v>0</v>
      </c>
      <c r="AD234" s="160">
        <f t="shared" si="147"/>
        <v>0</v>
      </c>
      <c r="AE234" s="170">
        <f t="shared" si="159"/>
        <v>0</v>
      </c>
      <c r="AF234" s="6"/>
      <c r="AG234" s="6"/>
      <c r="AH234" s="138">
        <f t="shared" si="148"/>
        <v>0</v>
      </c>
      <c r="AI234" s="160">
        <f t="shared" si="149"/>
        <v>0</v>
      </c>
      <c r="AJ234" s="170">
        <f t="shared" si="160"/>
        <v>0</v>
      </c>
      <c r="AK234" s="6"/>
      <c r="AL234" s="6"/>
      <c r="AM234" s="138">
        <f t="shared" si="150"/>
        <v>0</v>
      </c>
      <c r="AN234" s="160">
        <f t="shared" si="151"/>
        <v>0</v>
      </c>
      <c r="AO234" s="170">
        <f t="shared" si="161"/>
        <v>0</v>
      </c>
      <c r="AP234" s="6"/>
      <c r="AQ234" s="6"/>
      <c r="AR234" s="138">
        <f t="shared" si="152"/>
        <v>0</v>
      </c>
      <c r="AS234" s="160">
        <f t="shared" si="153"/>
        <v>0</v>
      </c>
      <c r="AT234" s="164">
        <f t="shared" si="154"/>
        <v>0</v>
      </c>
      <c r="AU234" s="165">
        <f t="shared" si="155"/>
        <v>0</v>
      </c>
    </row>
    <row r="235" spans="2:47" outlineLevel="1" x14ac:dyDescent="0.35">
      <c r="B235" s="48" t="s">
        <v>109</v>
      </c>
      <c r="C235" s="62" t="s">
        <v>135</v>
      </c>
      <c r="D235" s="70">
        <v>0</v>
      </c>
      <c r="E235" s="71">
        <v>0</v>
      </c>
      <c r="F235" s="70">
        <v>0</v>
      </c>
      <c r="G235" s="138">
        <f t="shared" si="138"/>
        <v>0</v>
      </c>
      <c r="H235" s="167">
        <f t="shared" si="139"/>
        <v>0</v>
      </c>
      <c r="I235" s="70">
        <v>0</v>
      </c>
      <c r="J235" s="138">
        <v>0</v>
      </c>
      <c r="K235" s="167">
        <f t="shared" si="140"/>
        <v>0</v>
      </c>
      <c r="L235" s="70">
        <v>0</v>
      </c>
      <c r="M235" s="138"/>
      <c r="N235" s="167">
        <f t="shared" si="141"/>
        <v>0</v>
      </c>
      <c r="O235" s="70">
        <v>0</v>
      </c>
      <c r="P235" s="138"/>
      <c r="Q235" s="167">
        <f t="shared" si="142"/>
        <v>0</v>
      </c>
      <c r="R235" s="164">
        <f t="shared" si="156"/>
        <v>0</v>
      </c>
      <c r="S235" s="165">
        <f t="shared" si="143"/>
        <v>0</v>
      </c>
      <c r="U235" s="170">
        <f t="shared" si="157"/>
        <v>0</v>
      </c>
      <c r="V235" s="6"/>
      <c r="W235" s="6"/>
      <c r="X235" s="138">
        <f t="shared" si="144"/>
        <v>0</v>
      </c>
      <c r="Y235" s="167">
        <f t="shared" si="145"/>
        <v>0</v>
      </c>
      <c r="Z235" s="170">
        <f t="shared" si="158"/>
        <v>0</v>
      </c>
      <c r="AA235" s="6"/>
      <c r="AB235" s="6"/>
      <c r="AC235" s="138">
        <f t="shared" si="146"/>
        <v>0</v>
      </c>
      <c r="AD235" s="160">
        <f t="shared" si="147"/>
        <v>0</v>
      </c>
      <c r="AE235" s="170">
        <f t="shared" si="159"/>
        <v>0</v>
      </c>
      <c r="AF235" s="6"/>
      <c r="AG235" s="6"/>
      <c r="AH235" s="138">
        <f t="shared" si="148"/>
        <v>0</v>
      </c>
      <c r="AI235" s="160">
        <f t="shared" si="149"/>
        <v>0</v>
      </c>
      <c r="AJ235" s="170">
        <f t="shared" si="160"/>
        <v>0</v>
      </c>
      <c r="AK235" s="6"/>
      <c r="AL235" s="6"/>
      <c r="AM235" s="138">
        <f t="shared" si="150"/>
        <v>0</v>
      </c>
      <c r="AN235" s="160">
        <f t="shared" si="151"/>
        <v>0</v>
      </c>
      <c r="AO235" s="170">
        <f t="shared" si="161"/>
        <v>0</v>
      </c>
      <c r="AP235" s="6"/>
      <c r="AQ235" s="6"/>
      <c r="AR235" s="138">
        <f t="shared" si="152"/>
        <v>0</v>
      </c>
      <c r="AS235" s="160">
        <f t="shared" si="153"/>
        <v>0</v>
      </c>
      <c r="AT235" s="164">
        <f t="shared" si="154"/>
        <v>0</v>
      </c>
      <c r="AU235" s="165">
        <f t="shared" si="155"/>
        <v>0</v>
      </c>
    </row>
    <row r="236" spans="2:47" outlineLevel="1" x14ac:dyDescent="0.35">
      <c r="B236" s="48" t="s">
        <v>110</v>
      </c>
      <c r="C236" s="62" t="s">
        <v>135</v>
      </c>
      <c r="D236" s="70">
        <v>0</v>
      </c>
      <c r="E236" s="71">
        <v>0</v>
      </c>
      <c r="F236" s="70">
        <v>0</v>
      </c>
      <c r="G236" s="138">
        <f t="shared" si="138"/>
        <v>0</v>
      </c>
      <c r="H236" s="167">
        <f t="shared" si="139"/>
        <v>0</v>
      </c>
      <c r="I236" s="70">
        <v>0</v>
      </c>
      <c r="J236" s="138">
        <v>0</v>
      </c>
      <c r="K236" s="167">
        <f t="shared" si="140"/>
        <v>0</v>
      </c>
      <c r="L236" s="70">
        <v>0</v>
      </c>
      <c r="M236" s="138"/>
      <c r="N236" s="167">
        <f t="shared" si="141"/>
        <v>0</v>
      </c>
      <c r="O236" s="70">
        <v>0</v>
      </c>
      <c r="P236" s="138"/>
      <c r="Q236" s="167">
        <f t="shared" si="142"/>
        <v>0</v>
      </c>
      <c r="R236" s="164">
        <f t="shared" si="156"/>
        <v>0</v>
      </c>
      <c r="S236" s="165">
        <f t="shared" si="143"/>
        <v>0</v>
      </c>
      <c r="U236" s="170">
        <f t="shared" si="157"/>
        <v>0</v>
      </c>
      <c r="V236" s="6"/>
      <c r="W236" s="6"/>
      <c r="X236" s="138">
        <f t="shared" si="144"/>
        <v>0</v>
      </c>
      <c r="Y236" s="167">
        <f t="shared" si="145"/>
        <v>0</v>
      </c>
      <c r="Z236" s="170">
        <f t="shared" si="158"/>
        <v>0</v>
      </c>
      <c r="AA236" s="6"/>
      <c r="AB236" s="6"/>
      <c r="AC236" s="138">
        <f t="shared" si="146"/>
        <v>0</v>
      </c>
      <c r="AD236" s="160">
        <f t="shared" si="147"/>
        <v>0</v>
      </c>
      <c r="AE236" s="170">
        <f t="shared" si="159"/>
        <v>0</v>
      </c>
      <c r="AF236" s="6"/>
      <c r="AG236" s="6"/>
      <c r="AH236" s="138">
        <f t="shared" si="148"/>
        <v>0</v>
      </c>
      <c r="AI236" s="160">
        <f t="shared" si="149"/>
        <v>0</v>
      </c>
      <c r="AJ236" s="170">
        <f t="shared" si="160"/>
        <v>0</v>
      </c>
      <c r="AK236" s="6"/>
      <c r="AL236" s="6"/>
      <c r="AM236" s="138">
        <f t="shared" si="150"/>
        <v>0</v>
      </c>
      <c r="AN236" s="160">
        <f t="shared" si="151"/>
        <v>0</v>
      </c>
      <c r="AO236" s="170">
        <f t="shared" si="161"/>
        <v>0</v>
      </c>
      <c r="AP236" s="6"/>
      <c r="AQ236" s="6"/>
      <c r="AR236" s="138">
        <f t="shared" si="152"/>
        <v>0</v>
      </c>
      <c r="AS236" s="160">
        <f t="shared" si="153"/>
        <v>0</v>
      </c>
      <c r="AT236" s="164">
        <f t="shared" si="154"/>
        <v>0</v>
      </c>
      <c r="AU236" s="165">
        <f t="shared" si="155"/>
        <v>0</v>
      </c>
    </row>
    <row r="237" spans="2:47" outlineLevel="1" x14ac:dyDescent="0.35">
      <c r="B237" s="48" t="s">
        <v>111</v>
      </c>
      <c r="C237" s="62" t="s">
        <v>135</v>
      </c>
      <c r="D237" s="70">
        <v>0</v>
      </c>
      <c r="E237" s="71">
        <v>1</v>
      </c>
      <c r="F237" s="70">
        <v>0</v>
      </c>
      <c r="G237" s="138">
        <f t="shared" si="138"/>
        <v>1</v>
      </c>
      <c r="H237" s="167">
        <f t="shared" si="139"/>
        <v>0</v>
      </c>
      <c r="I237" s="70">
        <v>0</v>
      </c>
      <c r="J237" s="138">
        <v>1</v>
      </c>
      <c r="K237" s="167">
        <f t="shared" si="140"/>
        <v>0</v>
      </c>
      <c r="L237" s="70">
        <v>0</v>
      </c>
      <c r="M237" s="138">
        <v>1</v>
      </c>
      <c r="N237" s="167">
        <f t="shared" si="141"/>
        <v>0</v>
      </c>
      <c r="O237" s="70">
        <v>0</v>
      </c>
      <c r="P237" s="138">
        <v>1</v>
      </c>
      <c r="Q237" s="167">
        <f t="shared" si="142"/>
        <v>0</v>
      </c>
      <c r="R237" s="164">
        <f t="shared" si="156"/>
        <v>0</v>
      </c>
      <c r="S237" s="165">
        <f t="shared" si="143"/>
        <v>0</v>
      </c>
      <c r="U237" s="170">
        <f t="shared" si="157"/>
        <v>0</v>
      </c>
      <c r="V237" s="6"/>
      <c r="W237" s="6"/>
      <c r="X237" s="138">
        <f t="shared" si="144"/>
        <v>1</v>
      </c>
      <c r="Y237" s="167">
        <f t="shared" si="145"/>
        <v>0</v>
      </c>
      <c r="Z237" s="170">
        <f t="shared" si="158"/>
        <v>0</v>
      </c>
      <c r="AA237" s="6"/>
      <c r="AB237" s="6"/>
      <c r="AC237" s="138">
        <f t="shared" si="146"/>
        <v>1</v>
      </c>
      <c r="AD237" s="160">
        <f t="shared" si="147"/>
        <v>0</v>
      </c>
      <c r="AE237" s="170">
        <f t="shared" si="159"/>
        <v>0</v>
      </c>
      <c r="AF237" s="6"/>
      <c r="AG237" s="6"/>
      <c r="AH237" s="138">
        <f t="shared" si="148"/>
        <v>1</v>
      </c>
      <c r="AI237" s="160">
        <f t="shared" si="149"/>
        <v>0</v>
      </c>
      <c r="AJ237" s="170">
        <f t="shared" si="160"/>
        <v>0</v>
      </c>
      <c r="AK237" s="6"/>
      <c r="AL237" s="6"/>
      <c r="AM237" s="138">
        <f t="shared" si="150"/>
        <v>1</v>
      </c>
      <c r="AN237" s="160">
        <f t="shared" si="151"/>
        <v>0</v>
      </c>
      <c r="AO237" s="170">
        <f t="shared" si="161"/>
        <v>0</v>
      </c>
      <c r="AP237" s="6"/>
      <c r="AQ237" s="6"/>
      <c r="AR237" s="138">
        <f t="shared" si="152"/>
        <v>1</v>
      </c>
      <c r="AS237" s="160">
        <f t="shared" si="153"/>
        <v>0</v>
      </c>
      <c r="AT237" s="164">
        <f t="shared" si="154"/>
        <v>0</v>
      </c>
      <c r="AU237" s="165">
        <f t="shared" si="155"/>
        <v>0</v>
      </c>
    </row>
    <row r="238" spans="2:47" outlineLevel="1" x14ac:dyDescent="0.35">
      <c r="B238" s="48" t="s">
        <v>112</v>
      </c>
      <c r="C238" s="62" t="s">
        <v>135</v>
      </c>
      <c r="D238" s="70">
        <v>0</v>
      </c>
      <c r="E238" s="71">
        <v>5</v>
      </c>
      <c r="F238" s="70">
        <v>0</v>
      </c>
      <c r="G238" s="138">
        <f t="shared" si="138"/>
        <v>5</v>
      </c>
      <c r="H238" s="167">
        <f t="shared" si="139"/>
        <v>0</v>
      </c>
      <c r="I238" s="70">
        <v>0</v>
      </c>
      <c r="J238" s="138">
        <v>5</v>
      </c>
      <c r="K238" s="167">
        <f t="shared" si="140"/>
        <v>0</v>
      </c>
      <c r="L238" s="70">
        <v>-1</v>
      </c>
      <c r="M238" s="138">
        <v>4</v>
      </c>
      <c r="N238" s="167">
        <f t="shared" si="141"/>
        <v>-0.2</v>
      </c>
      <c r="O238" s="70">
        <v>0</v>
      </c>
      <c r="P238" s="138">
        <v>4</v>
      </c>
      <c r="Q238" s="167">
        <f t="shared" si="142"/>
        <v>0</v>
      </c>
      <c r="R238" s="164">
        <f t="shared" si="156"/>
        <v>-1</v>
      </c>
      <c r="S238" s="165">
        <f t="shared" si="143"/>
        <v>-5.4258390996824168E-2</v>
      </c>
      <c r="U238" s="170">
        <f t="shared" si="157"/>
        <v>0</v>
      </c>
      <c r="V238" s="6"/>
      <c r="W238" s="6"/>
      <c r="X238" s="138">
        <f t="shared" si="144"/>
        <v>4</v>
      </c>
      <c r="Y238" s="167">
        <f t="shared" si="145"/>
        <v>0</v>
      </c>
      <c r="Z238" s="170">
        <f t="shared" si="158"/>
        <v>0</v>
      </c>
      <c r="AA238" s="6"/>
      <c r="AB238" s="6"/>
      <c r="AC238" s="138">
        <f t="shared" si="146"/>
        <v>4</v>
      </c>
      <c r="AD238" s="160">
        <f t="shared" si="147"/>
        <v>0</v>
      </c>
      <c r="AE238" s="170">
        <f t="shared" si="159"/>
        <v>0</v>
      </c>
      <c r="AF238" s="6"/>
      <c r="AG238" s="6"/>
      <c r="AH238" s="138">
        <f t="shared" si="148"/>
        <v>4</v>
      </c>
      <c r="AI238" s="160">
        <f t="shared" si="149"/>
        <v>0</v>
      </c>
      <c r="AJ238" s="170">
        <f t="shared" si="160"/>
        <v>0</v>
      </c>
      <c r="AK238" s="6"/>
      <c r="AL238" s="6"/>
      <c r="AM238" s="138">
        <f t="shared" si="150"/>
        <v>4</v>
      </c>
      <c r="AN238" s="160">
        <f t="shared" si="151"/>
        <v>0</v>
      </c>
      <c r="AO238" s="170">
        <f t="shared" si="161"/>
        <v>0</v>
      </c>
      <c r="AP238" s="6"/>
      <c r="AQ238" s="6"/>
      <c r="AR238" s="138">
        <f t="shared" si="152"/>
        <v>4</v>
      </c>
      <c r="AS238" s="160">
        <f t="shared" si="153"/>
        <v>0</v>
      </c>
      <c r="AT238" s="164">
        <f t="shared" si="154"/>
        <v>0</v>
      </c>
      <c r="AU238" s="165">
        <f t="shared" si="155"/>
        <v>0</v>
      </c>
    </row>
    <row r="239" spans="2:47" outlineLevel="1" x14ac:dyDescent="0.35">
      <c r="B239" s="48" t="s">
        <v>113</v>
      </c>
      <c r="C239" s="62" t="s">
        <v>135</v>
      </c>
      <c r="D239" s="70">
        <v>0</v>
      </c>
      <c r="E239" s="71">
        <v>0</v>
      </c>
      <c r="F239" s="70">
        <v>0</v>
      </c>
      <c r="G239" s="138">
        <f t="shared" si="138"/>
        <v>0</v>
      </c>
      <c r="H239" s="167">
        <f t="shared" si="139"/>
        <v>0</v>
      </c>
      <c r="I239" s="70">
        <v>0</v>
      </c>
      <c r="J239" s="138">
        <v>0</v>
      </c>
      <c r="K239" s="167">
        <f t="shared" si="140"/>
        <v>0</v>
      </c>
      <c r="L239" s="70">
        <v>0</v>
      </c>
      <c r="M239" s="138"/>
      <c r="N239" s="167">
        <f t="shared" si="141"/>
        <v>0</v>
      </c>
      <c r="O239" s="70">
        <v>1</v>
      </c>
      <c r="P239" s="138">
        <v>1</v>
      </c>
      <c r="Q239" s="167">
        <f t="shared" si="142"/>
        <v>0</v>
      </c>
      <c r="R239" s="164">
        <f t="shared" si="156"/>
        <v>1</v>
      </c>
      <c r="S239" s="165">
        <f t="shared" si="143"/>
        <v>0</v>
      </c>
      <c r="U239" s="170">
        <f t="shared" si="157"/>
        <v>0</v>
      </c>
      <c r="V239" s="6"/>
      <c r="W239" s="6"/>
      <c r="X239" s="138">
        <f t="shared" si="144"/>
        <v>1</v>
      </c>
      <c r="Y239" s="167">
        <f t="shared" si="145"/>
        <v>0</v>
      </c>
      <c r="Z239" s="170">
        <f t="shared" si="158"/>
        <v>0</v>
      </c>
      <c r="AA239" s="6"/>
      <c r="AB239" s="6"/>
      <c r="AC239" s="138">
        <f t="shared" si="146"/>
        <v>1</v>
      </c>
      <c r="AD239" s="160">
        <f t="shared" si="147"/>
        <v>0</v>
      </c>
      <c r="AE239" s="170">
        <f t="shared" si="159"/>
        <v>0</v>
      </c>
      <c r="AF239" s="6"/>
      <c r="AG239" s="6"/>
      <c r="AH239" s="138">
        <f t="shared" si="148"/>
        <v>1</v>
      </c>
      <c r="AI239" s="160">
        <f t="shared" si="149"/>
        <v>0</v>
      </c>
      <c r="AJ239" s="170">
        <f t="shared" si="160"/>
        <v>0</v>
      </c>
      <c r="AK239" s="6"/>
      <c r="AL239" s="6"/>
      <c r="AM239" s="138">
        <f t="shared" si="150"/>
        <v>1</v>
      </c>
      <c r="AN239" s="160">
        <f t="shared" si="151"/>
        <v>0</v>
      </c>
      <c r="AO239" s="170">
        <f t="shared" si="161"/>
        <v>0</v>
      </c>
      <c r="AP239" s="6"/>
      <c r="AQ239" s="6"/>
      <c r="AR239" s="138">
        <f t="shared" si="152"/>
        <v>1</v>
      </c>
      <c r="AS239" s="160">
        <f t="shared" si="153"/>
        <v>0</v>
      </c>
      <c r="AT239" s="164">
        <f t="shared" si="154"/>
        <v>0</v>
      </c>
      <c r="AU239" s="165">
        <f t="shared" si="155"/>
        <v>0</v>
      </c>
    </row>
    <row r="240" spans="2:47" outlineLevel="1" x14ac:dyDescent="0.35">
      <c r="B240" s="48" t="s">
        <v>114</v>
      </c>
      <c r="C240" s="62" t="s">
        <v>135</v>
      </c>
      <c r="D240" s="70">
        <v>0</v>
      </c>
      <c r="E240" s="71">
        <v>0</v>
      </c>
      <c r="F240" s="70">
        <v>0</v>
      </c>
      <c r="G240" s="138">
        <f t="shared" si="138"/>
        <v>0</v>
      </c>
      <c r="H240" s="167">
        <f t="shared" si="139"/>
        <v>0</v>
      </c>
      <c r="I240" s="70">
        <v>0</v>
      </c>
      <c r="J240" s="138">
        <v>0</v>
      </c>
      <c r="K240" s="167">
        <f t="shared" si="140"/>
        <v>0</v>
      </c>
      <c r="L240" s="70">
        <v>0</v>
      </c>
      <c r="M240" s="138"/>
      <c r="N240" s="167">
        <f t="shared" si="141"/>
        <v>0</v>
      </c>
      <c r="O240" s="70">
        <v>0</v>
      </c>
      <c r="P240" s="138"/>
      <c r="Q240" s="167">
        <f t="shared" si="142"/>
        <v>0</v>
      </c>
      <c r="R240" s="164">
        <f t="shared" si="156"/>
        <v>0</v>
      </c>
      <c r="S240" s="165">
        <f t="shared" si="143"/>
        <v>0</v>
      </c>
      <c r="U240" s="170">
        <f t="shared" si="157"/>
        <v>0</v>
      </c>
      <c r="V240" s="6"/>
      <c r="W240" s="6"/>
      <c r="X240" s="138">
        <f t="shared" si="144"/>
        <v>0</v>
      </c>
      <c r="Y240" s="167">
        <f t="shared" si="145"/>
        <v>0</v>
      </c>
      <c r="Z240" s="170">
        <f t="shared" si="158"/>
        <v>0</v>
      </c>
      <c r="AA240" s="6"/>
      <c r="AB240" s="6"/>
      <c r="AC240" s="138">
        <f t="shared" si="146"/>
        <v>0</v>
      </c>
      <c r="AD240" s="160">
        <f t="shared" si="147"/>
        <v>0</v>
      </c>
      <c r="AE240" s="170">
        <f t="shared" si="159"/>
        <v>0</v>
      </c>
      <c r="AF240" s="6"/>
      <c r="AG240" s="6"/>
      <c r="AH240" s="138">
        <f t="shared" si="148"/>
        <v>0</v>
      </c>
      <c r="AI240" s="160">
        <f t="shared" si="149"/>
        <v>0</v>
      </c>
      <c r="AJ240" s="170">
        <f t="shared" si="160"/>
        <v>0</v>
      </c>
      <c r="AK240" s="6"/>
      <c r="AL240" s="6"/>
      <c r="AM240" s="138">
        <f t="shared" si="150"/>
        <v>0</v>
      </c>
      <c r="AN240" s="160">
        <f t="shared" si="151"/>
        <v>0</v>
      </c>
      <c r="AO240" s="170">
        <f t="shared" si="161"/>
        <v>0</v>
      </c>
      <c r="AP240" s="6"/>
      <c r="AQ240" s="6"/>
      <c r="AR240" s="138">
        <f t="shared" si="152"/>
        <v>0</v>
      </c>
      <c r="AS240" s="160">
        <f t="shared" si="153"/>
        <v>0</v>
      </c>
      <c r="AT240" s="164">
        <f t="shared" si="154"/>
        <v>0</v>
      </c>
      <c r="AU240" s="165">
        <f t="shared" si="155"/>
        <v>0</v>
      </c>
    </row>
    <row r="241" spans="2:47" outlineLevel="1" x14ac:dyDescent="0.35">
      <c r="B241" s="48" t="s">
        <v>115</v>
      </c>
      <c r="C241" s="62" t="s">
        <v>135</v>
      </c>
      <c r="D241" s="70">
        <v>0</v>
      </c>
      <c r="E241" s="71">
        <v>0</v>
      </c>
      <c r="F241" s="70">
        <v>0</v>
      </c>
      <c r="G241" s="138">
        <f t="shared" si="138"/>
        <v>0</v>
      </c>
      <c r="H241" s="167">
        <f t="shared" si="139"/>
        <v>0</v>
      </c>
      <c r="I241" s="70">
        <v>0</v>
      </c>
      <c r="J241" s="138">
        <v>0</v>
      </c>
      <c r="K241" s="167">
        <f t="shared" si="140"/>
        <v>0</v>
      </c>
      <c r="L241" s="70">
        <v>0</v>
      </c>
      <c r="M241" s="138"/>
      <c r="N241" s="167">
        <f t="shared" si="141"/>
        <v>0</v>
      </c>
      <c r="O241" s="70">
        <v>0</v>
      </c>
      <c r="P241" s="138"/>
      <c r="Q241" s="167">
        <f t="shared" si="142"/>
        <v>0</v>
      </c>
      <c r="R241" s="164">
        <f t="shared" si="156"/>
        <v>0</v>
      </c>
      <c r="S241" s="165">
        <f t="shared" si="143"/>
        <v>0</v>
      </c>
      <c r="U241" s="170">
        <f t="shared" si="157"/>
        <v>1</v>
      </c>
      <c r="V241" s="6">
        <v>1</v>
      </c>
      <c r="W241" s="6"/>
      <c r="X241" s="138">
        <f t="shared" si="144"/>
        <v>1</v>
      </c>
      <c r="Y241" s="167">
        <f t="shared" si="145"/>
        <v>0</v>
      </c>
      <c r="Z241" s="170">
        <f t="shared" si="158"/>
        <v>0</v>
      </c>
      <c r="AA241" s="6"/>
      <c r="AB241" s="6"/>
      <c r="AC241" s="138">
        <f t="shared" si="146"/>
        <v>1</v>
      </c>
      <c r="AD241" s="160">
        <f t="shared" si="147"/>
        <v>0</v>
      </c>
      <c r="AE241" s="170">
        <f t="shared" si="159"/>
        <v>0</v>
      </c>
      <c r="AF241" s="6"/>
      <c r="AG241" s="6"/>
      <c r="AH241" s="138">
        <f t="shared" si="148"/>
        <v>1</v>
      </c>
      <c r="AI241" s="160">
        <f t="shared" si="149"/>
        <v>0</v>
      </c>
      <c r="AJ241" s="170">
        <f t="shared" si="160"/>
        <v>0</v>
      </c>
      <c r="AK241" s="6"/>
      <c r="AL241" s="6"/>
      <c r="AM241" s="138">
        <f t="shared" si="150"/>
        <v>1</v>
      </c>
      <c r="AN241" s="160">
        <f t="shared" si="151"/>
        <v>0</v>
      </c>
      <c r="AO241" s="170">
        <f t="shared" si="161"/>
        <v>0</v>
      </c>
      <c r="AP241" s="6"/>
      <c r="AQ241" s="6"/>
      <c r="AR241" s="138">
        <f t="shared" si="152"/>
        <v>1</v>
      </c>
      <c r="AS241" s="160">
        <f t="shared" si="153"/>
        <v>0</v>
      </c>
      <c r="AT241" s="164">
        <f t="shared" si="154"/>
        <v>1</v>
      </c>
      <c r="AU241" s="165">
        <f t="shared" si="155"/>
        <v>0</v>
      </c>
    </row>
    <row r="242" spans="2:47" outlineLevel="1" x14ac:dyDescent="0.35">
      <c r="B242" s="48" t="s">
        <v>116</v>
      </c>
      <c r="C242" s="62" t="s">
        <v>135</v>
      </c>
      <c r="D242" s="70">
        <v>0</v>
      </c>
      <c r="E242" s="71">
        <v>0</v>
      </c>
      <c r="F242" s="70">
        <v>0</v>
      </c>
      <c r="G242" s="138">
        <f t="shared" si="138"/>
        <v>0</v>
      </c>
      <c r="H242" s="167">
        <f t="shared" si="139"/>
        <v>0</v>
      </c>
      <c r="I242" s="70">
        <v>0</v>
      </c>
      <c r="J242" s="138">
        <v>0</v>
      </c>
      <c r="K242" s="167">
        <f t="shared" si="140"/>
        <v>0</v>
      </c>
      <c r="L242" s="70">
        <v>0</v>
      </c>
      <c r="M242" s="138"/>
      <c r="N242" s="167">
        <f t="shared" si="141"/>
        <v>0</v>
      </c>
      <c r="O242" s="70">
        <v>0</v>
      </c>
      <c r="P242" s="138"/>
      <c r="Q242" s="167">
        <f t="shared" si="142"/>
        <v>0</v>
      </c>
      <c r="R242" s="164">
        <f t="shared" si="156"/>
        <v>0</v>
      </c>
      <c r="S242" s="165">
        <f t="shared" si="143"/>
        <v>0</v>
      </c>
      <c r="U242" s="170">
        <f t="shared" si="157"/>
        <v>0</v>
      </c>
      <c r="V242" s="6"/>
      <c r="W242" s="6"/>
      <c r="X242" s="138">
        <f t="shared" si="144"/>
        <v>0</v>
      </c>
      <c r="Y242" s="167">
        <f t="shared" si="145"/>
        <v>0</v>
      </c>
      <c r="Z242" s="170">
        <f t="shared" si="158"/>
        <v>0</v>
      </c>
      <c r="AA242" s="6"/>
      <c r="AB242" s="6"/>
      <c r="AC242" s="138">
        <f t="shared" si="146"/>
        <v>0</v>
      </c>
      <c r="AD242" s="160">
        <f t="shared" si="147"/>
        <v>0</v>
      </c>
      <c r="AE242" s="170">
        <f t="shared" si="159"/>
        <v>0</v>
      </c>
      <c r="AF242" s="6"/>
      <c r="AG242" s="6"/>
      <c r="AH242" s="138">
        <f t="shared" si="148"/>
        <v>0</v>
      </c>
      <c r="AI242" s="160">
        <f t="shared" si="149"/>
        <v>0</v>
      </c>
      <c r="AJ242" s="170">
        <f t="shared" si="160"/>
        <v>0</v>
      </c>
      <c r="AK242" s="6"/>
      <c r="AL242" s="6"/>
      <c r="AM242" s="138">
        <f t="shared" si="150"/>
        <v>0</v>
      </c>
      <c r="AN242" s="160">
        <f t="shared" si="151"/>
        <v>0</v>
      </c>
      <c r="AO242" s="170">
        <f t="shared" si="161"/>
        <v>0</v>
      </c>
      <c r="AP242" s="6"/>
      <c r="AQ242" s="6"/>
      <c r="AR242" s="138">
        <f t="shared" si="152"/>
        <v>0</v>
      </c>
      <c r="AS242" s="160">
        <f t="shared" si="153"/>
        <v>0</v>
      </c>
      <c r="AT242" s="164">
        <f t="shared" si="154"/>
        <v>0</v>
      </c>
      <c r="AU242" s="165">
        <f t="shared" si="155"/>
        <v>0</v>
      </c>
    </row>
    <row r="243" spans="2:47" outlineLevel="1" x14ac:dyDescent="0.35">
      <c r="B243" s="48" t="s">
        <v>117</v>
      </c>
      <c r="C243" s="62" t="s">
        <v>135</v>
      </c>
      <c r="D243" s="70">
        <v>0</v>
      </c>
      <c r="E243" s="71">
        <v>3</v>
      </c>
      <c r="F243" s="70">
        <v>0</v>
      </c>
      <c r="G243" s="138">
        <f t="shared" si="138"/>
        <v>3</v>
      </c>
      <c r="H243" s="167">
        <f t="shared" si="139"/>
        <v>0</v>
      </c>
      <c r="I243" s="70">
        <v>0</v>
      </c>
      <c r="J243" s="138">
        <v>3</v>
      </c>
      <c r="K243" s="167">
        <f t="shared" si="140"/>
        <v>0</v>
      </c>
      <c r="L243" s="70">
        <v>0</v>
      </c>
      <c r="M243" s="138">
        <v>3</v>
      </c>
      <c r="N243" s="167">
        <f t="shared" si="141"/>
        <v>0</v>
      </c>
      <c r="O243" s="70">
        <v>0</v>
      </c>
      <c r="P243" s="138">
        <v>3</v>
      </c>
      <c r="Q243" s="167">
        <f t="shared" si="142"/>
        <v>0</v>
      </c>
      <c r="R243" s="164">
        <f t="shared" si="156"/>
        <v>0</v>
      </c>
      <c r="S243" s="165">
        <f t="shared" si="143"/>
        <v>0</v>
      </c>
      <c r="U243" s="170">
        <f t="shared" si="157"/>
        <v>0</v>
      </c>
      <c r="V243" s="6"/>
      <c r="W243" s="6"/>
      <c r="X243" s="138">
        <f t="shared" si="144"/>
        <v>3</v>
      </c>
      <c r="Y243" s="167">
        <f t="shared" si="145"/>
        <v>0</v>
      </c>
      <c r="Z243" s="170">
        <f t="shared" si="158"/>
        <v>0</v>
      </c>
      <c r="AA243" s="6"/>
      <c r="AB243" s="6"/>
      <c r="AC243" s="138">
        <f t="shared" si="146"/>
        <v>3</v>
      </c>
      <c r="AD243" s="160">
        <f t="shared" si="147"/>
        <v>0</v>
      </c>
      <c r="AE243" s="170">
        <f t="shared" si="159"/>
        <v>0</v>
      </c>
      <c r="AF243" s="6"/>
      <c r="AG243" s="6"/>
      <c r="AH243" s="138">
        <f t="shared" si="148"/>
        <v>3</v>
      </c>
      <c r="AI243" s="160">
        <f t="shared" si="149"/>
        <v>0</v>
      </c>
      <c r="AJ243" s="170">
        <f t="shared" si="160"/>
        <v>0</v>
      </c>
      <c r="AK243" s="6"/>
      <c r="AL243" s="6"/>
      <c r="AM243" s="138">
        <f t="shared" si="150"/>
        <v>3</v>
      </c>
      <c r="AN243" s="160">
        <f t="shared" si="151"/>
        <v>0</v>
      </c>
      <c r="AO243" s="170">
        <f t="shared" si="161"/>
        <v>0</v>
      </c>
      <c r="AP243" s="6"/>
      <c r="AQ243" s="6"/>
      <c r="AR243" s="138">
        <f t="shared" si="152"/>
        <v>3</v>
      </c>
      <c r="AS243" s="160">
        <f t="shared" si="153"/>
        <v>0</v>
      </c>
      <c r="AT243" s="164">
        <f t="shared" si="154"/>
        <v>0</v>
      </c>
      <c r="AU243" s="165">
        <f t="shared" si="155"/>
        <v>0</v>
      </c>
    </row>
    <row r="244" spans="2:47" outlineLevel="1" x14ac:dyDescent="0.35">
      <c r="B244" s="48" t="s">
        <v>118</v>
      </c>
      <c r="C244" s="62" t="s">
        <v>135</v>
      </c>
      <c r="D244" s="70">
        <v>0</v>
      </c>
      <c r="E244" s="71">
        <v>0</v>
      </c>
      <c r="F244" s="70">
        <v>0</v>
      </c>
      <c r="G244" s="138">
        <f t="shared" si="138"/>
        <v>0</v>
      </c>
      <c r="H244" s="167">
        <f t="shared" si="139"/>
        <v>0</v>
      </c>
      <c r="I244" s="70">
        <v>0</v>
      </c>
      <c r="J244" s="138">
        <v>0</v>
      </c>
      <c r="K244" s="167">
        <f t="shared" si="140"/>
        <v>0</v>
      </c>
      <c r="L244" s="70">
        <v>0</v>
      </c>
      <c r="M244" s="138"/>
      <c r="N244" s="167">
        <f t="shared" si="141"/>
        <v>0</v>
      </c>
      <c r="O244" s="70">
        <v>0</v>
      </c>
      <c r="P244" s="138"/>
      <c r="Q244" s="167">
        <f t="shared" si="142"/>
        <v>0</v>
      </c>
      <c r="R244" s="164">
        <f t="shared" si="156"/>
        <v>0</v>
      </c>
      <c r="S244" s="165">
        <f t="shared" si="143"/>
        <v>0</v>
      </c>
      <c r="U244" s="170">
        <f t="shared" si="157"/>
        <v>0</v>
      </c>
      <c r="V244" s="6"/>
      <c r="W244" s="6"/>
      <c r="X244" s="138">
        <f t="shared" si="144"/>
        <v>0</v>
      </c>
      <c r="Y244" s="167">
        <f t="shared" si="145"/>
        <v>0</v>
      </c>
      <c r="Z244" s="170">
        <f t="shared" si="158"/>
        <v>0</v>
      </c>
      <c r="AA244" s="6"/>
      <c r="AB244" s="6"/>
      <c r="AC244" s="138">
        <f t="shared" si="146"/>
        <v>0</v>
      </c>
      <c r="AD244" s="160">
        <f t="shared" si="147"/>
        <v>0</v>
      </c>
      <c r="AE244" s="170">
        <f t="shared" si="159"/>
        <v>0</v>
      </c>
      <c r="AF244" s="6"/>
      <c r="AG244" s="6"/>
      <c r="AH244" s="138">
        <f t="shared" si="148"/>
        <v>0</v>
      </c>
      <c r="AI244" s="160">
        <f t="shared" si="149"/>
        <v>0</v>
      </c>
      <c r="AJ244" s="170">
        <f t="shared" si="160"/>
        <v>0</v>
      </c>
      <c r="AK244" s="6"/>
      <c r="AL244" s="6"/>
      <c r="AM244" s="138">
        <f t="shared" si="150"/>
        <v>0</v>
      </c>
      <c r="AN244" s="160">
        <f t="shared" si="151"/>
        <v>0</v>
      </c>
      <c r="AO244" s="170">
        <f t="shared" si="161"/>
        <v>0</v>
      </c>
      <c r="AP244" s="6"/>
      <c r="AQ244" s="6"/>
      <c r="AR244" s="138">
        <f t="shared" si="152"/>
        <v>0</v>
      </c>
      <c r="AS244" s="160">
        <f t="shared" si="153"/>
        <v>0</v>
      </c>
      <c r="AT244" s="164">
        <f t="shared" si="154"/>
        <v>0</v>
      </c>
      <c r="AU244" s="165">
        <f t="shared" si="155"/>
        <v>0</v>
      </c>
    </row>
    <row r="245" spans="2:47" outlineLevel="1" x14ac:dyDescent="0.35">
      <c r="B245" s="48" t="s">
        <v>119</v>
      </c>
      <c r="C245" s="62" t="s">
        <v>135</v>
      </c>
      <c r="D245" s="70">
        <v>0</v>
      </c>
      <c r="E245" s="71">
        <v>0</v>
      </c>
      <c r="F245" s="70">
        <v>0</v>
      </c>
      <c r="G245" s="138">
        <f t="shared" si="138"/>
        <v>0</v>
      </c>
      <c r="H245" s="167">
        <f t="shared" si="139"/>
        <v>0</v>
      </c>
      <c r="I245" s="70">
        <v>1</v>
      </c>
      <c r="J245" s="138">
        <v>1</v>
      </c>
      <c r="K245" s="167">
        <f t="shared" si="140"/>
        <v>0</v>
      </c>
      <c r="L245" s="70">
        <v>0</v>
      </c>
      <c r="M245" s="138">
        <v>1</v>
      </c>
      <c r="N245" s="167">
        <f t="shared" si="141"/>
        <v>0</v>
      </c>
      <c r="O245" s="70">
        <v>-1</v>
      </c>
      <c r="P245" s="138"/>
      <c r="Q245" s="167">
        <f t="shared" si="142"/>
        <v>-1</v>
      </c>
      <c r="R245" s="164">
        <f t="shared" si="156"/>
        <v>0</v>
      </c>
      <c r="S245" s="165">
        <f t="shared" si="143"/>
        <v>0</v>
      </c>
      <c r="U245" s="170">
        <f t="shared" si="157"/>
        <v>1</v>
      </c>
      <c r="V245" s="6">
        <v>1</v>
      </c>
      <c r="W245" s="6"/>
      <c r="X245" s="138">
        <f t="shared" si="144"/>
        <v>1</v>
      </c>
      <c r="Y245" s="167">
        <f t="shared" si="145"/>
        <v>0</v>
      </c>
      <c r="Z245" s="170">
        <f t="shared" si="158"/>
        <v>0</v>
      </c>
      <c r="AA245" s="6"/>
      <c r="AB245" s="6"/>
      <c r="AC245" s="138">
        <f t="shared" si="146"/>
        <v>1</v>
      </c>
      <c r="AD245" s="160">
        <f t="shared" si="147"/>
        <v>0</v>
      </c>
      <c r="AE245" s="170">
        <f t="shared" si="159"/>
        <v>0</v>
      </c>
      <c r="AF245" s="6"/>
      <c r="AG245" s="6"/>
      <c r="AH245" s="138">
        <f t="shared" si="148"/>
        <v>1</v>
      </c>
      <c r="AI245" s="160">
        <f t="shared" si="149"/>
        <v>0</v>
      </c>
      <c r="AJ245" s="170">
        <f t="shared" si="160"/>
        <v>0</v>
      </c>
      <c r="AK245" s="6"/>
      <c r="AL245" s="6"/>
      <c r="AM245" s="138">
        <f t="shared" si="150"/>
        <v>1</v>
      </c>
      <c r="AN245" s="160">
        <f t="shared" si="151"/>
        <v>0</v>
      </c>
      <c r="AO245" s="170">
        <f t="shared" si="161"/>
        <v>0</v>
      </c>
      <c r="AP245" s="6"/>
      <c r="AQ245" s="6"/>
      <c r="AR245" s="138">
        <f t="shared" si="152"/>
        <v>1</v>
      </c>
      <c r="AS245" s="160">
        <f t="shared" si="153"/>
        <v>0</v>
      </c>
      <c r="AT245" s="164">
        <f t="shared" si="154"/>
        <v>1</v>
      </c>
      <c r="AU245" s="165">
        <f t="shared" si="155"/>
        <v>0</v>
      </c>
    </row>
    <row r="246" spans="2:47" outlineLevel="1" x14ac:dyDescent="0.35">
      <c r="B246" s="48" t="s">
        <v>120</v>
      </c>
      <c r="C246" s="62" t="s">
        <v>135</v>
      </c>
      <c r="D246" s="70">
        <v>-1</v>
      </c>
      <c r="E246" s="71">
        <v>5</v>
      </c>
      <c r="F246" s="70">
        <v>0</v>
      </c>
      <c r="G246" s="138">
        <f t="shared" si="138"/>
        <v>5</v>
      </c>
      <c r="H246" s="167">
        <f t="shared" si="139"/>
        <v>0</v>
      </c>
      <c r="I246" s="70">
        <v>0</v>
      </c>
      <c r="J246" s="138">
        <v>5</v>
      </c>
      <c r="K246" s="167">
        <f t="shared" si="140"/>
        <v>0</v>
      </c>
      <c r="L246" s="70">
        <v>0</v>
      </c>
      <c r="M246" s="138">
        <v>5</v>
      </c>
      <c r="N246" s="167">
        <f t="shared" si="141"/>
        <v>0</v>
      </c>
      <c r="O246" s="70">
        <v>-1</v>
      </c>
      <c r="P246" s="138">
        <v>4</v>
      </c>
      <c r="Q246" s="167">
        <f t="shared" si="142"/>
        <v>-0.2</v>
      </c>
      <c r="R246" s="164">
        <f t="shared" si="156"/>
        <v>-2</v>
      </c>
      <c r="S246" s="165">
        <f t="shared" si="143"/>
        <v>-5.4258390996824168E-2</v>
      </c>
      <c r="U246" s="170">
        <f t="shared" si="157"/>
        <v>0</v>
      </c>
      <c r="V246" s="6"/>
      <c r="W246" s="6"/>
      <c r="X246" s="138">
        <f t="shared" si="144"/>
        <v>4</v>
      </c>
      <c r="Y246" s="167">
        <f t="shared" si="145"/>
        <v>0</v>
      </c>
      <c r="Z246" s="170">
        <f t="shared" si="158"/>
        <v>0</v>
      </c>
      <c r="AA246" s="6"/>
      <c r="AB246" s="6"/>
      <c r="AC246" s="138">
        <f t="shared" si="146"/>
        <v>4</v>
      </c>
      <c r="AD246" s="160">
        <f t="shared" si="147"/>
        <v>0</v>
      </c>
      <c r="AE246" s="170">
        <f t="shared" si="159"/>
        <v>0</v>
      </c>
      <c r="AF246" s="6"/>
      <c r="AG246" s="6"/>
      <c r="AH246" s="138">
        <f t="shared" si="148"/>
        <v>4</v>
      </c>
      <c r="AI246" s="160">
        <f t="shared" si="149"/>
        <v>0</v>
      </c>
      <c r="AJ246" s="170">
        <f t="shared" si="160"/>
        <v>0</v>
      </c>
      <c r="AK246" s="6"/>
      <c r="AL246" s="6"/>
      <c r="AM246" s="138">
        <f t="shared" si="150"/>
        <v>4</v>
      </c>
      <c r="AN246" s="160">
        <f t="shared" si="151"/>
        <v>0</v>
      </c>
      <c r="AO246" s="170">
        <f t="shared" si="161"/>
        <v>0</v>
      </c>
      <c r="AP246" s="6"/>
      <c r="AQ246" s="6"/>
      <c r="AR246" s="138">
        <f t="shared" si="152"/>
        <v>4</v>
      </c>
      <c r="AS246" s="160">
        <f t="shared" si="153"/>
        <v>0</v>
      </c>
      <c r="AT246" s="164">
        <f t="shared" si="154"/>
        <v>0</v>
      </c>
      <c r="AU246" s="165">
        <f t="shared" si="155"/>
        <v>0</v>
      </c>
    </row>
    <row r="247" spans="2:47" outlineLevel="1" x14ac:dyDescent="0.35">
      <c r="B247" s="48" t="s">
        <v>121</v>
      </c>
      <c r="C247" s="62" t="s">
        <v>135</v>
      </c>
      <c r="D247" s="70">
        <v>0</v>
      </c>
      <c r="E247" s="71">
        <v>0</v>
      </c>
      <c r="F247" s="70">
        <v>0</v>
      </c>
      <c r="G247" s="138">
        <f t="shared" si="138"/>
        <v>0</v>
      </c>
      <c r="H247" s="167">
        <f t="shared" si="139"/>
        <v>0</v>
      </c>
      <c r="I247" s="70">
        <v>0</v>
      </c>
      <c r="J247" s="138">
        <v>0</v>
      </c>
      <c r="K247" s="167">
        <f t="shared" si="140"/>
        <v>0</v>
      </c>
      <c r="L247" s="70">
        <v>0</v>
      </c>
      <c r="M247" s="138"/>
      <c r="N247" s="167">
        <f t="shared" si="141"/>
        <v>0</v>
      </c>
      <c r="O247" s="70">
        <v>0</v>
      </c>
      <c r="P247" s="138"/>
      <c r="Q247" s="167">
        <f t="shared" si="142"/>
        <v>0</v>
      </c>
      <c r="R247" s="164">
        <f t="shared" si="156"/>
        <v>0</v>
      </c>
      <c r="S247" s="165">
        <f t="shared" si="143"/>
        <v>0</v>
      </c>
      <c r="U247" s="170">
        <f t="shared" si="157"/>
        <v>0</v>
      </c>
      <c r="V247" s="6"/>
      <c r="W247" s="6"/>
      <c r="X247" s="138">
        <f t="shared" si="144"/>
        <v>0</v>
      </c>
      <c r="Y247" s="167">
        <f t="shared" si="145"/>
        <v>0</v>
      </c>
      <c r="Z247" s="170">
        <f t="shared" si="158"/>
        <v>0</v>
      </c>
      <c r="AA247" s="6"/>
      <c r="AB247" s="6"/>
      <c r="AC247" s="138">
        <f t="shared" si="146"/>
        <v>0</v>
      </c>
      <c r="AD247" s="160">
        <f t="shared" si="147"/>
        <v>0</v>
      </c>
      <c r="AE247" s="170">
        <f t="shared" si="159"/>
        <v>0</v>
      </c>
      <c r="AF247" s="6"/>
      <c r="AG247" s="6"/>
      <c r="AH247" s="138">
        <f t="shared" si="148"/>
        <v>0</v>
      </c>
      <c r="AI247" s="160">
        <f t="shared" si="149"/>
        <v>0</v>
      </c>
      <c r="AJ247" s="170">
        <f t="shared" si="160"/>
        <v>0</v>
      </c>
      <c r="AK247" s="6"/>
      <c r="AL247" s="6"/>
      <c r="AM247" s="138">
        <f t="shared" si="150"/>
        <v>0</v>
      </c>
      <c r="AN247" s="160">
        <f t="shared" si="151"/>
        <v>0</v>
      </c>
      <c r="AO247" s="170">
        <f t="shared" si="161"/>
        <v>0</v>
      </c>
      <c r="AP247" s="6"/>
      <c r="AQ247" s="6"/>
      <c r="AR247" s="138">
        <f t="shared" si="152"/>
        <v>0</v>
      </c>
      <c r="AS247" s="160">
        <f t="shared" si="153"/>
        <v>0</v>
      </c>
      <c r="AT247" s="164">
        <f t="shared" si="154"/>
        <v>0</v>
      </c>
      <c r="AU247" s="165">
        <f t="shared" si="155"/>
        <v>0</v>
      </c>
    </row>
    <row r="248" spans="2:47" outlineLevel="1" x14ac:dyDescent="0.35">
      <c r="B248" s="48" t="s">
        <v>137</v>
      </c>
      <c r="C248" s="62" t="s">
        <v>135</v>
      </c>
      <c r="D248" s="70">
        <v>0</v>
      </c>
      <c r="E248" s="71">
        <v>0</v>
      </c>
      <c r="F248" s="70">
        <v>0</v>
      </c>
      <c r="G248" s="138">
        <f t="shared" si="138"/>
        <v>0</v>
      </c>
      <c r="H248" s="167">
        <f t="shared" si="139"/>
        <v>0</v>
      </c>
      <c r="I248" s="70">
        <v>0</v>
      </c>
      <c r="J248" s="138">
        <v>0</v>
      </c>
      <c r="K248" s="167">
        <f t="shared" si="140"/>
        <v>0</v>
      </c>
      <c r="L248" s="70">
        <v>0</v>
      </c>
      <c r="M248" s="138"/>
      <c r="N248" s="167">
        <f t="shared" si="141"/>
        <v>0</v>
      </c>
      <c r="O248" s="70">
        <v>0</v>
      </c>
      <c r="P248" s="138"/>
      <c r="Q248" s="167">
        <f t="shared" si="142"/>
        <v>0</v>
      </c>
      <c r="R248" s="164">
        <f t="shared" si="156"/>
        <v>0</v>
      </c>
      <c r="S248" s="165">
        <f t="shared" si="143"/>
        <v>0</v>
      </c>
      <c r="U248" s="170">
        <f t="shared" si="157"/>
        <v>0</v>
      </c>
      <c r="V248" s="6"/>
      <c r="W248" s="6"/>
      <c r="X248" s="138">
        <f t="shared" si="144"/>
        <v>0</v>
      </c>
      <c r="Y248" s="167">
        <f t="shared" si="145"/>
        <v>0</v>
      </c>
      <c r="Z248" s="170">
        <f t="shared" si="158"/>
        <v>0</v>
      </c>
      <c r="AA248" s="6"/>
      <c r="AB248" s="6"/>
      <c r="AC248" s="138">
        <f t="shared" si="146"/>
        <v>0</v>
      </c>
      <c r="AD248" s="160">
        <f t="shared" si="147"/>
        <v>0</v>
      </c>
      <c r="AE248" s="170">
        <f t="shared" si="159"/>
        <v>0</v>
      </c>
      <c r="AF248" s="6"/>
      <c r="AG248" s="6"/>
      <c r="AH248" s="138">
        <f t="shared" si="148"/>
        <v>0</v>
      </c>
      <c r="AI248" s="160">
        <f t="shared" si="149"/>
        <v>0</v>
      </c>
      <c r="AJ248" s="170">
        <f t="shared" si="160"/>
        <v>0</v>
      </c>
      <c r="AK248" s="6"/>
      <c r="AL248" s="6"/>
      <c r="AM248" s="138">
        <f t="shared" si="150"/>
        <v>0</v>
      </c>
      <c r="AN248" s="160">
        <f t="shared" si="151"/>
        <v>0</v>
      </c>
      <c r="AO248" s="170">
        <f t="shared" si="161"/>
        <v>0</v>
      </c>
      <c r="AP248" s="6"/>
      <c r="AQ248" s="6"/>
      <c r="AR248" s="138">
        <f t="shared" si="152"/>
        <v>0</v>
      </c>
      <c r="AS248" s="160">
        <f t="shared" si="153"/>
        <v>0</v>
      </c>
      <c r="AT248" s="164">
        <f t="shared" si="154"/>
        <v>0</v>
      </c>
      <c r="AU248" s="165">
        <f t="shared" si="155"/>
        <v>0</v>
      </c>
    </row>
    <row r="249" spans="2:47" outlineLevel="1" x14ac:dyDescent="0.35">
      <c r="B249" s="48" t="s">
        <v>123</v>
      </c>
      <c r="C249" s="62" t="s">
        <v>135</v>
      </c>
      <c r="D249" s="70">
        <v>0</v>
      </c>
      <c r="E249" s="71">
        <v>0</v>
      </c>
      <c r="F249" s="70">
        <v>0</v>
      </c>
      <c r="G249" s="138">
        <f t="shared" si="138"/>
        <v>0</v>
      </c>
      <c r="H249" s="167">
        <f t="shared" si="139"/>
        <v>0</v>
      </c>
      <c r="I249" s="70">
        <v>0</v>
      </c>
      <c r="J249" s="138">
        <v>0</v>
      </c>
      <c r="K249" s="167">
        <f t="shared" si="140"/>
        <v>0</v>
      </c>
      <c r="L249" s="70">
        <v>0</v>
      </c>
      <c r="M249" s="138"/>
      <c r="N249" s="167">
        <f t="shared" si="141"/>
        <v>0</v>
      </c>
      <c r="O249" s="70">
        <v>0</v>
      </c>
      <c r="P249" s="138"/>
      <c r="Q249" s="167">
        <f t="shared" si="142"/>
        <v>0</v>
      </c>
      <c r="R249" s="164">
        <f t="shared" si="156"/>
        <v>0</v>
      </c>
      <c r="S249" s="165">
        <f t="shared" si="143"/>
        <v>0</v>
      </c>
      <c r="U249" s="170">
        <f t="shared" si="157"/>
        <v>0</v>
      </c>
      <c r="V249" s="6"/>
      <c r="W249" s="6"/>
      <c r="X249" s="138">
        <f t="shared" si="144"/>
        <v>0</v>
      </c>
      <c r="Y249" s="167">
        <f t="shared" si="145"/>
        <v>0</v>
      </c>
      <c r="Z249" s="170">
        <f t="shared" si="158"/>
        <v>0</v>
      </c>
      <c r="AA249" s="6"/>
      <c r="AB249" s="6"/>
      <c r="AC249" s="138">
        <f t="shared" si="146"/>
        <v>0</v>
      </c>
      <c r="AD249" s="160">
        <f t="shared" si="147"/>
        <v>0</v>
      </c>
      <c r="AE249" s="170">
        <f t="shared" si="159"/>
        <v>0</v>
      </c>
      <c r="AF249" s="6"/>
      <c r="AG249" s="6"/>
      <c r="AH249" s="138">
        <f t="shared" si="148"/>
        <v>0</v>
      </c>
      <c r="AI249" s="160">
        <f t="shared" si="149"/>
        <v>0</v>
      </c>
      <c r="AJ249" s="170">
        <f t="shared" si="160"/>
        <v>0</v>
      </c>
      <c r="AK249" s="6"/>
      <c r="AL249" s="6"/>
      <c r="AM249" s="138">
        <f t="shared" si="150"/>
        <v>0</v>
      </c>
      <c r="AN249" s="160">
        <f t="shared" si="151"/>
        <v>0</v>
      </c>
      <c r="AO249" s="170">
        <f t="shared" si="161"/>
        <v>0</v>
      </c>
      <c r="AP249" s="6"/>
      <c r="AQ249" s="6"/>
      <c r="AR249" s="138">
        <f t="shared" si="152"/>
        <v>0</v>
      </c>
      <c r="AS249" s="160">
        <f t="shared" si="153"/>
        <v>0</v>
      </c>
      <c r="AT249" s="164">
        <f t="shared" si="154"/>
        <v>0</v>
      </c>
      <c r="AU249" s="165">
        <f t="shared" si="155"/>
        <v>0</v>
      </c>
    </row>
    <row r="250" spans="2:47" outlineLevel="1" x14ac:dyDescent="0.35">
      <c r="B250" s="48" t="s">
        <v>124</v>
      </c>
      <c r="C250" s="62" t="s">
        <v>135</v>
      </c>
      <c r="D250" s="70">
        <v>0</v>
      </c>
      <c r="E250" s="71">
        <v>0</v>
      </c>
      <c r="F250" s="70">
        <v>0</v>
      </c>
      <c r="G250" s="138">
        <f t="shared" si="138"/>
        <v>0</v>
      </c>
      <c r="H250" s="167">
        <f t="shared" si="139"/>
        <v>0</v>
      </c>
      <c r="I250" s="70">
        <v>0</v>
      </c>
      <c r="J250" s="138">
        <v>0</v>
      </c>
      <c r="K250" s="167">
        <f t="shared" si="140"/>
        <v>0</v>
      </c>
      <c r="L250" s="70">
        <v>0</v>
      </c>
      <c r="M250" s="138"/>
      <c r="N250" s="167">
        <f t="shared" si="141"/>
        <v>0</v>
      </c>
      <c r="O250" s="70">
        <v>0</v>
      </c>
      <c r="P250" s="138"/>
      <c r="Q250" s="167">
        <f t="shared" si="142"/>
        <v>0</v>
      </c>
      <c r="R250" s="164">
        <f t="shared" si="156"/>
        <v>0</v>
      </c>
      <c r="S250" s="165">
        <f t="shared" si="143"/>
        <v>0</v>
      </c>
      <c r="U250" s="170">
        <f t="shared" si="157"/>
        <v>0</v>
      </c>
      <c r="V250" s="6"/>
      <c r="W250" s="6"/>
      <c r="X250" s="138">
        <f t="shared" si="144"/>
        <v>0</v>
      </c>
      <c r="Y250" s="167">
        <f t="shared" si="145"/>
        <v>0</v>
      </c>
      <c r="Z250" s="170">
        <f t="shared" si="158"/>
        <v>0</v>
      </c>
      <c r="AA250" s="6"/>
      <c r="AB250" s="6"/>
      <c r="AC250" s="138">
        <f t="shared" si="146"/>
        <v>0</v>
      </c>
      <c r="AD250" s="160">
        <f t="shared" si="147"/>
        <v>0</v>
      </c>
      <c r="AE250" s="170">
        <f t="shared" si="159"/>
        <v>0</v>
      </c>
      <c r="AF250" s="6"/>
      <c r="AG250" s="6"/>
      <c r="AH250" s="138">
        <f t="shared" si="148"/>
        <v>0</v>
      </c>
      <c r="AI250" s="160">
        <f t="shared" si="149"/>
        <v>0</v>
      </c>
      <c r="AJ250" s="170">
        <f t="shared" si="160"/>
        <v>0</v>
      </c>
      <c r="AK250" s="6"/>
      <c r="AL250" s="6"/>
      <c r="AM250" s="138">
        <f t="shared" si="150"/>
        <v>0</v>
      </c>
      <c r="AN250" s="160">
        <f t="shared" si="151"/>
        <v>0</v>
      </c>
      <c r="AO250" s="170">
        <f t="shared" si="161"/>
        <v>0</v>
      </c>
      <c r="AP250" s="6"/>
      <c r="AQ250" s="6"/>
      <c r="AR250" s="138">
        <f t="shared" si="152"/>
        <v>0</v>
      </c>
      <c r="AS250" s="160">
        <f t="shared" si="153"/>
        <v>0</v>
      </c>
      <c r="AT250" s="164">
        <f t="shared" si="154"/>
        <v>0</v>
      </c>
      <c r="AU250" s="165">
        <f t="shared" si="155"/>
        <v>0</v>
      </c>
    </row>
    <row r="251" spans="2:47" outlineLevel="1" x14ac:dyDescent="0.35">
      <c r="B251" s="48" t="s">
        <v>125</v>
      </c>
      <c r="C251" s="62" t="s">
        <v>135</v>
      </c>
      <c r="D251" s="70">
        <v>0</v>
      </c>
      <c r="E251" s="71">
        <v>0</v>
      </c>
      <c r="F251" s="70">
        <v>0</v>
      </c>
      <c r="G251" s="138">
        <f t="shared" si="138"/>
        <v>0</v>
      </c>
      <c r="H251" s="167">
        <f t="shared" si="139"/>
        <v>0</v>
      </c>
      <c r="I251" s="70">
        <v>0</v>
      </c>
      <c r="J251" s="138">
        <v>0</v>
      </c>
      <c r="K251" s="167">
        <f t="shared" si="140"/>
        <v>0</v>
      </c>
      <c r="L251" s="70">
        <v>0</v>
      </c>
      <c r="M251" s="138"/>
      <c r="N251" s="167">
        <f t="shared" si="141"/>
        <v>0</v>
      </c>
      <c r="O251" s="70">
        <v>0</v>
      </c>
      <c r="P251" s="138"/>
      <c r="Q251" s="167">
        <f t="shared" si="142"/>
        <v>0</v>
      </c>
      <c r="R251" s="164">
        <f t="shared" si="156"/>
        <v>0</v>
      </c>
      <c r="S251" s="165">
        <f t="shared" si="143"/>
        <v>0</v>
      </c>
      <c r="U251" s="170">
        <f t="shared" si="157"/>
        <v>0</v>
      </c>
      <c r="V251" s="6"/>
      <c r="W251" s="6"/>
      <c r="X251" s="138">
        <f t="shared" si="144"/>
        <v>0</v>
      </c>
      <c r="Y251" s="167">
        <f t="shared" si="145"/>
        <v>0</v>
      </c>
      <c r="Z251" s="170">
        <f t="shared" si="158"/>
        <v>0</v>
      </c>
      <c r="AA251" s="6"/>
      <c r="AB251" s="6"/>
      <c r="AC251" s="138">
        <f t="shared" si="146"/>
        <v>0</v>
      </c>
      <c r="AD251" s="160">
        <f t="shared" si="147"/>
        <v>0</v>
      </c>
      <c r="AE251" s="170">
        <f>AF251+AG251</f>
        <v>0</v>
      </c>
      <c r="AF251" s="6"/>
      <c r="AG251" s="6"/>
      <c r="AH251" s="138">
        <f t="shared" si="148"/>
        <v>0</v>
      </c>
      <c r="AI251" s="160">
        <f t="shared" si="149"/>
        <v>0</v>
      </c>
      <c r="AJ251" s="170">
        <f>AK251+AL251</f>
        <v>0</v>
      </c>
      <c r="AK251" s="6"/>
      <c r="AL251" s="6"/>
      <c r="AM251" s="138">
        <f t="shared" si="150"/>
        <v>0</v>
      </c>
      <c r="AN251" s="160">
        <f t="shared" si="151"/>
        <v>0</v>
      </c>
      <c r="AO251" s="170">
        <f>AP251+AQ251</f>
        <v>0</v>
      </c>
      <c r="AP251" s="6"/>
      <c r="AQ251" s="6"/>
      <c r="AR251" s="138">
        <f t="shared" si="152"/>
        <v>0</v>
      </c>
      <c r="AS251" s="160">
        <f t="shared" si="153"/>
        <v>0</v>
      </c>
      <c r="AT251" s="164">
        <f t="shared" si="154"/>
        <v>0</v>
      </c>
      <c r="AU251" s="165">
        <f t="shared" si="155"/>
        <v>0</v>
      </c>
    </row>
    <row r="252" spans="2:47" outlineLevel="1" x14ac:dyDescent="0.35">
      <c r="B252" s="48" t="s">
        <v>126</v>
      </c>
      <c r="C252" s="62" t="s">
        <v>135</v>
      </c>
      <c r="D252" s="70">
        <v>0</v>
      </c>
      <c r="E252" s="71">
        <v>0</v>
      </c>
      <c r="F252" s="70">
        <v>0</v>
      </c>
      <c r="G252" s="138">
        <f t="shared" si="138"/>
        <v>0</v>
      </c>
      <c r="H252" s="167">
        <f t="shared" si="139"/>
        <v>0</v>
      </c>
      <c r="I252" s="70">
        <v>0</v>
      </c>
      <c r="J252" s="138">
        <v>0</v>
      </c>
      <c r="K252" s="167">
        <f t="shared" si="140"/>
        <v>0</v>
      </c>
      <c r="L252" s="70">
        <v>0</v>
      </c>
      <c r="M252" s="138"/>
      <c r="N252" s="167">
        <f t="shared" si="141"/>
        <v>0</v>
      </c>
      <c r="O252" s="70">
        <v>0</v>
      </c>
      <c r="P252" s="138"/>
      <c r="Q252" s="167">
        <f t="shared" si="142"/>
        <v>0</v>
      </c>
      <c r="R252" s="164">
        <f t="shared" si="156"/>
        <v>0</v>
      </c>
      <c r="S252" s="165">
        <f t="shared" si="143"/>
        <v>0</v>
      </c>
      <c r="U252" s="170">
        <f t="shared" si="157"/>
        <v>0</v>
      </c>
      <c r="V252" s="6"/>
      <c r="W252" s="6"/>
      <c r="X252" s="138">
        <f t="shared" si="144"/>
        <v>0</v>
      </c>
      <c r="Y252" s="167">
        <f t="shared" si="145"/>
        <v>0</v>
      </c>
      <c r="Z252" s="170">
        <f t="shared" si="158"/>
        <v>0</v>
      </c>
      <c r="AA252" s="6"/>
      <c r="AB252" s="6"/>
      <c r="AC252" s="138">
        <f t="shared" si="146"/>
        <v>0</v>
      </c>
      <c r="AD252" s="160">
        <f t="shared" si="147"/>
        <v>0</v>
      </c>
      <c r="AE252" s="170">
        <f t="shared" ref="AE252:AE253" si="162">AF252+AG252</f>
        <v>0</v>
      </c>
      <c r="AF252" s="6"/>
      <c r="AG252" s="6"/>
      <c r="AH252" s="138">
        <f t="shared" si="148"/>
        <v>0</v>
      </c>
      <c r="AI252" s="160">
        <f t="shared" si="149"/>
        <v>0</v>
      </c>
      <c r="AJ252" s="170">
        <f t="shared" ref="AJ252:AJ253" si="163">AK252+AL252</f>
        <v>0</v>
      </c>
      <c r="AK252" s="6"/>
      <c r="AL252" s="6"/>
      <c r="AM252" s="138">
        <f t="shared" si="150"/>
        <v>0</v>
      </c>
      <c r="AN252" s="160">
        <f t="shared" si="151"/>
        <v>0</v>
      </c>
      <c r="AO252" s="170">
        <f t="shared" ref="AO252:AO253" si="164">AP252+AQ252</f>
        <v>0</v>
      </c>
      <c r="AP252" s="6"/>
      <c r="AQ252" s="6"/>
      <c r="AR252" s="138">
        <f t="shared" si="152"/>
        <v>0</v>
      </c>
      <c r="AS252" s="160">
        <f t="shared" si="153"/>
        <v>0</v>
      </c>
      <c r="AT252" s="164">
        <f t="shared" si="154"/>
        <v>0</v>
      </c>
      <c r="AU252" s="165">
        <f t="shared" si="155"/>
        <v>0</v>
      </c>
    </row>
    <row r="253" spans="2:47" outlineLevel="1" x14ac:dyDescent="0.35">
      <c r="B253" s="48" t="s">
        <v>127</v>
      </c>
      <c r="C253" s="62" t="s">
        <v>135</v>
      </c>
      <c r="D253" s="70">
        <v>0</v>
      </c>
      <c r="E253" s="71">
        <v>1</v>
      </c>
      <c r="F253" s="70">
        <v>0</v>
      </c>
      <c r="G253" s="138">
        <f t="shared" si="138"/>
        <v>1</v>
      </c>
      <c r="H253" s="167">
        <f t="shared" si="139"/>
        <v>0</v>
      </c>
      <c r="I253" s="70">
        <v>0</v>
      </c>
      <c r="J253" s="138">
        <v>1</v>
      </c>
      <c r="K253" s="167">
        <f t="shared" si="140"/>
        <v>0</v>
      </c>
      <c r="L253" s="70">
        <v>0</v>
      </c>
      <c r="M253" s="138">
        <v>1</v>
      </c>
      <c r="N253" s="167">
        <f t="shared" si="141"/>
        <v>0</v>
      </c>
      <c r="O253" s="70">
        <v>0</v>
      </c>
      <c r="P253" s="138">
        <v>1</v>
      </c>
      <c r="Q253" s="167">
        <f t="shared" si="142"/>
        <v>0</v>
      </c>
      <c r="R253" s="164">
        <f t="shared" si="156"/>
        <v>0</v>
      </c>
      <c r="S253" s="165">
        <f t="shared" si="143"/>
        <v>0</v>
      </c>
      <c r="U253" s="170">
        <f t="shared" si="157"/>
        <v>1</v>
      </c>
      <c r="V253" s="6">
        <v>1</v>
      </c>
      <c r="W253" s="6"/>
      <c r="X253" s="138">
        <f t="shared" si="144"/>
        <v>2</v>
      </c>
      <c r="Y253" s="167">
        <f t="shared" si="145"/>
        <v>1</v>
      </c>
      <c r="Z253" s="170">
        <f t="shared" si="158"/>
        <v>0</v>
      </c>
      <c r="AA253" s="6"/>
      <c r="AB253" s="6"/>
      <c r="AC253" s="138">
        <f t="shared" si="146"/>
        <v>2</v>
      </c>
      <c r="AD253" s="160">
        <f t="shared" si="147"/>
        <v>0</v>
      </c>
      <c r="AE253" s="170">
        <f t="shared" si="162"/>
        <v>0</v>
      </c>
      <c r="AF253" s="6"/>
      <c r="AG253" s="6"/>
      <c r="AH253" s="138">
        <f t="shared" si="148"/>
        <v>2</v>
      </c>
      <c r="AI253" s="160">
        <f t="shared" si="149"/>
        <v>0</v>
      </c>
      <c r="AJ253" s="170">
        <f t="shared" si="163"/>
        <v>0</v>
      </c>
      <c r="AK253" s="6"/>
      <c r="AL253" s="6"/>
      <c r="AM253" s="138">
        <f t="shared" si="150"/>
        <v>2</v>
      </c>
      <c r="AN253" s="160">
        <f t="shared" si="151"/>
        <v>0</v>
      </c>
      <c r="AO253" s="170">
        <f t="shared" si="164"/>
        <v>0</v>
      </c>
      <c r="AP253" s="6"/>
      <c r="AQ253" s="6"/>
      <c r="AR253" s="138">
        <f t="shared" si="152"/>
        <v>2</v>
      </c>
      <c r="AS253" s="160">
        <f t="shared" si="153"/>
        <v>0</v>
      </c>
      <c r="AT253" s="164">
        <f t="shared" si="154"/>
        <v>1</v>
      </c>
      <c r="AU253" s="165">
        <f t="shared" si="155"/>
        <v>0</v>
      </c>
    </row>
    <row r="254" spans="2:47" s="345" customFormat="1" ht="15" customHeight="1" outlineLevel="1" x14ac:dyDescent="0.35">
      <c r="B254" s="346" t="s">
        <v>138</v>
      </c>
      <c r="C254" s="347" t="s">
        <v>135</v>
      </c>
      <c r="D254" s="357">
        <f>SUM(D200:D253)</f>
        <v>-1</v>
      </c>
      <c r="E254" s="357">
        <f>SUM(E200:E253)</f>
        <v>74</v>
      </c>
      <c r="F254" s="357">
        <f>SUM(F200:F253)</f>
        <v>5</v>
      </c>
      <c r="G254" s="357">
        <f>SUM(G200:G253)</f>
        <v>79</v>
      </c>
      <c r="H254" s="349">
        <f>IFERROR((G254-E254)/E254,0)</f>
        <v>6.7567567567567571E-2</v>
      </c>
      <c r="I254" s="357">
        <f>SUM(I200:I253)</f>
        <v>3</v>
      </c>
      <c r="J254" s="357">
        <f>SUM(J200:J253)</f>
        <v>82</v>
      </c>
      <c r="K254" s="349">
        <f t="shared" si="140"/>
        <v>3.7974683544303799E-2</v>
      </c>
      <c r="L254" s="357">
        <f>SUM(L200:L253)</f>
        <v>-1</v>
      </c>
      <c r="M254" s="357">
        <f>SUM(M200:M253)</f>
        <v>81</v>
      </c>
      <c r="N254" s="349">
        <f t="shared" si="141"/>
        <v>-1.2195121951219513E-2</v>
      </c>
      <c r="O254" s="357">
        <f>SUM(O200:O253)</f>
        <v>-4</v>
      </c>
      <c r="P254" s="357">
        <f>SUM(P200:P253)</f>
        <v>77</v>
      </c>
      <c r="Q254" s="349">
        <f>IFERROR((P254-M254)/M254,0)</f>
        <v>-4.9382716049382713E-2</v>
      </c>
      <c r="R254" s="350">
        <f>D254+F254+I254+L254+O254</f>
        <v>2</v>
      </c>
      <c r="S254" s="351">
        <f>IFERROR((P254/E254)^(1/4)-1,0)</f>
        <v>9.9845989397258084E-3</v>
      </c>
      <c r="U254" s="357">
        <f>SUM(U200:U253)</f>
        <v>8</v>
      </c>
      <c r="V254" s="357">
        <f>SUM(V200:V253)</f>
        <v>7</v>
      </c>
      <c r="W254" s="357">
        <f>SUM(W200:W253)</f>
        <v>1</v>
      </c>
      <c r="X254" s="357">
        <f>SUM(X200:X253)</f>
        <v>85</v>
      </c>
      <c r="Y254" s="349">
        <f>IFERROR((X254-P254)/P254,0)</f>
        <v>0.1038961038961039</v>
      </c>
      <c r="Z254" s="357">
        <f>SUM(Z200:Z253)</f>
        <v>1</v>
      </c>
      <c r="AA254" s="357">
        <f>SUM(AA200:AA253)</f>
        <v>0</v>
      </c>
      <c r="AB254" s="357">
        <f>SUM(AB200:AB253)</f>
        <v>1</v>
      </c>
      <c r="AC254" s="357">
        <f>SUM(AC200:AC253)</f>
        <v>86</v>
      </c>
      <c r="AD254" s="349">
        <f>IFERROR((AC254-X254)/X254,0)</f>
        <v>1.1764705882352941E-2</v>
      </c>
      <c r="AE254" s="357">
        <f>SUM(AE200:AE253)</f>
        <v>0</v>
      </c>
      <c r="AF254" s="357">
        <f>SUM(AF200:AF253)</f>
        <v>0</v>
      </c>
      <c r="AG254" s="357">
        <f>SUM(AG200:AG253)</f>
        <v>0</v>
      </c>
      <c r="AH254" s="357">
        <f>SUM(AH200:AH253)</f>
        <v>86</v>
      </c>
      <c r="AI254" s="349">
        <f t="shared" ref="AI254" si="165">IFERROR((AH254-AC254)/AC254,0)</f>
        <v>0</v>
      </c>
      <c r="AJ254" s="357">
        <f>SUM(AJ200:AJ253)</f>
        <v>1</v>
      </c>
      <c r="AK254" s="357">
        <f>SUM(AK200:AK253)</f>
        <v>0</v>
      </c>
      <c r="AL254" s="357">
        <f>SUM(AL200:AL253)</f>
        <v>1</v>
      </c>
      <c r="AM254" s="357">
        <f>SUM(AM200:AM253)</f>
        <v>87</v>
      </c>
      <c r="AN254" s="349">
        <f t="shared" ref="AN254" si="166">IFERROR((AM254-AH254)/AH254,0)</f>
        <v>1.1627906976744186E-2</v>
      </c>
      <c r="AO254" s="357">
        <f>SUM(AO200:AO253)</f>
        <v>0</v>
      </c>
      <c r="AP254" s="357">
        <f>SUM(AP200:AP253)</f>
        <v>0</v>
      </c>
      <c r="AQ254" s="357">
        <f>SUM(AQ200:AQ253)</f>
        <v>0</v>
      </c>
      <c r="AR254" s="357">
        <f>SUM(AR200:AR253)</f>
        <v>87</v>
      </c>
      <c r="AS254" s="349">
        <f t="shared" ref="AS254" si="167">IFERROR((AR254-AM254)/AM254,0)</f>
        <v>0</v>
      </c>
      <c r="AT254" s="357">
        <f>SUM(AT200:AT253)</f>
        <v>10</v>
      </c>
      <c r="AU254" s="351">
        <f t="shared" si="155"/>
        <v>5.8311508982757942E-3</v>
      </c>
    </row>
    <row r="255" spans="2:47" ht="15" customHeight="1" x14ac:dyDescent="0.35"/>
    <row r="256" spans="2:47" ht="15.5" x14ac:dyDescent="0.35">
      <c r="B256" s="419" t="s">
        <v>145</v>
      </c>
      <c r="C256" s="419"/>
      <c r="D256" s="419"/>
      <c r="E256" s="419"/>
      <c r="F256" s="419"/>
      <c r="G256" s="419"/>
      <c r="H256" s="419"/>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c r="AJ256" s="419"/>
      <c r="AK256" s="419"/>
      <c r="AL256" s="419"/>
      <c r="AM256" s="419"/>
      <c r="AN256" s="419"/>
      <c r="AO256" s="419"/>
      <c r="AP256" s="419"/>
      <c r="AQ256" s="419"/>
      <c r="AR256" s="419"/>
      <c r="AS256" s="419"/>
      <c r="AT256" s="419"/>
      <c r="AU256" s="419"/>
    </row>
    <row r="257" spans="2:47" ht="5.9" customHeight="1" outlineLevel="1" x14ac:dyDescent="0.35">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row>
    <row r="258" spans="2:47" outlineLevel="1" x14ac:dyDescent="0.35">
      <c r="B258" s="462"/>
      <c r="C258" s="450" t="s">
        <v>134</v>
      </c>
      <c r="D258" s="435" t="s">
        <v>169</v>
      </c>
      <c r="E258" s="436"/>
      <c r="F258" s="436"/>
      <c r="G258" s="436"/>
      <c r="H258" s="436"/>
      <c r="I258" s="436"/>
      <c r="J258" s="436"/>
      <c r="K258" s="436"/>
      <c r="L258" s="436"/>
      <c r="M258" s="436"/>
      <c r="N258" s="436"/>
      <c r="O258" s="435"/>
      <c r="P258" s="436"/>
      <c r="Q258" s="437"/>
      <c r="R258" s="431" t="str">
        <f xml:space="preserve"> D259&amp;" - "&amp;O259</f>
        <v>2019 - 2023</v>
      </c>
      <c r="S258" s="456"/>
      <c r="U258" s="435" t="s">
        <v>170</v>
      </c>
      <c r="V258" s="436"/>
      <c r="W258" s="436"/>
      <c r="X258" s="436"/>
      <c r="Y258" s="436"/>
      <c r="Z258" s="436"/>
      <c r="AA258" s="436"/>
      <c r="AB258" s="436"/>
      <c r="AC258" s="436"/>
      <c r="AD258" s="436"/>
      <c r="AE258" s="436"/>
      <c r="AF258" s="436"/>
      <c r="AG258" s="436"/>
      <c r="AH258" s="436"/>
      <c r="AI258" s="436"/>
      <c r="AJ258" s="436"/>
      <c r="AK258" s="436"/>
      <c r="AL258" s="436"/>
      <c r="AM258" s="436"/>
      <c r="AN258" s="436"/>
      <c r="AO258" s="436"/>
      <c r="AP258" s="436"/>
      <c r="AQ258" s="436"/>
      <c r="AR258" s="436"/>
      <c r="AS258" s="436"/>
      <c r="AT258" s="436"/>
      <c r="AU258" s="437"/>
    </row>
    <row r="259" spans="2:47" outlineLevel="1" x14ac:dyDescent="0.35">
      <c r="B259" s="463"/>
      <c r="C259" s="451"/>
      <c r="D259" s="435">
        <f>$C$3-5</f>
        <v>2019</v>
      </c>
      <c r="E259" s="437"/>
      <c r="F259" s="435">
        <f>$C$3-4</f>
        <v>2020</v>
      </c>
      <c r="G259" s="436"/>
      <c r="H259" s="437"/>
      <c r="I259" s="435">
        <f>$C$3-3</f>
        <v>2021</v>
      </c>
      <c r="J259" s="436"/>
      <c r="K259" s="437"/>
      <c r="L259" s="435">
        <f>$C$3-2</f>
        <v>2022</v>
      </c>
      <c r="M259" s="436"/>
      <c r="N259" s="437"/>
      <c r="O259" s="435">
        <f>$C$3-1</f>
        <v>2023</v>
      </c>
      <c r="P259" s="436"/>
      <c r="Q259" s="437"/>
      <c r="R259" s="433"/>
      <c r="S259" s="457"/>
      <c r="U259" s="435">
        <f>$C$3</f>
        <v>2024</v>
      </c>
      <c r="V259" s="436"/>
      <c r="W259" s="436"/>
      <c r="X259" s="436"/>
      <c r="Y259" s="437"/>
      <c r="Z259" s="435">
        <f>$C$3+1</f>
        <v>2025</v>
      </c>
      <c r="AA259" s="436"/>
      <c r="AB259" s="436"/>
      <c r="AC259" s="436"/>
      <c r="AD259" s="437"/>
      <c r="AE259" s="435">
        <f>$C$3+2</f>
        <v>2026</v>
      </c>
      <c r="AF259" s="436"/>
      <c r="AG259" s="436"/>
      <c r="AH259" s="436"/>
      <c r="AI259" s="437"/>
      <c r="AJ259" s="435">
        <f>$C$3+3</f>
        <v>2027</v>
      </c>
      <c r="AK259" s="436"/>
      <c r="AL259" s="436"/>
      <c r="AM259" s="436"/>
      <c r="AN259" s="437"/>
      <c r="AO259" s="435">
        <f>$C$3+4</f>
        <v>2028</v>
      </c>
      <c r="AP259" s="436"/>
      <c r="AQ259" s="436"/>
      <c r="AR259" s="436"/>
      <c r="AS259" s="437"/>
      <c r="AT259" s="439" t="str">
        <f>U259&amp;" - "&amp;AO259</f>
        <v>2024 - 2028</v>
      </c>
      <c r="AU259" s="458"/>
    </row>
    <row r="260" spans="2:47" ht="43.5" outlineLevel="1" x14ac:dyDescent="0.35">
      <c r="B260" s="464"/>
      <c r="C260" s="452"/>
      <c r="D260" s="66" t="s">
        <v>192</v>
      </c>
      <c r="E260" s="67" t="s">
        <v>193</v>
      </c>
      <c r="F260" s="66" t="s">
        <v>192</v>
      </c>
      <c r="G260" s="9" t="s">
        <v>193</v>
      </c>
      <c r="H260" s="67" t="s">
        <v>173</v>
      </c>
      <c r="I260" s="66" t="s">
        <v>192</v>
      </c>
      <c r="J260" s="9" t="s">
        <v>193</v>
      </c>
      <c r="K260" s="67" t="s">
        <v>173</v>
      </c>
      <c r="L260" s="66" t="s">
        <v>192</v>
      </c>
      <c r="M260" s="9" t="s">
        <v>193</v>
      </c>
      <c r="N260" s="67" t="s">
        <v>173</v>
      </c>
      <c r="O260" s="66" t="s">
        <v>192</v>
      </c>
      <c r="P260" s="9" t="s">
        <v>193</v>
      </c>
      <c r="Q260" s="67" t="s">
        <v>173</v>
      </c>
      <c r="R260" s="66" t="s">
        <v>164</v>
      </c>
      <c r="S260" s="134" t="s">
        <v>174</v>
      </c>
      <c r="U260" s="66" t="s">
        <v>192</v>
      </c>
      <c r="V260" s="105" t="s">
        <v>202</v>
      </c>
      <c r="W260" s="105" t="s">
        <v>203</v>
      </c>
      <c r="X260" s="9" t="s">
        <v>193</v>
      </c>
      <c r="Y260" s="67" t="s">
        <v>173</v>
      </c>
      <c r="Z260" s="66" t="s">
        <v>192</v>
      </c>
      <c r="AA260" s="105" t="s">
        <v>202</v>
      </c>
      <c r="AB260" s="105" t="s">
        <v>203</v>
      </c>
      <c r="AC260" s="9" t="s">
        <v>193</v>
      </c>
      <c r="AD260" s="67" t="s">
        <v>173</v>
      </c>
      <c r="AE260" s="66" t="s">
        <v>192</v>
      </c>
      <c r="AF260" s="105" t="s">
        <v>202</v>
      </c>
      <c r="AG260" s="105" t="s">
        <v>203</v>
      </c>
      <c r="AH260" s="9" t="s">
        <v>193</v>
      </c>
      <c r="AI260" s="67" t="s">
        <v>173</v>
      </c>
      <c r="AJ260" s="66" t="s">
        <v>192</v>
      </c>
      <c r="AK260" s="105" t="s">
        <v>202</v>
      </c>
      <c r="AL260" s="105" t="s">
        <v>203</v>
      </c>
      <c r="AM260" s="9" t="s">
        <v>193</v>
      </c>
      <c r="AN260" s="67" t="s">
        <v>173</v>
      </c>
      <c r="AO260" s="66" t="s">
        <v>192</v>
      </c>
      <c r="AP260" s="105" t="s">
        <v>202</v>
      </c>
      <c r="AQ260" s="105" t="s">
        <v>203</v>
      </c>
      <c r="AR260" s="9" t="s">
        <v>193</v>
      </c>
      <c r="AS260" s="67" t="s">
        <v>173</v>
      </c>
      <c r="AT260" s="66" t="s">
        <v>164</v>
      </c>
      <c r="AU260" s="134" t="s">
        <v>174</v>
      </c>
    </row>
    <row r="261" spans="2:47" outlineLevel="1" x14ac:dyDescent="0.35">
      <c r="B261" s="48" t="s">
        <v>74</v>
      </c>
      <c r="C261" s="62" t="s">
        <v>135</v>
      </c>
      <c r="D261" s="70">
        <v>0</v>
      </c>
      <c r="E261" s="71">
        <v>0</v>
      </c>
      <c r="F261" s="70">
        <v>0</v>
      </c>
      <c r="G261" s="138">
        <v>0</v>
      </c>
      <c r="H261" s="185">
        <f t="shared" ref="H261:H314" si="168">IFERROR((G261-E261)/E261,0)</f>
        <v>0</v>
      </c>
      <c r="I261" s="70">
        <v>0</v>
      </c>
      <c r="J261" s="138">
        <v>0</v>
      </c>
      <c r="K261" s="167">
        <f t="shared" ref="K261:K315" si="169">IFERROR((J261-G261)/G261,0)</f>
        <v>0</v>
      </c>
      <c r="L261" s="70">
        <v>0</v>
      </c>
      <c r="M261" s="138"/>
      <c r="N261" s="167">
        <f t="shared" ref="N261:N315" si="170">IFERROR((M261-J261)/J261,0)</f>
        <v>0</v>
      </c>
      <c r="O261" s="70"/>
      <c r="P261" s="138"/>
      <c r="Q261" s="167">
        <f t="shared" ref="Q261:Q292" si="171">IFERROR((P261-M261)/M261,0)</f>
        <v>0</v>
      </c>
      <c r="R261" s="164">
        <f t="shared" ref="R261:R292" si="172">D261+F261+I261+L261+O261</f>
        <v>0</v>
      </c>
      <c r="S261" s="165">
        <f t="shared" ref="S261:S292" si="173">IFERROR((P261/E261)^(1/4)-1,0)</f>
        <v>0</v>
      </c>
      <c r="U261" s="170">
        <f>V261+W261</f>
        <v>0</v>
      </c>
      <c r="V261" s="6"/>
      <c r="W261" s="6"/>
      <c r="X261" s="138">
        <f t="shared" ref="X261:X292" si="174">P261+U261</f>
        <v>0</v>
      </c>
      <c r="Y261" s="167">
        <f t="shared" ref="Y261:Y292" si="175">IFERROR((X261-P261)/P261,0)</f>
        <v>0</v>
      </c>
      <c r="Z261" s="170">
        <f>AA261+AB261</f>
        <v>0</v>
      </c>
      <c r="AA261" s="6"/>
      <c r="AB261" s="6"/>
      <c r="AC261" s="138">
        <f t="shared" ref="AC261:AC314" si="176">X261+Z261</f>
        <v>0</v>
      </c>
      <c r="AD261" s="160">
        <f t="shared" ref="AD261:AD315" si="177">IFERROR((AC261-X261)/X261,0)</f>
        <v>0</v>
      </c>
      <c r="AE261" s="170">
        <f>AF261+AG261</f>
        <v>0</v>
      </c>
      <c r="AF261" s="6"/>
      <c r="AG261" s="6"/>
      <c r="AH261" s="138">
        <f t="shared" ref="AH261:AH314" si="178">AC261+AE261</f>
        <v>0</v>
      </c>
      <c r="AI261" s="160">
        <f t="shared" ref="AI261:AI315" si="179">IFERROR((AH261-AC261)/AC261,0)</f>
        <v>0</v>
      </c>
      <c r="AJ261" s="170">
        <f>AK261+AL261</f>
        <v>0</v>
      </c>
      <c r="AK261" s="6"/>
      <c r="AL261" s="6"/>
      <c r="AM261" s="138">
        <f t="shared" ref="AM261:AM314" si="180">AH261+AJ261</f>
        <v>0</v>
      </c>
      <c r="AN261" s="160">
        <f t="shared" ref="AN261:AN315" si="181">IFERROR((AM261-AH261)/AH261,0)</f>
        <v>0</v>
      </c>
      <c r="AO261" s="170">
        <f>AP261+AQ261</f>
        <v>0</v>
      </c>
      <c r="AP261" s="6"/>
      <c r="AQ261" s="6"/>
      <c r="AR261" s="138">
        <f t="shared" ref="AR261:AR314" si="182">AM261+AO261</f>
        <v>0</v>
      </c>
      <c r="AS261" s="160">
        <f t="shared" ref="AS261:AS314" si="183">IFERROR((AR261-AM261)/AM261,0)</f>
        <v>0</v>
      </c>
      <c r="AT261" s="164">
        <f t="shared" ref="AT261:AT314" si="184">U261+Z261+AE261+AJ261+AO261</f>
        <v>0</v>
      </c>
      <c r="AU261" s="165">
        <f t="shared" ref="AU261:AU315" si="185">IFERROR((AR261/X261)^(1/4)-1,0)</f>
        <v>0</v>
      </c>
    </row>
    <row r="262" spans="2:47" outlineLevel="1" x14ac:dyDescent="0.35">
      <c r="B262" s="48" t="s">
        <v>75</v>
      </c>
      <c r="C262" s="62" t="s">
        <v>135</v>
      </c>
      <c r="D262" s="70">
        <v>0</v>
      </c>
      <c r="E262" s="71">
        <v>0</v>
      </c>
      <c r="F262" s="70">
        <v>1</v>
      </c>
      <c r="G262" s="138">
        <v>1</v>
      </c>
      <c r="H262" s="185">
        <f t="shared" si="168"/>
        <v>0</v>
      </c>
      <c r="I262" s="70">
        <v>0</v>
      </c>
      <c r="J262" s="138">
        <v>1</v>
      </c>
      <c r="K262" s="167">
        <f t="shared" si="169"/>
        <v>0</v>
      </c>
      <c r="L262" s="70">
        <v>0</v>
      </c>
      <c r="M262" s="138">
        <v>1</v>
      </c>
      <c r="N262" s="167">
        <f t="shared" si="170"/>
        <v>0</v>
      </c>
      <c r="O262" s="70"/>
      <c r="P262" s="138">
        <v>1</v>
      </c>
      <c r="Q262" s="167">
        <f t="shared" si="171"/>
        <v>0</v>
      </c>
      <c r="R262" s="164">
        <f t="shared" si="172"/>
        <v>1</v>
      </c>
      <c r="S262" s="165">
        <f t="shared" si="173"/>
        <v>0</v>
      </c>
      <c r="U262" s="170">
        <f t="shared" ref="U262:U314" si="186">V262+W262</f>
        <v>0</v>
      </c>
      <c r="V262" s="6"/>
      <c r="W262" s="6"/>
      <c r="X262" s="138">
        <f t="shared" si="174"/>
        <v>1</v>
      </c>
      <c r="Y262" s="167">
        <f t="shared" si="175"/>
        <v>0</v>
      </c>
      <c r="Z262" s="170">
        <f t="shared" ref="Z262:Z311" si="187">AA262+AB262</f>
        <v>0</v>
      </c>
      <c r="AA262" s="6"/>
      <c r="AB262" s="6"/>
      <c r="AC262" s="138">
        <f t="shared" si="176"/>
        <v>1</v>
      </c>
      <c r="AD262" s="160">
        <f t="shared" si="177"/>
        <v>0</v>
      </c>
      <c r="AE262" s="170">
        <f t="shared" ref="AE262:AE311" si="188">AF262+AG262</f>
        <v>0</v>
      </c>
      <c r="AF262" s="6"/>
      <c r="AG262" s="6"/>
      <c r="AH262" s="138">
        <f t="shared" si="178"/>
        <v>1</v>
      </c>
      <c r="AI262" s="160">
        <f t="shared" si="179"/>
        <v>0</v>
      </c>
      <c r="AJ262" s="170">
        <f t="shared" ref="AJ262:AJ314" si="189">AK262+AL262</f>
        <v>0</v>
      </c>
      <c r="AK262" s="6"/>
      <c r="AL262" s="6"/>
      <c r="AM262" s="138">
        <f t="shared" si="180"/>
        <v>1</v>
      </c>
      <c r="AN262" s="160">
        <f t="shared" si="181"/>
        <v>0</v>
      </c>
      <c r="AO262" s="170">
        <f t="shared" ref="AO262:AO311" si="190">AP262+AQ262</f>
        <v>0</v>
      </c>
      <c r="AP262" s="6"/>
      <c r="AQ262" s="6"/>
      <c r="AR262" s="138">
        <f t="shared" si="182"/>
        <v>1</v>
      </c>
      <c r="AS262" s="160">
        <f t="shared" si="183"/>
        <v>0</v>
      </c>
      <c r="AT262" s="164">
        <f t="shared" si="184"/>
        <v>0</v>
      </c>
      <c r="AU262" s="165">
        <f t="shared" si="185"/>
        <v>0</v>
      </c>
    </row>
    <row r="263" spans="2:47" outlineLevel="1" x14ac:dyDescent="0.35">
      <c r="B263" s="48" t="s">
        <v>76</v>
      </c>
      <c r="C263" s="62" t="s">
        <v>135</v>
      </c>
      <c r="D263" s="70">
        <v>0</v>
      </c>
      <c r="E263" s="71">
        <v>0</v>
      </c>
      <c r="F263" s="70">
        <v>0</v>
      </c>
      <c r="G263" s="138">
        <v>0</v>
      </c>
      <c r="H263" s="185">
        <f t="shared" si="168"/>
        <v>0</v>
      </c>
      <c r="I263" s="70">
        <v>0</v>
      </c>
      <c r="J263" s="138">
        <v>0</v>
      </c>
      <c r="K263" s="167">
        <f t="shared" si="169"/>
        <v>0</v>
      </c>
      <c r="L263" s="70">
        <v>0</v>
      </c>
      <c r="M263" s="138"/>
      <c r="N263" s="167">
        <f t="shared" si="170"/>
        <v>0</v>
      </c>
      <c r="O263" s="70"/>
      <c r="P263" s="138"/>
      <c r="Q263" s="167">
        <f t="shared" si="171"/>
        <v>0</v>
      </c>
      <c r="R263" s="164">
        <f t="shared" si="172"/>
        <v>0</v>
      </c>
      <c r="S263" s="165">
        <f t="shared" si="173"/>
        <v>0</v>
      </c>
      <c r="U263" s="170">
        <f t="shared" si="186"/>
        <v>0</v>
      </c>
      <c r="V263" s="6"/>
      <c r="W263" s="6"/>
      <c r="X263" s="138">
        <f t="shared" si="174"/>
        <v>0</v>
      </c>
      <c r="Y263" s="167">
        <f t="shared" si="175"/>
        <v>0</v>
      </c>
      <c r="Z263" s="170">
        <f t="shared" si="187"/>
        <v>0</v>
      </c>
      <c r="AA263" s="6"/>
      <c r="AB263" s="6"/>
      <c r="AC263" s="138">
        <f t="shared" si="176"/>
        <v>0</v>
      </c>
      <c r="AD263" s="160">
        <f t="shared" si="177"/>
        <v>0</v>
      </c>
      <c r="AE263" s="170">
        <f t="shared" si="188"/>
        <v>0</v>
      </c>
      <c r="AF263" s="6"/>
      <c r="AG263" s="6"/>
      <c r="AH263" s="138">
        <f t="shared" si="178"/>
        <v>0</v>
      </c>
      <c r="AI263" s="160">
        <f t="shared" si="179"/>
        <v>0</v>
      </c>
      <c r="AJ263" s="170">
        <f t="shared" si="189"/>
        <v>0</v>
      </c>
      <c r="AK263" s="6"/>
      <c r="AL263" s="6"/>
      <c r="AM263" s="138">
        <f t="shared" si="180"/>
        <v>0</v>
      </c>
      <c r="AN263" s="160">
        <f t="shared" si="181"/>
        <v>0</v>
      </c>
      <c r="AO263" s="170">
        <f t="shared" si="190"/>
        <v>0</v>
      </c>
      <c r="AP263" s="6"/>
      <c r="AQ263" s="6"/>
      <c r="AR263" s="138">
        <f t="shared" si="182"/>
        <v>0</v>
      </c>
      <c r="AS263" s="160">
        <f t="shared" si="183"/>
        <v>0</v>
      </c>
      <c r="AT263" s="164">
        <f t="shared" si="184"/>
        <v>0</v>
      </c>
      <c r="AU263" s="165">
        <f t="shared" si="185"/>
        <v>0</v>
      </c>
    </row>
    <row r="264" spans="2:47" outlineLevel="1" x14ac:dyDescent="0.35">
      <c r="B264" s="48" t="s">
        <v>77</v>
      </c>
      <c r="C264" s="62" t="s">
        <v>135</v>
      </c>
      <c r="D264" s="70">
        <v>0</v>
      </c>
      <c r="E264" s="71">
        <v>0</v>
      </c>
      <c r="F264" s="70">
        <v>0</v>
      </c>
      <c r="G264" s="138">
        <v>0</v>
      </c>
      <c r="H264" s="185">
        <f t="shared" si="168"/>
        <v>0</v>
      </c>
      <c r="I264" s="70">
        <v>0</v>
      </c>
      <c r="J264" s="138">
        <v>0</v>
      </c>
      <c r="K264" s="167">
        <f t="shared" si="169"/>
        <v>0</v>
      </c>
      <c r="L264" s="70">
        <v>0</v>
      </c>
      <c r="M264" s="138"/>
      <c r="N264" s="167">
        <f t="shared" si="170"/>
        <v>0</v>
      </c>
      <c r="O264" s="70"/>
      <c r="P264" s="138"/>
      <c r="Q264" s="167">
        <f t="shared" si="171"/>
        <v>0</v>
      </c>
      <c r="R264" s="164">
        <f t="shared" si="172"/>
        <v>0</v>
      </c>
      <c r="S264" s="165">
        <f t="shared" si="173"/>
        <v>0</v>
      </c>
      <c r="U264" s="170">
        <f t="shared" si="186"/>
        <v>0</v>
      </c>
      <c r="V264" s="6"/>
      <c r="W264" s="6"/>
      <c r="X264" s="138">
        <f t="shared" si="174"/>
        <v>0</v>
      </c>
      <c r="Y264" s="167">
        <f t="shared" si="175"/>
        <v>0</v>
      </c>
      <c r="Z264" s="170">
        <f t="shared" si="187"/>
        <v>0</v>
      </c>
      <c r="AA264" s="6"/>
      <c r="AB264" s="6"/>
      <c r="AC264" s="138">
        <f t="shared" si="176"/>
        <v>0</v>
      </c>
      <c r="AD264" s="160">
        <f t="shared" si="177"/>
        <v>0</v>
      </c>
      <c r="AE264" s="170">
        <f t="shared" si="188"/>
        <v>0</v>
      </c>
      <c r="AF264" s="6"/>
      <c r="AG264" s="6"/>
      <c r="AH264" s="138">
        <f t="shared" si="178"/>
        <v>0</v>
      </c>
      <c r="AI264" s="160">
        <f t="shared" si="179"/>
        <v>0</v>
      </c>
      <c r="AJ264" s="170">
        <f t="shared" si="189"/>
        <v>0</v>
      </c>
      <c r="AK264" s="6"/>
      <c r="AL264" s="6"/>
      <c r="AM264" s="138">
        <f t="shared" si="180"/>
        <v>0</v>
      </c>
      <c r="AN264" s="160">
        <f t="shared" si="181"/>
        <v>0</v>
      </c>
      <c r="AO264" s="170">
        <f t="shared" si="190"/>
        <v>0</v>
      </c>
      <c r="AP264" s="6"/>
      <c r="AQ264" s="6"/>
      <c r="AR264" s="138">
        <f t="shared" si="182"/>
        <v>0</v>
      </c>
      <c r="AS264" s="160">
        <f t="shared" si="183"/>
        <v>0</v>
      </c>
      <c r="AT264" s="164">
        <f t="shared" si="184"/>
        <v>0</v>
      </c>
      <c r="AU264" s="165">
        <f t="shared" si="185"/>
        <v>0</v>
      </c>
    </row>
    <row r="265" spans="2:47" outlineLevel="1" x14ac:dyDescent="0.35">
      <c r="B265" s="48" t="s">
        <v>78</v>
      </c>
      <c r="C265" s="62" t="s">
        <v>135</v>
      </c>
      <c r="D265" s="70">
        <v>0</v>
      </c>
      <c r="E265" s="71">
        <v>0</v>
      </c>
      <c r="F265" s="70">
        <v>0</v>
      </c>
      <c r="G265" s="138">
        <v>0</v>
      </c>
      <c r="H265" s="185">
        <f t="shared" si="168"/>
        <v>0</v>
      </c>
      <c r="I265" s="70">
        <v>0</v>
      </c>
      <c r="J265" s="138">
        <v>0</v>
      </c>
      <c r="K265" s="167">
        <f t="shared" si="169"/>
        <v>0</v>
      </c>
      <c r="L265" s="70">
        <v>0</v>
      </c>
      <c r="M265" s="138"/>
      <c r="N265" s="167">
        <f t="shared" si="170"/>
        <v>0</v>
      </c>
      <c r="O265" s="70"/>
      <c r="P265" s="138"/>
      <c r="Q265" s="167">
        <f t="shared" si="171"/>
        <v>0</v>
      </c>
      <c r="R265" s="164">
        <f t="shared" si="172"/>
        <v>0</v>
      </c>
      <c r="S265" s="165">
        <f t="shared" si="173"/>
        <v>0</v>
      </c>
      <c r="U265" s="170">
        <f t="shared" si="186"/>
        <v>1</v>
      </c>
      <c r="V265" s="6">
        <v>1</v>
      </c>
      <c r="W265" s="6"/>
      <c r="X265" s="138">
        <f t="shared" si="174"/>
        <v>1</v>
      </c>
      <c r="Y265" s="167">
        <f t="shared" si="175"/>
        <v>0</v>
      </c>
      <c r="Z265" s="170">
        <f t="shared" si="187"/>
        <v>0</v>
      </c>
      <c r="AA265" s="6"/>
      <c r="AB265" s="6"/>
      <c r="AC265" s="138">
        <f t="shared" si="176"/>
        <v>1</v>
      </c>
      <c r="AD265" s="160">
        <f t="shared" si="177"/>
        <v>0</v>
      </c>
      <c r="AE265" s="170">
        <f t="shared" si="188"/>
        <v>0</v>
      </c>
      <c r="AF265" s="6"/>
      <c r="AG265" s="6"/>
      <c r="AH265" s="138">
        <f t="shared" si="178"/>
        <v>1</v>
      </c>
      <c r="AI265" s="160">
        <f t="shared" si="179"/>
        <v>0</v>
      </c>
      <c r="AJ265" s="170">
        <f t="shared" si="189"/>
        <v>0</v>
      </c>
      <c r="AK265" s="6"/>
      <c r="AL265" s="6"/>
      <c r="AM265" s="138">
        <f t="shared" si="180"/>
        <v>1</v>
      </c>
      <c r="AN265" s="160">
        <f t="shared" si="181"/>
        <v>0</v>
      </c>
      <c r="AO265" s="170">
        <f t="shared" si="190"/>
        <v>0</v>
      </c>
      <c r="AP265" s="6"/>
      <c r="AQ265" s="6"/>
      <c r="AR265" s="138">
        <f t="shared" si="182"/>
        <v>1</v>
      </c>
      <c r="AS265" s="160">
        <f t="shared" si="183"/>
        <v>0</v>
      </c>
      <c r="AT265" s="164">
        <f t="shared" si="184"/>
        <v>1</v>
      </c>
      <c r="AU265" s="165">
        <f t="shared" si="185"/>
        <v>0</v>
      </c>
    </row>
    <row r="266" spans="2:47" outlineLevel="1" x14ac:dyDescent="0.35">
      <c r="B266" s="48" t="s">
        <v>79</v>
      </c>
      <c r="C266" s="62" t="s">
        <v>135</v>
      </c>
      <c r="D266" s="70">
        <v>0</v>
      </c>
      <c r="E266" s="71">
        <v>0</v>
      </c>
      <c r="F266" s="70">
        <v>0</v>
      </c>
      <c r="G266" s="138">
        <v>0</v>
      </c>
      <c r="H266" s="185">
        <f t="shared" si="168"/>
        <v>0</v>
      </c>
      <c r="I266" s="70">
        <v>0</v>
      </c>
      <c r="J266" s="138">
        <v>0</v>
      </c>
      <c r="K266" s="167">
        <f t="shared" si="169"/>
        <v>0</v>
      </c>
      <c r="L266" s="70">
        <v>0</v>
      </c>
      <c r="M266" s="138"/>
      <c r="N266" s="167">
        <f t="shared" si="170"/>
        <v>0</v>
      </c>
      <c r="O266" s="70"/>
      <c r="P266" s="138"/>
      <c r="Q266" s="167">
        <f t="shared" si="171"/>
        <v>0</v>
      </c>
      <c r="R266" s="164">
        <f t="shared" si="172"/>
        <v>0</v>
      </c>
      <c r="S266" s="165">
        <f t="shared" si="173"/>
        <v>0</v>
      </c>
      <c r="U266" s="170">
        <f t="shared" si="186"/>
        <v>0</v>
      </c>
      <c r="V266" s="6"/>
      <c r="W266" s="6"/>
      <c r="X266" s="138">
        <f t="shared" si="174"/>
        <v>0</v>
      </c>
      <c r="Y266" s="167">
        <f t="shared" si="175"/>
        <v>0</v>
      </c>
      <c r="Z266" s="170">
        <f t="shared" si="187"/>
        <v>0</v>
      </c>
      <c r="AA266" s="6"/>
      <c r="AB266" s="6"/>
      <c r="AC266" s="138">
        <f t="shared" si="176"/>
        <v>0</v>
      </c>
      <c r="AD266" s="160">
        <f t="shared" si="177"/>
        <v>0</v>
      </c>
      <c r="AE266" s="170">
        <f t="shared" si="188"/>
        <v>0</v>
      </c>
      <c r="AF266" s="6"/>
      <c r="AG266" s="6"/>
      <c r="AH266" s="138">
        <f t="shared" si="178"/>
        <v>0</v>
      </c>
      <c r="AI266" s="160">
        <f t="shared" si="179"/>
        <v>0</v>
      </c>
      <c r="AJ266" s="170">
        <f t="shared" si="189"/>
        <v>0</v>
      </c>
      <c r="AK266" s="6"/>
      <c r="AL266" s="6"/>
      <c r="AM266" s="138">
        <f t="shared" si="180"/>
        <v>0</v>
      </c>
      <c r="AN266" s="160">
        <f t="shared" si="181"/>
        <v>0</v>
      </c>
      <c r="AO266" s="170">
        <f t="shared" si="190"/>
        <v>0</v>
      </c>
      <c r="AP266" s="6"/>
      <c r="AQ266" s="6"/>
      <c r="AR266" s="138">
        <f t="shared" si="182"/>
        <v>0</v>
      </c>
      <c r="AS266" s="160">
        <f t="shared" si="183"/>
        <v>0</v>
      </c>
      <c r="AT266" s="164">
        <f t="shared" si="184"/>
        <v>0</v>
      </c>
      <c r="AU266" s="165">
        <f t="shared" si="185"/>
        <v>0</v>
      </c>
    </row>
    <row r="267" spans="2:47" outlineLevel="1" x14ac:dyDescent="0.35">
      <c r="B267" s="48" t="s">
        <v>80</v>
      </c>
      <c r="C267" s="62" t="s">
        <v>135</v>
      </c>
      <c r="D267" s="70">
        <v>0</v>
      </c>
      <c r="E267" s="71">
        <v>0</v>
      </c>
      <c r="F267" s="70">
        <v>0</v>
      </c>
      <c r="G267" s="138">
        <v>0</v>
      </c>
      <c r="H267" s="185">
        <f t="shared" si="168"/>
        <v>0</v>
      </c>
      <c r="I267" s="70">
        <v>0</v>
      </c>
      <c r="J267" s="138">
        <v>0</v>
      </c>
      <c r="K267" s="167">
        <f t="shared" si="169"/>
        <v>0</v>
      </c>
      <c r="L267" s="70">
        <v>0</v>
      </c>
      <c r="M267" s="138"/>
      <c r="N267" s="167">
        <f t="shared" si="170"/>
        <v>0</v>
      </c>
      <c r="O267" s="70"/>
      <c r="P267" s="138"/>
      <c r="Q267" s="167">
        <f t="shared" si="171"/>
        <v>0</v>
      </c>
      <c r="R267" s="164">
        <f t="shared" si="172"/>
        <v>0</v>
      </c>
      <c r="S267" s="165">
        <f t="shared" si="173"/>
        <v>0</v>
      </c>
      <c r="U267" s="170">
        <f t="shared" si="186"/>
        <v>0</v>
      </c>
      <c r="V267" s="6"/>
      <c r="W267" s="6"/>
      <c r="X267" s="138">
        <f t="shared" si="174"/>
        <v>0</v>
      </c>
      <c r="Y267" s="167">
        <f t="shared" si="175"/>
        <v>0</v>
      </c>
      <c r="Z267" s="170">
        <f t="shared" si="187"/>
        <v>0</v>
      </c>
      <c r="AA267" s="6"/>
      <c r="AB267" s="6"/>
      <c r="AC267" s="138">
        <f t="shared" si="176"/>
        <v>0</v>
      </c>
      <c r="AD267" s="160">
        <f t="shared" si="177"/>
        <v>0</v>
      </c>
      <c r="AE267" s="170">
        <f t="shared" si="188"/>
        <v>0</v>
      </c>
      <c r="AF267" s="6"/>
      <c r="AG267" s="6"/>
      <c r="AH267" s="138">
        <f t="shared" si="178"/>
        <v>0</v>
      </c>
      <c r="AI267" s="160">
        <f t="shared" si="179"/>
        <v>0</v>
      </c>
      <c r="AJ267" s="170">
        <f t="shared" si="189"/>
        <v>0</v>
      </c>
      <c r="AK267" s="6"/>
      <c r="AL267" s="6"/>
      <c r="AM267" s="138">
        <f t="shared" si="180"/>
        <v>0</v>
      </c>
      <c r="AN267" s="160">
        <f t="shared" si="181"/>
        <v>0</v>
      </c>
      <c r="AO267" s="170">
        <f t="shared" si="190"/>
        <v>0</v>
      </c>
      <c r="AP267" s="6"/>
      <c r="AQ267" s="6"/>
      <c r="AR267" s="138">
        <f t="shared" si="182"/>
        <v>0</v>
      </c>
      <c r="AS267" s="160">
        <f t="shared" si="183"/>
        <v>0</v>
      </c>
      <c r="AT267" s="164">
        <f t="shared" si="184"/>
        <v>0</v>
      </c>
      <c r="AU267" s="165">
        <f t="shared" si="185"/>
        <v>0</v>
      </c>
    </row>
    <row r="268" spans="2:47" outlineLevel="1" x14ac:dyDescent="0.35">
      <c r="B268" s="48" t="s">
        <v>81</v>
      </c>
      <c r="C268" s="62" t="s">
        <v>135</v>
      </c>
      <c r="D268" s="70">
        <v>0</v>
      </c>
      <c r="E268" s="71">
        <v>0</v>
      </c>
      <c r="F268" s="70">
        <v>0</v>
      </c>
      <c r="G268" s="138">
        <v>0</v>
      </c>
      <c r="H268" s="185">
        <f t="shared" si="168"/>
        <v>0</v>
      </c>
      <c r="I268" s="70">
        <v>0</v>
      </c>
      <c r="J268" s="138">
        <v>0</v>
      </c>
      <c r="K268" s="167">
        <f t="shared" si="169"/>
        <v>0</v>
      </c>
      <c r="L268" s="70">
        <v>0</v>
      </c>
      <c r="M268" s="138"/>
      <c r="N268" s="167">
        <f t="shared" si="170"/>
        <v>0</v>
      </c>
      <c r="O268" s="70"/>
      <c r="P268" s="138"/>
      <c r="Q268" s="167">
        <f t="shared" si="171"/>
        <v>0</v>
      </c>
      <c r="R268" s="164">
        <f t="shared" si="172"/>
        <v>0</v>
      </c>
      <c r="S268" s="165">
        <f t="shared" si="173"/>
        <v>0</v>
      </c>
      <c r="U268" s="170">
        <f t="shared" si="186"/>
        <v>0</v>
      </c>
      <c r="V268" s="6"/>
      <c r="W268" s="6"/>
      <c r="X268" s="138">
        <f t="shared" si="174"/>
        <v>0</v>
      </c>
      <c r="Y268" s="167">
        <f t="shared" si="175"/>
        <v>0</v>
      </c>
      <c r="Z268" s="170">
        <f t="shared" si="187"/>
        <v>0</v>
      </c>
      <c r="AA268" s="6"/>
      <c r="AB268" s="6"/>
      <c r="AC268" s="138">
        <f t="shared" si="176"/>
        <v>0</v>
      </c>
      <c r="AD268" s="160">
        <f t="shared" si="177"/>
        <v>0</v>
      </c>
      <c r="AE268" s="170">
        <f t="shared" si="188"/>
        <v>0</v>
      </c>
      <c r="AF268" s="6"/>
      <c r="AG268" s="6"/>
      <c r="AH268" s="138">
        <f t="shared" si="178"/>
        <v>0</v>
      </c>
      <c r="AI268" s="160">
        <f t="shared" si="179"/>
        <v>0</v>
      </c>
      <c r="AJ268" s="170">
        <f t="shared" si="189"/>
        <v>0</v>
      </c>
      <c r="AK268" s="6"/>
      <c r="AL268" s="6"/>
      <c r="AM268" s="138">
        <f t="shared" si="180"/>
        <v>0</v>
      </c>
      <c r="AN268" s="160">
        <f t="shared" si="181"/>
        <v>0</v>
      </c>
      <c r="AO268" s="170">
        <f t="shared" si="190"/>
        <v>0</v>
      </c>
      <c r="AP268" s="6"/>
      <c r="AQ268" s="6"/>
      <c r="AR268" s="138">
        <f t="shared" si="182"/>
        <v>0</v>
      </c>
      <c r="AS268" s="160">
        <f t="shared" si="183"/>
        <v>0</v>
      </c>
      <c r="AT268" s="164">
        <f t="shared" si="184"/>
        <v>0</v>
      </c>
      <c r="AU268" s="165">
        <f t="shared" si="185"/>
        <v>0</v>
      </c>
    </row>
    <row r="269" spans="2:47" outlineLevel="1" x14ac:dyDescent="0.35">
      <c r="B269" s="48" t="s">
        <v>82</v>
      </c>
      <c r="C269" s="62" t="s">
        <v>135</v>
      </c>
      <c r="D269" s="70">
        <v>1</v>
      </c>
      <c r="E269" s="71">
        <v>1</v>
      </c>
      <c r="F269" s="70">
        <v>0</v>
      </c>
      <c r="G269" s="138">
        <v>1</v>
      </c>
      <c r="H269" s="185">
        <f t="shared" si="168"/>
        <v>0</v>
      </c>
      <c r="I269" s="70">
        <v>0</v>
      </c>
      <c r="J269" s="138">
        <v>1</v>
      </c>
      <c r="K269" s="167">
        <f t="shared" si="169"/>
        <v>0</v>
      </c>
      <c r="L269" s="70">
        <v>0</v>
      </c>
      <c r="M269" s="138">
        <v>1</v>
      </c>
      <c r="N269" s="167">
        <f t="shared" si="170"/>
        <v>0</v>
      </c>
      <c r="O269" s="70"/>
      <c r="P269" s="138">
        <v>1</v>
      </c>
      <c r="Q269" s="167">
        <f t="shared" si="171"/>
        <v>0</v>
      </c>
      <c r="R269" s="164">
        <f t="shared" si="172"/>
        <v>1</v>
      </c>
      <c r="S269" s="165">
        <f t="shared" si="173"/>
        <v>0</v>
      </c>
      <c r="U269" s="170">
        <f t="shared" si="186"/>
        <v>0</v>
      </c>
      <c r="V269" s="6"/>
      <c r="W269" s="6"/>
      <c r="X269" s="138">
        <f t="shared" si="174"/>
        <v>1</v>
      </c>
      <c r="Y269" s="167">
        <f t="shared" si="175"/>
        <v>0</v>
      </c>
      <c r="Z269" s="170">
        <f t="shared" si="187"/>
        <v>0</v>
      </c>
      <c r="AA269" s="6"/>
      <c r="AB269" s="6"/>
      <c r="AC269" s="138">
        <f t="shared" si="176"/>
        <v>1</v>
      </c>
      <c r="AD269" s="160">
        <f t="shared" si="177"/>
        <v>0</v>
      </c>
      <c r="AE269" s="170">
        <f t="shared" si="188"/>
        <v>0</v>
      </c>
      <c r="AF269" s="6"/>
      <c r="AG269" s="6"/>
      <c r="AH269" s="138">
        <f t="shared" si="178"/>
        <v>1</v>
      </c>
      <c r="AI269" s="160">
        <f t="shared" si="179"/>
        <v>0</v>
      </c>
      <c r="AJ269" s="170">
        <f t="shared" si="189"/>
        <v>0</v>
      </c>
      <c r="AK269" s="6"/>
      <c r="AL269" s="6"/>
      <c r="AM269" s="138">
        <f t="shared" si="180"/>
        <v>1</v>
      </c>
      <c r="AN269" s="160">
        <f t="shared" si="181"/>
        <v>0</v>
      </c>
      <c r="AO269" s="170">
        <f t="shared" si="190"/>
        <v>0</v>
      </c>
      <c r="AP269" s="6"/>
      <c r="AQ269" s="6"/>
      <c r="AR269" s="138">
        <f t="shared" si="182"/>
        <v>1</v>
      </c>
      <c r="AS269" s="160">
        <f t="shared" si="183"/>
        <v>0</v>
      </c>
      <c r="AT269" s="164">
        <f t="shared" si="184"/>
        <v>0</v>
      </c>
      <c r="AU269" s="165">
        <f t="shared" si="185"/>
        <v>0</v>
      </c>
    </row>
    <row r="270" spans="2:47" outlineLevel="1" x14ac:dyDescent="0.35">
      <c r="B270" s="48" t="s">
        <v>83</v>
      </c>
      <c r="C270" s="62" t="s">
        <v>135</v>
      </c>
      <c r="D270" s="70">
        <v>0</v>
      </c>
      <c r="E270" s="71">
        <v>0</v>
      </c>
      <c r="F270" s="70">
        <v>0</v>
      </c>
      <c r="G270" s="138">
        <v>0</v>
      </c>
      <c r="H270" s="185">
        <f t="shared" si="168"/>
        <v>0</v>
      </c>
      <c r="I270" s="70">
        <v>0</v>
      </c>
      <c r="J270" s="138">
        <v>0</v>
      </c>
      <c r="K270" s="167">
        <f t="shared" si="169"/>
        <v>0</v>
      </c>
      <c r="L270" s="70">
        <v>0</v>
      </c>
      <c r="M270" s="138"/>
      <c r="N270" s="167">
        <f t="shared" si="170"/>
        <v>0</v>
      </c>
      <c r="O270" s="70"/>
      <c r="P270" s="138"/>
      <c r="Q270" s="167">
        <f t="shared" si="171"/>
        <v>0</v>
      </c>
      <c r="R270" s="164">
        <f t="shared" si="172"/>
        <v>0</v>
      </c>
      <c r="S270" s="165">
        <f t="shared" si="173"/>
        <v>0</v>
      </c>
      <c r="U270" s="170">
        <f t="shared" si="186"/>
        <v>0</v>
      </c>
      <c r="V270" s="6"/>
      <c r="W270" s="6"/>
      <c r="X270" s="138">
        <f t="shared" si="174"/>
        <v>0</v>
      </c>
      <c r="Y270" s="167">
        <f t="shared" si="175"/>
        <v>0</v>
      </c>
      <c r="Z270" s="170">
        <f t="shared" si="187"/>
        <v>0</v>
      </c>
      <c r="AA270" s="6"/>
      <c r="AB270" s="6"/>
      <c r="AC270" s="138">
        <f t="shared" si="176"/>
        <v>0</v>
      </c>
      <c r="AD270" s="160">
        <f t="shared" si="177"/>
        <v>0</v>
      </c>
      <c r="AE270" s="170">
        <f t="shared" si="188"/>
        <v>0</v>
      </c>
      <c r="AF270" s="6"/>
      <c r="AG270" s="6"/>
      <c r="AH270" s="138">
        <f t="shared" si="178"/>
        <v>0</v>
      </c>
      <c r="AI270" s="160">
        <f t="shared" si="179"/>
        <v>0</v>
      </c>
      <c r="AJ270" s="170">
        <f t="shared" si="189"/>
        <v>0</v>
      </c>
      <c r="AK270" s="6"/>
      <c r="AL270" s="6"/>
      <c r="AM270" s="138">
        <f t="shared" si="180"/>
        <v>0</v>
      </c>
      <c r="AN270" s="160">
        <f t="shared" si="181"/>
        <v>0</v>
      </c>
      <c r="AO270" s="170">
        <f t="shared" si="190"/>
        <v>0</v>
      </c>
      <c r="AP270" s="6"/>
      <c r="AQ270" s="6"/>
      <c r="AR270" s="138">
        <f t="shared" si="182"/>
        <v>0</v>
      </c>
      <c r="AS270" s="160">
        <f t="shared" si="183"/>
        <v>0</v>
      </c>
      <c r="AT270" s="164">
        <f t="shared" si="184"/>
        <v>0</v>
      </c>
      <c r="AU270" s="165">
        <f t="shared" si="185"/>
        <v>0</v>
      </c>
    </row>
    <row r="271" spans="2:47" outlineLevel="1" x14ac:dyDescent="0.35">
      <c r="B271" s="48" t="s">
        <v>84</v>
      </c>
      <c r="C271" s="62" t="s">
        <v>135</v>
      </c>
      <c r="D271" s="70">
        <v>0</v>
      </c>
      <c r="E271" s="71">
        <v>0</v>
      </c>
      <c r="F271" s="70">
        <v>0</v>
      </c>
      <c r="G271" s="138">
        <v>0</v>
      </c>
      <c r="H271" s="185">
        <f t="shared" si="168"/>
        <v>0</v>
      </c>
      <c r="I271" s="70">
        <v>0</v>
      </c>
      <c r="J271" s="138">
        <v>0</v>
      </c>
      <c r="K271" s="167">
        <f t="shared" si="169"/>
        <v>0</v>
      </c>
      <c r="L271" s="70">
        <v>0</v>
      </c>
      <c r="M271" s="138"/>
      <c r="N271" s="167">
        <f t="shared" si="170"/>
        <v>0</v>
      </c>
      <c r="O271" s="70"/>
      <c r="P271" s="138"/>
      <c r="Q271" s="167">
        <f t="shared" si="171"/>
        <v>0</v>
      </c>
      <c r="R271" s="164">
        <f t="shared" si="172"/>
        <v>0</v>
      </c>
      <c r="S271" s="165">
        <f t="shared" si="173"/>
        <v>0</v>
      </c>
      <c r="U271" s="170">
        <f t="shared" si="186"/>
        <v>0</v>
      </c>
      <c r="V271" s="6"/>
      <c r="W271" s="6"/>
      <c r="X271" s="138">
        <f t="shared" si="174"/>
        <v>0</v>
      </c>
      <c r="Y271" s="167">
        <f t="shared" si="175"/>
        <v>0</v>
      </c>
      <c r="Z271" s="170">
        <f t="shared" si="187"/>
        <v>0</v>
      </c>
      <c r="AA271" s="6"/>
      <c r="AB271" s="6"/>
      <c r="AC271" s="138">
        <f t="shared" si="176"/>
        <v>0</v>
      </c>
      <c r="AD271" s="160">
        <f t="shared" si="177"/>
        <v>0</v>
      </c>
      <c r="AE271" s="170">
        <f t="shared" si="188"/>
        <v>0</v>
      </c>
      <c r="AF271" s="6"/>
      <c r="AG271" s="6"/>
      <c r="AH271" s="138">
        <f t="shared" si="178"/>
        <v>0</v>
      </c>
      <c r="AI271" s="160">
        <f t="shared" si="179"/>
        <v>0</v>
      </c>
      <c r="AJ271" s="170">
        <f t="shared" si="189"/>
        <v>0</v>
      </c>
      <c r="AK271" s="6"/>
      <c r="AL271" s="6"/>
      <c r="AM271" s="138">
        <f t="shared" si="180"/>
        <v>0</v>
      </c>
      <c r="AN271" s="160">
        <f t="shared" si="181"/>
        <v>0</v>
      </c>
      <c r="AO271" s="170">
        <f t="shared" si="190"/>
        <v>0</v>
      </c>
      <c r="AP271" s="6"/>
      <c r="AQ271" s="6"/>
      <c r="AR271" s="138">
        <f t="shared" si="182"/>
        <v>0</v>
      </c>
      <c r="AS271" s="160">
        <f t="shared" si="183"/>
        <v>0</v>
      </c>
      <c r="AT271" s="164">
        <f t="shared" si="184"/>
        <v>0</v>
      </c>
      <c r="AU271" s="165">
        <f t="shared" si="185"/>
        <v>0</v>
      </c>
    </row>
    <row r="272" spans="2:47" outlineLevel="1" x14ac:dyDescent="0.35">
      <c r="B272" s="48" t="s">
        <v>85</v>
      </c>
      <c r="C272" s="62" t="s">
        <v>135</v>
      </c>
      <c r="D272" s="70">
        <v>0</v>
      </c>
      <c r="E272" s="71">
        <v>0</v>
      </c>
      <c r="F272" s="70">
        <v>0</v>
      </c>
      <c r="G272" s="138">
        <v>0</v>
      </c>
      <c r="H272" s="185">
        <f t="shared" si="168"/>
        <v>0</v>
      </c>
      <c r="I272" s="70">
        <v>0</v>
      </c>
      <c r="J272" s="138">
        <v>0</v>
      </c>
      <c r="K272" s="167">
        <f t="shared" si="169"/>
        <v>0</v>
      </c>
      <c r="L272" s="70">
        <v>0</v>
      </c>
      <c r="M272" s="138"/>
      <c r="N272" s="167">
        <f t="shared" si="170"/>
        <v>0</v>
      </c>
      <c r="O272" s="70"/>
      <c r="P272" s="138"/>
      <c r="Q272" s="167">
        <f t="shared" si="171"/>
        <v>0</v>
      </c>
      <c r="R272" s="164">
        <f t="shared" si="172"/>
        <v>0</v>
      </c>
      <c r="S272" s="165">
        <f t="shared" si="173"/>
        <v>0</v>
      </c>
      <c r="U272" s="170">
        <f t="shared" si="186"/>
        <v>0</v>
      </c>
      <c r="V272" s="6"/>
      <c r="W272" s="6"/>
      <c r="X272" s="138">
        <f t="shared" si="174"/>
        <v>0</v>
      </c>
      <c r="Y272" s="167">
        <f t="shared" si="175"/>
        <v>0</v>
      </c>
      <c r="Z272" s="170">
        <f t="shared" si="187"/>
        <v>0</v>
      </c>
      <c r="AA272" s="6"/>
      <c r="AB272" s="6"/>
      <c r="AC272" s="138">
        <f t="shared" si="176"/>
        <v>0</v>
      </c>
      <c r="AD272" s="160">
        <f t="shared" si="177"/>
        <v>0</v>
      </c>
      <c r="AE272" s="170">
        <f t="shared" si="188"/>
        <v>0</v>
      </c>
      <c r="AF272" s="6"/>
      <c r="AG272" s="6"/>
      <c r="AH272" s="138">
        <f t="shared" si="178"/>
        <v>0</v>
      </c>
      <c r="AI272" s="160">
        <f t="shared" si="179"/>
        <v>0</v>
      </c>
      <c r="AJ272" s="170">
        <f t="shared" si="189"/>
        <v>0</v>
      </c>
      <c r="AK272" s="6"/>
      <c r="AL272" s="6"/>
      <c r="AM272" s="138">
        <f t="shared" si="180"/>
        <v>0</v>
      </c>
      <c r="AN272" s="160">
        <f t="shared" si="181"/>
        <v>0</v>
      </c>
      <c r="AO272" s="170">
        <f t="shared" si="190"/>
        <v>0</v>
      </c>
      <c r="AP272" s="6"/>
      <c r="AQ272" s="6"/>
      <c r="AR272" s="138">
        <f t="shared" si="182"/>
        <v>0</v>
      </c>
      <c r="AS272" s="160">
        <f t="shared" si="183"/>
        <v>0</v>
      </c>
      <c r="AT272" s="164">
        <f t="shared" si="184"/>
        <v>0</v>
      </c>
      <c r="AU272" s="165">
        <f t="shared" si="185"/>
        <v>0</v>
      </c>
    </row>
    <row r="273" spans="2:47" outlineLevel="1" x14ac:dyDescent="0.35">
      <c r="B273" s="48" t="s">
        <v>86</v>
      </c>
      <c r="C273" s="62" t="s">
        <v>135</v>
      </c>
      <c r="D273" s="70">
        <v>0</v>
      </c>
      <c r="E273" s="71">
        <v>0</v>
      </c>
      <c r="F273" s="70">
        <v>0</v>
      </c>
      <c r="G273" s="138">
        <v>0</v>
      </c>
      <c r="H273" s="185">
        <f t="shared" si="168"/>
        <v>0</v>
      </c>
      <c r="I273" s="70">
        <v>0</v>
      </c>
      <c r="J273" s="138">
        <v>0</v>
      </c>
      <c r="K273" s="167">
        <f t="shared" si="169"/>
        <v>0</v>
      </c>
      <c r="L273" s="70">
        <v>0</v>
      </c>
      <c r="M273" s="138"/>
      <c r="N273" s="167">
        <f t="shared" si="170"/>
        <v>0</v>
      </c>
      <c r="O273" s="70"/>
      <c r="P273" s="138"/>
      <c r="Q273" s="167">
        <f t="shared" si="171"/>
        <v>0</v>
      </c>
      <c r="R273" s="164">
        <f t="shared" si="172"/>
        <v>0</v>
      </c>
      <c r="S273" s="165">
        <f t="shared" si="173"/>
        <v>0</v>
      </c>
      <c r="U273" s="170">
        <f t="shared" si="186"/>
        <v>0</v>
      </c>
      <c r="V273" s="6"/>
      <c r="W273" s="6"/>
      <c r="X273" s="138">
        <f t="shared" si="174"/>
        <v>0</v>
      </c>
      <c r="Y273" s="167">
        <f t="shared" si="175"/>
        <v>0</v>
      </c>
      <c r="Z273" s="170">
        <f t="shared" si="187"/>
        <v>0</v>
      </c>
      <c r="AA273" s="6"/>
      <c r="AB273" s="6"/>
      <c r="AC273" s="138">
        <f t="shared" si="176"/>
        <v>0</v>
      </c>
      <c r="AD273" s="160">
        <f t="shared" si="177"/>
        <v>0</v>
      </c>
      <c r="AE273" s="170">
        <f t="shared" si="188"/>
        <v>0</v>
      </c>
      <c r="AF273" s="6"/>
      <c r="AG273" s="6"/>
      <c r="AH273" s="138">
        <f t="shared" si="178"/>
        <v>0</v>
      </c>
      <c r="AI273" s="160">
        <f t="shared" si="179"/>
        <v>0</v>
      </c>
      <c r="AJ273" s="170">
        <f t="shared" si="189"/>
        <v>0</v>
      </c>
      <c r="AK273" s="6"/>
      <c r="AL273" s="6"/>
      <c r="AM273" s="138">
        <f t="shared" si="180"/>
        <v>0</v>
      </c>
      <c r="AN273" s="160">
        <f t="shared" si="181"/>
        <v>0</v>
      </c>
      <c r="AO273" s="170">
        <f t="shared" si="190"/>
        <v>0</v>
      </c>
      <c r="AP273" s="6"/>
      <c r="AQ273" s="6"/>
      <c r="AR273" s="138">
        <f t="shared" si="182"/>
        <v>0</v>
      </c>
      <c r="AS273" s="160">
        <f t="shared" si="183"/>
        <v>0</v>
      </c>
      <c r="AT273" s="164">
        <f t="shared" si="184"/>
        <v>0</v>
      </c>
      <c r="AU273" s="165">
        <f t="shared" si="185"/>
        <v>0</v>
      </c>
    </row>
    <row r="274" spans="2:47" outlineLevel="1" x14ac:dyDescent="0.35">
      <c r="B274" s="48" t="s">
        <v>87</v>
      </c>
      <c r="C274" s="62" t="s">
        <v>135</v>
      </c>
      <c r="D274" s="70">
        <v>0</v>
      </c>
      <c r="E274" s="71">
        <v>0</v>
      </c>
      <c r="F274" s="70">
        <v>0</v>
      </c>
      <c r="G274" s="138">
        <v>0</v>
      </c>
      <c r="H274" s="185">
        <f t="shared" si="168"/>
        <v>0</v>
      </c>
      <c r="I274" s="70">
        <v>0</v>
      </c>
      <c r="J274" s="138">
        <v>0</v>
      </c>
      <c r="K274" s="167">
        <f t="shared" si="169"/>
        <v>0</v>
      </c>
      <c r="L274" s="70">
        <v>0</v>
      </c>
      <c r="M274" s="138"/>
      <c r="N274" s="167">
        <f t="shared" si="170"/>
        <v>0</v>
      </c>
      <c r="O274" s="70"/>
      <c r="P274" s="138"/>
      <c r="Q274" s="167">
        <f t="shared" si="171"/>
        <v>0</v>
      </c>
      <c r="R274" s="164">
        <f t="shared" si="172"/>
        <v>0</v>
      </c>
      <c r="S274" s="165">
        <f t="shared" si="173"/>
        <v>0</v>
      </c>
      <c r="U274" s="170">
        <f t="shared" si="186"/>
        <v>0</v>
      </c>
      <c r="V274" s="6"/>
      <c r="W274" s="6"/>
      <c r="X274" s="138">
        <f t="shared" si="174"/>
        <v>0</v>
      </c>
      <c r="Y274" s="167">
        <f t="shared" si="175"/>
        <v>0</v>
      </c>
      <c r="Z274" s="170">
        <f t="shared" si="187"/>
        <v>0</v>
      </c>
      <c r="AA274" s="6"/>
      <c r="AB274" s="6"/>
      <c r="AC274" s="138">
        <f t="shared" si="176"/>
        <v>0</v>
      </c>
      <c r="AD274" s="160">
        <f t="shared" si="177"/>
        <v>0</v>
      </c>
      <c r="AE274" s="170">
        <f t="shared" si="188"/>
        <v>0</v>
      </c>
      <c r="AF274" s="6"/>
      <c r="AG274" s="6"/>
      <c r="AH274" s="138">
        <f t="shared" si="178"/>
        <v>0</v>
      </c>
      <c r="AI274" s="160">
        <f t="shared" si="179"/>
        <v>0</v>
      </c>
      <c r="AJ274" s="170">
        <f t="shared" si="189"/>
        <v>0</v>
      </c>
      <c r="AK274" s="6"/>
      <c r="AL274" s="6"/>
      <c r="AM274" s="138">
        <f t="shared" si="180"/>
        <v>0</v>
      </c>
      <c r="AN274" s="160">
        <f t="shared" si="181"/>
        <v>0</v>
      </c>
      <c r="AO274" s="170">
        <f t="shared" si="190"/>
        <v>0</v>
      </c>
      <c r="AP274" s="6"/>
      <c r="AQ274" s="6"/>
      <c r="AR274" s="138">
        <f t="shared" si="182"/>
        <v>0</v>
      </c>
      <c r="AS274" s="160">
        <f t="shared" si="183"/>
        <v>0</v>
      </c>
      <c r="AT274" s="164">
        <f t="shared" si="184"/>
        <v>0</v>
      </c>
      <c r="AU274" s="165">
        <f t="shared" si="185"/>
        <v>0</v>
      </c>
    </row>
    <row r="275" spans="2:47" outlineLevel="1" x14ac:dyDescent="0.35">
      <c r="B275" s="48" t="s">
        <v>88</v>
      </c>
      <c r="C275" s="62" t="s">
        <v>135</v>
      </c>
      <c r="D275" s="70">
        <v>0</v>
      </c>
      <c r="E275" s="71">
        <v>0</v>
      </c>
      <c r="F275" s="70">
        <v>0</v>
      </c>
      <c r="G275" s="138">
        <v>0</v>
      </c>
      <c r="H275" s="185">
        <f t="shared" si="168"/>
        <v>0</v>
      </c>
      <c r="I275" s="70">
        <v>0</v>
      </c>
      <c r="J275" s="138">
        <v>0</v>
      </c>
      <c r="K275" s="167">
        <f t="shared" si="169"/>
        <v>0</v>
      </c>
      <c r="L275" s="70">
        <v>0</v>
      </c>
      <c r="M275" s="138"/>
      <c r="N275" s="167">
        <f t="shared" si="170"/>
        <v>0</v>
      </c>
      <c r="O275" s="70"/>
      <c r="P275" s="138"/>
      <c r="Q275" s="167">
        <f t="shared" si="171"/>
        <v>0</v>
      </c>
      <c r="R275" s="164">
        <f t="shared" si="172"/>
        <v>0</v>
      </c>
      <c r="S275" s="165">
        <f t="shared" si="173"/>
        <v>0</v>
      </c>
      <c r="U275" s="170">
        <f t="shared" si="186"/>
        <v>0</v>
      </c>
      <c r="V275" s="6"/>
      <c r="W275" s="6"/>
      <c r="X275" s="138">
        <f t="shared" si="174"/>
        <v>0</v>
      </c>
      <c r="Y275" s="167">
        <f t="shared" si="175"/>
        <v>0</v>
      </c>
      <c r="Z275" s="170">
        <f t="shared" si="187"/>
        <v>0</v>
      </c>
      <c r="AA275" s="6"/>
      <c r="AB275" s="6"/>
      <c r="AC275" s="138">
        <f t="shared" si="176"/>
        <v>0</v>
      </c>
      <c r="AD275" s="160">
        <f t="shared" si="177"/>
        <v>0</v>
      </c>
      <c r="AE275" s="170">
        <f t="shared" si="188"/>
        <v>0</v>
      </c>
      <c r="AF275" s="6"/>
      <c r="AG275" s="6"/>
      <c r="AH275" s="138">
        <f t="shared" si="178"/>
        <v>0</v>
      </c>
      <c r="AI275" s="160">
        <f t="shared" si="179"/>
        <v>0</v>
      </c>
      <c r="AJ275" s="170">
        <f t="shared" si="189"/>
        <v>0</v>
      </c>
      <c r="AK275" s="6"/>
      <c r="AL275" s="6"/>
      <c r="AM275" s="138">
        <f t="shared" si="180"/>
        <v>0</v>
      </c>
      <c r="AN275" s="160">
        <f t="shared" si="181"/>
        <v>0</v>
      </c>
      <c r="AO275" s="170">
        <f t="shared" si="190"/>
        <v>0</v>
      </c>
      <c r="AP275" s="6"/>
      <c r="AQ275" s="6"/>
      <c r="AR275" s="138">
        <f t="shared" si="182"/>
        <v>0</v>
      </c>
      <c r="AS275" s="160">
        <f t="shared" si="183"/>
        <v>0</v>
      </c>
      <c r="AT275" s="164">
        <f t="shared" si="184"/>
        <v>0</v>
      </c>
      <c r="AU275" s="165">
        <f t="shared" si="185"/>
        <v>0</v>
      </c>
    </row>
    <row r="276" spans="2:47" outlineLevel="1" x14ac:dyDescent="0.35">
      <c r="B276" s="48" t="s">
        <v>89</v>
      </c>
      <c r="C276" s="62" t="s">
        <v>135</v>
      </c>
      <c r="D276" s="70">
        <v>0</v>
      </c>
      <c r="E276" s="71">
        <v>0</v>
      </c>
      <c r="F276" s="70">
        <v>0</v>
      </c>
      <c r="G276" s="138">
        <v>0</v>
      </c>
      <c r="H276" s="185">
        <f t="shared" si="168"/>
        <v>0</v>
      </c>
      <c r="I276" s="70">
        <v>0</v>
      </c>
      <c r="J276" s="138">
        <v>0</v>
      </c>
      <c r="K276" s="167">
        <f t="shared" si="169"/>
        <v>0</v>
      </c>
      <c r="L276" s="70">
        <v>0</v>
      </c>
      <c r="M276" s="138"/>
      <c r="N276" s="167">
        <f t="shared" si="170"/>
        <v>0</v>
      </c>
      <c r="O276" s="70"/>
      <c r="P276" s="138"/>
      <c r="Q276" s="167">
        <f t="shared" si="171"/>
        <v>0</v>
      </c>
      <c r="R276" s="164">
        <f t="shared" si="172"/>
        <v>0</v>
      </c>
      <c r="S276" s="165">
        <f t="shared" si="173"/>
        <v>0</v>
      </c>
      <c r="U276" s="170">
        <f t="shared" si="186"/>
        <v>0</v>
      </c>
      <c r="V276" s="6"/>
      <c r="W276" s="6"/>
      <c r="X276" s="138">
        <f t="shared" si="174"/>
        <v>0</v>
      </c>
      <c r="Y276" s="167">
        <f t="shared" si="175"/>
        <v>0</v>
      </c>
      <c r="Z276" s="170">
        <f t="shared" si="187"/>
        <v>0</v>
      </c>
      <c r="AA276" s="6"/>
      <c r="AB276" s="6"/>
      <c r="AC276" s="138">
        <f t="shared" si="176"/>
        <v>0</v>
      </c>
      <c r="AD276" s="160">
        <f t="shared" si="177"/>
        <v>0</v>
      </c>
      <c r="AE276" s="170">
        <f t="shared" si="188"/>
        <v>0</v>
      </c>
      <c r="AF276" s="6"/>
      <c r="AG276" s="6"/>
      <c r="AH276" s="138">
        <f t="shared" si="178"/>
        <v>0</v>
      </c>
      <c r="AI276" s="160">
        <f t="shared" si="179"/>
        <v>0</v>
      </c>
      <c r="AJ276" s="170">
        <f t="shared" si="189"/>
        <v>0</v>
      </c>
      <c r="AK276" s="6"/>
      <c r="AL276" s="6"/>
      <c r="AM276" s="138">
        <f t="shared" si="180"/>
        <v>0</v>
      </c>
      <c r="AN276" s="160">
        <f t="shared" si="181"/>
        <v>0</v>
      </c>
      <c r="AO276" s="170">
        <f t="shared" si="190"/>
        <v>0</v>
      </c>
      <c r="AP276" s="6"/>
      <c r="AQ276" s="6"/>
      <c r="AR276" s="138">
        <f t="shared" si="182"/>
        <v>0</v>
      </c>
      <c r="AS276" s="160">
        <f t="shared" si="183"/>
        <v>0</v>
      </c>
      <c r="AT276" s="164">
        <f t="shared" si="184"/>
        <v>0</v>
      </c>
      <c r="AU276" s="165">
        <f t="shared" si="185"/>
        <v>0</v>
      </c>
    </row>
    <row r="277" spans="2:47" outlineLevel="1" x14ac:dyDescent="0.35">
      <c r="B277" s="48" t="s">
        <v>90</v>
      </c>
      <c r="C277" s="62" t="s">
        <v>135</v>
      </c>
      <c r="D277" s="70">
        <v>0</v>
      </c>
      <c r="E277" s="71">
        <v>0</v>
      </c>
      <c r="F277" s="70">
        <v>0</v>
      </c>
      <c r="G277" s="138">
        <v>0</v>
      </c>
      <c r="H277" s="185">
        <f t="shared" si="168"/>
        <v>0</v>
      </c>
      <c r="I277" s="70">
        <v>0</v>
      </c>
      <c r="J277" s="138">
        <v>0</v>
      </c>
      <c r="K277" s="167">
        <f t="shared" si="169"/>
        <v>0</v>
      </c>
      <c r="L277" s="70">
        <v>0</v>
      </c>
      <c r="M277" s="138"/>
      <c r="N277" s="167">
        <f t="shared" si="170"/>
        <v>0</v>
      </c>
      <c r="O277" s="70"/>
      <c r="P277" s="138"/>
      <c r="Q277" s="167">
        <f t="shared" si="171"/>
        <v>0</v>
      </c>
      <c r="R277" s="164">
        <f t="shared" si="172"/>
        <v>0</v>
      </c>
      <c r="S277" s="165">
        <f t="shared" si="173"/>
        <v>0</v>
      </c>
      <c r="U277" s="170">
        <f t="shared" si="186"/>
        <v>0</v>
      </c>
      <c r="V277" s="6"/>
      <c r="W277" s="6"/>
      <c r="X277" s="138">
        <f t="shared" si="174"/>
        <v>0</v>
      </c>
      <c r="Y277" s="167">
        <f t="shared" si="175"/>
        <v>0</v>
      </c>
      <c r="Z277" s="170">
        <f t="shared" si="187"/>
        <v>0</v>
      </c>
      <c r="AA277" s="6"/>
      <c r="AB277" s="6"/>
      <c r="AC277" s="138">
        <f t="shared" si="176"/>
        <v>0</v>
      </c>
      <c r="AD277" s="160">
        <f t="shared" si="177"/>
        <v>0</v>
      </c>
      <c r="AE277" s="170">
        <f t="shared" si="188"/>
        <v>0</v>
      </c>
      <c r="AF277" s="6"/>
      <c r="AG277" s="6"/>
      <c r="AH277" s="138">
        <f t="shared" si="178"/>
        <v>0</v>
      </c>
      <c r="AI277" s="160">
        <f t="shared" si="179"/>
        <v>0</v>
      </c>
      <c r="AJ277" s="170">
        <f t="shared" si="189"/>
        <v>0</v>
      </c>
      <c r="AK277" s="6"/>
      <c r="AL277" s="6"/>
      <c r="AM277" s="138">
        <f t="shared" si="180"/>
        <v>0</v>
      </c>
      <c r="AN277" s="160">
        <f t="shared" si="181"/>
        <v>0</v>
      </c>
      <c r="AO277" s="170">
        <f t="shared" si="190"/>
        <v>0</v>
      </c>
      <c r="AP277" s="6"/>
      <c r="AQ277" s="6"/>
      <c r="AR277" s="138">
        <f t="shared" si="182"/>
        <v>0</v>
      </c>
      <c r="AS277" s="160">
        <f t="shared" si="183"/>
        <v>0</v>
      </c>
      <c r="AT277" s="164">
        <f t="shared" si="184"/>
        <v>0</v>
      </c>
      <c r="AU277" s="165">
        <f t="shared" si="185"/>
        <v>0</v>
      </c>
    </row>
    <row r="278" spans="2:47" outlineLevel="1" x14ac:dyDescent="0.35">
      <c r="B278" s="48" t="s">
        <v>91</v>
      </c>
      <c r="C278" s="62" t="s">
        <v>135</v>
      </c>
      <c r="D278" s="70">
        <v>0</v>
      </c>
      <c r="E278" s="71">
        <v>0</v>
      </c>
      <c r="F278" s="70">
        <v>0</v>
      </c>
      <c r="G278" s="138">
        <v>0</v>
      </c>
      <c r="H278" s="185">
        <f t="shared" si="168"/>
        <v>0</v>
      </c>
      <c r="I278" s="70">
        <v>0</v>
      </c>
      <c r="J278" s="138">
        <v>0</v>
      </c>
      <c r="K278" s="167">
        <f t="shared" si="169"/>
        <v>0</v>
      </c>
      <c r="L278" s="70">
        <v>0</v>
      </c>
      <c r="M278" s="138"/>
      <c r="N278" s="167">
        <f t="shared" si="170"/>
        <v>0</v>
      </c>
      <c r="O278" s="70"/>
      <c r="P278" s="138"/>
      <c r="Q278" s="167">
        <f t="shared" si="171"/>
        <v>0</v>
      </c>
      <c r="R278" s="164">
        <f t="shared" si="172"/>
        <v>0</v>
      </c>
      <c r="S278" s="165">
        <f t="shared" si="173"/>
        <v>0</v>
      </c>
      <c r="U278" s="170">
        <f t="shared" si="186"/>
        <v>0</v>
      </c>
      <c r="V278" s="6"/>
      <c r="W278" s="6"/>
      <c r="X278" s="138">
        <f t="shared" si="174"/>
        <v>0</v>
      </c>
      <c r="Y278" s="167">
        <f t="shared" si="175"/>
        <v>0</v>
      </c>
      <c r="Z278" s="170">
        <f t="shared" si="187"/>
        <v>0</v>
      </c>
      <c r="AA278" s="6"/>
      <c r="AB278" s="6"/>
      <c r="AC278" s="138">
        <f t="shared" si="176"/>
        <v>0</v>
      </c>
      <c r="AD278" s="160">
        <f t="shared" si="177"/>
        <v>0</v>
      </c>
      <c r="AE278" s="170">
        <f t="shared" si="188"/>
        <v>0</v>
      </c>
      <c r="AF278" s="6"/>
      <c r="AG278" s="6"/>
      <c r="AH278" s="138">
        <f t="shared" si="178"/>
        <v>0</v>
      </c>
      <c r="AI278" s="160">
        <f t="shared" si="179"/>
        <v>0</v>
      </c>
      <c r="AJ278" s="170">
        <f t="shared" si="189"/>
        <v>0</v>
      </c>
      <c r="AK278" s="6"/>
      <c r="AL278" s="6"/>
      <c r="AM278" s="138">
        <f t="shared" si="180"/>
        <v>0</v>
      </c>
      <c r="AN278" s="160">
        <f t="shared" si="181"/>
        <v>0</v>
      </c>
      <c r="AO278" s="170">
        <f t="shared" si="190"/>
        <v>0</v>
      </c>
      <c r="AP278" s="6"/>
      <c r="AQ278" s="6"/>
      <c r="AR278" s="138">
        <f t="shared" si="182"/>
        <v>0</v>
      </c>
      <c r="AS278" s="160">
        <f t="shared" si="183"/>
        <v>0</v>
      </c>
      <c r="AT278" s="164">
        <f t="shared" si="184"/>
        <v>0</v>
      </c>
      <c r="AU278" s="165">
        <f t="shared" si="185"/>
        <v>0</v>
      </c>
    </row>
    <row r="279" spans="2:47" outlineLevel="1" x14ac:dyDescent="0.35">
      <c r="B279" s="48" t="s">
        <v>92</v>
      </c>
      <c r="C279" s="62" t="s">
        <v>135</v>
      </c>
      <c r="D279" s="70">
        <v>0</v>
      </c>
      <c r="E279" s="71">
        <v>0</v>
      </c>
      <c r="F279" s="70">
        <v>0</v>
      </c>
      <c r="G279" s="138">
        <v>0</v>
      </c>
      <c r="H279" s="185">
        <f t="shared" si="168"/>
        <v>0</v>
      </c>
      <c r="I279" s="70">
        <v>0</v>
      </c>
      <c r="J279" s="138">
        <v>0</v>
      </c>
      <c r="K279" s="167">
        <f t="shared" si="169"/>
        <v>0</v>
      </c>
      <c r="L279" s="70">
        <v>0</v>
      </c>
      <c r="M279" s="138"/>
      <c r="N279" s="167">
        <f t="shared" si="170"/>
        <v>0</v>
      </c>
      <c r="O279" s="70"/>
      <c r="P279" s="138"/>
      <c r="Q279" s="167">
        <f t="shared" si="171"/>
        <v>0</v>
      </c>
      <c r="R279" s="164">
        <f t="shared" si="172"/>
        <v>0</v>
      </c>
      <c r="S279" s="165">
        <f t="shared" si="173"/>
        <v>0</v>
      </c>
      <c r="U279" s="170">
        <f t="shared" si="186"/>
        <v>0</v>
      </c>
      <c r="V279" s="6"/>
      <c r="W279" s="6"/>
      <c r="X279" s="138">
        <f t="shared" si="174"/>
        <v>0</v>
      </c>
      <c r="Y279" s="167">
        <f t="shared" si="175"/>
        <v>0</v>
      </c>
      <c r="Z279" s="170">
        <f t="shared" si="187"/>
        <v>0</v>
      </c>
      <c r="AA279" s="6"/>
      <c r="AB279" s="6"/>
      <c r="AC279" s="138">
        <f t="shared" si="176"/>
        <v>0</v>
      </c>
      <c r="AD279" s="160">
        <f t="shared" si="177"/>
        <v>0</v>
      </c>
      <c r="AE279" s="170">
        <f t="shared" si="188"/>
        <v>0</v>
      </c>
      <c r="AF279" s="6"/>
      <c r="AG279" s="6"/>
      <c r="AH279" s="138">
        <f t="shared" si="178"/>
        <v>0</v>
      </c>
      <c r="AI279" s="160">
        <f t="shared" si="179"/>
        <v>0</v>
      </c>
      <c r="AJ279" s="170">
        <f t="shared" si="189"/>
        <v>0</v>
      </c>
      <c r="AK279" s="6"/>
      <c r="AL279" s="6"/>
      <c r="AM279" s="138">
        <f t="shared" si="180"/>
        <v>0</v>
      </c>
      <c r="AN279" s="160">
        <f t="shared" si="181"/>
        <v>0</v>
      </c>
      <c r="AO279" s="170">
        <f t="shared" si="190"/>
        <v>0</v>
      </c>
      <c r="AP279" s="6"/>
      <c r="AQ279" s="6"/>
      <c r="AR279" s="138">
        <f t="shared" si="182"/>
        <v>0</v>
      </c>
      <c r="AS279" s="160">
        <f t="shared" si="183"/>
        <v>0</v>
      </c>
      <c r="AT279" s="164">
        <f t="shared" si="184"/>
        <v>0</v>
      </c>
      <c r="AU279" s="165">
        <f t="shared" si="185"/>
        <v>0</v>
      </c>
    </row>
    <row r="280" spans="2:47" outlineLevel="1" x14ac:dyDescent="0.35">
      <c r="B280" s="48" t="s">
        <v>93</v>
      </c>
      <c r="C280" s="62" t="s">
        <v>135</v>
      </c>
      <c r="D280" s="70">
        <v>0</v>
      </c>
      <c r="E280" s="71">
        <v>0</v>
      </c>
      <c r="F280" s="70">
        <v>0</v>
      </c>
      <c r="G280" s="138">
        <v>0</v>
      </c>
      <c r="H280" s="185">
        <f t="shared" si="168"/>
        <v>0</v>
      </c>
      <c r="I280" s="70">
        <v>0</v>
      </c>
      <c r="J280" s="138">
        <v>0</v>
      </c>
      <c r="K280" s="167">
        <f t="shared" si="169"/>
        <v>0</v>
      </c>
      <c r="L280" s="70">
        <v>0</v>
      </c>
      <c r="M280" s="138"/>
      <c r="N280" s="167">
        <f t="shared" si="170"/>
        <v>0</v>
      </c>
      <c r="O280" s="70"/>
      <c r="P280" s="138"/>
      <c r="Q280" s="167">
        <f t="shared" si="171"/>
        <v>0</v>
      </c>
      <c r="R280" s="164">
        <f t="shared" si="172"/>
        <v>0</v>
      </c>
      <c r="S280" s="165">
        <f t="shared" si="173"/>
        <v>0</v>
      </c>
      <c r="U280" s="170">
        <f t="shared" si="186"/>
        <v>0</v>
      </c>
      <c r="V280" s="6"/>
      <c r="W280" s="6"/>
      <c r="X280" s="138">
        <f t="shared" si="174"/>
        <v>0</v>
      </c>
      <c r="Y280" s="167">
        <f t="shared" si="175"/>
        <v>0</v>
      </c>
      <c r="Z280" s="170">
        <f t="shared" si="187"/>
        <v>0</v>
      </c>
      <c r="AA280" s="6"/>
      <c r="AB280" s="6"/>
      <c r="AC280" s="138">
        <f t="shared" si="176"/>
        <v>0</v>
      </c>
      <c r="AD280" s="160">
        <f t="shared" si="177"/>
        <v>0</v>
      </c>
      <c r="AE280" s="170">
        <f t="shared" si="188"/>
        <v>0</v>
      </c>
      <c r="AF280" s="6"/>
      <c r="AG280" s="6"/>
      <c r="AH280" s="138">
        <f t="shared" si="178"/>
        <v>0</v>
      </c>
      <c r="AI280" s="160">
        <f t="shared" si="179"/>
        <v>0</v>
      </c>
      <c r="AJ280" s="170">
        <f t="shared" si="189"/>
        <v>0</v>
      </c>
      <c r="AK280" s="6"/>
      <c r="AL280" s="6"/>
      <c r="AM280" s="138">
        <f t="shared" si="180"/>
        <v>0</v>
      </c>
      <c r="AN280" s="160">
        <f t="shared" si="181"/>
        <v>0</v>
      </c>
      <c r="AO280" s="170">
        <f t="shared" si="190"/>
        <v>0</v>
      </c>
      <c r="AP280" s="6"/>
      <c r="AQ280" s="6"/>
      <c r="AR280" s="138">
        <f t="shared" si="182"/>
        <v>0</v>
      </c>
      <c r="AS280" s="160">
        <f t="shared" si="183"/>
        <v>0</v>
      </c>
      <c r="AT280" s="164">
        <f t="shared" si="184"/>
        <v>0</v>
      </c>
      <c r="AU280" s="165">
        <f t="shared" si="185"/>
        <v>0</v>
      </c>
    </row>
    <row r="281" spans="2:47" outlineLevel="1" x14ac:dyDescent="0.35">
      <c r="B281" s="48" t="s">
        <v>94</v>
      </c>
      <c r="C281" s="62" t="s">
        <v>135</v>
      </c>
      <c r="D281" s="70">
        <v>1</v>
      </c>
      <c r="E281" s="71">
        <v>1</v>
      </c>
      <c r="F281" s="70">
        <v>0</v>
      </c>
      <c r="G281" s="138">
        <v>1</v>
      </c>
      <c r="H281" s="185">
        <f t="shared" si="168"/>
        <v>0</v>
      </c>
      <c r="I281" s="70">
        <v>0</v>
      </c>
      <c r="J281" s="138">
        <v>1</v>
      </c>
      <c r="K281" s="167">
        <f t="shared" si="169"/>
        <v>0</v>
      </c>
      <c r="L281" s="70">
        <v>0</v>
      </c>
      <c r="M281" s="138">
        <v>1</v>
      </c>
      <c r="N281" s="167">
        <f t="shared" si="170"/>
        <v>0</v>
      </c>
      <c r="O281" s="70"/>
      <c r="P281" s="138">
        <v>1</v>
      </c>
      <c r="Q281" s="167">
        <f t="shared" si="171"/>
        <v>0</v>
      </c>
      <c r="R281" s="164">
        <f t="shared" si="172"/>
        <v>1</v>
      </c>
      <c r="S281" s="165">
        <f t="shared" si="173"/>
        <v>0</v>
      </c>
      <c r="U281" s="170">
        <f t="shared" si="186"/>
        <v>0</v>
      </c>
      <c r="V281" s="6"/>
      <c r="W281" s="6"/>
      <c r="X281" s="138">
        <f t="shared" si="174"/>
        <v>1</v>
      </c>
      <c r="Y281" s="167">
        <f t="shared" si="175"/>
        <v>0</v>
      </c>
      <c r="Z281" s="170">
        <f t="shared" si="187"/>
        <v>0</v>
      </c>
      <c r="AA281" s="6"/>
      <c r="AB281" s="6"/>
      <c r="AC281" s="138">
        <f t="shared" si="176"/>
        <v>1</v>
      </c>
      <c r="AD281" s="160">
        <f t="shared" si="177"/>
        <v>0</v>
      </c>
      <c r="AE281" s="170">
        <f t="shared" si="188"/>
        <v>0</v>
      </c>
      <c r="AF281" s="6"/>
      <c r="AG281" s="6"/>
      <c r="AH281" s="138">
        <f t="shared" si="178"/>
        <v>1</v>
      </c>
      <c r="AI281" s="160">
        <f t="shared" si="179"/>
        <v>0</v>
      </c>
      <c r="AJ281" s="170">
        <f t="shared" si="189"/>
        <v>0</v>
      </c>
      <c r="AK281" s="6"/>
      <c r="AL281" s="6"/>
      <c r="AM281" s="138">
        <f t="shared" si="180"/>
        <v>1</v>
      </c>
      <c r="AN281" s="160">
        <f t="shared" si="181"/>
        <v>0</v>
      </c>
      <c r="AO281" s="170">
        <f t="shared" si="190"/>
        <v>0</v>
      </c>
      <c r="AP281" s="6"/>
      <c r="AQ281" s="6"/>
      <c r="AR281" s="138">
        <f t="shared" si="182"/>
        <v>1</v>
      </c>
      <c r="AS281" s="160">
        <f t="shared" si="183"/>
        <v>0</v>
      </c>
      <c r="AT281" s="164">
        <f t="shared" si="184"/>
        <v>0</v>
      </c>
      <c r="AU281" s="165">
        <f t="shared" si="185"/>
        <v>0</v>
      </c>
    </row>
    <row r="282" spans="2:47" outlineLevel="1" x14ac:dyDescent="0.35">
      <c r="B282" s="48" t="s">
        <v>95</v>
      </c>
      <c r="C282" s="62" t="s">
        <v>135</v>
      </c>
      <c r="D282" s="70">
        <v>0</v>
      </c>
      <c r="E282" s="71">
        <v>0</v>
      </c>
      <c r="F282" s="70">
        <v>0</v>
      </c>
      <c r="G282" s="138">
        <v>0</v>
      </c>
      <c r="H282" s="185">
        <f t="shared" si="168"/>
        <v>0</v>
      </c>
      <c r="I282" s="70">
        <v>0</v>
      </c>
      <c r="J282" s="138">
        <v>0</v>
      </c>
      <c r="K282" s="167">
        <f t="shared" si="169"/>
        <v>0</v>
      </c>
      <c r="L282" s="70">
        <v>1</v>
      </c>
      <c r="M282" s="138">
        <v>1</v>
      </c>
      <c r="N282" s="167">
        <f t="shared" si="170"/>
        <v>0</v>
      </c>
      <c r="O282" s="70"/>
      <c r="P282" s="138"/>
      <c r="Q282" s="167">
        <f t="shared" si="171"/>
        <v>-1</v>
      </c>
      <c r="R282" s="164">
        <f t="shared" si="172"/>
        <v>1</v>
      </c>
      <c r="S282" s="165">
        <f t="shared" si="173"/>
        <v>0</v>
      </c>
      <c r="U282" s="170">
        <f t="shared" si="186"/>
        <v>1</v>
      </c>
      <c r="V282" s="6">
        <v>1</v>
      </c>
      <c r="W282" s="6"/>
      <c r="X282" s="138">
        <f t="shared" si="174"/>
        <v>1</v>
      </c>
      <c r="Y282" s="167">
        <f t="shared" si="175"/>
        <v>0</v>
      </c>
      <c r="Z282" s="170">
        <f t="shared" si="187"/>
        <v>0</v>
      </c>
      <c r="AA282" s="6"/>
      <c r="AB282" s="6"/>
      <c r="AC282" s="138">
        <f t="shared" si="176"/>
        <v>1</v>
      </c>
      <c r="AD282" s="160">
        <f t="shared" si="177"/>
        <v>0</v>
      </c>
      <c r="AE282" s="170">
        <f t="shared" si="188"/>
        <v>0</v>
      </c>
      <c r="AF282" s="6"/>
      <c r="AG282" s="6"/>
      <c r="AH282" s="138">
        <f t="shared" si="178"/>
        <v>1</v>
      </c>
      <c r="AI282" s="160">
        <f t="shared" si="179"/>
        <v>0</v>
      </c>
      <c r="AJ282" s="170">
        <f t="shared" si="189"/>
        <v>0</v>
      </c>
      <c r="AK282" s="6"/>
      <c r="AL282" s="6"/>
      <c r="AM282" s="138">
        <f t="shared" si="180"/>
        <v>1</v>
      </c>
      <c r="AN282" s="160">
        <f t="shared" si="181"/>
        <v>0</v>
      </c>
      <c r="AO282" s="170">
        <f t="shared" si="190"/>
        <v>0</v>
      </c>
      <c r="AP282" s="6"/>
      <c r="AQ282" s="6"/>
      <c r="AR282" s="138">
        <f t="shared" si="182"/>
        <v>1</v>
      </c>
      <c r="AS282" s="160">
        <f t="shared" si="183"/>
        <v>0</v>
      </c>
      <c r="AT282" s="164">
        <f t="shared" si="184"/>
        <v>1</v>
      </c>
      <c r="AU282" s="165">
        <f t="shared" si="185"/>
        <v>0</v>
      </c>
    </row>
    <row r="283" spans="2:47" outlineLevel="1" x14ac:dyDescent="0.35">
      <c r="B283" s="48" t="s">
        <v>96</v>
      </c>
      <c r="C283" s="62" t="s">
        <v>135</v>
      </c>
      <c r="D283" s="70">
        <v>0</v>
      </c>
      <c r="E283" s="71">
        <v>0</v>
      </c>
      <c r="F283" s="70">
        <v>0</v>
      </c>
      <c r="G283" s="138">
        <v>0</v>
      </c>
      <c r="H283" s="185">
        <f t="shared" si="168"/>
        <v>0</v>
      </c>
      <c r="I283" s="70">
        <v>0</v>
      </c>
      <c r="J283" s="138">
        <v>0</v>
      </c>
      <c r="K283" s="167">
        <f t="shared" si="169"/>
        <v>0</v>
      </c>
      <c r="L283" s="70">
        <v>0</v>
      </c>
      <c r="M283" s="138"/>
      <c r="N283" s="167">
        <f t="shared" si="170"/>
        <v>0</v>
      </c>
      <c r="O283" s="70"/>
      <c r="P283" s="138"/>
      <c r="Q283" s="167">
        <f t="shared" si="171"/>
        <v>0</v>
      </c>
      <c r="R283" s="164">
        <f t="shared" si="172"/>
        <v>0</v>
      </c>
      <c r="S283" s="165">
        <f t="shared" si="173"/>
        <v>0</v>
      </c>
      <c r="U283" s="170">
        <f t="shared" si="186"/>
        <v>0</v>
      </c>
      <c r="V283" s="6"/>
      <c r="W283" s="6"/>
      <c r="X283" s="138">
        <f t="shared" si="174"/>
        <v>0</v>
      </c>
      <c r="Y283" s="167">
        <f t="shared" si="175"/>
        <v>0</v>
      </c>
      <c r="Z283" s="170">
        <f t="shared" si="187"/>
        <v>0</v>
      </c>
      <c r="AA283" s="6"/>
      <c r="AB283" s="6"/>
      <c r="AC283" s="138">
        <f t="shared" si="176"/>
        <v>0</v>
      </c>
      <c r="AD283" s="160">
        <f t="shared" si="177"/>
        <v>0</v>
      </c>
      <c r="AE283" s="170">
        <f t="shared" si="188"/>
        <v>0</v>
      </c>
      <c r="AF283" s="6"/>
      <c r="AG283" s="6"/>
      <c r="AH283" s="138">
        <f t="shared" si="178"/>
        <v>0</v>
      </c>
      <c r="AI283" s="160">
        <f t="shared" si="179"/>
        <v>0</v>
      </c>
      <c r="AJ283" s="170">
        <f t="shared" si="189"/>
        <v>0</v>
      </c>
      <c r="AK283" s="6"/>
      <c r="AL283" s="6"/>
      <c r="AM283" s="138">
        <f t="shared" si="180"/>
        <v>0</v>
      </c>
      <c r="AN283" s="160">
        <f t="shared" si="181"/>
        <v>0</v>
      </c>
      <c r="AO283" s="170">
        <f t="shared" si="190"/>
        <v>0</v>
      </c>
      <c r="AP283" s="6"/>
      <c r="AQ283" s="6"/>
      <c r="AR283" s="138">
        <f t="shared" si="182"/>
        <v>0</v>
      </c>
      <c r="AS283" s="160">
        <f t="shared" si="183"/>
        <v>0</v>
      </c>
      <c r="AT283" s="164">
        <f t="shared" si="184"/>
        <v>0</v>
      </c>
      <c r="AU283" s="165">
        <f t="shared" si="185"/>
        <v>0</v>
      </c>
    </row>
    <row r="284" spans="2:47" outlineLevel="1" x14ac:dyDescent="0.35">
      <c r="B284" s="48" t="s">
        <v>97</v>
      </c>
      <c r="C284" s="62" t="s">
        <v>135</v>
      </c>
      <c r="D284" s="70">
        <v>0</v>
      </c>
      <c r="E284" s="71">
        <v>0</v>
      </c>
      <c r="F284" s="70">
        <v>0</v>
      </c>
      <c r="G284" s="138">
        <v>0</v>
      </c>
      <c r="H284" s="185">
        <f t="shared" si="168"/>
        <v>0</v>
      </c>
      <c r="I284" s="70">
        <v>0</v>
      </c>
      <c r="J284" s="138">
        <v>0</v>
      </c>
      <c r="K284" s="167">
        <f t="shared" si="169"/>
        <v>0</v>
      </c>
      <c r="L284" s="70">
        <v>0</v>
      </c>
      <c r="M284" s="138"/>
      <c r="N284" s="167">
        <f t="shared" si="170"/>
        <v>0</v>
      </c>
      <c r="O284" s="70"/>
      <c r="P284" s="138"/>
      <c r="Q284" s="167">
        <f t="shared" si="171"/>
        <v>0</v>
      </c>
      <c r="R284" s="164">
        <f t="shared" si="172"/>
        <v>0</v>
      </c>
      <c r="S284" s="165">
        <f t="shared" si="173"/>
        <v>0</v>
      </c>
      <c r="U284" s="170">
        <f t="shared" si="186"/>
        <v>0</v>
      </c>
      <c r="V284" s="6"/>
      <c r="W284" s="6"/>
      <c r="X284" s="138">
        <f t="shared" si="174"/>
        <v>0</v>
      </c>
      <c r="Y284" s="167">
        <f t="shared" si="175"/>
        <v>0</v>
      </c>
      <c r="Z284" s="170">
        <f t="shared" si="187"/>
        <v>0</v>
      </c>
      <c r="AA284" s="6"/>
      <c r="AB284" s="6"/>
      <c r="AC284" s="138">
        <f t="shared" si="176"/>
        <v>0</v>
      </c>
      <c r="AD284" s="160">
        <f t="shared" si="177"/>
        <v>0</v>
      </c>
      <c r="AE284" s="170">
        <f t="shared" si="188"/>
        <v>0</v>
      </c>
      <c r="AF284" s="6"/>
      <c r="AG284" s="6"/>
      <c r="AH284" s="138">
        <f t="shared" si="178"/>
        <v>0</v>
      </c>
      <c r="AI284" s="160">
        <f t="shared" si="179"/>
        <v>0</v>
      </c>
      <c r="AJ284" s="170">
        <f t="shared" si="189"/>
        <v>0</v>
      </c>
      <c r="AK284" s="6"/>
      <c r="AL284" s="6"/>
      <c r="AM284" s="138">
        <f t="shared" si="180"/>
        <v>0</v>
      </c>
      <c r="AN284" s="160">
        <f t="shared" si="181"/>
        <v>0</v>
      </c>
      <c r="AO284" s="170">
        <f t="shared" si="190"/>
        <v>0</v>
      </c>
      <c r="AP284" s="6"/>
      <c r="AQ284" s="6"/>
      <c r="AR284" s="138">
        <f t="shared" si="182"/>
        <v>0</v>
      </c>
      <c r="AS284" s="160">
        <f t="shared" si="183"/>
        <v>0</v>
      </c>
      <c r="AT284" s="164">
        <f t="shared" si="184"/>
        <v>0</v>
      </c>
      <c r="AU284" s="165">
        <f t="shared" si="185"/>
        <v>0</v>
      </c>
    </row>
    <row r="285" spans="2:47" outlineLevel="1" x14ac:dyDescent="0.35">
      <c r="B285" s="48" t="s">
        <v>98</v>
      </c>
      <c r="C285" s="62" t="s">
        <v>135</v>
      </c>
      <c r="D285" s="70">
        <v>0</v>
      </c>
      <c r="E285" s="71">
        <v>0</v>
      </c>
      <c r="F285" s="70">
        <v>0</v>
      </c>
      <c r="G285" s="138">
        <v>0</v>
      </c>
      <c r="H285" s="185">
        <f t="shared" si="168"/>
        <v>0</v>
      </c>
      <c r="I285" s="70">
        <v>0</v>
      </c>
      <c r="J285" s="138">
        <v>0</v>
      </c>
      <c r="K285" s="167">
        <f t="shared" si="169"/>
        <v>0</v>
      </c>
      <c r="L285" s="70">
        <v>0</v>
      </c>
      <c r="M285" s="138"/>
      <c r="N285" s="167">
        <f t="shared" si="170"/>
        <v>0</v>
      </c>
      <c r="O285" s="70"/>
      <c r="P285" s="138"/>
      <c r="Q285" s="167">
        <f t="shared" si="171"/>
        <v>0</v>
      </c>
      <c r="R285" s="164">
        <f t="shared" si="172"/>
        <v>0</v>
      </c>
      <c r="S285" s="165">
        <f t="shared" si="173"/>
        <v>0</v>
      </c>
      <c r="U285" s="170">
        <f t="shared" si="186"/>
        <v>0</v>
      </c>
      <c r="V285" s="6"/>
      <c r="W285" s="6"/>
      <c r="X285" s="138">
        <f t="shared" si="174"/>
        <v>0</v>
      </c>
      <c r="Y285" s="167">
        <f t="shared" si="175"/>
        <v>0</v>
      </c>
      <c r="Z285" s="170">
        <f t="shared" si="187"/>
        <v>0</v>
      </c>
      <c r="AA285" s="6"/>
      <c r="AB285" s="6"/>
      <c r="AC285" s="138">
        <f t="shared" si="176"/>
        <v>0</v>
      </c>
      <c r="AD285" s="160">
        <f t="shared" si="177"/>
        <v>0</v>
      </c>
      <c r="AE285" s="170">
        <f t="shared" si="188"/>
        <v>0</v>
      </c>
      <c r="AF285" s="6"/>
      <c r="AG285" s="6"/>
      <c r="AH285" s="138">
        <f t="shared" si="178"/>
        <v>0</v>
      </c>
      <c r="AI285" s="160">
        <f t="shared" si="179"/>
        <v>0</v>
      </c>
      <c r="AJ285" s="170">
        <f t="shared" si="189"/>
        <v>0</v>
      </c>
      <c r="AK285" s="6"/>
      <c r="AL285" s="6"/>
      <c r="AM285" s="138">
        <f t="shared" si="180"/>
        <v>0</v>
      </c>
      <c r="AN285" s="160">
        <f t="shared" si="181"/>
        <v>0</v>
      </c>
      <c r="AO285" s="170">
        <f t="shared" si="190"/>
        <v>0</v>
      </c>
      <c r="AP285" s="6"/>
      <c r="AQ285" s="6"/>
      <c r="AR285" s="138">
        <f t="shared" si="182"/>
        <v>0</v>
      </c>
      <c r="AS285" s="160">
        <f t="shared" si="183"/>
        <v>0</v>
      </c>
      <c r="AT285" s="164">
        <f t="shared" si="184"/>
        <v>0</v>
      </c>
      <c r="AU285" s="165">
        <f t="shared" si="185"/>
        <v>0</v>
      </c>
    </row>
    <row r="286" spans="2:47" outlineLevel="1" x14ac:dyDescent="0.35">
      <c r="B286" s="48" t="s">
        <v>99</v>
      </c>
      <c r="C286" s="62" t="s">
        <v>135</v>
      </c>
      <c r="D286" s="70">
        <v>0</v>
      </c>
      <c r="E286" s="71">
        <v>1</v>
      </c>
      <c r="F286" s="70">
        <v>0</v>
      </c>
      <c r="G286" s="138">
        <v>1</v>
      </c>
      <c r="H286" s="185">
        <f t="shared" si="168"/>
        <v>0</v>
      </c>
      <c r="I286" s="70">
        <v>0</v>
      </c>
      <c r="J286" s="138">
        <v>1</v>
      </c>
      <c r="K286" s="167">
        <f t="shared" si="169"/>
        <v>0</v>
      </c>
      <c r="L286" s="70">
        <v>0</v>
      </c>
      <c r="M286" s="138">
        <v>1</v>
      </c>
      <c r="N286" s="167">
        <f t="shared" si="170"/>
        <v>0</v>
      </c>
      <c r="O286" s="70"/>
      <c r="P286" s="138">
        <v>1</v>
      </c>
      <c r="Q286" s="167">
        <f t="shared" si="171"/>
        <v>0</v>
      </c>
      <c r="R286" s="164">
        <f t="shared" si="172"/>
        <v>0</v>
      </c>
      <c r="S286" s="165">
        <f t="shared" si="173"/>
        <v>0</v>
      </c>
      <c r="U286" s="170">
        <f t="shared" si="186"/>
        <v>0</v>
      </c>
      <c r="V286" s="6"/>
      <c r="W286" s="6"/>
      <c r="X286" s="138">
        <f t="shared" si="174"/>
        <v>1</v>
      </c>
      <c r="Y286" s="167">
        <f t="shared" si="175"/>
        <v>0</v>
      </c>
      <c r="Z286" s="170">
        <f t="shared" si="187"/>
        <v>0</v>
      </c>
      <c r="AA286" s="6"/>
      <c r="AB286" s="6"/>
      <c r="AC286" s="138">
        <f t="shared" si="176"/>
        <v>1</v>
      </c>
      <c r="AD286" s="160">
        <f t="shared" si="177"/>
        <v>0</v>
      </c>
      <c r="AE286" s="170">
        <f t="shared" si="188"/>
        <v>0</v>
      </c>
      <c r="AF286" s="6"/>
      <c r="AG286" s="6"/>
      <c r="AH286" s="138">
        <f t="shared" si="178"/>
        <v>1</v>
      </c>
      <c r="AI286" s="160">
        <f t="shared" si="179"/>
        <v>0</v>
      </c>
      <c r="AJ286" s="170">
        <f t="shared" si="189"/>
        <v>0</v>
      </c>
      <c r="AK286" s="6"/>
      <c r="AL286" s="6"/>
      <c r="AM286" s="138">
        <f t="shared" si="180"/>
        <v>1</v>
      </c>
      <c r="AN286" s="160">
        <f t="shared" si="181"/>
        <v>0</v>
      </c>
      <c r="AO286" s="170">
        <f t="shared" si="190"/>
        <v>0</v>
      </c>
      <c r="AP286" s="6"/>
      <c r="AQ286" s="6"/>
      <c r="AR286" s="138">
        <f t="shared" si="182"/>
        <v>1</v>
      </c>
      <c r="AS286" s="160">
        <f t="shared" si="183"/>
        <v>0</v>
      </c>
      <c r="AT286" s="164">
        <f t="shared" si="184"/>
        <v>0</v>
      </c>
      <c r="AU286" s="165">
        <f t="shared" si="185"/>
        <v>0</v>
      </c>
    </row>
    <row r="287" spans="2:47" outlineLevel="1" x14ac:dyDescent="0.35">
      <c r="B287" s="48" t="s">
        <v>100</v>
      </c>
      <c r="C287" s="62" t="s">
        <v>135</v>
      </c>
      <c r="D287" s="70">
        <v>0</v>
      </c>
      <c r="E287" s="71">
        <v>0</v>
      </c>
      <c r="F287" s="70">
        <v>0</v>
      </c>
      <c r="G287" s="138">
        <v>0</v>
      </c>
      <c r="H287" s="185">
        <f t="shared" si="168"/>
        <v>0</v>
      </c>
      <c r="I287" s="70">
        <v>0</v>
      </c>
      <c r="J287" s="138">
        <v>0</v>
      </c>
      <c r="K287" s="167">
        <f t="shared" si="169"/>
        <v>0</v>
      </c>
      <c r="L287" s="70">
        <v>0</v>
      </c>
      <c r="M287" s="138"/>
      <c r="N287" s="167">
        <f t="shared" si="170"/>
        <v>0</v>
      </c>
      <c r="O287" s="70"/>
      <c r="P287" s="138"/>
      <c r="Q287" s="167">
        <f t="shared" si="171"/>
        <v>0</v>
      </c>
      <c r="R287" s="164">
        <f t="shared" si="172"/>
        <v>0</v>
      </c>
      <c r="S287" s="165">
        <f t="shared" si="173"/>
        <v>0</v>
      </c>
      <c r="U287" s="170">
        <f t="shared" si="186"/>
        <v>0</v>
      </c>
      <c r="V287" s="6"/>
      <c r="W287" s="6"/>
      <c r="X287" s="138">
        <f t="shared" si="174"/>
        <v>0</v>
      </c>
      <c r="Y287" s="167">
        <f t="shared" si="175"/>
        <v>0</v>
      </c>
      <c r="Z287" s="170">
        <f t="shared" si="187"/>
        <v>0</v>
      </c>
      <c r="AA287" s="6"/>
      <c r="AB287" s="6"/>
      <c r="AC287" s="138">
        <f t="shared" si="176"/>
        <v>0</v>
      </c>
      <c r="AD287" s="160">
        <f t="shared" si="177"/>
        <v>0</v>
      </c>
      <c r="AE287" s="170">
        <f t="shared" si="188"/>
        <v>0</v>
      </c>
      <c r="AF287" s="6"/>
      <c r="AG287" s="6"/>
      <c r="AH287" s="138">
        <f t="shared" si="178"/>
        <v>0</v>
      </c>
      <c r="AI287" s="160">
        <f t="shared" si="179"/>
        <v>0</v>
      </c>
      <c r="AJ287" s="170">
        <f t="shared" si="189"/>
        <v>0</v>
      </c>
      <c r="AK287" s="6"/>
      <c r="AL287" s="6"/>
      <c r="AM287" s="138">
        <f t="shared" si="180"/>
        <v>0</v>
      </c>
      <c r="AN287" s="160">
        <f t="shared" si="181"/>
        <v>0</v>
      </c>
      <c r="AO287" s="170">
        <f t="shared" si="190"/>
        <v>0</v>
      </c>
      <c r="AP287" s="6"/>
      <c r="AQ287" s="6"/>
      <c r="AR287" s="138">
        <f t="shared" si="182"/>
        <v>0</v>
      </c>
      <c r="AS287" s="160">
        <f t="shared" si="183"/>
        <v>0</v>
      </c>
      <c r="AT287" s="164">
        <f t="shared" si="184"/>
        <v>0</v>
      </c>
      <c r="AU287" s="165">
        <f t="shared" si="185"/>
        <v>0</v>
      </c>
    </row>
    <row r="288" spans="2:47" outlineLevel="1" x14ac:dyDescent="0.35">
      <c r="B288" s="48" t="s">
        <v>101</v>
      </c>
      <c r="C288" s="62" t="s">
        <v>135</v>
      </c>
      <c r="D288" s="70">
        <v>0</v>
      </c>
      <c r="E288" s="71">
        <v>1</v>
      </c>
      <c r="F288" s="70">
        <v>0</v>
      </c>
      <c r="G288" s="138">
        <v>1</v>
      </c>
      <c r="H288" s="185">
        <f t="shared" si="168"/>
        <v>0</v>
      </c>
      <c r="I288" s="70">
        <v>0</v>
      </c>
      <c r="J288" s="138">
        <v>1</v>
      </c>
      <c r="K288" s="167">
        <f t="shared" si="169"/>
        <v>0</v>
      </c>
      <c r="L288" s="70">
        <v>-1</v>
      </c>
      <c r="M288" s="138"/>
      <c r="N288" s="167">
        <f t="shared" si="170"/>
        <v>-1</v>
      </c>
      <c r="O288" s="70">
        <v>1</v>
      </c>
      <c r="P288" s="138">
        <v>1</v>
      </c>
      <c r="Q288" s="167">
        <f t="shared" si="171"/>
        <v>0</v>
      </c>
      <c r="R288" s="164">
        <f t="shared" si="172"/>
        <v>0</v>
      </c>
      <c r="S288" s="165">
        <f t="shared" si="173"/>
        <v>0</v>
      </c>
      <c r="U288" s="170">
        <f t="shared" si="186"/>
        <v>0</v>
      </c>
      <c r="V288" s="6"/>
      <c r="W288" s="6"/>
      <c r="X288" s="138">
        <f t="shared" si="174"/>
        <v>1</v>
      </c>
      <c r="Y288" s="167">
        <f t="shared" si="175"/>
        <v>0</v>
      </c>
      <c r="Z288" s="170">
        <f t="shared" si="187"/>
        <v>0</v>
      </c>
      <c r="AA288" s="6"/>
      <c r="AB288" s="6"/>
      <c r="AC288" s="138">
        <f t="shared" si="176"/>
        <v>1</v>
      </c>
      <c r="AD288" s="160">
        <f t="shared" si="177"/>
        <v>0</v>
      </c>
      <c r="AE288" s="170">
        <f t="shared" si="188"/>
        <v>0</v>
      </c>
      <c r="AF288" s="6"/>
      <c r="AG288" s="6"/>
      <c r="AH288" s="138">
        <f t="shared" si="178"/>
        <v>1</v>
      </c>
      <c r="AI288" s="160">
        <f t="shared" si="179"/>
        <v>0</v>
      </c>
      <c r="AJ288" s="170">
        <f t="shared" si="189"/>
        <v>0</v>
      </c>
      <c r="AK288" s="6"/>
      <c r="AL288" s="6"/>
      <c r="AM288" s="138">
        <f t="shared" si="180"/>
        <v>1</v>
      </c>
      <c r="AN288" s="160">
        <f t="shared" si="181"/>
        <v>0</v>
      </c>
      <c r="AO288" s="170">
        <f t="shared" si="190"/>
        <v>0</v>
      </c>
      <c r="AP288" s="6"/>
      <c r="AQ288" s="6"/>
      <c r="AR288" s="138">
        <f t="shared" si="182"/>
        <v>1</v>
      </c>
      <c r="AS288" s="160">
        <f t="shared" si="183"/>
        <v>0</v>
      </c>
      <c r="AT288" s="164">
        <f t="shared" si="184"/>
        <v>0</v>
      </c>
      <c r="AU288" s="165">
        <f t="shared" si="185"/>
        <v>0</v>
      </c>
    </row>
    <row r="289" spans="2:47" outlineLevel="1" x14ac:dyDescent="0.35">
      <c r="B289" s="48" t="s">
        <v>102</v>
      </c>
      <c r="C289" s="62" t="s">
        <v>135</v>
      </c>
      <c r="D289" s="70">
        <v>0</v>
      </c>
      <c r="E289" s="71">
        <v>0</v>
      </c>
      <c r="F289" s="70">
        <v>0</v>
      </c>
      <c r="G289" s="138">
        <v>0</v>
      </c>
      <c r="H289" s="185">
        <f t="shared" si="168"/>
        <v>0</v>
      </c>
      <c r="I289" s="70">
        <v>0</v>
      </c>
      <c r="J289" s="138">
        <v>0</v>
      </c>
      <c r="K289" s="167">
        <f t="shared" si="169"/>
        <v>0</v>
      </c>
      <c r="L289" s="70">
        <v>0</v>
      </c>
      <c r="M289" s="138"/>
      <c r="N289" s="167">
        <f t="shared" si="170"/>
        <v>0</v>
      </c>
      <c r="O289" s="70"/>
      <c r="P289" s="138"/>
      <c r="Q289" s="167">
        <f t="shared" si="171"/>
        <v>0</v>
      </c>
      <c r="R289" s="164">
        <f t="shared" si="172"/>
        <v>0</v>
      </c>
      <c r="S289" s="165">
        <f t="shared" si="173"/>
        <v>0</v>
      </c>
      <c r="U289" s="170">
        <f t="shared" si="186"/>
        <v>0</v>
      </c>
      <c r="V289" s="6"/>
      <c r="W289" s="6"/>
      <c r="X289" s="138">
        <f t="shared" si="174"/>
        <v>0</v>
      </c>
      <c r="Y289" s="167">
        <f t="shared" si="175"/>
        <v>0</v>
      </c>
      <c r="Z289" s="170">
        <f t="shared" si="187"/>
        <v>0</v>
      </c>
      <c r="AA289" s="6"/>
      <c r="AB289" s="6"/>
      <c r="AC289" s="138">
        <f t="shared" si="176"/>
        <v>0</v>
      </c>
      <c r="AD289" s="160">
        <f t="shared" si="177"/>
        <v>0</v>
      </c>
      <c r="AE289" s="170">
        <f t="shared" si="188"/>
        <v>0</v>
      </c>
      <c r="AF289" s="6"/>
      <c r="AG289" s="6"/>
      <c r="AH289" s="138">
        <f t="shared" si="178"/>
        <v>0</v>
      </c>
      <c r="AI289" s="160">
        <f t="shared" si="179"/>
        <v>0</v>
      </c>
      <c r="AJ289" s="170">
        <f t="shared" si="189"/>
        <v>0</v>
      </c>
      <c r="AK289" s="6"/>
      <c r="AL289" s="6"/>
      <c r="AM289" s="138">
        <f t="shared" si="180"/>
        <v>0</v>
      </c>
      <c r="AN289" s="160">
        <f t="shared" si="181"/>
        <v>0</v>
      </c>
      <c r="AO289" s="170">
        <f t="shared" si="190"/>
        <v>0</v>
      </c>
      <c r="AP289" s="6"/>
      <c r="AQ289" s="6"/>
      <c r="AR289" s="138">
        <f t="shared" si="182"/>
        <v>0</v>
      </c>
      <c r="AS289" s="160">
        <f t="shared" si="183"/>
        <v>0</v>
      </c>
      <c r="AT289" s="164">
        <f t="shared" si="184"/>
        <v>0</v>
      </c>
      <c r="AU289" s="165">
        <f t="shared" si="185"/>
        <v>0</v>
      </c>
    </row>
    <row r="290" spans="2:47" outlineLevel="1" x14ac:dyDescent="0.35">
      <c r="B290" s="48" t="s">
        <v>103</v>
      </c>
      <c r="C290" s="62" t="s">
        <v>135</v>
      </c>
      <c r="D290" s="70">
        <v>0</v>
      </c>
      <c r="E290" s="71">
        <v>0</v>
      </c>
      <c r="F290" s="70">
        <v>0</v>
      </c>
      <c r="G290" s="138">
        <v>0</v>
      </c>
      <c r="H290" s="185">
        <f t="shared" si="168"/>
        <v>0</v>
      </c>
      <c r="I290" s="70">
        <v>0</v>
      </c>
      <c r="J290" s="138">
        <v>0</v>
      </c>
      <c r="K290" s="167">
        <f t="shared" si="169"/>
        <v>0</v>
      </c>
      <c r="L290" s="70">
        <v>0</v>
      </c>
      <c r="M290" s="138"/>
      <c r="N290" s="167">
        <f t="shared" si="170"/>
        <v>0</v>
      </c>
      <c r="O290" s="70"/>
      <c r="P290" s="138"/>
      <c r="Q290" s="167">
        <f t="shared" si="171"/>
        <v>0</v>
      </c>
      <c r="R290" s="164">
        <f t="shared" si="172"/>
        <v>0</v>
      </c>
      <c r="S290" s="165">
        <f t="shared" si="173"/>
        <v>0</v>
      </c>
      <c r="U290" s="170">
        <f t="shared" si="186"/>
        <v>0</v>
      </c>
      <c r="V290" s="6"/>
      <c r="W290" s="6"/>
      <c r="X290" s="138">
        <f t="shared" si="174"/>
        <v>0</v>
      </c>
      <c r="Y290" s="167">
        <f t="shared" si="175"/>
        <v>0</v>
      </c>
      <c r="Z290" s="170">
        <f t="shared" si="187"/>
        <v>0</v>
      </c>
      <c r="AA290" s="6"/>
      <c r="AB290" s="6"/>
      <c r="AC290" s="138">
        <f t="shared" si="176"/>
        <v>0</v>
      </c>
      <c r="AD290" s="160">
        <f t="shared" si="177"/>
        <v>0</v>
      </c>
      <c r="AE290" s="170">
        <f t="shared" si="188"/>
        <v>0</v>
      </c>
      <c r="AF290" s="6"/>
      <c r="AG290" s="6"/>
      <c r="AH290" s="138">
        <f t="shared" si="178"/>
        <v>0</v>
      </c>
      <c r="AI290" s="160">
        <f t="shared" si="179"/>
        <v>0</v>
      </c>
      <c r="AJ290" s="170">
        <f t="shared" si="189"/>
        <v>0</v>
      </c>
      <c r="AK290" s="6"/>
      <c r="AL290" s="6"/>
      <c r="AM290" s="138">
        <f t="shared" si="180"/>
        <v>0</v>
      </c>
      <c r="AN290" s="160">
        <f t="shared" si="181"/>
        <v>0</v>
      </c>
      <c r="AO290" s="170">
        <f t="shared" si="190"/>
        <v>0</v>
      </c>
      <c r="AP290" s="6"/>
      <c r="AQ290" s="6"/>
      <c r="AR290" s="138">
        <f t="shared" si="182"/>
        <v>0</v>
      </c>
      <c r="AS290" s="160">
        <f t="shared" si="183"/>
        <v>0</v>
      </c>
      <c r="AT290" s="164">
        <f t="shared" si="184"/>
        <v>0</v>
      </c>
      <c r="AU290" s="165">
        <f t="shared" si="185"/>
        <v>0</v>
      </c>
    </row>
    <row r="291" spans="2:47" outlineLevel="1" x14ac:dyDescent="0.35">
      <c r="B291" s="48" t="s">
        <v>104</v>
      </c>
      <c r="C291" s="62" t="s">
        <v>135</v>
      </c>
      <c r="D291" s="70">
        <v>0</v>
      </c>
      <c r="E291" s="71">
        <v>0</v>
      </c>
      <c r="F291" s="70">
        <v>0</v>
      </c>
      <c r="G291" s="138">
        <v>0</v>
      </c>
      <c r="H291" s="185">
        <f t="shared" si="168"/>
        <v>0</v>
      </c>
      <c r="I291" s="70">
        <v>0</v>
      </c>
      <c r="J291" s="138">
        <v>0</v>
      </c>
      <c r="K291" s="167">
        <f t="shared" si="169"/>
        <v>0</v>
      </c>
      <c r="L291" s="70">
        <v>0</v>
      </c>
      <c r="M291" s="138"/>
      <c r="N291" s="167">
        <f t="shared" si="170"/>
        <v>0</v>
      </c>
      <c r="O291" s="70"/>
      <c r="P291" s="138"/>
      <c r="Q291" s="167">
        <f t="shared" si="171"/>
        <v>0</v>
      </c>
      <c r="R291" s="164">
        <f t="shared" si="172"/>
        <v>0</v>
      </c>
      <c r="S291" s="165">
        <f t="shared" si="173"/>
        <v>0</v>
      </c>
      <c r="U291" s="170">
        <f t="shared" si="186"/>
        <v>0</v>
      </c>
      <c r="V291" s="6"/>
      <c r="W291" s="6"/>
      <c r="X291" s="138">
        <f t="shared" si="174"/>
        <v>0</v>
      </c>
      <c r="Y291" s="167">
        <f t="shared" si="175"/>
        <v>0</v>
      </c>
      <c r="Z291" s="170">
        <f t="shared" si="187"/>
        <v>0</v>
      </c>
      <c r="AA291" s="6"/>
      <c r="AB291" s="6"/>
      <c r="AC291" s="138">
        <f t="shared" si="176"/>
        <v>0</v>
      </c>
      <c r="AD291" s="160">
        <f t="shared" si="177"/>
        <v>0</v>
      </c>
      <c r="AE291" s="170">
        <f t="shared" si="188"/>
        <v>0</v>
      </c>
      <c r="AF291" s="6"/>
      <c r="AG291" s="6"/>
      <c r="AH291" s="138">
        <f t="shared" si="178"/>
        <v>0</v>
      </c>
      <c r="AI291" s="160">
        <f t="shared" si="179"/>
        <v>0</v>
      </c>
      <c r="AJ291" s="170">
        <f t="shared" si="189"/>
        <v>0</v>
      </c>
      <c r="AK291" s="6"/>
      <c r="AL291" s="6"/>
      <c r="AM291" s="138">
        <f t="shared" si="180"/>
        <v>0</v>
      </c>
      <c r="AN291" s="160">
        <f t="shared" si="181"/>
        <v>0</v>
      </c>
      <c r="AO291" s="170">
        <f t="shared" si="190"/>
        <v>0</v>
      </c>
      <c r="AP291" s="6"/>
      <c r="AQ291" s="6"/>
      <c r="AR291" s="138">
        <f t="shared" si="182"/>
        <v>0</v>
      </c>
      <c r="AS291" s="160">
        <f t="shared" si="183"/>
        <v>0</v>
      </c>
      <c r="AT291" s="164">
        <f t="shared" si="184"/>
        <v>0</v>
      </c>
      <c r="AU291" s="165">
        <f t="shared" si="185"/>
        <v>0</v>
      </c>
    </row>
    <row r="292" spans="2:47" outlineLevel="1" x14ac:dyDescent="0.35">
      <c r="B292" s="48" t="s">
        <v>136</v>
      </c>
      <c r="C292" s="62" t="s">
        <v>135</v>
      </c>
      <c r="D292" s="70">
        <v>0</v>
      </c>
      <c r="E292" s="71">
        <v>0</v>
      </c>
      <c r="F292" s="70">
        <v>0</v>
      </c>
      <c r="G292" s="138">
        <v>0</v>
      </c>
      <c r="H292" s="185">
        <f t="shared" si="168"/>
        <v>0</v>
      </c>
      <c r="I292" s="70">
        <v>0</v>
      </c>
      <c r="J292" s="138">
        <v>0</v>
      </c>
      <c r="K292" s="167">
        <f t="shared" si="169"/>
        <v>0</v>
      </c>
      <c r="L292" s="70">
        <v>0</v>
      </c>
      <c r="M292" s="138"/>
      <c r="N292" s="167">
        <f t="shared" si="170"/>
        <v>0</v>
      </c>
      <c r="O292" s="70"/>
      <c r="P292" s="138"/>
      <c r="Q292" s="167">
        <f t="shared" si="171"/>
        <v>0</v>
      </c>
      <c r="R292" s="164">
        <f t="shared" si="172"/>
        <v>0</v>
      </c>
      <c r="S292" s="165">
        <f t="shared" si="173"/>
        <v>0</v>
      </c>
      <c r="U292" s="170">
        <f t="shared" si="186"/>
        <v>0</v>
      </c>
      <c r="V292" s="6"/>
      <c r="W292" s="6"/>
      <c r="X292" s="138">
        <f t="shared" si="174"/>
        <v>0</v>
      </c>
      <c r="Y292" s="167">
        <f t="shared" si="175"/>
        <v>0</v>
      </c>
      <c r="Z292" s="170">
        <f t="shared" si="187"/>
        <v>0</v>
      </c>
      <c r="AA292" s="6"/>
      <c r="AB292" s="6"/>
      <c r="AC292" s="138">
        <f t="shared" si="176"/>
        <v>0</v>
      </c>
      <c r="AD292" s="160">
        <f t="shared" si="177"/>
        <v>0</v>
      </c>
      <c r="AE292" s="170">
        <f t="shared" si="188"/>
        <v>0</v>
      </c>
      <c r="AF292" s="6"/>
      <c r="AG292" s="6"/>
      <c r="AH292" s="138">
        <f t="shared" si="178"/>
        <v>0</v>
      </c>
      <c r="AI292" s="160">
        <f t="shared" si="179"/>
        <v>0</v>
      </c>
      <c r="AJ292" s="170">
        <f t="shared" si="189"/>
        <v>0</v>
      </c>
      <c r="AK292" s="6"/>
      <c r="AL292" s="6"/>
      <c r="AM292" s="138">
        <f t="shared" si="180"/>
        <v>0</v>
      </c>
      <c r="AN292" s="160">
        <f t="shared" si="181"/>
        <v>0</v>
      </c>
      <c r="AO292" s="170">
        <f t="shared" si="190"/>
        <v>0</v>
      </c>
      <c r="AP292" s="6"/>
      <c r="AQ292" s="6"/>
      <c r="AR292" s="138">
        <f t="shared" si="182"/>
        <v>0</v>
      </c>
      <c r="AS292" s="160">
        <f t="shared" si="183"/>
        <v>0</v>
      </c>
      <c r="AT292" s="164">
        <f t="shared" si="184"/>
        <v>0</v>
      </c>
      <c r="AU292" s="165">
        <f t="shared" si="185"/>
        <v>0</v>
      </c>
    </row>
    <row r="293" spans="2:47" outlineLevel="1" x14ac:dyDescent="0.35">
      <c r="B293" s="48" t="s">
        <v>106</v>
      </c>
      <c r="C293" s="62" t="s">
        <v>135</v>
      </c>
      <c r="D293" s="70">
        <v>0</v>
      </c>
      <c r="E293" s="71">
        <v>0</v>
      </c>
      <c r="F293" s="70">
        <v>0</v>
      </c>
      <c r="G293" s="138">
        <v>0</v>
      </c>
      <c r="H293" s="185">
        <f t="shared" si="168"/>
        <v>0</v>
      </c>
      <c r="I293" s="70">
        <v>0</v>
      </c>
      <c r="J293" s="138">
        <v>0</v>
      </c>
      <c r="K293" s="167">
        <f t="shared" si="169"/>
        <v>0</v>
      </c>
      <c r="L293" s="70">
        <v>0</v>
      </c>
      <c r="M293" s="138"/>
      <c r="N293" s="167">
        <f t="shared" si="170"/>
        <v>0</v>
      </c>
      <c r="O293" s="70"/>
      <c r="P293" s="138"/>
      <c r="Q293" s="167">
        <f t="shared" ref="Q293:Q314" si="191">IFERROR((P293-M293)/M293,0)</f>
        <v>0</v>
      </c>
      <c r="R293" s="164">
        <f t="shared" ref="R293:R314" si="192">D293+F293+I293+L293+O293</f>
        <v>0</v>
      </c>
      <c r="S293" s="165">
        <f t="shared" ref="S293:S314" si="193">IFERROR((P293/E293)^(1/4)-1,0)</f>
        <v>0</v>
      </c>
      <c r="U293" s="170">
        <f t="shared" si="186"/>
        <v>0</v>
      </c>
      <c r="V293" s="6"/>
      <c r="W293" s="6"/>
      <c r="X293" s="138">
        <f t="shared" ref="X293:X314" si="194">P293+U293</f>
        <v>0</v>
      </c>
      <c r="Y293" s="167">
        <f t="shared" ref="Y293:Y314" si="195">IFERROR((X293-P293)/P293,0)</f>
        <v>0</v>
      </c>
      <c r="Z293" s="170">
        <f t="shared" si="187"/>
        <v>0</v>
      </c>
      <c r="AA293" s="6"/>
      <c r="AB293" s="6"/>
      <c r="AC293" s="138">
        <f t="shared" si="176"/>
        <v>0</v>
      </c>
      <c r="AD293" s="160">
        <f t="shared" si="177"/>
        <v>0</v>
      </c>
      <c r="AE293" s="170">
        <f t="shared" si="188"/>
        <v>0</v>
      </c>
      <c r="AF293" s="6"/>
      <c r="AG293" s="6"/>
      <c r="AH293" s="138">
        <f t="shared" si="178"/>
        <v>0</v>
      </c>
      <c r="AI293" s="160">
        <f t="shared" si="179"/>
        <v>0</v>
      </c>
      <c r="AJ293" s="170">
        <f t="shared" si="189"/>
        <v>0</v>
      </c>
      <c r="AK293" s="6"/>
      <c r="AL293" s="6"/>
      <c r="AM293" s="138">
        <f t="shared" si="180"/>
        <v>0</v>
      </c>
      <c r="AN293" s="160">
        <f t="shared" si="181"/>
        <v>0</v>
      </c>
      <c r="AO293" s="170">
        <f t="shared" si="190"/>
        <v>0</v>
      </c>
      <c r="AP293" s="6"/>
      <c r="AQ293" s="6"/>
      <c r="AR293" s="138">
        <f t="shared" si="182"/>
        <v>0</v>
      </c>
      <c r="AS293" s="160">
        <f t="shared" si="183"/>
        <v>0</v>
      </c>
      <c r="AT293" s="164">
        <f t="shared" si="184"/>
        <v>0</v>
      </c>
      <c r="AU293" s="165">
        <f t="shared" si="185"/>
        <v>0</v>
      </c>
    </row>
    <row r="294" spans="2:47" outlineLevel="1" x14ac:dyDescent="0.35">
      <c r="B294" s="48" t="s">
        <v>107</v>
      </c>
      <c r="C294" s="62" t="s">
        <v>135</v>
      </c>
      <c r="D294" s="70">
        <v>0</v>
      </c>
      <c r="E294" s="71">
        <v>0</v>
      </c>
      <c r="F294" s="70">
        <v>0</v>
      </c>
      <c r="G294" s="138">
        <v>0</v>
      </c>
      <c r="H294" s="185">
        <f t="shared" si="168"/>
        <v>0</v>
      </c>
      <c r="I294" s="70">
        <v>0</v>
      </c>
      <c r="J294" s="138">
        <v>0</v>
      </c>
      <c r="K294" s="167">
        <f t="shared" si="169"/>
        <v>0</v>
      </c>
      <c r="L294" s="70">
        <v>0</v>
      </c>
      <c r="M294" s="138"/>
      <c r="N294" s="167">
        <f t="shared" si="170"/>
        <v>0</v>
      </c>
      <c r="O294" s="70"/>
      <c r="P294" s="138"/>
      <c r="Q294" s="167">
        <f t="shared" si="191"/>
        <v>0</v>
      </c>
      <c r="R294" s="164">
        <f t="shared" si="192"/>
        <v>0</v>
      </c>
      <c r="S294" s="165">
        <f t="shared" si="193"/>
        <v>0</v>
      </c>
      <c r="U294" s="170">
        <f t="shared" si="186"/>
        <v>0</v>
      </c>
      <c r="V294" s="6"/>
      <c r="W294" s="6"/>
      <c r="X294" s="138">
        <f t="shared" si="194"/>
        <v>0</v>
      </c>
      <c r="Y294" s="167">
        <f t="shared" si="195"/>
        <v>0</v>
      </c>
      <c r="Z294" s="170">
        <f t="shared" si="187"/>
        <v>0</v>
      </c>
      <c r="AA294" s="6"/>
      <c r="AB294" s="6"/>
      <c r="AC294" s="138">
        <f t="shared" si="176"/>
        <v>0</v>
      </c>
      <c r="AD294" s="160">
        <f t="shared" si="177"/>
        <v>0</v>
      </c>
      <c r="AE294" s="170">
        <f t="shared" si="188"/>
        <v>0</v>
      </c>
      <c r="AF294" s="6"/>
      <c r="AG294" s="6"/>
      <c r="AH294" s="138">
        <f t="shared" si="178"/>
        <v>0</v>
      </c>
      <c r="AI294" s="160">
        <f t="shared" si="179"/>
        <v>0</v>
      </c>
      <c r="AJ294" s="170">
        <f t="shared" si="189"/>
        <v>0</v>
      </c>
      <c r="AK294" s="6"/>
      <c r="AL294" s="6"/>
      <c r="AM294" s="138">
        <f t="shared" si="180"/>
        <v>0</v>
      </c>
      <c r="AN294" s="160">
        <f t="shared" si="181"/>
        <v>0</v>
      </c>
      <c r="AO294" s="170">
        <f t="shared" si="190"/>
        <v>0</v>
      </c>
      <c r="AP294" s="6"/>
      <c r="AQ294" s="6"/>
      <c r="AR294" s="138">
        <f t="shared" si="182"/>
        <v>0</v>
      </c>
      <c r="AS294" s="160">
        <f t="shared" si="183"/>
        <v>0</v>
      </c>
      <c r="AT294" s="164">
        <f t="shared" si="184"/>
        <v>0</v>
      </c>
      <c r="AU294" s="165">
        <f t="shared" si="185"/>
        <v>0</v>
      </c>
    </row>
    <row r="295" spans="2:47" outlineLevel="1" x14ac:dyDescent="0.35">
      <c r="B295" s="48" t="s">
        <v>108</v>
      </c>
      <c r="C295" s="62" t="s">
        <v>135</v>
      </c>
      <c r="D295" s="70">
        <v>0</v>
      </c>
      <c r="E295" s="71">
        <v>0</v>
      </c>
      <c r="F295" s="70">
        <v>0</v>
      </c>
      <c r="G295" s="138">
        <v>0</v>
      </c>
      <c r="H295" s="185">
        <f t="shared" si="168"/>
        <v>0</v>
      </c>
      <c r="I295" s="70">
        <v>0</v>
      </c>
      <c r="J295" s="138">
        <v>0</v>
      </c>
      <c r="K295" s="167">
        <f t="shared" si="169"/>
        <v>0</v>
      </c>
      <c r="L295" s="70">
        <v>0</v>
      </c>
      <c r="M295" s="138"/>
      <c r="N295" s="167">
        <f t="shared" si="170"/>
        <v>0</v>
      </c>
      <c r="O295" s="70"/>
      <c r="P295" s="138"/>
      <c r="Q295" s="167">
        <f t="shared" si="191"/>
        <v>0</v>
      </c>
      <c r="R295" s="164">
        <f t="shared" si="192"/>
        <v>0</v>
      </c>
      <c r="S295" s="165">
        <f t="shared" si="193"/>
        <v>0</v>
      </c>
      <c r="U295" s="170">
        <f t="shared" si="186"/>
        <v>0</v>
      </c>
      <c r="V295" s="6"/>
      <c r="W295" s="6"/>
      <c r="X295" s="138">
        <f t="shared" si="194"/>
        <v>0</v>
      </c>
      <c r="Y295" s="167">
        <f t="shared" si="195"/>
        <v>0</v>
      </c>
      <c r="Z295" s="170">
        <f t="shared" si="187"/>
        <v>0</v>
      </c>
      <c r="AA295" s="6"/>
      <c r="AB295" s="6"/>
      <c r="AC295" s="138">
        <f t="shared" si="176"/>
        <v>0</v>
      </c>
      <c r="AD295" s="160">
        <f t="shared" si="177"/>
        <v>0</v>
      </c>
      <c r="AE295" s="170">
        <f t="shared" si="188"/>
        <v>0</v>
      </c>
      <c r="AF295" s="6"/>
      <c r="AG295" s="6"/>
      <c r="AH295" s="138">
        <f t="shared" si="178"/>
        <v>0</v>
      </c>
      <c r="AI295" s="160">
        <f t="shared" si="179"/>
        <v>0</v>
      </c>
      <c r="AJ295" s="170">
        <f t="shared" si="189"/>
        <v>0</v>
      </c>
      <c r="AK295" s="6"/>
      <c r="AL295" s="6"/>
      <c r="AM295" s="138">
        <f t="shared" si="180"/>
        <v>0</v>
      </c>
      <c r="AN295" s="160">
        <f t="shared" si="181"/>
        <v>0</v>
      </c>
      <c r="AO295" s="170">
        <f t="shared" si="190"/>
        <v>0</v>
      </c>
      <c r="AP295" s="6"/>
      <c r="AQ295" s="6"/>
      <c r="AR295" s="138">
        <f t="shared" si="182"/>
        <v>0</v>
      </c>
      <c r="AS295" s="160">
        <f t="shared" si="183"/>
        <v>0</v>
      </c>
      <c r="AT295" s="164">
        <f t="shared" si="184"/>
        <v>0</v>
      </c>
      <c r="AU295" s="165">
        <f t="shared" si="185"/>
        <v>0</v>
      </c>
    </row>
    <row r="296" spans="2:47" outlineLevel="1" x14ac:dyDescent="0.35">
      <c r="B296" s="48" t="s">
        <v>109</v>
      </c>
      <c r="C296" s="62" t="s">
        <v>135</v>
      </c>
      <c r="D296" s="70">
        <v>0</v>
      </c>
      <c r="E296" s="71">
        <v>0</v>
      </c>
      <c r="F296" s="70">
        <v>0</v>
      </c>
      <c r="G296" s="138">
        <v>0</v>
      </c>
      <c r="H296" s="185">
        <f t="shared" si="168"/>
        <v>0</v>
      </c>
      <c r="I296" s="70">
        <v>0</v>
      </c>
      <c r="J296" s="138">
        <v>0</v>
      </c>
      <c r="K296" s="167">
        <f t="shared" si="169"/>
        <v>0</v>
      </c>
      <c r="L296" s="70">
        <v>0</v>
      </c>
      <c r="M296" s="138"/>
      <c r="N296" s="167">
        <f t="shared" si="170"/>
        <v>0</v>
      </c>
      <c r="O296" s="70"/>
      <c r="P296" s="138"/>
      <c r="Q296" s="167">
        <f t="shared" si="191"/>
        <v>0</v>
      </c>
      <c r="R296" s="164">
        <f t="shared" si="192"/>
        <v>0</v>
      </c>
      <c r="S296" s="165">
        <f t="shared" si="193"/>
        <v>0</v>
      </c>
      <c r="U296" s="170">
        <f t="shared" si="186"/>
        <v>0</v>
      </c>
      <c r="V296" s="6"/>
      <c r="W296" s="6"/>
      <c r="X296" s="138">
        <f t="shared" si="194"/>
        <v>0</v>
      </c>
      <c r="Y296" s="167">
        <f t="shared" si="195"/>
        <v>0</v>
      </c>
      <c r="Z296" s="170">
        <f t="shared" si="187"/>
        <v>0</v>
      </c>
      <c r="AA296" s="6"/>
      <c r="AB296" s="6"/>
      <c r="AC296" s="138">
        <f t="shared" si="176"/>
        <v>0</v>
      </c>
      <c r="AD296" s="160">
        <f t="shared" si="177"/>
        <v>0</v>
      </c>
      <c r="AE296" s="170">
        <f t="shared" si="188"/>
        <v>0</v>
      </c>
      <c r="AF296" s="6"/>
      <c r="AG296" s="6"/>
      <c r="AH296" s="138">
        <f t="shared" si="178"/>
        <v>0</v>
      </c>
      <c r="AI296" s="160">
        <f t="shared" si="179"/>
        <v>0</v>
      </c>
      <c r="AJ296" s="170">
        <f t="shared" si="189"/>
        <v>0</v>
      </c>
      <c r="AK296" s="6"/>
      <c r="AL296" s="6"/>
      <c r="AM296" s="138">
        <f t="shared" si="180"/>
        <v>0</v>
      </c>
      <c r="AN296" s="160">
        <f t="shared" si="181"/>
        <v>0</v>
      </c>
      <c r="AO296" s="170">
        <f t="shared" si="190"/>
        <v>0</v>
      </c>
      <c r="AP296" s="6"/>
      <c r="AQ296" s="6"/>
      <c r="AR296" s="138">
        <f t="shared" si="182"/>
        <v>0</v>
      </c>
      <c r="AS296" s="160">
        <f t="shared" si="183"/>
        <v>0</v>
      </c>
      <c r="AT296" s="164">
        <f t="shared" si="184"/>
        <v>0</v>
      </c>
      <c r="AU296" s="165">
        <f t="shared" si="185"/>
        <v>0</v>
      </c>
    </row>
    <row r="297" spans="2:47" outlineLevel="1" x14ac:dyDescent="0.35">
      <c r="B297" s="48" t="s">
        <v>110</v>
      </c>
      <c r="C297" s="62" t="s">
        <v>135</v>
      </c>
      <c r="D297" s="70">
        <v>0</v>
      </c>
      <c r="E297" s="71">
        <v>1</v>
      </c>
      <c r="F297" s="70">
        <v>0</v>
      </c>
      <c r="G297" s="138">
        <v>1</v>
      </c>
      <c r="H297" s="185">
        <f t="shared" si="168"/>
        <v>0</v>
      </c>
      <c r="I297" s="70">
        <v>0</v>
      </c>
      <c r="J297" s="138">
        <v>1</v>
      </c>
      <c r="K297" s="167">
        <f t="shared" si="169"/>
        <v>0</v>
      </c>
      <c r="L297" s="70">
        <v>0</v>
      </c>
      <c r="M297" s="138">
        <v>1</v>
      </c>
      <c r="N297" s="167">
        <f t="shared" si="170"/>
        <v>0</v>
      </c>
      <c r="O297" s="70"/>
      <c r="P297" s="138">
        <v>1</v>
      </c>
      <c r="Q297" s="167">
        <f t="shared" si="191"/>
        <v>0</v>
      </c>
      <c r="R297" s="164">
        <f t="shared" si="192"/>
        <v>0</v>
      </c>
      <c r="S297" s="165">
        <f t="shared" si="193"/>
        <v>0</v>
      </c>
      <c r="U297" s="170">
        <f t="shared" si="186"/>
        <v>0</v>
      </c>
      <c r="V297" s="6"/>
      <c r="W297" s="6"/>
      <c r="X297" s="138">
        <f t="shared" si="194"/>
        <v>1</v>
      </c>
      <c r="Y297" s="167">
        <f t="shared" si="195"/>
        <v>0</v>
      </c>
      <c r="Z297" s="170">
        <f t="shared" si="187"/>
        <v>0</v>
      </c>
      <c r="AA297" s="6"/>
      <c r="AB297" s="6"/>
      <c r="AC297" s="138">
        <f t="shared" si="176"/>
        <v>1</v>
      </c>
      <c r="AD297" s="160">
        <f t="shared" si="177"/>
        <v>0</v>
      </c>
      <c r="AE297" s="170">
        <f t="shared" si="188"/>
        <v>0</v>
      </c>
      <c r="AF297" s="6"/>
      <c r="AG297" s="6"/>
      <c r="AH297" s="138">
        <f t="shared" si="178"/>
        <v>1</v>
      </c>
      <c r="AI297" s="160">
        <f t="shared" si="179"/>
        <v>0</v>
      </c>
      <c r="AJ297" s="170">
        <f t="shared" si="189"/>
        <v>0</v>
      </c>
      <c r="AK297" s="6"/>
      <c r="AL297" s="6"/>
      <c r="AM297" s="138">
        <f t="shared" si="180"/>
        <v>1</v>
      </c>
      <c r="AN297" s="160">
        <f t="shared" si="181"/>
        <v>0</v>
      </c>
      <c r="AO297" s="170">
        <f t="shared" si="190"/>
        <v>0</v>
      </c>
      <c r="AP297" s="6"/>
      <c r="AQ297" s="6"/>
      <c r="AR297" s="138">
        <f t="shared" si="182"/>
        <v>1</v>
      </c>
      <c r="AS297" s="160">
        <f t="shared" si="183"/>
        <v>0</v>
      </c>
      <c r="AT297" s="164">
        <f t="shared" si="184"/>
        <v>0</v>
      </c>
      <c r="AU297" s="165">
        <f t="shared" si="185"/>
        <v>0</v>
      </c>
    </row>
    <row r="298" spans="2:47" outlineLevel="1" x14ac:dyDescent="0.35">
      <c r="B298" s="48" t="s">
        <v>111</v>
      </c>
      <c r="C298" s="62" t="s">
        <v>135</v>
      </c>
      <c r="D298" s="70">
        <v>0</v>
      </c>
      <c r="E298" s="71">
        <v>0</v>
      </c>
      <c r="F298" s="70">
        <v>0</v>
      </c>
      <c r="G298" s="138">
        <v>0</v>
      </c>
      <c r="H298" s="185">
        <f t="shared" si="168"/>
        <v>0</v>
      </c>
      <c r="I298" s="70">
        <v>0</v>
      </c>
      <c r="J298" s="138">
        <v>0</v>
      </c>
      <c r="K298" s="167">
        <f t="shared" si="169"/>
        <v>0</v>
      </c>
      <c r="L298" s="70">
        <v>0</v>
      </c>
      <c r="M298" s="138"/>
      <c r="N298" s="167">
        <f t="shared" si="170"/>
        <v>0</v>
      </c>
      <c r="O298" s="70"/>
      <c r="P298" s="138"/>
      <c r="Q298" s="167">
        <f t="shared" si="191"/>
        <v>0</v>
      </c>
      <c r="R298" s="164">
        <f t="shared" si="192"/>
        <v>0</v>
      </c>
      <c r="S298" s="165">
        <f t="shared" si="193"/>
        <v>0</v>
      </c>
      <c r="U298" s="170">
        <f t="shared" si="186"/>
        <v>0</v>
      </c>
      <c r="V298" s="6"/>
      <c r="W298" s="6"/>
      <c r="X298" s="138">
        <f t="shared" si="194"/>
        <v>0</v>
      </c>
      <c r="Y298" s="167">
        <f t="shared" si="195"/>
        <v>0</v>
      </c>
      <c r="Z298" s="170">
        <f t="shared" si="187"/>
        <v>0</v>
      </c>
      <c r="AA298" s="6"/>
      <c r="AB298" s="6"/>
      <c r="AC298" s="138">
        <f t="shared" si="176"/>
        <v>0</v>
      </c>
      <c r="AD298" s="160">
        <f t="shared" si="177"/>
        <v>0</v>
      </c>
      <c r="AE298" s="170">
        <f t="shared" si="188"/>
        <v>0</v>
      </c>
      <c r="AF298" s="6"/>
      <c r="AG298" s="6"/>
      <c r="AH298" s="138">
        <f t="shared" si="178"/>
        <v>0</v>
      </c>
      <c r="AI298" s="160">
        <f t="shared" si="179"/>
        <v>0</v>
      </c>
      <c r="AJ298" s="170">
        <f t="shared" si="189"/>
        <v>0</v>
      </c>
      <c r="AK298" s="6"/>
      <c r="AL298" s="6"/>
      <c r="AM298" s="138">
        <f t="shared" si="180"/>
        <v>0</v>
      </c>
      <c r="AN298" s="160">
        <f t="shared" si="181"/>
        <v>0</v>
      </c>
      <c r="AO298" s="170">
        <f t="shared" si="190"/>
        <v>0</v>
      </c>
      <c r="AP298" s="6"/>
      <c r="AQ298" s="6"/>
      <c r="AR298" s="138">
        <f t="shared" si="182"/>
        <v>0</v>
      </c>
      <c r="AS298" s="160">
        <f t="shared" si="183"/>
        <v>0</v>
      </c>
      <c r="AT298" s="164">
        <f t="shared" si="184"/>
        <v>0</v>
      </c>
      <c r="AU298" s="165">
        <f t="shared" si="185"/>
        <v>0</v>
      </c>
    </row>
    <row r="299" spans="2:47" outlineLevel="1" x14ac:dyDescent="0.35">
      <c r="B299" s="48" t="s">
        <v>112</v>
      </c>
      <c r="C299" s="62" t="s">
        <v>135</v>
      </c>
      <c r="D299" s="70">
        <v>0</v>
      </c>
      <c r="E299" s="71">
        <v>1</v>
      </c>
      <c r="F299" s="70">
        <v>0</v>
      </c>
      <c r="G299" s="138">
        <v>1</v>
      </c>
      <c r="H299" s="185">
        <f t="shared" si="168"/>
        <v>0</v>
      </c>
      <c r="I299" s="70">
        <v>0</v>
      </c>
      <c r="J299" s="138">
        <v>1</v>
      </c>
      <c r="K299" s="167">
        <f t="shared" si="169"/>
        <v>0</v>
      </c>
      <c r="L299" s="70">
        <v>0</v>
      </c>
      <c r="M299" s="138">
        <v>1</v>
      </c>
      <c r="N299" s="167">
        <f t="shared" si="170"/>
        <v>0</v>
      </c>
      <c r="O299" s="70"/>
      <c r="P299" s="138">
        <v>1</v>
      </c>
      <c r="Q299" s="167">
        <f t="shared" si="191"/>
        <v>0</v>
      </c>
      <c r="R299" s="164">
        <f t="shared" si="192"/>
        <v>0</v>
      </c>
      <c r="S299" s="165">
        <f t="shared" si="193"/>
        <v>0</v>
      </c>
      <c r="U299" s="170">
        <f t="shared" si="186"/>
        <v>0</v>
      </c>
      <c r="V299" s="6"/>
      <c r="W299" s="6"/>
      <c r="X299" s="138">
        <f t="shared" si="194"/>
        <v>1</v>
      </c>
      <c r="Y299" s="167">
        <f t="shared" si="195"/>
        <v>0</v>
      </c>
      <c r="Z299" s="170">
        <f t="shared" si="187"/>
        <v>0</v>
      </c>
      <c r="AA299" s="6"/>
      <c r="AB299" s="6"/>
      <c r="AC299" s="138">
        <f t="shared" si="176"/>
        <v>1</v>
      </c>
      <c r="AD299" s="160">
        <f t="shared" si="177"/>
        <v>0</v>
      </c>
      <c r="AE299" s="170">
        <f t="shared" si="188"/>
        <v>0</v>
      </c>
      <c r="AF299" s="6"/>
      <c r="AG299" s="6"/>
      <c r="AH299" s="138">
        <f t="shared" si="178"/>
        <v>1</v>
      </c>
      <c r="AI299" s="160">
        <f t="shared" si="179"/>
        <v>0</v>
      </c>
      <c r="AJ299" s="170">
        <f t="shared" si="189"/>
        <v>0</v>
      </c>
      <c r="AK299" s="6"/>
      <c r="AL299" s="6"/>
      <c r="AM299" s="138">
        <f t="shared" si="180"/>
        <v>1</v>
      </c>
      <c r="AN299" s="160">
        <f t="shared" si="181"/>
        <v>0</v>
      </c>
      <c r="AO299" s="170">
        <f t="shared" si="190"/>
        <v>0</v>
      </c>
      <c r="AP299" s="6"/>
      <c r="AQ299" s="6"/>
      <c r="AR299" s="138">
        <f t="shared" si="182"/>
        <v>1</v>
      </c>
      <c r="AS299" s="160">
        <f t="shared" si="183"/>
        <v>0</v>
      </c>
      <c r="AT299" s="164">
        <f t="shared" si="184"/>
        <v>0</v>
      </c>
      <c r="AU299" s="165">
        <f t="shared" si="185"/>
        <v>0</v>
      </c>
    </row>
    <row r="300" spans="2:47" outlineLevel="1" x14ac:dyDescent="0.35">
      <c r="B300" s="48" t="s">
        <v>113</v>
      </c>
      <c r="C300" s="62" t="s">
        <v>135</v>
      </c>
      <c r="D300" s="70">
        <v>0</v>
      </c>
      <c r="E300" s="71">
        <v>0</v>
      </c>
      <c r="F300" s="70">
        <v>0</v>
      </c>
      <c r="G300" s="138">
        <v>0</v>
      </c>
      <c r="H300" s="185">
        <f t="shared" si="168"/>
        <v>0</v>
      </c>
      <c r="I300" s="70">
        <v>0</v>
      </c>
      <c r="J300" s="138">
        <v>0</v>
      </c>
      <c r="K300" s="167">
        <f t="shared" si="169"/>
        <v>0</v>
      </c>
      <c r="L300" s="70">
        <v>0</v>
      </c>
      <c r="M300" s="138"/>
      <c r="N300" s="167">
        <f t="shared" si="170"/>
        <v>0</v>
      </c>
      <c r="O300" s="70"/>
      <c r="P300" s="138"/>
      <c r="Q300" s="167">
        <f t="shared" si="191"/>
        <v>0</v>
      </c>
      <c r="R300" s="164">
        <f t="shared" si="192"/>
        <v>0</v>
      </c>
      <c r="S300" s="165">
        <f t="shared" si="193"/>
        <v>0</v>
      </c>
      <c r="U300" s="170">
        <f t="shared" si="186"/>
        <v>0</v>
      </c>
      <c r="V300" s="6"/>
      <c r="W300" s="6"/>
      <c r="X300" s="138">
        <f t="shared" si="194"/>
        <v>0</v>
      </c>
      <c r="Y300" s="167">
        <f t="shared" si="195"/>
        <v>0</v>
      </c>
      <c r="Z300" s="170">
        <f t="shared" si="187"/>
        <v>0</v>
      </c>
      <c r="AA300" s="6"/>
      <c r="AB300" s="6"/>
      <c r="AC300" s="138">
        <f t="shared" si="176"/>
        <v>0</v>
      </c>
      <c r="AD300" s="160">
        <f t="shared" si="177"/>
        <v>0</v>
      </c>
      <c r="AE300" s="170">
        <f t="shared" si="188"/>
        <v>1</v>
      </c>
      <c r="AF300" s="6"/>
      <c r="AG300" s="6">
        <v>1</v>
      </c>
      <c r="AH300" s="138">
        <f t="shared" si="178"/>
        <v>1</v>
      </c>
      <c r="AI300" s="160">
        <f t="shared" si="179"/>
        <v>0</v>
      </c>
      <c r="AJ300" s="170">
        <f t="shared" si="189"/>
        <v>0</v>
      </c>
      <c r="AK300" s="6"/>
      <c r="AL300" s="6"/>
      <c r="AM300" s="138">
        <f t="shared" si="180"/>
        <v>1</v>
      </c>
      <c r="AN300" s="160">
        <f t="shared" si="181"/>
        <v>0</v>
      </c>
      <c r="AO300" s="170">
        <f t="shared" si="190"/>
        <v>0</v>
      </c>
      <c r="AP300" s="6"/>
      <c r="AQ300" s="6"/>
      <c r="AR300" s="138">
        <f t="shared" si="182"/>
        <v>1</v>
      </c>
      <c r="AS300" s="160">
        <f t="shared" si="183"/>
        <v>0</v>
      </c>
      <c r="AT300" s="164">
        <f t="shared" si="184"/>
        <v>1</v>
      </c>
      <c r="AU300" s="165">
        <f t="shared" si="185"/>
        <v>0</v>
      </c>
    </row>
    <row r="301" spans="2:47" outlineLevel="1" x14ac:dyDescent="0.35">
      <c r="B301" s="48" t="s">
        <v>114</v>
      </c>
      <c r="C301" s="62" t="s">
        <v>135</v>
      </c>
      <c r="D301" s="70">
        <v>0</v>
      </c>
      <c r="E301" s="71">
        <v>0</v>
      </c>
      <c r="F301" s="70">
        <v>0</v>
      </c>
      <c r="G301" s="138">
        <v>0</v>
      </c>
      <c r="H301" s="185">
        <f t="shared" si="168"/>
        <v>0</v>
      </c>
      <c r="I301" s="70">
        <v>0</v>
      </c>
      <c r="J301" s="138">
        <v>0</v>
      </c>
      <c r="K301" s="167">
        <f t="shared" si="169"/>
        <v>0</v>
      </c>
      <c r="L301" s="70">
        <v>0</v>
      </c>
      <c r="M301" s="138"/>
      <c r="N301" s="167">
        <f t="shared" si="170"/>
        <v>0</v>
      </c>
      <c r="O301" s="70">
        <v>1</v>
      </c>
      <c r="P301" s="138"/>
      <c r="Q301" s="167">
        <f t="shared" si="191"/>
        <v>0</v>
      </c>
      <c r="R301" s="164">
        <f t="shared" si="192"/>
        <v>1</v>
      </c>
      <c r="S301" s="165">
        <f t="shared" si="193"/>
        <v>0</v>
      </c>
      <c r="U301" s="170">
        <f t="shared" si="186"/>
        <v>0</v>
      </c>
      <c r="V301" s="6"/>
      <c r="W301" s="6"/>
      <c r="X301" s="138">
        <f t="shared" si="194"/>
        <v>0</v>
      </c>
      <c r="Y301" s="167">
        <f t="shared" si="195"/>
        <v>0</v>
      </c>
      <c r="Z301" s="170">
        <f t="shared" si="187"/>
        <v>0</v>
      </c>
      <c r="AA301" s="6"/>
      <c r="AB301" s="6"/>
      <c r="AC301" s="138">
        <f t="shared" si="176"/>
        <v>0</v>
      </c>
      <c r="AD301" s="160">
        <f t="shared" si="177"/>
        <v>0</v>
      </c>
      <c r="AE301" s="170">
        <f t="shared" si="188"/>
        <v>0</v>
      </c>
      <c r="AF301" s="6"/>
      <c r="AG301" s="6"/>
      <c r="AH301" s="138">
        <f t="shared" si="178"/>
        <v>0</v>
      </c>
      <c r="AI301" s="160">
        <f t="shared" si="179"/>
        <v>0</v>
      </c>
      <c r="AJ301" s="170">
        <f t="shared" si="189"/>
        <v>0</v>
      </c>
      <c r="AK301" s="6"/>
      <c r="AL301" s="6"/>
      <c r="AM301" s="138">
        <f t="shared" si="180"/>
        <v>0</v>
      </c>
      <c r="AN301" s="160">
        <f t="shared" si="181"/>
        <v>0</v>
      </c>
      <c r="AO301" s="170">
        <f t="shared" si="190"/>
        <v>0</v>
      </c>
      <c r="AP301" s="6"/>
      <c r="AQ301" s="6"/>
      <c r="AR301" s="138">
        <f t="shared" si="182"/>
        <v>0</v>
      </c>
      <c r="AS301" s="160">
        <f t="shared" si="183"/>
        <v>0</v>
      </c>
      <c r="AT301" s="164">
        <f t="shared" si="184"/>
        <v>0</v>
      </c>
      <c r="AU301" s="165">
        <f t="shared" si="185"/>
        <v>0</v>
      </c>
    </row>
    <row r="302" spans="2:47" outlineLevel="1" x14ac:dyDescent="0.35">
      <c r="B302" s="48" t="s">
        <v>115</v>
      </c>
      <c r="C302" s="62" t="s">
        <v>135</v>
      </c>
      <c r="D302" s="70">
        <v>0</v>
      </c>
      <c r="E302" s="71">
        <v>0</v>
      </c>
      <c r="F302" s="70">
        <v>0</v>
      </c>
      <c r="G302" s="138">
        <v>0</v>
      </c>
      <c r="H302" s="185">
        <f t="shared" si="168"/>
        <v>0</v>
      </c>
      <c r="I302" s="70">
        <v>0</v>
      </c>
      <c r="J302" s="138">
        <v>0</v>
      </c>
      <c r="K302" s="167">
        <f t="shared" si="169"/>
        <v>0</v>
      </c>
      <c r="L302" s="70">
        <v>0</v>
      </c>
      <c r="M302" s="138"/>
      <c r="N302" s="167">
        <f t="shared" si="170"/>
        <v>0</v>
      </c>
      <c r="O302" s="70"/>
      <c r="P302" s="138"/>
      <c r="Q302" s="167">
        <f t="shared" si="191"/>
        <v>0</v>
      </c>
      <c r="R302" s="164">
        <f t="shared" si="192"/>
        <v>0</v>
      </c>
      <c r="S302" s="165">
        <f t="shared" si="193"/>
        <v>0</v>
      </c>
      <c r="U302" s="170">
        <f t="shared" si="186"/>
        <v>0</v>
      </c>
      <c r="V302" s="6"/>
      <c r="W302" s="6"/>
      <c r="X302" s="138">
        <f t="shared" si="194"/>
        <v>0</v>
      </c>
      <c r="Y302" s="167">
        <f t="shared" si="195"/>
        <v>0</v>
      </c>
      <c r="Z302" s="170">
        <f t="shared" si="187"/>
        <v>0</v>
      </c>
      <c r="AA302" s="6"/>
      <c r="AB302" s="6"/>
      <c r="AC302" s="138">
        <f t="shared" si="176"/>
        <v>0</v>
      </c>
      <c r="AD302" s="160">
        <f t="shared" si="177"/>
        <v>0</v>
      </c>
      <c r="AE302" s="170">
        <f t="shared" si="188"/>
        <v>0</v>
      </c>
      <c r="AF302" s="6"/>
      <c r="AG302" s="6"/>
      <c r="AH302" s="138">
        <f t="shared" si="178"/>
        <v>0</v>
      </c>
      <c r="AI302" s="160">
        <f t="shared" si="179"/>
        <v>0</v>
      </c>
      <c r="AJ302" s="170">
        <f t="shared" si="189"/>
        <v>0</v>
      </c>
      <c r="AK302" s="6"/>
      <c r="AL302" s="6"/>
      <c r="AM302" s="138">
        <f t="shared" si="180"/>
        <v>0</v>
      </c>
      <c r="AN302" s="160">
        <f t="shared" si="181"/>
        <v>0</v>
      </c>
      <c r="AO302" s="170">
        <f t="shared" si="190"/>
        <v>0</v>
      </c>
      <c r="AP302" s="6"/>
      <c r="AQ302" s="6"/>
      <c r="AR302" s="138">
        <f t="shared" si="182"/>
        <v>0</v>
      </c>
      <c r="AS302" s="160">
        <f t="shared" si="183"/>
        <v>0</v>
      </c>
      <c r="AT302" s="164">
        <f t="shared" si="184"/>
        <v>0</v>
      </c>
      <c r="AU302" s="165">
        <f t="shared" si="185"/>
        <v>0</v>
      </c>
    </row>
    <row r="303" spans="2:47" outlineLevel="1" x14ac:dyDescent="0.35">
      <c r="B303" s="48" t="s">
        <v>116</v>
      </c>
      <c r="C303" s="62" t="s">
        <v>135</v>
      </c>
      <c r="D303" s="70">
        <v>0</v>
      </c>
      <c r="E303" s="71">
        <v>0</v>
      </c>
      <c r="F303" s="70">
        <v>0</v>
      </c>
      <c r="G303" s="138">
        <v>0</v>
      </c>
      <c r="H303" s="185">
        <f t="shared" si="168"/>
        <v>0</v>
      </c>
      <c r="I303" s="70">
        <v>0</v>
      </c>
      <c r="J303" s="138">
        <v>0</v>
      </c>
      <c r="K303" s="167">
        <f t="shared" si="169"/>
        <v>0</v>
      </c>
      <c r="L303" s="70">
        <v>0</v>
      </c>
      <c r="M303" s="138"/>
      <c r="N303" s="167">
        <f t="shared" si="170"/>
        <v>0</v>
      </c>
      <c r="O303" s="70"/>
      <c r="P303" s="138"/>
      <c r="Q303" s="167">
        <f t="shared" si="191"/>
        <v>0</v>
      </c>
      <c r="R303" s="164">
        <f t="shared" si="192"/>
        <v>0</v>
      </c>
      <c r="S303" s="165">
        <f t="shared" si="193"/>
        <v>0</v>
      </c>
      <c r="U303" s="170">
        <f t="shared" si="186"/>
        <v>0</v>
      </c>
      <c r="V303" s="6"/>
      <c r="W303" s="6"/>
      <c r="X303" s="138">
        <f t="shared" si="194"/>
        <v>0</v>
      </c>
      <c r="Y303" s="167">
        <f t="shared" si="195"/>
        <v>0</v>
      </c>
      <c r="Z303" s="170">
        <f t="shared" si="187"/>
        <v>0</v>
      </c>
      <c r="AA303" s="6"/>
      <c r="AB303" s="6"/>
      <c r="AC303" s="138">
        <f t="shared" si="176"/>
        <v>0</v>
      </c>
      <c r="AD303" s="160">
        <f t="shared" si="177"/>
        <v>0</v>
      </c>
      <c r="AE303" s="170">
        <f t="shared" si="188"/>
        <v>0</v>
      </c>
      <c r="AF303" s="6"/>
      <c r="AG303" s="6"/>
      <c r="AH303" s="138">
        <f t="shared" si="178"/>
        <v>0</v>
      </c>
      <c r="AI303" s="160">
        <f t="shared" si="179"/>
        <v>0</v>
      </c>
      <c r="AJ303" s="170">
        <f t="shared" si="189"/>
        <v>0</v>
      </c>
      <c r="AK303" s="6"/>
      <c r="AL303" s="6"/>
      <c r="AM303" s="138">
        <f t="shared" si="180"/>
        <v>0</v>
      </c>
      <c r="AN303" s="160">
        <f t="shared" si="181"/>
        <v>0</v>
      </c>
      <c r="AO303" s="170">
        <f t="shared" si="190"/>
        <v>0</v>
      </c>
      <c r="AP303" s="6"/>
      <c r="AQ303" s="6"/>
      <c r="AR303" s="138">
        <f t="shared" si="182"/>
        <v>0</v>
      </c>
      <c r="AS303" s="160">
        <f t="shared" si="183"/>
        <v>0</v>
      </c>
      <c r="AT303" s="164">
        <f t="shared" si="184"/>
        <v>0</v>
      </c>
      <c r="AU303" s="165">
        <f t="shared" si="185"/>
        <v>0</v>
      </c>
    </row>
    <row r="304" spans="2:47" outlineLevel="1" x14ac:dyDescent="0.35">
      <c r="B304" s="48" t="s">
        <v>117</v>
      </c>
      <c r="C304" s="62" t="s">
        <v>135</v>
      </c>
      <c r="D304" s="70">
        <v>0</v>
      </c>
      <c r="E304" s="71">
        <v>0</v>
      </c>
      <c r="F304" s="70">
        <v>0</v>
      </c>
      <c r="G304" s="138">
        <v>0</v>
      </c>
      <c r="H304" s="185">
        <f t="shared" si="168"/>
        <v>0</v>
      </c>
      <c r="I304" s="70">
        <v>0</v>
      </c>
      <c r="J304" s="138">
        <v>0</v>
      </c>
      <c r="K304" s="167">
        <f t="shared" si="169"/>
        <v>0</v>
      </c>
      <c r="L304" s="70">
        <v>0</v>
      </c>
      <c r="M304" s="138"/>
      <c r="N304" s="167">
        <f t="shared" si="170"/>
        <v>0</v>
      </c>
      <c r="O304" s="70"/>
      <c r="P304" s="138"/>
      <c r="Q304" s="167">
        <f t="shared" si="191"/>
        <v>0</v>
      </c>
      <c r="R304" s="164">
        <f t="shared" si="192"/>
        <v>0</v>
      </c>
      <c r="S304" s="165">
        <f t="shared" si="193"/>
        <v>0</v>
      </c>
      <c r="U304" s="170">
        <f t="shared" si="186"/>
        <v>0</v>
      </c>
      <c r="V304" s="6"/>
      <c r="W304" s="6"/>
      <c r="X304" s="138">
        <f t="shared" si="194"/>
        <v>0</v>
      </c>
      <c r="Y304" s="167">
        <f t="shared" si="195"/>
        <v>0</v>
      </c>
      <c r="Z304" s="170">
        <f t="shared" si="187"/>
        <v>0</v>
      </c>
      <c r="AA304" s="6"/>
      <c r="AB304" s="6"/>
      <c r="AC304" s="138">
        <f t="shared" si="176"/>
        <v>0</v>
      </c>
      <c r="AD304" s="160">
        <f t="shared" si="177"/>
        <v>0</v>
      </c>
      <c r="AE304" s="170">
        <f t="shared" si="188"/>
        <v>0</v>
      </c>
      <c r="AF304" s="6"/>
      <c r="AG304" s="6"/>
      <c r="AH304" s="138">
        <f t="shared" si="178"/>
        <v>0</v>
      </c>
      <c r="AI304" s="160">
        <f t="shared" si="179"/>
        <v>0</v>
      </c>
      <c r="AJ304" s="170">
        <f t="shared" si="189"/>
        <v>0</v>
      </c>
      <c r="AK304" s="6"/>
      <c r="AL304" s="6"/>
      <c r="AM304" s="138">
        <f t="shared" si="180"/>
        <v>0</v>
      </c>
      <c r="AN304" s="160">
        <f t="shared" si="181"/>
        <v>0</v>
      </c>
      <c r="AO304" s="170">
        <f t="shared" si="190"/>
        <v>0</v>
      </c>
      <c r="AP304" s="6"/>
      <c r="AQ304" s="6"/>
      <c r="AR304" s="138">
        <f t="shared" si="182"/>
        <v>0</v>
      </c>
      <c r="AS304" s="160">
        <f t="shared" si="183"/>
        <v>0</v>
      </c>
      <c r="AT304" s="164">
        <f t="shared" si="184"/>
        <v>0</v>
      </c>
      <c r="AU304" s="165">
        <f t="shared" si="185"/>
        <v>0</v>
      </c>
    </row>
    <row r="305" spans="2:47" outlineLevel="1" x14ac:dyDescent="0.35">
      <c r="B305" s="48" t="s">
        <v>118</v>
      </c>
      <c r="C305" s="62" t="s">
        <v>135</v>
      </c>
      <c r="D305" s="70">
        <v>0</v>
      </c>
      <c r="E305" s="71">
        <v>0</v>
      </c>
      <c r="F305" s="70">
        <v>0</v>
      </c>
      <c r="G305" s="138">
        <v>0</v>
      </c>
      <c r="H305" s="185">
        <f t="shared" si="168"/>
        <v>0</v>
      </c>
      <c r="I305" s="70">
        <v>0</v>
      </c>
      <c r="J305" s="138">
        <v>0</v>
      </c>
      <c r="K305" s="167">
        <f t="shared" si="169"/>
        <v>0</v>
      </c>
      <c r="L305" s="70">
        <v>0</v>
      </c>
      <c r="M305" s="138"/>
      <c r="N305" s="167">
        <f t="shared" si="170"/>
        <v>0</v>
      </c>
      <c r="O305" s="70"/>
      <c r="P305" s="138"/>
      <c r="Q305" s="167">
        <f t="shared" si="191"/>
        <v>0</v>
      </c>
      <c r="R305" s="164">
        <f t="shared" si="192"/>
        <v>0</v>
      </c>
      <c r="S305" s="165">
        <f t="shared" si="193"/>
        <v>0</v>
      </c>
      <c r="U305" s="170">
        <f t="shared" si="186"/>
        <v>0</v>
      </c>
      <c r="V305" s="6"/>
      <c r="W305" s="6"/>
      <c r="X305" s="138">
        <f t="shared" si="194"/>
        <v>0</v>
      </c>
      <c r="Y305" s="167">
        <f t="shared" si="195"/>
        <v>0</v>
      </c>
      <c r="Z305" s="170">
        <f t="shared" si="187"/>
        <v>0</v>
      </c>
      <c r="AA305" s="6"/>
      <c r="AB305" s="6"/>
      <c r="AC305" s="138">
        <f t="shared" si="176"/>
        <v>0</v>
      </c>
      <c r="AD305" s="160">
        <f t="shared" si="177"/>
        <v>0</v>
      </c>
      <c r="AE305" s="170">
        <f t="shared" si="188"/>
        <v>0</v>
      </c>
      <c r="AF305" s="6"/>
      <c r="AG305" s="6"/>
      <c r="AH305" s="138">
        <f t="shared" si="178"/>
        <v>0</v>
      </c>
      <c r="AI305" s="160">
        <f t="shared" si="179"/>
        <v>0</v>
      </c>
      <c r="AJ305" s="170">
        <f t="shared" si="189"/>
        <v>0</v>
      </c>
      <c r="AK305" s="6"/>
      <c r="AL305" s="6"/>
      <c r="AM305" s="138">
        <f t="shared" si="180"/>
        <v>0</v>
      </c>
      <c r="AN305" s="160">
        <f t="shared" si="181"/>
        <v>0</v>
      </c>
      <c r="AO305" s="170">
        <f t="shared" si="190"/>
        <v>0</v>
      </c>
      <c r="AP305" s="6"/>
      <c r="AQ305" s="6"/>
      <c r="AR305" s="138">
        <f t="shared" si="182"/>
        <v>0</v>
      </c>
      <c r="AS305" s="160">
        <f t="shared" si="183"/>
        <v>0</v>
      </c>
      <c r="AT305" s="164">
        <f t="shared" si="184"/>
        <v>0</v>
      </c>
      <c r="AU305" s="165">
        <f t="shared" si="185"/>
        <v>0</v>
      </c>
    </row>
    <row r="306" spans="2:47" outlineLevel="1" x14ac:dyDescent="0.35">
      <c r="B306" s="48" t="s">
        <v>119</v>
      </c>
      <c r="C306" s="62" t="s">
        <v>135</v>
      </c>
      <c r="D306" s="70">
        <v>0</v>
      </c>
      <c r="E306" s="71">
        <v>0</v>
      </c>
      <c r="F306" s="70">
        <v>0</v>
      </c>
      <c r="G306" s="138">
        <v>0</v>
      </c>
      <c r="H306" s="185">
        <f t="shared" si="168"/>
        <v>0</v>
      </c>
      <c r="I306" s="70">
        <v>0</v>
      </c>
      <c r="J306" s="138">
        <v>0</v>
      </c>
      <c r="K306" s="167">
        <f t="shared" si="169"/>
        <v>0</v>
      </c>
      <c r="L306" s="70">
        <v>0</v>
      </c>
      <c r="M306" s="138"/>
      <c r="N306" s="167">
        <f t="shared" si="170"/>
        <v>0</v>
      </c>
      <c r="O306" s="70"/>
      <c r="P306" s="138"/>
      <c r="Q306" s="167">
        <f t="shared" si="191"/>
        <v>0</v>
      </c>
      <c r="R306" s="164">
        <f t="shared" si="192"/>
        <v>0</v>
      </c>
      <c r="S306" s="165">
        <f t="shared" si="193"/>
        <v>0</v>
      </c>
      <c r="U306" s="170">
        <f t="shared" si="186"/>
        <v>0</v>
      </c>
      <c r="V306" s="6"/>
      <c r="W306" s="6"/>
      <c r="X306" s="138">
        <f t="shared" si="194"/>
        <v>0</v>
      </c>
      <c r="Y306" s="167">
        <f t="shared" si="195"/>
        <v>0</v>
      </c>
      <c r="Z306" s="170">
        <f t="shared" si="187"/>
        <v>0</v>
      </c>
      <c r="AA306" s="6"/>
      <c r="AB306" s="6"/>
      <c r="AC306" s="138">
        <f t="shared" si="176"/>
        <v>0</v>
      </c>
      <c r="AD306" s="160">
        <f t="shared" si="177"/>
        <v>0</v>
      </c>
      <c r="AE306" s="170">
        <f t="shared" si="188"/>
        <v>0</v>
      </c>
      <c r="AF306" s="6"/>
      <c r="AG306" s="6"/>
      <c r="AH306" s="138">
        <f t="shared" si="178"/>
        <v>0</v>
      </c>
      <c r="AI306" s="160">
        <f t="shared" si="179"/>
        <v>0</v>
      </c>
      <c r="AJ306" s="170">
        <f t="shared" si="189"/>
        <v>0</v>
      </c>
      <c r="AK306" s="6"/>
      <c r="AL306" s="6"/>
      <c r="AM306" s="138">
        <f t="shared" si="180"/>
        <v>0</v>
      </c>
      <c r="AN306" s="160">
        <f t="shared" si="181"/>
        <v>0</v>
      </c>
      <c r="AO306" s="170">
        <f t="shared" si="190"/>
        <v>0</v>
      </c>
      <c r="AP306" s="6"/>
      <c r="AQ306" s="6"/>
      <c r="AR306" s="138">
        <f t="shared" si="182"/>
        <v>0</v>
      </c>
      <c r="AS306" s="160">
        <f t="shared" si="183"/>
        <v>0</v>
      </c>
      <c r="AT306" s="164">
        <f t="shared" si="184"/>
        <v>0</v>
      </c>
      <c r="AU306" s="165">
        <f t="shared" si="185"/>
        <v>0</v>
      </c>
    </row>
    <row r="307" spans="2:47" outlineLevel="1" x14ac:dyDescent="0.35">
      <c r="B307" s="48" t="s">
        <v>120</v>
      </c>
      <c r="C307" s="62" t="s">
        <v>135</v>
      </c>
      <c r="D307" s="70">
        <v>0</v>
      </c>
      <c r="E307" s="71">
        <v>0</v>
      </c>
      <c r="F307" s="70">
        <v>0</v>
      </c>
      <c r="G307" s="138">
        <v>0</v>
      </c>
      <c r="H307" s="185">
        <f t="shared" si="168"/>
        <v>0</v>
      </c>
      <c r="I307" s="70">
        <v>0</v>
      </c>
      <c r="J307" s="138">
        <v>0</v>
      </c>
      <c r="K307" s="167">
        <f t="shared" si="169"/>
        <v>0</v>
      </c>
      <c r="L307" s="70">
        <v>0</v>
      </c>
      <c r="M307" s="138"/>
      <c r="N307" s="167">
        <f t="shared" si="170"/>
        <v>0</v>
      </c>
      <c r="O307" s="70"/>
      <c r="P307" s="138"/>
      <c r="Q307" s="167">
        <f t="shared" si="191"/>
        <v>0</v>
      </c>
      <c r="R307" s="164">
        <f t="shared" si="192"/>
        <v>0</v>
      </c>
      <c r="S307" s="165">
        <f t="shared" si="193"/>
        <v>0</v>
      </c>
      <c r="U307" s="170">
        <f t="shared" si="186"/>
        <v>1</v>
      </c>
      <c r="V307" s="6"/>
      <c r="W307" s="6">
        <v>1</v>
      </c>
      <c r="X307" s="138">
        <f t="shared" si="194"/>
        <v>1</v>
      </c>
      <c r="Y307" s="167">
        <f t="shared" si="195"/>
        <v>0</v>
      </c>
      <c r="Z307" s="170">
        <f t="shared" si="187"/>
        <v>0</v>
      </c>
      <c r="AA307" s="6"/>
      <c r="AB307" s="6"/>
      <c r="AC307" s="138">
        <f t="shared" si="176"/>
        <v>1</v>
      </c>
      <c r="AD307" s="160">
        <f t="shared" si="177"/>
        <v>0</v>
      </c>
      <c r="AE307" s="170">
        <f t="shared" si="188"/>
        <v>0</v>
      </c>
      <c r="AF307" s="6"/>
      <c r="AG307" s="6"/>
      <c r="AH307" s="138">
        <f t="shared" si="178"/>
        <v>1</v>
      </c>
      <c r="AI307" s="160">
        <f t="shared" si="179"/>
        <v>0</v>
      </c>
      <c r="AJ307" s="170">
        <f t="shared" si="189"/>
        <v>0</v>
      </c>
      <c r="AK307" s="6"/>
      <c r="AL307" s="6"/>
      <c r="AM307" s="138">
        <f t="shared" si="180"/>
        <v>1</v>
      </c>
      <c r="AN307" s="160">
        <f t="shared" si="181"/>
        <v>0</v>
      </c>
      <c r="AO307" s="170">
        <f t="shared" si="190"/>
        <v>1</v>
      </c>
      <c r="AP307" s="6"/>
      <c r="AQ307" s="6">
        <v>1</v>
      </c>
      <c r="AR307" s="138">
        <f t="shared" si="182"/>
        <v>2</v>
      </c>
      <c r="AS307" s="160">
        <f t="shared" si="183"/>
        <v>1</v>
      </c>
      <c r="AT307" s="164">
        <f t="shared" si="184"/>
        <v>2</v>
      </c>
      <c r="AU307" s="165">
        <f t="shared" si="185"/>
        <v>0.18920711500272103</v>
      </c>
    </row>
    <row r="308" spans="2:47" outlineLevel="1" x14ac:dyDescent="0.35">
      <c r="B308" s="48" t="s">
        <v>121</v>
      </c>
      <c r="C308" s="62" t="s">
        <v>135</v>
      </c>
      <c r="D308" s="70">
        <v>0</v>
      </c>
      <c r="E308" s="71">
        <v>0</v>
      </c>
      <c r="F308" s="70">
        <v>0</v>
      </c>
      <c r="G308" s="138">
        <v>0</v>
      </c>
      <c r="H308" s="185">
        <f t="shared" si="168"/>
        <v>0</v>
      </c>
      <c r="I308" s="70">
        <v>0</v>
      </c>
      <c r="J308" s="138">
        <v>0</v>
      </c>
      <c r="K308" s="167">
        <f t="shared" si="169"/>
        <v>0</v>
      </c>
      <c r="L308" s="70">
        <v>0</v>
      </c>
      <c r="M308" s="138"/>
      <c r="N308" s="167">
        <f t="shared" si="170"/>
        <v>0</v>
      </c>
      <c r="O308" s="70"/>
      <c r="P308" s="138"/>
      <c r="Q308" s="167">
        <f t="shared" si="191"/>
        <v>0</v>
      </c>
      <c r="R308" s="164">
        <f t="shared" si="192"/>
        <v>0</v>
      </c>
      <c r="S308" s="165">
        <f t="shared" si="193"/>
        <v>0</v>
      </c>
      <c r="U308" s="170">
        <f t="shared" si="186"/>
        <v>0</v>
      </c>
      <c r="V308" s="6"/>
      <c r="W308" s="6"/>
      <c r="X308" s="138">
        <f t="shared" si="194"/>
        <v>0</v>
      </c>
      <c r="Y308" s="167">
        <f t="shared" si="195"/>
        <v>0</v>
      </c>
      <c r="Z308" s="170">
        <f t="shared" si="187"/>
        <v>0</v>
      </c>
      <c r="AA308" s="6"/>
      <c r="AB308" s="6"/>
      <c r="AC308" s="138">
        <f t="shared" si="176"/>
        <v>0</v>
      </c>
      <c r="AD308" s="160">
        <f t="shared" si="177"/>
        <v>0</v>
      </c>
      <c r="AE308" s="170">
        <f t="shared" si="188"/>
        <v>0</v>
      </c>
      <c r="AF308" s="6"/>
      <c r="AG308" s="6"/>
      <c r="AH308" s="138">
        <f t="shared" si="178"/>
        <v>0</v>
      </c>
      <c r="AI308" s="160">
        <f t="shared" si="179"/>
        <v>0</v>
      </c>
      <c r="AJ308" s="170">
        <f t="shared" si="189"/>
        <v>0</v>
      </c>
      <c r="AK308" s="6"/>
      <c r="AL308" s="6"/>
      <c r="AM308" s="138">
        <f t="shared" si="180"/>
        <v>0</v>
      </c>
      <c r="AN308" s="160">
        <f t="shared" si="181"/>
        <v>0</v>
      </c>
      <c r="AO308" s="170">
        <f t="shared" si="190"/>
        <v>0</v>
      </c>
      <c r="AP308" s="6"/>
      <c r="AQ308" s="6"/>
      <c r="AR308" s="138">
        <f t="shared" si="182"/>
        <v>0</v>
      </c>
      <c r="AS308" s="160">
        <f t="shared" si="183"/>
        <v>0</v>
      </c>
      <c r="AT308" s="164">
        <f t="shared" si="184"/>
        <v>0</v>
      </c>
      <c r="AU308" s="165">
        <f t="shared" si="185"/>
        <v>0</v>
      </c>
    </row>
    <row r="309" spans="2:47" outlineLevel="1" x14ac:dyDescent="0.35">
      <c r="B309" s="48" t="s">
        <v>137</v>
      </c>
      <c r="C309" s="62" t="s">
        <v>135</v>
      </c>
      <c r="D309" s="70">
        <v>0</v>
      </c>
      <c r="E309" s="71">
        <v>0</v>
      </c>
      <c r="F309" s="70">
        <v>0</v>
      </c>
      <c r="G309" s="138">
        <v>0</v>
      </c>
      <c r="H309" s="185">
        <f t="shared" si="168"/>
        <v>0</v>
      </c>
      <c r="I309" s="70">
        <v>0</v>
      </c>
      <c r="J309" s="138">
        <v>0</v>
      </c>
      <c r="K309" s="167">
        <f t="shared" si="169"/>
        <v>0</v>
      </c>
      <c r="L309" s="70">
        <v>0</v>
      </c>
      <c r="M309" s="138"/>
      <c r="N309" s="167">
        <f t="shared" si="170"/>
        <v>0</v>
      </c>
      <c r="O309" s="70"/>
      <c r="P309" s="138"/>
      <c r="Q309" s="167">
        <f t="shared" si="191"/>
        <v>0</v>
      </c>
      <c r="R309" s="164">
        <f t="shared" si="192"/>
        <v>0</v>
      </c>
      <c r="S309" s="165">
        <f t="shared" si="193"/>
        <v>0</v>
      </c>
      <c r="U309" s="170">
        <f t="shared" si="186"/>
        <v>0</v>
      </c>
      <c r="V309" s="6"/>
      <c r="W309" s="6"/>
      <c r="X309" s="138">
        <f t="shared" si="194"/>
        <v>0</v>
      </c>
      <c r="Y309" s="167">
        <f t="shared" si="195"/>
        <v>0</v>
      </c>
      <c r="Z309" s="170">
        <f t="shared" si="187"/>
        <v>0</v>
      </c>
      <c r="AA309" s="6"/>
      <c r="AB309" s="6"/>
      <c r="AC309" s="138">
        <f t="shared" si="176"/>
        <v>0</v>
      </c>
      <c r="AD309" s="160">
        <f t="shared" si="177"/>
        <v>0</v>
      </c>
      <c r="AE309" s="170">
        <f t="shared" si="188"/>
        <v>0</v>
      </c>
      <c r="AF309" s="6"/>
      <c r="AG309" s="6"/>
      <c r="AH309" s="138">
        <f t="shared" si="178"/>
        <v>0</v>
      </c>
      <c r="AI309" s="160">
        <f t="shared" si="179"/>
        <v>0</v>
      </c>
      <c r="AJ309" s="170">
        <f t="shared" si="189"/>
        <v>0</v>
      </c>
      <c r="AK309" s="6"/>
      <c r="AL309" s="6"/>
      <c r="AM309" s="138">
        <f t="shared" si="180"/>
        <v>0</v>
      </c>
      <c r="AN309" s="160">
        <f t="shared" si="181"/>
        <v>0</v>
      </c>
      <c r="AO309" s="170">
        <f t="shared" si="190"/>
        <v>0</v>
      </c>
      <c r="AP309" s="6"/>
      <c r="AQ309" s="6"/>
      <c r="AR309" s="138">
        <f t="shared" si="182"/>
        <v>0</v>
      </c>
      <c r="AS309" s="160">
        <f t="shared" si="183"/>
        <v>0</v>
      </c>
      <c r="AT309" s="164">
        <f t="shared" si="184"/>
        <v>0</v>
      </c>
      <c r="AU309" s="165">
        <f t="shared" si="185"/>
        <v>0</v>
      </c>
    </row>
    <row r="310" spans="2:47" outlineLevel="1" x14ac:dyDescent="0.35">
      <c r="B310" s="48" t="s">
        <v>123</v>
      </c>
      <c r="C310" s="62" t="s">
        <v>135</v>
      </c>
      <c r="D310" s="70">
        <v>0</v>
      </c>
      <c r="E310" s="71">
        <v>0</v>
      </c>
      <c r="F310" s="70">
        <v>0</v>
      </c>
      <c r="G310" s="138">
        <v>0</v>
      </c>
      <c r="H310" s="185">
        <f t="shared" si="168"/>
        <v>0</v>
      </c>
      <c r="I310" s="70">
        <v>0</v>
      </c>
      <c r="J310" s="138">
        <v>0</v>
      </c>
      <c r="K310" s="167">
        <f t="shared" si="169"/>
        <v>0</v>
      </c>
      <c r="L310" s="70">
        <v>0</v>
      </c>
      <c r="M310" s="138"/>
      <c r="N310" s="167">
        <f t="shared" si="170"/>
        <v>0</v>
      </c>
      <c r="O310" s="70"/>
      <c r="P310" s="138"/>
      <c r="Q310" s="167">
        <f t="shared" si="191"/>
        <v>0</v>
      </c>
      <c r="R310" s="164">
        <f t="shared" si="192"/>
        <v>0</v>
      </c>
      <c r="S310" s="165">
        <f t="shared" si="193"/>
        <v>0</v>
      </c>
      <c r="U310" s="170">
        <f t="shared" si="186"/>
        <v>0</v>
      </c>
      <c r="V310" s="6"/>
      <c r="W310" s="6"/>
      <c r="X310" s="138">
        <f t="shared" si="194"/>
        <v>0</v>
      </c>
      <c r="Y310" s="167">
        <f t="shared" si="195"/>
        <v>0</v>
      </c>
      <c r="Z310" s="170">
        <f t="shared" si="187"/>
        <v>0</v>
      </c>
      <c r="AA310" s="6"/>
      <c r="AB310" s="6"/>
      <c r="AC310" s="138">
        <f t="shared" si="176"/>
        <v>0</v>
      </c>
      <c r="AD310" s="160">
        <f t="shared" si="177"/>
        <v>0</v>
      </c>
      <c r="AE310" s="170">
        <f t="shared" si="188"/>
        <v>0</v>
      </c>
      <c r="AF310" s="6"/>
      <c r="AG310" s="6"/>
      <c r="AH310" s="138">
        <f t="shared" si="178"/>
        <v>0</v>
      </c>
      <c r="AI310" s="160">
        <f t="shared" si="179"/>
        <v>0</v>
      </c>
      <c r="AJ310" s="170">
        <f t="shared" si="189"/>
        <v>0</v>
      </c>
      <c r="AK310" s="6"/>
      <c r="AL310" s="6"/>
      <c r="AM310" s="138">
        <f t="shared" si="180"/>
        <v>0</v>
      </c>
      <c r="AN310" s="160">
        <f t="shared" si="181"/>
        <v>0</v>
      </c>
      <c r="AO310" s="170">
        <f t="shared" si="190"/>
        <v>0</v>
      </c>
      <c r="AP310" s="6"/>
      <c r="AQ310" s="6"/>
      <c r="AR310" s="138">
        <f t="shared" si="182"/>
        <v>0</v>
      </c>
      <c r="AS310" s="160">
        <f t="shared" si="183"/>
        <v>0</v>
      </c>
      <c r="AT310" s="164">
        <f t="shared" si="184"/>
        <v>0</v>
      </c>
      <c r="AU310" s="165">
        <f t="shared" si="185"/>
        <v>0</v>
      </c>
    </row>
    <row r="311" spans="2:47" outlineLevel="1" x14ac:dyDescent="0.35">
      <c r="B311" s="48" t="s">
        <v>124</v>
      </c>
      <c r="C311" s="62" t="s">
        <v>135</v>
      </c>
      <c r="D311" s="70">
        <v>0</v>
      </c>
      <c r="E311" s="71">
        <v>0</v>
      </c>
      <c r="F311" s="70">
        <v>0</v>
      </c>
      <c r="G311" s="138">
        <v>0</v>
      </c>
      <c r="H311" s="185">
        <f t="shared" si="168"/>
        <v>0</v>
      </c>
      <c r="I311" s="70">
        <v>0</v>
      </c>
      <c r="J311" s="138">
        <v>0</v>
      </c>
      <c r="K311" s="167">
        <f t="shared" si="169"/>
        <v>0</v>
      </c>
      <c r="L311" s="70">
        <v>0</v>
      </c>
      <c r="M311" s="138"/>
      <c r="N311" s="167">
        <f t="shared" si="170"/>
        <v>0</v>
      </c>
      <c r="O311" s="70"/>
      <c r="P311" s="138"/>
      <c r="Q311" s="167">
        <f t="shared" si="191"/>
        <v>0</v>
      </c>
      <c r="R311" s="164">
        <f t="shared" si="192"/>
        <v>0</v>
      </c>
      <c r="S311" s="165">
        <f t="shared" si="193"/>
        <v>0</v>
      </c>
      <c r="U311" s="170">
        <f t="shared" si="186"/>
        <v>0</v>
      </c>
      <c r="V311" s="6"/>
      <c r="W311" s="6"/>
      <c r="X311" s="138">
        <f t="shared" si="194"/>
        <v>0</v>
      </c>
      <c r="Y311" s="167">
        <f t="shared" si="195"/>
        <v>0</v>
      </c>
      <c r="Z311" s="170">
        <f t="shared" si="187"/>
        <v>0</v>
      </c>
      <c r="AA311" s="6"/>
      <c r="AB311" s="6"/>
      <c r="AC311" s="138">
        <f t="shared" si="176"/>
        <v>0</v>
      </c>
      <c r="AD311" s="160">
        <f t="shared" si="177"/>
        <v>0</v>
      </c>
      <c r="AE311" s="170">
        <f t="shared" si="188"/>
        <v>0</v>
      </c>
      <c r="AF311" s="6"/>
      <c r="AG311" s="6"/>
      <c r="AH311" s="138">
        <f t="shared" si="178"/>
        <v>0</v>
      </c>
      <c r="AI311" s="160">
        <f t="shared" si="179"/>
        <v>0</v>
      </c>
      <c r="AJ311" s="170">
        <f t="shared" si="189"/>
        <v>0</v>
      </c>
      <c r="AK311" s="6"/>
      <c r="AL311" s="6"/>
      <c r="AM311" s="138">
        <f t="shared" si="180"/>
        <v>0</v>
      </c>
      <c r="AN311" s="160">
        <f t="shared" si="181"/>
        <v>0</v>
      </c>
      <c r="AO311" s="170">
        <f t="shared" si="190"/>
        <v>0</v>
      </c>
      <c r="AP311" s="6"/>
      <c r="AQ311" s="6"/>
      <c r="AR311" s="138">
        <f t="shared" si="182"/>
        <v>0</v>
      </c>
      <c r="AS311" s="160">
        <f t="shared" si="183"/>
        <v>0</v>
      </c>
      <c r="AT311" s="164">
        <f t="shared" si="184"/>
        <v>0</v>
      </c>
      <c r="AU311" s="165">
        <f t="shared" si="185"/>
        <v>0</v>
      </c>
    </row>
    <row r="312" spans="2:47" outlineLevel="1" x14ac:dyDescent="0.35">
      <c r="B312" s="48" t="s">
        <v>125</v>
      </c>
      <c r="C312" s="62" t="s">
        <v>135</v>
      </c>
      <c r="D312" s="70">
        <v>0</v>
      </c>
      <c r="E312" s="71">
        <v>0</v>
      </c>
      <c r="F312" s="70">
        <v>0</v>
      </c>
      <c r="G312" s="138">
        <v>0</v>
      </c>
      <c r="H312" s="185">
        <f t="shared" si="168"/>
        <v>0</v>
      </c>
      <c r="I312" s="70">
        <v>1</v>
      </c>
      <c r="J312" s="138">
        <v>1</v>
      </c>
      <c r="K312" s="167">
        <f t="shared" si="169"/>
        <v>0</v>
      </c>
      <c r="L312" s="70">
        <v>0</v>
      </c>
      <c r="M312" s="138">
        <v>1</v>
      </c>
      <c r="N312" s="167">
        <f t="shared" si="170"/>
        <v>0</v>
      </c>
      <c r="O312" s="70"/>
      <c r="P312" s="138">
        <v>1</v>
      </c>
      <c r="Q312" s="167">
        <f t="shared" si="191"/>
        <v>0</v>
      </c>
      <c r="R312" s="164">
        <f t="shared" si="192"/>
        <v>1</v>
      </c>
      <c r="S312" s="165">
        <f t="shared" si="193"/>
        <v>0</v>
      </c>
      <c r="U312" s="170">
        <f t="shared" si="186"/>
        <v>0</v>
      </c>
      <c r="V312" s="6"/>
      <c r="W312" s="6"/>
      <c r="X312" s="138">
        <f t="shared" si="194"/>
        <v>1</v>
      </c>
      <c r="Y312" s="167">
        <f t="shared" si="195"/>
        <v>0</v>
      </c>
      <c r="Z312" s="170">
        <f>AA312+AB312</f>
        <v>0</v>
      </c>
      <c r="AA312" s="6"/>
      <c r="AB312" s="6"/>
      <c r="AC312" s="138">
        <f t="shared" si="176"/>
        <v>1</v>
      </c>
      <c r="AD312" s="160">
        <f t="shared" si="177"/>
        <v>0</v>
      </c>
      <c r="AE312" s="170">
        <f>AF312+AG312</f>
        <v>0</v>
      </c>
      <c r="AF312" s="6"/>
      <c r="AG312" s="6"/>
      <c r="AH312" s="138">
        <f t="shared" si="178"/>
        <v>1</v>
      </c>
      <c r="AI312" s="160">
        <f t="shared" si="179"/>
        <v>0</v>
      </c>
      <c r="AJ312" s="170">
        <f t="shared" si="189"/>
        <v>0</v>
      </c>
      <c r="AK312" s="6"/>
      <c r="AL312" s="6"/>
      <c r="AM312" s="138">
        <f t="shared" si="180"/>
        <v>1</v>
      </c>
      <c r="AN312" s="160">
        <f t="shared" si="181"/>
        <v>0</v>
      </c>
      <c r="AO312" s="170">
        <f>AP312+AQ312</f>
        <v>0</v>
      </c>
      <c r="AP312" s="6"/>
      <c r="AQ312" s="6"/>
      <c r="AR312" s="138">
        <f t="shared" si="182"/>
        <v>1</v>
      </c>
      <c r="AS312" s="160">
        <f t="shared" si="183"/>
        <v>0</v>
      </c>
      <c r="AT312" s="164">
        <f t="shared" si="184"/>
        <v>0</v>
      </c>
      <c r="AU312" s="165">
        <f t="shared" si="185"/>
        <v>0</v>
      </c>
    </row>
    <row r="313" spans="2:47" outlineLevel="1" x14ac:dyDescent="0.35">
      <c r="B313" s="48" t="s">
        <v>126</v>
      </c>
      <c r="C313" s="62" t="s">
        <v>135</v>
      </c>
      <c r="D313" s="70">
        <v>0</v>
      </c>
      <c r="E313" s="71">
        <v>0</v>
      </c>
      <c r="F313" s="70">
        <v>0</v>
      </c>
      <c r="G313" s="138">
        <v>0</v>
      </c>
      <c r="H313" s="185">
        <f t="shared" si="168"/>
        <v>0</v>
      </c>
      <c r="I313" s="70">
        <v>0</v>
      </c>
      <c r="J313" s="138">
        <v>0</v>
      </c>
      <c r="K313" s="167">
        <f t="shared" si="169"/>
        <v>0</v>
      </c>
      <c r="L313" s="70">
        <v>0</v>
      </c>
      <c r="M313" s="138">
        <v>0</v>
      </c>
      <c r="N313" s="167">
        <f t="shared" si="170"/>
        <v>0</v>
      </c>
      <c r="O313" s="70"/>
      <c r="P313" s="138"/>
      <c r="Q313" s="167">
        <f t="shared" si="191"/>
        <v>0</v>
      </c>
      <c r="R313" s="164">
        <f t="shared" si="192"/>
        <v>0</v>
      </c>
      <c r="S313" s="165">
        <f t="shared" si="193"/>
        <v>0</v>
      </c>
      <c r="U313" s="170">
        <f t="shared" si="186"/>
        <v>0</v>
      </c>
      <c r="V313" s="6"/>
      <c r="W313" s="6"/>
      <c r="X313" s="138">
        <f t="shared" si="194"/>
        <v>0</v>
      </c>
      <c r="Y313" s="167">
        <f t="shared" si="195"/>
        <v>0</v>
      </c>
      <c r="Z313" s="170">
        <f t="shared" ref="Z313:Z314" si="196">AA313+AB313</f>
        <v>0</v>
      </c>
      <c r="AA313" s="6"/>
      <c r="AB313" s="6"/>
      <c r="AC313" s="138">
        <f t="shared" si="176"/>
        <v>0</v>
      </c>
      <c r="AD313" s="160">
        <f t="shared" si="177"/>
        <v>0</v>
      </c>
      <c r="AE313" s="170">
        <f t="shared" ref="AE313:AE314" si="197">AF313+AG313</f>
        <v>0</v>
      </c>
      <c r="AF313" s="6"/>
      <c r="AG313" s="6"/>
      <c r="AH313" s="138">
        <f t="shared" si="178"/>
        <v>0</v>
      </c>
      <c r="AI313" s="160">
        <f t="shared" si="179"/>
        <v>0</v>
      </c>
      <c r="AJ313" s="170">
        <f t="shared" si="189"/>
        <v>0</v>
      </c>
      <c r="AK313" s="6"/>
      <c r="AL313" s="6"/>
      <c r="AM313" s="138">
        <f t="shared" si="180"/>
        <v>0</v>
      </c>
      <c r="AN313" s="160">
        <f t="shared" si="181"/>
        <v>0</v>
      </c>
      <c r="AO313" s="170">
        <f t="shared" ref="AO313:AO314" si="198">AP313+AQ313</f>
        <v>0</v>
      </c>
      <c r="AP313" s="6"/>
      <c r="AQ313" s="6"/>
      <c r="AR313" s="138">
        <f t="shared" si="182"/>
        <v>0</v>
      </c>
      <c r="AS313" s="160">
        <f t="shared" si="183"/>
        <v>0</v>
      </c>
      <c r="AT313" s="164">
        <f t="shared" si="184"/>
        <v>0</v>
      </c>
      <c r="AU313" s="165">
        <f t="shared" si="185"/>
        <v>0</v>
      </c>
    </row>
    <row r="314" spans="2:47" ht="15" customHeight="1" outlineLevel="1" x14ac:dyDescent="0.35">
      <c r="B314" s="48" t="s">
        <v>127</v>
      </c>
      <c r="C314" s="62" t="s">
        <v>135</v>
      </c>
      <c r="D314" s="70">
        <v>0</v>
      </c>
      <c r="E314" s="71">
        <v>0</v>
      </c>
      <c r="F314" s="70">
        <v>0</v>
      </c>
      <c r="G314" s="138">
        <v>0</v>
      </c>
      <c r="H314" s="185">
        <f t="shared" si="168"/>
        <v>0</v>
      </c>
      <c r="I314" s="70">
        <v>0</v>
      </c>
      <c r="J314" s="138">
        <v>0</v>
      </c>
      <c r="K314" s="167">
        <f t="shared" si="169"/>
        <v>0</v>
      </c>
      <c r="L314" s="70">
        <v>0</v>
      </c>
      <c r="M314" s="138">
        <f t="shared" ref="M314" si="199">J314+L314</f>
        <v>0</v>
      </c>
      <c r="N314" s="167">
        <f t="shared" si="170"/>
        <v>0</v>
      </c>
      <c r="O314" s="70"/>
      <c r="P314" s="138"/>
      <c r="Q314" s="167">
        <f t="shared" si="191"/>
        <v>0</v>
      </c>
      <c r="R314" s="164">
        <f t="shared" si="192"/>
        <v>0</v>
      </c>
      <c r="S314" s="165">
        <f t="shared" si="193"/>
        <v>0</v>
      </c>
      <c r="U314" s="170">
        <f t="shared" si="186"/>
        <v>0</v>
      </c>
      <c r="V314" s="6"/>
      <c r="W314" s="6"/>
      <c r="X314" s="138">
        <f t="shared" si="194"/>
        <v>0</v>
      </c>
      <c r="Y314" s="167">
        <f t="shared" si="195"/>
        <v>0</v>
      </c>
      <c r="Z314" s="170">
        <f t="shared" si="196"/>
        <v>0</v>
      </c>
      <c r="AA314" s="6"/>
      <c r="AB314" s="6"/>
      <c r="AC314" s="138">
        <f t="shared" si="176"/>
        <v>0</v>
      </c>
      <c r="AD314" s="160">
        <f t="shared" si="177"/>
        <v>0</v>
      </c>
      <c r="AE314" s="170">
        <f t="shared" si="197"/>
        <v>0</v>
      </c>
      <c r="AF314" s="6"/>
      <c r="AG314" s="6"/>
      <c r="AH314" s="138">
        <f t="shared" si="178"/>
        <v>0</v>
      </c>
      <c r="AI314" s="160">
        <f t="shared" si="179"/>
        <v>0</v>
      </c>
      <c r="AJ314" s="170">
        <f t="shared" si="189"/>
        <v>0</v>
      </c>
      <c r="AK314" s="6"/>
      <c r="AL314" s="6"/>
      <c r="AM314" s="138">
        <f t="shared" si="180"/>
        <v>0</v>
      </c>
      <c r="AN314" s="160">
        <f t="shared" si="181"/>
        <v>0</v>
      </c>
      <c r="AO314" s="170">
        <f t="shared" si="198"/>
        <v>0</v>
      </c>
      <c r="AP314" s="6"/>
      <c r="AQ314" s="6"/>
      <c r="AR314" s="138">
        <f t="shared" si="182"/>
        <v>0</v>
      </c>
      <c r="AS314" s="160">
        <f t="shared" si="183"/>
        <v>0</v>
      </c>
      <c r="AT314" s="164">
        <f t="shared" si="184"/>
        <v>0</v>
      </c>
      <c r="AU314" s="165">
        <f t="shared" si="185"/>
        <v>0</v>
      </c>
    </row>
    <row r="315" spans="2:47" s="245" customFormat="1" ht="15" customHeight="1" outlineLevel="1" x14ac:dyDescent="0.35">
      <c r="B315" s="246" t="s">
        <v>138</v>
      </c>
      <c r="C315" s="62" t="s">
        <v>135</v>
      </c>
      <c r="D315" s="248">
        <v>2</v>
      </c>
      <c r="E315" s="248">
        <v>6</v>
      </c>
      <c r="F315" s="248">
        <v>1</v>
      </c>
      <c r="G315" s="248">
        <v>7</v>
      </c>
      <c r="H315" s="249">
        <f>IFERROR((G315-E315)/E315,0)</f>
        <v>0.16666666666666666</v>
      </c>
      <c r="I315" s="248">
        <f t="shared" ref="I315:P315" si="200">SUM(I261:I314)</f>
        <v>1</v>
      </c>
      <c r="J315" s="248">
        <f t="shared" si="200"/>
        <v>8</v>
      </c>
      <c r="K315" s="250">
        <f t="shared" si="169"/>
        <v>0.14285714285714285</v>
      </c>
      <c r="L315" s="248">
        <f t="shared" si="200"/>
        <v>0</v>
      </c>
      <c r="M315" s="248">
        <f t="shared" si="200"/>
        <v>8</v>
      </c>
      <c r="N315" s="250">
        <f t="shared" si="170"/>
        <v>0</v>
      </c>
      <c r="O315" s="248">
        <f t="shared" si="200"/>
        <v>2</v>
      </c>
      <c r="P315" s="248">
        <f t="shared" si="200"/>
        <v>8</v>
      </c>
      <c r="Q315" s="250">
        <f>IFERROR((P315-M315)/M315,0)</f>
        <v>0</v>
      </c>
      <c r="R315" s="251">
        <f>D315+F315+I315+L315+O315</f>
        <v>6</v>
      </c>
      <c r="S315" s="252">
        <f>IFERROR((P315/E315)^(1/4)-1,0)</f>
        <v>7.4569931823541991E-2</v>
      </c>
      <c r="U315" s="248">
        <f t="shared" ref="U315:AR315" si="201">SUM(U261:U314)</f>
        <v>3</v>
      </c>
      <c r="V315" s="248">
        <f t="shared" ref="V315:W315" si="202">SUM(V261:V314)</f>
        <v>2</v>
      </c>
      <c r="W315" s="248">
        <f t="shared" si="202"/>
        <v>1</v>
      </c>
      <c r="X315" s="248">
        <f t="shared" si="201"/>
        <v>11</v>
      </c>
      <c r="Y315" s="250">
        <f>IFERROR((X315-P315)/P315,0)</f>
        <v>0.375</v>
      </c>
      <c r="Z315" s="248">
        <f t="shared" si="201"/>
        <v>0</v>
      </c>
      <c r="AA315" s="248">
        <f t="shared" ref="AA315:AB315" si="203">SUM(AA261:AA314)</f>
        <v>0</v>
      </c>
      <c r="AB315" s="248">
        <f t="shared" si="203"/>
        <v>0</v>
      </c>
      <c r="AC315" s="248">
        <f t="shared" si="201"/>
        <v>11</v>
      </c>
      <c r="AD315" s="250">
        <f t="shared" si="177"/>
        <v>0</v>
      </c>
      <c r="AE315" s="248">
        <f t="shared" si="201"/>
        <v>1</v>
      </c>
      <c r="AF315" s="248">
        <f t="shared" ref="AF315:AG315" si="204">SUM(AF261:AF314)</f>
        <v>0</v>
      </c>
      <c r="AG315" s="248">
        <f t="shared" si="204"/>
        <v>1</v>
      </c>
      <c r="AH315" s="248">
        <f t="shared" si="201"/>
        <v>12</v>
      </c>
      <c r="AI315" s="250">
        <f t="shared" si="179"/>
        <v>9.0909090909090912E-2</v>
      </c>
      <c r="AJ315" s="248">
        <f t="shared" si="201"/>
        <v>0</v>
      </c>
      <c r="AK315" s="248"/>
      <c r="AL315" s="248"/>
      <c r="AM315" s="248">
        <f t="shared" si="201"/>
        <v>12</v>
      </c>
      <c r="AN315" s="250">
        <f t="shared" si="181"/>
        <v>0</v>
      </c>
      <c r="AO315" s="248">
        <f t="shared" si="201"/>
        <v>1</v>
      </c>
      <c r="AP315" s="248">
        <f t="shared" si="201"/>
        <v>0</v>
      </c>
      <c r="AQ315" s="248">
        <f t="shared" si="201"/>
        <v>1</v>
      </c>
      <c r="AR315" s="248">
        <f t="shared" si="201"/>
        <v>13</v>
      </c>
      <c r="AS315" s="250">
        <f>IFERROR((AR315-AM315)/AM315,0)</f>
        <v>8.3333333333333329E-2</v>
      </c>
      <c r="AT315" s="253">
        <f>SUM(AT261:AT314)</f>
        <v>5</v>
      </c>
      <c r="AU315" s="252">
        <f t="shared" si="185"/>
        <v>4.264788543842446E-2</v>
      </c>
    </row>
  </sheetData>
  <mergeCells count="93">
    <mergeCell ref="B197:B199"/>
    <mergeCell ref="C197:C199"/>
    <mergeCell ref="C258:C260"/>
    <mergeCell ref="O198:Q198"/>
    <mergeCell ref="B195:AU195"/>
    <mergeCell ref="O197:Q197"/>
    <mergeCell ref="AO198:AS198"/>
    <mergeCell ref="AT198:AU198"/>
    <mergeCell ref="D197:N197"/>
    <mergeCell ref="U197:AU197"/>
    <mergeCell ref="Z198:AD198"/>
    <mergeCell ref="AE198:AI198"/>
    <mergeCell ref="AJ198:AN198"/>
    <mergeCell ref="U198:Y198"/>
    <mergeCell ref="B256:AU256"/>
    <mergeCell ref="B258:B260"/>
    <mergeCell ref="J2:L2"/>
    <mergeCell ref="D12:E12"/>
    <mergeCell ref="F12:H12"/>
    <mergeCell ref="C2:H2"/>
    <mergeCell ref="O73:Q73"/>
    <mergeCell ref="I12:K12"/>
    <mergeCell ref="L12:N12"/>
    <mergeCell ref="O12:Q12"/>
    <mergeCell ref="B5:I5"/>
    <mergeCell ref="B9:AU9"/>
    <mergeCell ref="AO12:AS12"/>
    <mergeCell ref="AT12:AU12"/>
    <mergeCell ref="B135:B137"/>
    <mergeCell ref="C135:C137"/>
    <mergeCell ref="D74:E74"/>
    <mergeCell ref="AT74:AU74"/>
    <mergeCell ref="AJ74:AN74"/>
    <mergeCell ref="AO74:AS74"/>
    <mergeCell ref="O136:Q136"/>
    <mergeCell ref="R135:S136"/>
    <mergeCell ref="B133:AU133"/>
    <mergeCell ref="B73:B75"/>
    <mergeCell ref="C73:C75"/>
    <mergeCell ref="D73:N73"/>
    <mergeCell ref="U73:AU73"/>
    <mergeCell ref="O74:Q74"/>
    <mergeCell ref="Z74:AD74"/>
    <mergeCell ref="R73:S74"/>
    <mergeCell ref="AE74:AI74"/>
    <mergeCell ref="B71:AU71"/>
    <mergeCell ref="D11:N11"/>
    <mergeCell ref="O11:Q11"/>
    <mergeCell ref="U11:AU11"/>
    <mergeCell ref="B11:B13"/>
    <mergeCell ref="C11:C13"/>
    <mergeCell ref="R11:S12"/>
    <mergeCell ref="U12:Y12"/>
    <mergeCell ref="Z12:AD12"/>
    <mergeCell ref="F74:H74"/>
    <mergeCell ref="I74:K74"/>
    <mergeCell ref="L74:N74"/>
    <mergeCell ref="U74:Y74"/>
    <mergeCell ref="AE12:AI12"/>
    <mergeCell ref="AJ12:AN12"/>
    <mergeCell ref="D135:N135"/>
    <mergeCell ref="U135:AU135"/>
    <mergeCell ref="D136:E136"/>
    <mergeCell ref="F136:H136"/>
    <mergeCell ref="I136:K136"/>
    <mergeCell ref="L136:N136"/>
    <mergeCell ref="U136:Y136"/>
    <mergeCell ref="Z136:AD136"/>
    <mergeCell ref="AE136:AI136"/>
    <mergeCell ref="AJ136:AN136"/>
    <mergeCell ref="AO136:AS136"/>
    <mergeCell ref="AT136:AU136"/>
    <mergeCell ref="O135:Q135"/>
    <mergeCell ref="D258:N258"/>
    <mergeCell ref="U258:AU258"/>
    <mergeCell ref="D259:E259"/>
    <mergeCell ref="F259:H259"/>
    <mergeCell ref="I259:K259"/>
    <mergeCell ref="L259:N259"/>
    <mergeCell ref="U259:Y259"/>
    <mergeCell ref="Z259:AD259"/>
    <mergeCell ref="AE259:AI259"/>
    <mergeCell ref="AJ259:AN259"/>
    <mergeCell ref="AO259:AS259"/>
    <mergeCell ref="AT259:AU259"/>
    <mergeCell ref="O259:Q259"/>
    <mergeCell ref="R258:S259"/>
    <mergeCell ref="O258:Q258"/>
    <mergeCell ref="R197:S198"/>
    <mergeCell ref="D198:E198"/>
    <mergeCell ref="F198:H198"/>
    <mergeCell ref="I198:K198"/>
    <mergeCell ref="L198:N198"/>
  </mergeCells>
  <hyperlinks>
    <hyperlink ref="J2" location="'Αρχική σελίδα'!A1" display="Πίσω στην αρχική σελίδα" xr:uid="{F2DB9110-2100-4169-85A2-BE114765BB53}"/>
  </hyperlinks>
  <pageMargins left="0.7" right="0.7" top="0.75" bottom="0.75" header="0.3" footer="0.3"/>
  <pageSetup scale="90" orientation="portrait" r:id="rId1"/>
  <rowBreaks count="2" manualBreakCount="2">
    <brk id="263" max="46" man="1"/>
    <brk id="314" max="16383" man="1"/>
  </rowBreaks>
  <customProperties>
    <customPr name="_pios_id" r:id="rId2"/>
  </customPropertie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5F7-6147-4405-B522-3D70696A72D8}">
  <sheetPr codeName="Sheet7">
    <tabColor theme="4" tint="0.79998168889431442"/>
  </sheetPr>
  <dimension ref="B2:AW385"/>
  <sheetViews>
    <sheetView showGridLines="0" topLeftCell="A5" zoomScale="70" zoomScaleNormal="70" workbookViewId="0">
      <pane xSplit="3" topLeftCell="P1" activePane="topRight" state="frozen"/>
      <selection pane="topRight" activeCell="V68" sqref="V68"/>
    </sheetView>
  </sheetViews>
  <sheetFormatPr defaultColWidth="8.54296875" defaultRowHeight="14.5" outlineLevelRow="1" x14ac:dyDescent="0.35"/>
  <cols>
    <col min="1" max="1" width="4.453125" customWidth="1"/>
    <col min="2" max="2" width="37.54296875" customWidth="1"/>
    <col min="3" max="18" width="13.453125" customWidth="1"/>
    <col min="19" max="19" width="18.453125" customWidth="1"/>
    <col min="20" max="20" width="2.1796875" customWidth="1"/>
    <col min="21" max="46" width="13.453125" customWidth="1"/>
    <col min="47" max="47" width="18.453125" customWidth="1"/>
  </cols>
  <sheetData>
    <row r="2" spans="2:47" ht="18.5" x14ac:dyDescent="0.45">
      <c r="B2" s="1" t="s">
        <v>0</v>
      </c>
      <c r="C2" s="420">
        <f>'[1]Αρχική σελίδα'!C3</f>
        <v>0</v>
      </c>
      <c r="D2" s="420"/>
      <c r="E2" s="420"/>
      <c r="F2" s="420"/>
      <c r="G2" s="420"/>
      <c r="H2" s="420"/>
      <c r="J2" s="421" t="s">
        <v>58</v>
      </c>
      <c r="K2" s="421"/>
      <c r="L2" s="421"/>
    </row>
    <row r="3" spans="2:47" ht="18.5" x14ac:dyDescent="0.45">
      <c r="B3" s="2" t="s">
        <v>1</v>
      </c>
      <c r="C3" s="99">
        <v>2024</v>
      </c>
      <c r="D3" s="46" t="s">
        <v>2</v>
      </c>
      <c r="E3" s="46">
        <f>C3+4</f>
        <v>2028</v>
      </c>
    </row>
    <row r="4" spans="2:47" ht="9" customHeight="1" x14ac:dyDescent="0.45">
      <c r="C4" s="2"/>
      <c r="D4" s="46"/>
      <c r="E4" s="46"/>
    </row>
    <row r="5" spans="2:47" ht="56.9" customHeight="1" x14ac:dyDescent="0.35">
      <c r="B5" s="422" t="s">
        <v>205</v>
      </c>
      <c r="C5" s="422"/>
      <c r="D5" s="422"/>
      <c r="E5" s="422"/>
      <c r="F5" s="422"/>
      <c r="G5" s="422"/>
      <c r="H5" s="422"/>
      <c r="I5" s="422"/>
    </row>
    <row r="6" spans="2:47" ht="9" customHeight="1" x14ac:dyDescent="0.35">
      <c r="B6" s="226"/>
      <c r="C6" s="226"/>
      <c r="D6" s="226"/>
      <c r="E6" s="226"/>
      <c r="F6" s="226"/>
      <c r="G6" s="226"/>
      <c r="H6" s="226"/>
    </row>
    <row r="7" spans="2:47" ht="18.5" x14ac:dyDescent="0.45">
      <c r="B7" s="100" t="str">
        <f>"Εξέλιξη ενεργών μετρητών στο υφιστάμενο δίκτυο διανομής ("&amp;(C3-5)&amp;" - "&amp;(C3-1)&amp;") και εξέλιξη σύμφωνα με το Πρόγραμμα Ανάπτυξης  "&amp;C3&amp;" - "&amp;E3</f>
        <v>Εξέλιξη ενεργών μετρητών στο υφιστάμενο δίκτυο διανομής (2019 - 2023) και εξέλιξη σύμφωνα με το Πρόγραμμα Ανάπτυξης  2024 - 2028</v>
      </c>
      <c r="C7" s="101"/>
      <c r="D7" s="101"/>
      <c r="E7" s="101"/>
      <c r="F7" s="101"/>
      <c r="G7" s="101"/>
      <c r="H7" s="101"/>
      <c r="I7" s="101"/>
      <c r="J7" s="102"/>
      <c r="K7" s="98"/>
    </row>
    <row r="8" spans="2:47" ht="9" customHeight="1" x14ac:dyDescent="0.45">
      <c r="B8" s="232"/>
      <c r="C8" s="54"/>
      <c r="D8" s="54"/>
      <c r="E8" s="54"/>
      <c r="F8" s="54"/>
      <c r="G8" s="54"/>
      <c r="H8" s="54"/>
      <c r="I8" s="54"/>
      <c r="J8" s="23"/>
    </row>
    <row r="9" spans="2:47" ht="15.5" x14ac:dyDescent="0.35">
      <c r="B9" s="419" t="s">
        <v>206</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row>
    <row r="10" spans="2:47" ht="5.9" customHeight="1" outlineLevel="1" x14ac:dyDescent="0.3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row>
    <row r="11" spans="2:47" outlineLevel="1" x14ac:dyDescent="0.35">
      <c r="B11" s="466"/>
      <c r="C11" s="465" t="s">
        <v>134</v>
      </c>
      <c r="D11" s="435" t="s">
        <v>169</v>
      </c>
      <c r="E11" s="436"/>
      <c r="F11" s="436"/>
      <c r="G11" s="436"/>
      <c r="H11" s="436"/>
      <c r="I11" s="436"/>
      <c r="J11" s="436"/>
      <c r="K11" s="436"/>
      <c r="L11" s="436"/>
      <c r="M11" s="436"/>
      <c r="N11" s="436"/>
      <c r="O11" s="436"/>
      <c r="P11" s="436"/>
      <c r="Q11" s="437"/>
      <c r="R11" s="431" t="str">
        <f xml:space="preserve"> D12&amp;" - "&amp;O12</f>
        <v>2019 - 2023</v>
      </c>
      <c r="S11" s="456"/>
      <c r="U11" s="435" t="s">
        <v>170</v>
      </c>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7"/>
    </row>
    <row r="12" spans="2:47" outlineLevel="1" x14ac:dyDescent="0.35">
      <c r="B12" s="467"/>
      <c r="C12" s="465"/>
      <c r="D12" s="435">
        <f>$C$3-5</f>
        <v>2019</v>
      </c>
      <c r="E12" s="437"/>
      <c r="F12" s="435">
        <f>$C$3-4</f>
        <v>2020</v>
      </c>
      <c r="G12" s="436"/>
      <c r="H12" s="437"/>
      <c r="I12" s="435">
        <f>$C$3-3</f>
        <v>2021</v>
      </c>
      <c r="J12" s="436"/>
      <c r="K12" s="437"/>
      <c r="L12" s="435">
        <f>$C$3-2</f>
        <v>2022</v>
      </c>
      <c r="M12" s="436"/>
      <c r="N12" s="437"/>
      <c r="O12" s="435">
        <f>$C$3-1</f>
        <v>2023</v>
      </c>
      <c r="P12" s="436"/>
      <c r="Q12" s="437"/>
      <c r="R12" s="433"/>
      <c r="S12" s="457"/>
      <c r="U12" s="435">
        <f>$C$3</f>
        <v>2024</v>
      </c>
      <c r="V12" s="436"/>
      <c r="W12" s="436"/>
      <c r="X12" s="436"/>
      <c r="Y12" s="437"/>
      <c r="Z12" s="435">
        <f>$C$3+1</f>
        <v>2025</v>
      </c>
      <c r="AA12" s="436"/>
      <c r="AB12" s="436"/>
      <c r="AC12" s="436"/>
      <c r="AD12" s="437"/>
      <c r="AE12" s="435">
        <f>$C$3+2</f>
        <v>2026</v>
      </c>
      <c r="AF12" s="436"/>
      <c r="AG12" s="436"/>
      <c r="AH12" s="436"/>
      <c r="AI12" s="437"/>
      <c r="AJ12" s="435">
        <f>$C$3+3</f>
        <v>2027</v>
      </c>
      <c r="AK12" s="436"/>
      <c r="AL12" s="436"/>
      <c r="AM12" s="436"/>
      <c r="AN12" s="437"/>
      <c r="AO12" s="435">
        <f>$C$3+4</f>
        <v>2028</v>
      </c>
      <c r="AP12" s="436"/>
      <c r="AQ12" s="436"/>
      <c r="AR12" s="436"/>
      <c r="AS12" s="437"/>
      <c r="AT12" s="439" t="str">
        <f>U12&amp;" - "&amp;AO12</f>
        <v>2024 - 2028</v>
      </c>
      <c r="AU12" s="458"/>
    </row>
    <row r="13" spans="2:47" ht="43.5" outlineLevel="1" x14ac:dyDescent="0.35">
      <c r="B13" s="468"/>
      <c r="C13" s="465"/>
      <c r="D13" s="66" t="s">
        <v>192</v>
      </c>
      <c r="E13" s="67" t="s">
        <v>193</v>
      </c>
      <c r="F13" s="66" t="s">
        <v>192</v>
      </c>
      <c r="G13" s="9" t="s">
        <v>193</v>
      </c>
      <c r="H13" s="67" t="s">
        <v>173</v>
      </c>
      <c r="I13" s="66" t="s">
        <v>192</v>
      </c>
      <c r="J13" s="9" t="s">
        <v>193</v>
      </c>
      <c r="K13" s="67" t="s">
        <v>173</v>
      </c>
      <c r="L13" s="66" t="s">
        <v>192</v>
      </c>
      <c r="M13" s="9" t="s">
        <v>193</v>
      </c>
      <c r="N13" s="67" t="s">
        <v>173</v>
      </c>
      <c r="O13" s="66" t="s">
        <v>192</v>
      </c>
      <c r="P13" s="9" t="s">
        <v>193</v>
      </c>
      <c r="Q13" s="67" t="s">
        <v>173</v>
      </c>
      <c r="R13" s="66" t="s">
        <v>164</v>
      </c>
      <c r="S13" s="134" t="s">
        <v>174</v>
      </c>
      <c r="U13" s="66" t="s">
        <v>192</v>
      </c>
      <c r="V13" s="105" t="s">
        <v>202</v>
      </c>
      <c r="W13" s="105" t="s">
        <v>203</v>
      </c>
      <c r="X13" s="9" t="s">
        <v>193</v>
      </c>
      <c r="Y13" s="67" t="s">
        <v>173</v>
      </c>
      <c r="Z13" s="66" t="s">
        <v>192</v>
      </c>
      <c r="AA13" s="105" t="s">
        <v>202</v>
      </c>
      <c r="AB13" s="105" t="s">
        <v>203</v>
      </c>
      <c r="AC13" s="9" t="s">
        <v>193</v>
      </c>
      <c r="AD13" s="67" t="s">
        <v>173</v>
      </c>
      <c r="AE13" s="66" t="s">
        <v>192</v>
      </c>
      <c r="AF13" s="105" t="s">
        <v>202</v>
      </c>
      <c r="AG13" s="105" t="s">
        <v>203</v>
      </c>
      <c r="AH13" s="9" t="s">
        <v>193</v>
      </c>
      <c r="AI13" s="67" t="s">
        <v>173</v>
      </c>
      <c r="AJ13" s="66" t="s">
        <v>192</v>
      </c>
      <c r="AK13" s="105" t="s">
        <v>202</v>
      </c>
      <c r="AL13" s="105" t="s">
        <v>203</v>
      </c>
      <c r="AM13" s="9" t="s">
        <v>193</v>
      </c>
      <c r="AN13" s="67" t="s">
        <v>173</v>
      </c>
      <c r="AO13" s="66" t="s">
        <v>192</v>
      </c>
      <c r="AP13" s="105" t="s">
        <v>202</v>
      </c>
      <c r="AQ13" s="105" t="s">
        <v>203</v>
      </c>
      <c r="AR13" s="9" t="s">
        <v>193</v>
      </c>
      <c r="AS13" s="67" t="s">
        <v>173</v>
      </c>
      <c r="AT13" s="66" t="s">
        <v>164</v>
      </c>
      <c r="AU13" s="134" t="s">
        <v>174</v>
      </c>
    </row>
    <row r="14" spans="2:47" outlineLevel="1" x14ac:dyDescent="0.35">
      <c r="B14" s="48" t="s">
        <v>74</v>
      </c>
      <c r="C14" s="62" t="s">
        <v>141</v>
      </c>
      <c r="D14" s="157">
        <f t="shared" ref="D14:G29" si="0">D76+D137+D198+D267+D328</f>
        <v>85</v>
      </c>
      <c r="E14" s="157">
        <f t="shared" si="0"/>
        <v>954</v>
      </c>
      <c r="F14" s="157">
        <f t="shared" si="0"/>
        <v>93</v>
      </c>
      <c r="G14" s="157">
        <f t="shared" si="0"/>
        <v>1047</v>
      </c>
      <c r="H14" s="160">
        <f t="shared" ref="H14:H67" si="1">IFERROR((G14-E14)/E14,0)</f>
        <v>9.7484276729559755E-2</v>
      </c>
      <c r="I14" s="157">
        <f t="shared" ref="I14:J29" si="2">I76+I137+I198+I267+I328</f>
        <v>73</v>
      </c>
      <c r="J14" s="157">
        <f t="shared" si="2"/>
        <v>1120</v>
      </c>
      <c r="K14" s="160">
        <f t="shared" ref="K14:K68" si="3">IFERROR((J14-G14)/G14,0)</f>
        <v>6.972301814708691E-2</v>
      </c>
      <c r="L14" s="157">
        <f t="shared" ref="L14:L29" si="4">L76+L137+L198+L267+L328</f>
        <v>34</v>
      </c>
      <c r="M14" s="157">
        <f t="shared" ref="M14:M45" si="5">M76+M137+M198+M267+M328</f>
        <v>1154</v>
      </c>
      <c r="N14" s="160">
        <f t="shared" ref="N14:N68" si="6">IFERROR((M14-J14)/J14,0)</f>
        <v>3.0357142857142857E-2</v>
      </c>
      <c r="O14" s="157">
        <f t="shared" ref="O14" si="7">O76+O137+O198+O267+O328</f>
        <v>11</v>
      </c>
      <c r="P14" s="157">
        <f t="shared" ref="P14:P45" si="8">P76+P137+P198+P267+P328</f>
        <v>1165</v>
      </c>
      <c r="Q14" s="160">
        <f>IFERROR((P14-M14)/M14,0)</f>
        <v>9.5320623916811086E-3</v>
      </c>
      <c r="R14" s="164">
        <f>D14+F14+I14+L14+O14</f>
        <v>296</v>
      </c>
      <c r="S14" s="165">
        <f>IFERROR((P14/E14)^(1/4)-1,0)</f>
        <v>5.1221870327524677E-2</v>
      </c>
      <c r="U14" s="158">
        <f t="shared" ref="U14:AM29" si="9">U76+U137+U198+U267+U328</f>
        <v>42</v>
      </c>
      <c r="V14" s="157">
        <f t="shared" si="9"/>
        <v>42</v>
      </c>
      <c r="W14" s="157">
        <f t="shared" si="9"/>
        <v>0</v>
      </c>
      <c r="X14" s="157">
        <f t="shared" si="9"/>
        <v>1207</v>
      </c>
      <c r="Y14" s="167">
        <f t="shared" ref="Y14:Y67" si="10">IFERROR((X14-P14)/P14,0)</f>
        <v>3.6051502145922745E-2</v>
      </c>
      <c r="Z14" s="158">
        <f t="shared" si="9"/>
        <v>98</v>
      </c>
      <c r="AA14" s="157">
        <f t="shared" si="9"/>
        <v>47</v>
      </c>
      <c r="AB14" s="157">
        <f t="shared" si="9"/>
        <v>51</v>
      </c>
      <c r="AC14" s="157">
        <f t="shared" si="9"/>
        <v>1305</v>
      </c>
      <c r="AD14" s="167">
        <f t="shared" ref="AD14:AD68" si="11">IFERROR((AC14-X14)/X14,0)</f>
        <v>8.1193040596520299E-2</v>
      </c>
      <c r="AE14" s="158">
        <f t="shared" si="9"/>
        <v>174</v>
      </c>
      <c r="AF14" s="157">
        <f t="shared" si="9"/>
        <v>49</v>
      </c>
      <c r="AG14" s="157">
        <f t="shared" si="9"/>
        <v>125</v>
      </c>
      <c r="AH14" s="157">
        <f t="shared" si="9"/>
        <v>1479</v>
      </c>
      <c r="AI14" s="167">
        <f t="shared" ref="AI14:AI68" si="12">IFERROR((AH14-AC14)/AC14,0)</f>
        <v>0.13333333333333333</v>
      </c>
      <c r="AJ14" s="158">
        <f t="shared" si="9"/>
        <v>162</v>
      </c>
      <c r="AK14" s="157">
        <f t="shared" si="9"/>
        <v>43</v>
      </c>
      <c r="AL14" s="157">
        <f t="shared" si="9"/>
        <v>119</v>
      </c>
      <c r="AM14" s="157">
        <f t="shared" si="9"/>
        <v>1641</v>
      </c>
      <c r="AN14" s="167">
        <f t="shared" ref="AN14:AN68" si="13">IFERROR((AM14-AH14)/AH14,0)</f>
        <v>0.10953346855983773</v>
      </c>
      <c r="AO14" s="158">
        <f t="shared" ref="AO14:AR29" si="14">AO76+AO137+AO198+AO267+AO328</f>
        <v>129</v>
      </c>
      <c r="AP14" s="157">
        <f t="shared" si="14"/>
        <v>34</v>
      </c>
      <c r="AQ14" s="157">
        <f t="shared" si="14"/>
        <v>95</v>
      </c>
      <c r="AR14" s="157">
        <f t="shared" si="14"/>
        <v>1770</v>
      </c>
      <c r="AS14" s="167">
        <f t="shared" ref="AS14:AS68" si="15">IFERROR((AR14-AM14)/AM14,0)</f>
        <v>7.8610603290676415E-2</v>
      </c>
      <c r="AT14" s="164">
        <f t="shared" ref="AT14:AT67" si="16">U14+Z14+AE14+AJ14+AO14</f>
        <v>605</v>
      </c>
      <c r="AU14" s="165">
        <f t="shared" ref="AU14:AU68" si="17">IFERROR((AR14/X14)^(1/4)-1,0)</f>
        <v>0.10044033155374588</v>
      </c>
    </row>
    <row r="15" spans="2:47" outlineLevel="1" x14ac:dyDescent="0.35">
      <c r="B15" s="48" t="s">
        <v>75</v>
      </c>
      <c r="C15" s="62" t="s">
        <v>141</v>
      </c>
      <c r="D15" s="157">
        <f t="shared" si="0"/>
        <v>657</v>
      </c>
      <c r="E15" s="157">
        <f t="shared" si="0"/>
        <v>4646</v>
      </c>
      <c r="F15" s="157">
        <f t="shared" si="0"/>
        <v>1064</v>
      </c>
      <c r="G15" s="157">
        <f t="shared" si="0"/>
        <v>5710</v>
      </c>
      <c r="H15" s="160">
        <f t="shared" si="1"/>
        <v>0.22901420576840292</v>
      </c>
      <c r="I15" s="157">
        <f t="shared" si="2"/>
        <v>902</v>
      </c>
      <c r="J15" s="157">
        <f t="shared" si="2"/>
        <v>6612</v>
      </c>
      <c r="K15" s="160">
        <f t="shared" si="3"/>
        <v>0.15796847635726796</v>
      </c>
      <c r="L15" s="157">
        <f t="shared" si="4"/>
        <v>543</v>
      </c>
      <c r="M15" s="157">
        <f t="shared" si="5"/>
        <v>7155</v>
      </c>
      <c r="N15" s="160">
        <f t="shared" si="6"/>
        <v>8.2123411978221414E-2</v>
      </c>
      <c r="O15" s="157">
        <f t="shared" ref="O15:O46" si="18">O77+O138+O199+O268+O329</f>
        <v>317</v>
      </c>
      <c r="P15" s="157">
        <f t="shared" si="8"/>
        <v>7472</v>
      </c>
      <c r="Q15" s="160">
        <f t="shared" ref="Q15:Q67" si="19">IFERROR((P15-M15)/M15,0)</f>
        <v>4.4304682040531097E-2</v>
      </c>
      <c r="R15" s="164">
        <f t="shared" ref="R15:R67" si="20">D15+F15+I15+L15+O15</f>
        <v>3483</v>
      </c>
      <c r="S15" s="165">
        <f t="shared" ref="S15:S67" si="21">IFERROR((P15/E15)^(1/4)-1,0)</f>
        <v>0.12613229805138837</v>
      </c>
      <c r="U15" s="158">
        <f t="shared" si="9"/>
        <v>519</v>
      </c>
      <c r="V15" s="157">
        <f t="shared" si="9"/>
        <v>517</v>
      </c>
      <c r="W15" s="157">
        <f t="shared" si="9"/>
        <v>2</v>
      </c>
      <c r="X15" s="157">
        <f t="shared" si="9"/>
        <v>7991</v>
      </c>
      <c r="Y15" s="167">
        <f t="shared" si="10"/>
        <v>6.9459314775160597E-2</v>
      </c>
      <c r="Z15" s="158">
        <f t="shared" si="9"/>
        <v>660</v>
      </c>
      <c r="AA15" s="157">
        <f t="shared" si="9"/>
        <v>573</v>
      </c>
      <c r="AB15" s="157">
        <f t="shared" si="9"/>
        <v>87</v>
      </c>
      <c r="AC15" s="157">
        <f t="shared" si="9"/>
        <v>8651</v>
      </c>
      <c r="AD15" s="167">
        <f t="shared" si="11"/>
        <v>8.259291703166062E-2</v>
      </c>
      <c r="AE15" s="158">
        <f t="shared" si="9"/>
        <v>732</v>
      </c>
      <c r="AF15" s="157">
        <f t="shared" si="9"/>
        <v>602</v>
      </c>
      <c r="AG15" s="157">
        <f t="shared" si="9"/>
        <v>130</v>
      </c>
      <c r="AH15" s="157">
        <f t="shared" si="9"/>
        <v>9383</v>
      </c>
      <c r="AI15" s="167">
        <f t="shared" si="12"/>
        <v>8.461449543405386E-2</v>
      </c>
      <c r="AJ15" s="158">
        <f t="shared" si="9"/>
        <v>657</v>
      </c>
      <c r="AK15" s="157">
        <f t="shared" si="9"/>
        <v>528</v>
      </c>
      <c r="AL15" s="157">
        <f t="shared" si="9"/>
        <v>129</v>
      </c>
      <c r="AM15" s="157">
        <f t="shared" si="9"/>
        <v>10040</v>
      </c>
      <c r="AN15" s="167">
        <f t="shared" si="13"/>
        <v>7.0020249387189593E-2</v>
      </c>
      <c r="AO15" s="158">
        <f t="shared" si="14"/>
        <v>526</v>
      </c>
      <c r="AP15" s="157">
        <f t="shared" si="14"/>
        <v>416</v>
      </c>
      <c r="AQ15" s="157">
        <f t="shared" si="14"/>
        <v>110</v>
      </c>
      <c r="AR15" s="157">
        <f t="shared" si="14"/>
        <v>10566</v>
      </c>
      <c r="AS15" s="167">
        <f t="shared" si="15"/>
        <v>5.239043824701195E-2</v>
      </c>
      <c r="AT15" s="164">
        <f t="shared" si="16"/>
        <v>3094</v>
      </c>
      <c r="AU15" s="165">
        <f t="shared" si="17"/>
        <v>7.2327315414126625E-2</v>
      </c>
    </row>
    <row r="16" spans="2:47" outlineLevel="1" x14ac:dyDescent="0.35">
      <c r="B16" s="48" t="s">
        <v>76</v>
      </c>
      <c r="C16" s="62" t="s">
        <v>141</v>
      </c>
      <c r="D16" s="157">
        <f t="shared" si="0"/>
        <v>247</v>
      </c>
      <c r="E16" s="157">
        <f t="shared" si="0"/>
        <v>1756</v>
      </c>
      <c r="F16" s="157">
        <f t="shared" si="0"/>
        <v>266</v>
      </c>
      <c r="G16" s="157">
        <f t="shared" si="0"/>
        <v>2022</v>
      </c>
      <c r="H16" s="160">
        <f t="shared" si="1"/>
        <v>0.15148063781321183</v>
      </c>
      <c r="I16" s="157">
        <f t="shared" si="2"/>
        <v>369</v>
      </c>
      <c r="J16" s="157">
        <f t="shared" si="2"/>
        <v>2391</v>
      </c>
      <c r="K16" s="160">
        <f t="shared" si="3"/>
        <v>0.18249258160237389</v>
      </c>
      <c r="L16" s="157">
        <f t="shared" si="4"/>
        <v>216</v>
      </c>
      <c r="M16" s="157">
        <f t="shared" si="5"/>
        <v>2607</v>
      </c>
      <c r="N16" s="160">
        <f t="shared" si="6"/>
        <v>9.03387703889586E-2</v>
      </c>
      <c r="O16" s="157">
        <f t="shared" si="18"/>
        <v>140</v>
      </c>
      <c r="P16" s="157">
        <f t="shared" si="8"/>
        <v>2747</v>
      </c>
      <c r="Q16" s="160">
        <f t="shared" si="19"/>
        <v>5.3701572688914463E-2</v>
      </c>
      <c r="R16" s="164">
        <f t="shared" si="20"/>
        <v>1238</v>
      </c>
      <c r="S16" s="165">
        <f t="shared" si="21"/>
        <v>0.11836492246829522</v>
      </c>
      <c r="U16" s="158">
        <f t="shared" si="9"/>
        <v>235</v>
      </c>
      <c r="V16" s="157">
        <f t="shared" si="9"/>
        <v>226</v>
      </c>
      <c r="W16" s="157">
        <f t="shared" si="9"/>
        <v>9</v>
      </c>
      <c r="X16" s="157">
        <f t="shared" si="9"/>
        <v>2982</v>
      </c>
      <c r="Y16" s="167">
        <f t="shared" si="10"/>
        <v>8.5547870404077173E-2</v>
      </c>
      <c r="Z16" s="158">
        <f t="shared" si="9"/>
        <v>324</v>
      </c>
      <c r="AA16" s="157">
        <f t="shared" si="9"/>
        <v>250</v>
      </c>
      <c r="AB16" s="157">
        <f t="shared" si="9"/>
        <v>74</v>
      </c>
      <c r="AC16" s="157">
        <f t="shared" si="9"/>
        <v>3306</v>
      </c>
      <c r="AD16" s="167">
        <f t="shared" si="11"/>
        <v>0.10865191146881288</v>
      </c>
      <c r="AE16" s="158">
        <f t="shared" si="9"/>
        <v>481</v>
      </c>
      <c r="AF16" s="157">
        <f t="shared" si="9"/>
        <v>262</v>
      </c>
      <c r="AG16" s="157">
        <f t="shared" si="9"/>
        <v>219</v>
      </c>
      <c r="AH16" s="157">
        <f t="shared" si="9"/>
        <v>3787</v>
      </c>
      <c r="AI16" s="167">
        <f t="shared" si="12"/>
        <v>0.14549304295220811</v>
      </c>
      <c r="AJ16" s="158">
        <f t="shared" si="9"/>
        <v>489</v>
      </c>
      <c r="AK16" s="157">
        <f t="shared" si="9"/>
        <v>230</v>
      </c>
      <c r="AL16" s="157">
        <f t="shared" si="9"/>
        <v>259</v>
      </c>
      <c r="AM16" s="157">
        <f t="shared" si="9"/>
        <v>4276</v>
      </c>
      <c r="AN16" s="167">
        <f t="shared" si="13"/>
        <v>0.12912595722207551</v>
      </c>
      <c r="AO16" s="158">
        <f t="shared" si="14"/>
        <v>446</v>
      </c>
      <c r="AP16" s="157">
        <f t="shared" si="14"/>
        <v>182</v>
      </c>
      <c r="AQ16" s="157">
        <f t="shared" si="14"/>
        <v>264</v>
      </c>
      <c r="AR16" s="157">
        <f t="shared" si="14"/>
        <v>4722</v>
      </c>
      <c r="AS16" s="167">
        <f t="shared" si="15"/>
        <v>0.10430308699719364</v>
      </c>
      <c r="AT16" s="164">
        <f t="shared" si="16"/>
        <v>1975</v>
      </c>
      <c r="AU16" s="165">
        <f t="shared" si="17"/>
        <v>0.12177197496821335</v>
      </c>
    </row>
    <row r="17" spans="2:47" outlineLevel="1" x14ac:dyDescent="0.35">
      <c r="B17" s="294" t="s">
        <v>77</v>
      </c>
      <c r="C17" s="62" t="s">
        <v>141</v>
      </c>
      <c r="D17" s="157">
        <f t="shared" si="0"/>
        <v>57</v>
      </c>
      <c r="E17" s="157">
        <f t="shared" si="0"/>
        <v>394</v>
      </c>
      <c r="F17" s="157">
        <f t="shared" si="0"/>
        <v>66</v>
      </c>
      <c r="G17" s="157">
        <f t="shared" si="0"/>
        <v>460</v>
      </c>
      <c r="H17" s="160">
        <f t="shared" si="1"/>
        <v>0.16751269035532995</v>
      </c>
      <c r="I17" s="157">
        <f t="shared" si="2"/>
        <v>99</v>
      </c>
      <c r="J17" s="157">
        <f t="shared" si="2"/>
        <v>559</v>
      </c>
      <c r="K17" s="160">
        <f t="shared" si="3"/>
        <v>0.21521739130434783</v>
      </c>
      <c r="L17" s="157">
        <f t="shared" si="4"/>
        <v>75</v>
      </c>
      <c r="M17" s="157">
        <f t="shared" si="5"/>
        <v>634</v>
      </c>
      <c r="N17" s="160">
        <f t="shared" si="6"/>
        <v>0.13416815742397137</v>
      </c>
      <c r="O17" s="157">
        <f t="shared" si="18"/>
        <v>21</v>
      </c>
      <c r="P17" s="157">
        <f t="shared" si="8"/>
        <v>655</v>
      </c>
      <c r="Q17" s="160">
        <f t="shared" si="19"/>
        <v>3.3123028391167195E-2</v>
      </c>
      <c r="R17" s="164">
        <f t="shared" si="20"/>
        <v>318</v>
      </c>
      <c r="S17" s="165">
        <f t="shared" si="21"/>
        <v>0.13549772789045234</v>
      </c>
      <c r="U17" s="158">
        <f t="shared" si="9"/>
        <v>48</v>
      </c>
      <c r="V17" s="157">
        <f t="shared" si="9"/>
        <v>48</v>
      </c>
      <c r="W17" s="157">
        <f t="shared" si="9"/>
        <v>0</v>
      </c>
      <c r="X17" s="157">
        <f t="shared" si="9"/>
        <v>703</v>
      </c>
      <c r="Y17" s="167">
        <f t="shared" si="10"/>
        <v>7.3282442748091606E-2</v>
      </c>
      <c r="Z17" s="158">
        <f t="shared" si="9"/>
        <v>53</v>
      </c>
      <c r="AA17" s="157">
        <f t="shared" si="9"/>
        <v>53</v>
      </c>
      <c r="AB17" s="157">
        <f t="shared" si="9"/>
        <v>0</v>
      </c>
      <c r="AC17" s="157">
        <f t="shared" si="9"/>
        <v>756</v>
      </c>
      <c r="AD17" s="167">
        <f t="shared" si="11"/>
        <v>7.5391180654338544E-2</v>
      </c>
      <c r="AE17" s="158">
        <f t="shared" si="9"/>
        <v>72</v>
      </c>
      <c r="AF17" s="157">
        <f t="shared" si="9"/>
        <v>56</v>
      </c>
      <c r="AG17" s="157">
        <f t="shared" si="9"/>
        <v>16</v>
      </c>
      <c r="AH17" s="157">
        <f t="shared" si="9"/>
        <v>828</v>
      </c>
      <c r="AI17" s="167">
        <f t="shared" si="12"/>
        <v>9.5238095238095233E-2</v>
      </c>
      <c r="AJ17" s="158">
        <f t="shared" si="9"/>
        <v>76</v>
      </c>
      <c r="AK17" s="157">
        <f t="shared" si="9"/>
        <v>49</v>
      </c>
      <c r="AL17" s="157">
        <f t="shared" si="9"/>
        <v>27</v>
      </c>
      <c r="AM17" s="157">
        <f t="shared" si="9"/>
        <v>904</v>
      </c>
      <c r="AN17" s="167">
        <f t="shared" si="13"/>
        <v>9.1787439613526575E-2</v>
      </c>
      <c r="AO17" s="158">
        <f t="shared" si="14"/>
        <v>59</v>
      </c>
      <c r="AP17" s="157">
        <f t="shared" si="14"/>
        <v>38</v>
      </c>
      <c r="AQ17" s="157">
        <f t="shared" si="14"/>
        <v>21</v>
      </c>
      <c r="AR17" s="157">
        <f t="shared" si="14"/>
        <v>963</v>
      </c>
      <c r="AS17" s="167">
        <f t="shared" si="15"/>
        <v>6.5265486725663721E-2</v>
      </c>
      <c r="AT17" s="164">
        <f t="shared" si="16"/>
        <v>308</v>
      </c>
      <c r="AU17" s="165">
        <f t="shared" si="17"/>
        <v>8.1851721598567906E-2</v>
      </c>
    </row>
    <row r="18" spans="2:47" outlineLevel="1" x14ac:dyDescent="0.35">
      <c r="B18" s="294" t="s">
        <v>78</v>
      </c>
      <c r="C18" s="62" t="s">
        <v>141</v>
      </c>
      <c r="D18" s="157">
        <f t="shared" si="0"/>
        <v>2744</v>
      </c>
      <c r="E18" s="157">
        <f t="shared" si="0"/>
        <v>33181</v>
      </c>
      <c r="F18" s="157">
        <f t="shared" si="0"/>
        <v>3690</v>
      </c>
      <c r="G18" s="157">
        <f t="shared" si="0"/>
        <v>36871</v>
      </c>
      <c r="H18" s="160">
        <f t="shared" si="1"/>
        <v>0.11120822157258672</v>
      </c>
      <c r="I18" s="157">
        <f t="shared" si="2"/>
        <v>3081</v>
      </c>
      <c r="J18" s="157">
        <f t="shared" si="2"/>
        <v>39952</v>
      </c>
      <c r="K18" s="160">
        <f t="shared" si="3"/>
        <v>8.3561606682758804E-2</v>
      </c>
      <c r="L18" s="157">
        <f t="shared" si="4"/>
        <v>1884</v>
      </c>
      <c r="M18" s="157">
        <f t="shared" si="5"/>
        <v>41836</v>
      </c>
      <c r="N18" s="160">
        <f t="shared" si="6"/>
        <v>4.7156587905486581E-2</v>
      </c>
      <c r="O18" s="157">
        <f t="shared" si="18"/>
        <v>1552</v>
      </c>
      <c r="P18" s="157">
        <f t="shared" si="8"/>
        <v>43388</v>
      </c>
      <c r="Q18" s="160">
        <f t="shared" si="19"/>
        <v>3.7097236829524809E-2</v>
      </c>
      <c r="R18" s="164">
        <f t="shared" si="20"/>
        <v>12951</v>
      </c>
      <c r="S18" s="165">
        <f t="shared" si="21"/>
        <v>6.9350409890931664E-2</v>
      </c>
      <c r="U18" s="158">
        <f t="shared" si="9"/>
        <v>3037</v>
      </c>
      <c r="V18" s="157">
        <f t="shared" si="9"/>
        <v>2907</v>
      </c>
      <c r="W18" s="157">
        <f t="shared" si="9"/>
        <v>130</v>
      </c>
      <c r="X18" s="157">
        <f t="shared" si="9"/>
        <v>46425</v>
      </c>
      <c r="Y18" s="167">
        <f t="shared" si="10"/>
        <v>6.9996312344427034E-2</v>
      </c>
      <c r="Z18" s="158">
        <f t="shared" si="9"/>
        <v>3696</v>
      </c>
      <c r="AA18" s="157">
        <f t="shared" si="9"/>
        <v>3197</v>
      </c>
      <c r="AB18" s="157">
        <f t="shared" si="9"/>
        <v>499</v>
      </c>
      <c r="AC18" s="157">
        <f t="shared" si="9"/>
        <v>50121</v>
      </c>
      <c r="AD18" s="167">
        <f t="shared" si="11"/>
        <v>7.9612277867528267E-2</v>
      </c>
      <c r="AE18" s="158">
        <f t="shared" si="9"/>
        <v>4211</v>
      </c>
      <c r="AF18" s="157">
        <f t="shared" si="9"/>
        <v>3349</v>
      </c>
      <c r="AG18" s="157">
        <f t="shared" si="9"/>
        <v>862</v>
      </c>
      <c r="AH18" s="157">
        <f t="shared" si="9"/>
        <v>54332</v>
      </c>
      <c r="AI18" s="167">
        <f t="shared" si="12"/>
        <v>8.4016679635282615E-2</v>
      </c>
      <c r="AJ18" s="158">
        <f t="shared" si="9"/>
        <v>4103</v>
      </c>
      <c r="AK18" s="157">
        <f t="shared" si="9"/>
        <v>2934</v>
      </c>
      <c r="AL18" s="157">
        <f t="shared" si="9"/>
        <v>1169</v>
      </c>
      <c r="AM18" s="157">
        <f t="shared" si="9"/>
        <v>58435</v>
      </c>
      <c r="AN18" s="167">
        <f t="shared" si="13"/>
        <v>7.5517190605904436E-2</v>
      </c>
      <c r="AO18" s="158">
        <f t="shared" si="14"/>
        <v>3595</v>
      </c>
      <c r="AP18" s="157">
        <f t="shared" si="14"/>
        <v>2311</v>
      </c>
      <c r="AQ18" s="157">
        <f t="shared" si="14"/>
        <v>1284</v>
      </c>
      <c r="AR18" s="157">
        <f t="shared" si="14"/>
        <v>62030</v>
      </c>
      <c r="AS18" s="167">
        <f t="shared" si="15"/>
        <v>6.1521348506887993E-2</v>
      </c>
      <c r="AT18" s="164">
        <f t="shared" si="16"/>
        <v>18642</v>
      </c>
      <c r="AU18" s="165">
        <f t="shared" si="17"/>
        <v>7.5133680644886791E-2</v>
      </c>
    </row>
    <row r="19" spans="2:47" outlineLevel="1" x14ac:dyDescent="0.35">
      <c r="B19" s="294" t="s">
        <v>79</v>
      </c>
      <c r="C19" s="62" t="s">
        <v>141</v>
      </c>
      <c r="D19" s="157">
        <f t="shared" si="0"/>
        <v>397</v>
      </c>
      <c r="E19" s="157">
        <f t="shared" si="0"/>
        <v>3833</v>
      </c>
      <c r="F19" s="157">
        <f t="shared" si="0"/>
        <v>457</v>
      </c>
      <c r="G19" s="157">
        <f t="shared" si="0"/>
        <v>4290</v>
      </c>
      <c r="H19" s="160">
        <f t="shared" si="1"/>
        <v>0.11922775893555962</v>
      </c>
      <c r="I19" s="157">
        <f t="shared" si="2"/>
        <v>501</v>
      </c>
      <c r="J19" s="157">
        <f t="shared" si="2"/>
        <v>4791</v>
      </c>
      <c r="K19" s="160">
        <f t="shared" si="3"/>
        <v>0.11678321678321678</v>
      </c>
      <c r="L19" s="157">
        <f t="shared" si="4"/>
        <v>308</v>
      </c>
      <c r="M19" s="157">
        <f t="shared" si="5"/>
        <v>5099</v>
      </c>
      <c r="N19" s="160">
        <f t="shared" si="6"/>
        <v>6.4287205176372361E-2</v>
      </c>
      <c r="O19" s="157">
        <f t="shared" si="18"/>
        <v>148</v>
      </c>
      <c r="P19" s="157">
        <f t="shared" si="8"/>
        <v>5247</v>
      </c>
      <c r="Q19" s="160">
        <f t="shared" si="19"/>
        <v>2.9025299078250636E-2</v>
      </c>
      <c r="R19" s="164">
        <f t="shared" si="20"/>
        <v>1811</v>
      </c>
      <c r="S19" s="165">
        <f t="shared" si="21"/>
        <v>8.1665707324589665E-2</v>
      </c>
      <c r="U19" s="158">
        <f t="shared" si="9"/>
        <v>285</v>
      </c>
      <c r="V19" s="157">
        <f t="shared" si="9"/>
        <v>282</v>
      </c>
      <c r="W19" s="157">
        <f t="shared" si="9"/>
        <v>3</v>
      </c>
      <c r="X19" s="157">
        <f t="shared" si="9"/>
        <v>5532</v>
      </c>
      <c r="Y19" s="167">
        <f t="shared" si="10"/>
        <v>5.431675242995998E-2</v>
      </c>
      <c r="Z19" s="158">
        <f t="shared" si="9"/>
        <v>317</v>
      </c>
      <c r="AA19" s="157">
        <f t="shared" si="9"/>
        <v>313</v>
      </c>
      <c r="AB19" s="157">
        <f t="shared" si="9"/>
        <v>4</v>
      </c>
      <c r="AC19" s="157">
        <f t="shared" si="9"/>
        <v>5849</v>
      </c>
      <c r="AD19" s="167">
        <f t="shared" si="11"/>
        <v>5.7302964569775849E-2</v>
      </c>
      <c r="AE19" s="158">
        <f t="shared" si="9"/>
        <v>332</v>
      </c>
      <c r="AF19" s="157">
        <f t="shared" si="9"/>
        <v>329</v>
      </c>
      <c r="AG19" s="157">
        <f t="shared" si="9"/>
        <v>3</v>
      </c>
      <c r="AH19" s="157">
        <f t="shared" si="9"/>
        <v>6181</v>
      </c>
      <c r="AI19" s="167">
        <f t="shared" si="12"/>
        <v>5.6761839630706107E-2</v>
      </c>
      <c r="AJ19" s="158">
        <f t="shared" si="9"/>
        <v>290</v>
      </c>
      <c r="AK19" s="157">
        <f t="shared" si="9"/>
        <v>289</v>
      </c>
      <c r="AL19" s="157">
        <f t="shared" si="9"/>
        <v>1</v>
      </c>
      <c r="AM19" s="157">
        <f t="shared" si="9"/>
        <v>6471</v>
      </c>
      <c r="AN19" s="167">
        <f t="shared" si="13"/>
        <v>4.691797443779324E-2</v>
      </c>
      <c r="AO19" s="158">
        <f t="shared" si="14"/>
        <v>278</v>
      </c>
      <c r="AP19" s="157">
        <f t="shared" si="14"/>
        <v>228</v>
      </c>
      <c r="AQ19" s="157">
        <f t="shared" si="14"/>
        <v>50</v>
      </c>
      <c r="AR19" s="157">
        <f t="shared" si="14"/>
        <v>6749</v>
      </c>
      <c r="AS19" s="167">
        <f t="shared" si="15"/>
        <v>4.2960902488023492E-2</v>
      </c>
      <c r="AT19" s="164">
        <f t="shared" si="16"/>
        <v>1502</v>
      </c>
      <c r="AU19" s="165">
        <f t="shared" si="17"/>
        <v>5.0967567791127877E-2</v>
      </c>
    </row>
    <row r="20" spans="2:47" outlineLevel="1" x14ac:dyDescent="0.35">
      <c r="B20" s="294" t="s">
        <v>80</v>
      </c>
      <c r="C20" s="62" t="s">
        <v>141</v>
      </c>
      <c r="D20" s="157">
        <f t="shared" si="0"/>
        <v>251</v>
      </c>
      <c r="E20" s="157">
        <f t="shared" si="0"/>
        <v>1509</v>
      </c>
      <c r="F20" s="157">
        <f t="shared" si="0"/>
        <v>269</v>
      </c>
      <c r="G20" s="157">
        <f t="shared" si="0"/>
        <v>1778</v>
      </c>
      <c r="H20" s="160">
        <f t="shared" si="1"/>
        <v>0.17826375082836315</v>
      </c>
      <c r="I20" s="157">
        <f t="shared" si="2"/>
        <v>484</v>
      </c>
      <c r="J20" s="157">
        <f t="shared" si="2"/>
        <v>2262</v>
      </c>
      <c r="K20" s="160">
        <f t="shared" si="3"/>
        <v>0.27221597300337458</v>
      </c>
      <c r="L20" s="157">
        <f t="shared" si="4"/>
        <v>262</v>
      </c>
      <c r="M20" s="157">
        <f t="shared" si="5"/>
        <v>2524</v>
      </c>
      <c r="N20" s="160">
        <f t="shared" si="6"/>
        <v>0.11582670203359859</v>
      </c>
      <c r="O20" s="157">
        <f t="shared" si="18"/>
        <v>185</v>
      </c>
      <c r="P20" s="157">
        <f t="shared" si="8"/>
        <v>2709</v>
      </c>
      <c r="Q20" s="160">
        <f t="shared" si="19"/>
        <v>7.3296354992076068E-2</v>
      </c>
      <c r="R20" s="164">
        <f t="shared" si="20"/>
        <v>1451</v>
      </c>
      <c r="S20" s="165">
        <f t="shared" si="21"/>
        <v>0.1575238318404355</v>
      </c>
      <c r="U20" s="158">
        <f t="shared" si="9"/>
        <v>309</v>
      </c>
      <c r="V20" s="157">
        <f t="shared" si="9"/>
        <v>297</v>
      </c>
      <c r="W20" s="157">
        <f t="shared" si="9"/>
        <v>12</v>
      </c>
      <c r="X20" s="157">
        <f t="shared" si="9"/>
        <v>3018</v>
      </c>
      <c r="Y20" s="167">
        <f t="shared" si="10"/>
        <v>0.11406423034330011</v>
      </c>
      <c r="Z20" s="158">
        <f t="shared" si="9"/>
        <v>362</v>
      </c>
      <c r="AA20" s="157">
        <f t="shared" si="9"/>
        <v>328</v>
      </c>
      <c r="AB20" s="157">
        <f t="shared" si="9"/>
        <v>34</v>
      </c>
      <c r="AC20" s="157">
        <f t="shared" si="9"/>
        <v>3380</v>
      </c>
      <c r="AD20" s="167">
        <f t="shared" si="11"/>
        <v>0.11994698475811796</v>
      </c>
      <c r="AE20" s="158">
        <f t="shared" si="9"/>
        <v>381</v>
      </c>
      <c r="AF20" s="157">
        <f t="shared" si="9"/>
        <v>342</v>
      </c>
      <c r="AG20" s="157">
        <f t="shared" si="9"/>
        <v>39</v>
      </c>
      <c r="AH20" s="157">
        <f t="shared" si="9"/>
        <v>3761</v>
      </c>
      <c r="AI20" s="167">
        <f t="shared" si="12"/>
        <v>0.11272189349112426</v>
      </c>
      <c r="AJ20" s="158">
        <f t="shared" si="9"/>
        <v>328</v>
      </c>
      <c r="AK20" s="157">
        <f t="shared" si="9"/>
        <v>300</v>
      </c>
      <c r="AL20" s="157">
        <f t="shared" si="9"/>
        <v>28</v>
      </c>
      <c r="AM20" s="157">
        <f t="shared" si="9"/>
        <v>4089</v>
      </c>
      <c r="AN20" s="167">
        <f t="shared" si="13"/>
        <v>8.7210848178675887E-2</v>
      </c>
      <c r="AO20" s="158">
        <f t="shared" si="14"/>
        <v>277</v>
      </c>
      <c r="AP20" s="157">
        <f t="shared" si="14"/>
        <v>236</v>
      </c>
      <c r="AQ20" s="157">
        <f t="shared" si="14"/>
        <v>41</v>
      </c>
      <c r="AR20" s="157">
        <f t="shared" si="14"/>
        <v>4366</v>
      </c>
      <c r="AS20" s="167">
        <f t="shared" si="15"/>
        <v>6.77427243824896E-2</v>
      </c>
      <c r="AT20" s="164">
        <f t="shared" si="16"/>
        <v>1657</v>
      </c>
      <c r="AU20" s="165">
        <f t="shared" si="17"/>
        <v>9.6708284131852063E-2</v>
      </c>
    </row>
    <row r="21" spans="2:47" outlineLevel="1" x14ac:dyDescent="0.35">
      <c r="B21" s="294" t="s">
        <v>81</v>
      </c>
      <c r="C21" s="62" t="s">
        <v>141</v>
      </c>
      <c r="D21" s="157">
        <f t="shared" si="0"/>
        <v>547</v>
      </c>
      <c r="E21" s="157">
        <f t="shared" si="0"/>
        <v>5953</v>
      </c>
      <c r="F21" s="157">
        <f t="shared" si="0"/>
        <v>687</v>
      </c>
      <c r="G21" s="157">
        <f t="shared" si="0"/>
        <v>6640</v>
      </c>
      <c r="H21" s="160">
        <f t="shared" si="1"/>
        <v>0.11540399798420964</v>
      </c>
      <c r="I21" s="157">
        <f t="shared" si="2"/>
        <v>629</v>
      </c>
      <c r="J21" s="157">
        <f t="shared" si="2"/>
        <v>7269</v>
      </c>
      <c r="K21" s="160">
        <f t="shared" si="3"/>
        <v>9.4728915662650598E-2</v>
      </c>
      <c r="L21" s="157">
        <f t="shared" si="4"/>
        <v>356</v>
      </c>
      <c r="M21" s="157">
        <f t="shared" si="5"/>
        <v>7625</v>
      </c>
      <c r="N21" s="160">
        <f t="shared" si="6"/>
        <v>4.8975099738616037E-2</v>
      </c>
      <c r="O21" s="157">
        <f t="shared" si="18"/>
        <v>328</v>
      </c>
      <c r="P21" s="157">
        <f t="shared" si="8"/>
        <v>7953</v>
      </c>
      <c r="Q21" s="160">
        <f t="shared" si="19"/>
        <v>4.3016393442622952E-2</v>
      </c>
      <c r="R21" s="164">
        <f t="shared" si="20"/>
        <v>2547</v>
      </c>
      <c r="S21" s="165">
        <f t="shared" si="21"/>
        <v>7.509978491754854E-2</v>
      </c>
      <c r="U21" s="158">
        <f t="shared" si="9"/>
        <v>485</v>
      </c>
      <c r="V21" s="157">
        <f t="shared" si="9"/>
        <v>473</v>
      </c>
      <c r="W21" s="157">
        <f t="shared" si="9"/>
        <v>12</v>
      </c>
      <c r="X21" s="157">
        <f t="shared" si="9"/>
        <v>8438</v>
      </c>
      <c r="Y21" s="167">
        <f t="shared" si="10"/>
        <v>6.0983276750911607E-2</v>
      </c>
      <c r="Z21" s="158">
        <f t="shared" si="9"/>
        <v>548</v>
      </c>
      <c r="AA21" s="157">
        <f t="shared" si="9"/>
        <v>524</v>
      </c>
      <c r="AB21" s="157">
        <f t="shared" si="9"/>
        <v>24</v>
      </c>
      <c r="AC21" s="157">
        <f t="shared" si="9"/>
        <v>8986</v>
      </c>
      <c r="AD21" s="167">
        <f t="shared" si="11"/>
        <v>6.4944299597060912E-2</v>
      </c>
      <c r="AE21" s="158">
        <f t="shared" si="9"/>
        <v>579</v>
      </c>
      <c r="AF21" s="157">
        <f t="shared" si="9"/>
        <v>550</v>
      </c>
      <c r="AG21" s="157">
        <f t="shared" si="9"/>
        <v>29</v>
      </c>
      <c r="AH21" s="157">
        <f t="shared" si="9"/>
        <v>9565</v>
      </c>
      <c r="AI21" s="167">
        <f t="shared" si="12"/>
        <v>6.4433563320721116E-2</v>
      </c>
      <c r="AJ21" s="158">
        <f t="shared" si="9"/>
        <v>504</v>
      </c>
      <c r="AK21" s="157">
        <f t="shared" si="9"/>
        <v>482</v>
      </c>
      <c r="AL21" s="157">
        <f t="shared" si="9"/>
        <v>22</v>
      </c>
      <c r="AM21" s="157">
        <f t="shared" si="9"/>
        <v>10069</v>
      </c>
      <c r="AN21" s="167">
        <f t="shared" si="13"/>
        <v>5.2692106638787248E-2</v>
      </c>
      <c r="AO21" s="158">
        <f t="shared" si="14"/>
        <v>402</v>
      </c>
      <c r="AP21" s="157">
        <f t="shared" si="14"/>
        <v>380</v>
      </c>
      <c r="AQ21" s="157">
        <f t="shared" si="14"/>
        <v>22</v>
      </c>
      <c r="AR21" s="157">
        <f t="shared" si="14"/>
        <v>10471</v>
      </c>
      <c r="AS21" s="167">
        <f t="shared" si="15"/>
        <v>3.9924520806435597E-2</v>
      </c>
      <c r="AT21" s="164">
        <f t="shared" si="16"/>
        <v>2518</v>
      </c>
      <c r="AU21" s="165">
        <f t="shared" si="17"/>
        <v>5.5448773705920162E-2</v>
      </c>
    </row>
    <row r="22" spans="2:47" outlineLevel="1" x14ac:dyDescent="0.35">
      <c r="B22" s="294" t="s">
        <v>82</v>
      </c>
      <c r="C22" s="62" t="s">
        <v>141</v>
      </c>
      <c r="D22" s="157">
        <f t="shared" si="0"/>
        <v>3</v>
      </c>
      <c r="E22" s="157">
        <f t="shared" si="0"/>
        <v>19</v>
      </c>
      <c r="F22" s="157">
        <f t="shared" si="0"/>
        <v>1</v>
      </c>
      <c r="G22" s="157">
        <f t="shared" si="0"/>
        <v>20</v>
      </c>
      <c r="H22" s="160">
        <f t="shared" si="1"/>
        <v>5.2631578947368418E-2</v>
      </c>
      <c r="I22" s="157">
        <f t="shared" si="2"/>
        <v>0</v>
      </c>
      <c r="J22" s="157">
        <f t="shared" si="2"/>
        <v>20</v>
      </c>
      <c r="K22" s="160">
        <f t="shared" si="3"/>
        <v>0</v>
      </c>
      <c r="L22" s="157">
        <f t="shared" si="4"/>
        <v>-1</v>
      </c>
      <c r="M22" s="157">
        <f t="shared" si="5"/>
        <v>19</v>
      </c>
      <c r="N22" s="160">
        <f t="shared" si="6"/>
        <v>-0.05</v>
      </c>
      <c r="O22" s="157">
        <f t="shared" si="18"/>
        <v>0</v>
      </c>
      <c r="P22" s="157">
        <f t="shared" si="8"/>
        <v>19</v>
      </c>
      <c r="Q22" s="160">
        <f t="shared" si="19"/>
        <v>0</v>
      </c>
      <c r="R22" s="164">
        <f t="shared" si="20"/>
        <v>3</v>
      </c>
      <c r="S22" s="165">
        <f t="shared" si="21"/>
        <v>0</v>
      </c>
      <c r="U22" s="158">
        <f t="shared" si="9"/>
        <v>0</v>
      </c>
      <c r="V22" s="157">
        <f t="shared" si="9"/>
        <v>0</v>
      </c>
      <c r="W22" s="157">
        <f t="shared" si="9"/>
        <v>0</v>
      </c>
      <c r="X22" s="157">
        <f t="shared" si="9"/>
        <v>19</v>
      </c>
      <c r="Y22" s="167">
        <f t="shared" si="10"/>
        <v>0</v>
      </c>
      <c r="Z22" s="158">
        <f t="shared" si="9"/>
        <v>0</v>
      </c>
      <c r="AA22" s="157">
        <f t="shared" si="9"/>
        <v>0</v>
      </c>
      <c r="AB22" s="157">
        <f t="shared" si="9"/>
        <v>0</v>
      </c>
      <c r="AC22" s="157">
        <f t="shared" si="9"/>
        <v>19</v>
      </c>
      <c r="AD22" s="167">
        <f t="shared" si="11"/>
        <v>0</v>
      </c>
      <c r="AE22" s="158">
        <f t="shared" si="9"/>
        <v>0</v>
      </c>
      <c r="AF22" s="157">
        <f t="shared" si="9"/>
        <v>0</v>
      </c>
      <c r="AG22" s="157">
        <f t="shared" si="9"/>
        <v>0</v>
      </c>
      <c r="AH22" s="157">
        <f t="shared" si="9"/>
        <v>19</v>
      </c>
      <c r="AI22" s="167">
        <f t="shared" si="12"/>
        <v>0</v>
      </c>
      <c r="AJ22" s="158">
        <f t="shared" si="9"/>
        <v>0</v>
      </c>
      <c r="AK22" s="157">
        <f t="shared" si="9"/>
        <v>0</v>
      </c>
      <c r="AL22" s="157">
        <f t="shared" si="9"/>
        <v>0</v>
      </c>
      <c r="AM22" s="157">
        <f t="shared" si="9"/>
        <v>19</v>
      </c>
      <c r="AN22" s="167">
        <f t="shared" si="13"/>
        <v>0</v>
      </c>
      <c r="AO22" s="158">
        <f t="shared" si="14"/>
        <v>0</v>
      </c>
      <c r="AP22" s="157">
        <f t="shared" si="14"/>
        <v>0</v>
      </c>
      <c r="AQ22" s="157">
        <f t="shared" si="14"/>
        <v>0</v>
      </c>
      <c r="AR22" s="157">
        <f t="shared" si="14"/>
        <v>19</v>
      </c>
      <c r="AS22" s="167">
        <f t="shared" si="15"/>
        <v>0</v>
      </c>
      <c r="AT22" s="164">
        <f t="shared" si="16"/>
        <v>0</v>
      </c>
      <c r="AU22" s="165">
        <f t="shared" si="17"/>
        <v>0</v>
      </c>
    </row>
    <row r="23" spans="2:47" outlineLevel="1" x14ac:dyDescent="0.35">
      <c r="B23" s="294" t="s">
        <v>83</v>
      </c>
      <c r="C23" s="62" t="s">
        <v>141</v>
      </c>
      <c r="D23" s="157">
        <f t="shared" si="0"/>
        <v>75</v>
      </c>
      <c r="E23" s="157">
        <f t="shared" si="0"/>
        <v>2864</v>
      </c>
      <c r="F23" s="157">
        <f t="shared" si="0"/>
        <v>100</v>
      </c>
      <c r="G23" s="157">
        <f t="shared" si="0"/>
        <v>2964</v>
      </c>
      <c r="H23" s="160">
        <f t="shared" si="1"/>
        <v>3.4916201117318434E-2</v>
      </c>
      <c r="I23" s="157">
        <f t="shared" si="2"/>
        <v>79</v>
      </c>
      <c r="J23" s="157">
        <f t="shared" si="2"/>
        <v>3043</v>
      </c>
      <c r="K23" s="160">
        <f t="shared" si="3"/>
        <v>2.6653171390013497E-2</v>
      </c>
      <c r="L23" s="157">
        <f t="shared" si="4"/>
        <v>33</v>
      </c>
      <c r="M23" s="157">
        <f t="shared" si="5"/>
        <v>3076</v>
      </c>
      <c r="N23" s="160">
        <f t="shared" si="6"/>
        <v>1.0844561288202431E-2</v>
      </c>
      <c r="O23" s="157">
        <f t="shared" si="18"/>
        <v>27</v>
      </c>
      <c r="P23" s="157">
        <f t="shared" si="8"/>
        <v>3103</v>
      </c>
      <c r="Q23" s="160">
        <f t="shared" si="19"/>
        <v>8.7776332899869962E-3</v>
      </c>
      <c r="R23" s="164">
        <f t="shared" si="20"/>
        <v>314</v>
      </c>
      <c r="S23" s="165">
        <f t="shared" si="21"/>
        <v>2.0239633076313934E-2</v>
      </c>
      <c r="U23" s="158">
        <f t="shared" si="9"/>
        <v>61</v>
      </c>
      <c r="V23" s="157">
        <f t="shared" si="9"/>
        <v>61</v>
      </c>
      <c r="W23" s="157">
        <f t="shared" si="9"/>
        <v>0</v>
      </c>
      <c r="X23" s="157">
        <f t="shared" si="9"/>
        <v>3164</v>
      </c>
      <c r="Y23" s="167">
        <f t="shared" si="10"/>
        <v>1.9658395101514663E-2</v>
      </c>
      <c r="Z23" s="158">
        <f t="shared" si="9"/>
        <v>112</v>
      </c>
      <c r="AA23" s="157">
        <f t="shared" si="9"/>
        <v>65</v>
      </c>
      <c r="AB23" s="157">
        <f t="shared" si="9"/>
        <v>47</v>
      </c>
      <c r="AC23" s="157">
        <f t="shared" si="9"/>
        <v>3276</v>
      </c>
      <c r="AD23" s="167">
        <f t="shared" si="11"/>
        <v>3.5398230088495575E-2</v>
      </c>
      <c r="AE23" s="158">
        <f t="shared" si="9"/>
        <v>138</v>
      </c>
      <c r="AF23" s="157">
        <f t="shared" si="9"/>
        <v>68</v>
      </c>
      <c r="AG23" s="157">
        <f t="shared" si="9"/>
        <v>70</v>
      </c>
      <c r="AH23" s="157">
        <f t="shared" si="9"/>
        <v>3414</v>
      </c>
      <c r="AI23" s="167">
        <f t="shared" si="12"/>
        <v>4.2124542124542128E-2</v>
      </c>
      <c r="AJ23" s="158">
        <f t="shared" si="9"/>
        <v>147</v>
      </c>
      <c r="AK23" s="157">
        <f t="shared" si="9"/>
        <v>59</v>
      </c>
      <c r="AL23" s="157">
        <f t="shared" si="9"/>
        <v>88</v>
      </c>
      <c r="AM23" s="157">
        <f t="shared" si="9"/>
        <v>3561</v>
      </c>
      <c r="AN23" s="167">
        <f t="shared" si="13"/>
        <v>4.3057996485061513E-2</v>
      </c>
      <c r="AO23" s="158">
        <f t="shared" si="14"/>
        <v>138</v>
      </c>
      <c r="AP23" s="157">
        <f t="shared" si="14"/>
        <v>46</v>
      </c>
      <c r="AQ23" s="157">
        <f t="shared" si="14"/>
        <v>92</v>
      </c>
      <c r="AR23" s="157">
        <f t="shared" si="14"/>
        <v>3699</v>
      </c>
      <c r="AS23" s="167">
        <f t="shared" si="15"/>
        <v>3.8753159224936815E-2</v>
      </c>
      <c r="AT23" s="164">
        <f t="shared" si="16"/>
        <v>596</v>
      </c>
      <c r="AU23" s="165">
        <f t="shared" si="17"/>
        <v>3.9829092730732762E-2</v>
      </c>
    </row>
    <row r="24" spans="2:47" outlineLevel="1" x14ac:dyDescent="0.35">
      <c r="B24" s="294" t="s">
        <v>84</v>
      </c>
      <c r="C24" s="62" t="s">
        <v>141</v>
      </c>
      <c r="D24" s="157">
        <f t="shared" si="0"/>
        <v>142</v>
      </c>
      <c r="E24" s="157">
        <f t="shared" si="0"/>
        <v>1154</v>
      </c>
      <c r="F24" s="157">
        <f t="shared" si="0"/>
        <v>176</v>
      </c>
      <c r="G24" s="157">
        <f t="shared" si="0"/>
        <v>1330</v>
      </c>
      <c r="H24" s="160">
        <f t="shared" si="1"/>
        <v>0.15251299826689774</v>
      </c>
      <c r="I24" s="157">
        <f t="shared" si="2"/>
        <v>159</v>
      </c>
      <c r="J24" s="157">
        <f t="shared" si="2"/>
        <v>1489</v>
      </c>
      <c r="K24" s="160">
        <f t="shared" si="3"/>
        <v>0.11954887218045113</v>
      </c>
      <c r="L24" s="157">
        <f t="shared" si="4"/>
        <v>90</v>
      </c>
      <c r="M24" s="157">
        <f t="shared" si="5"/>
        <v>1579</v>
      </c>
      <c r="N24" s="160">
        <f t="shared" si="6"/>
        <v>6.0443250503693757E-2</v>
      </c>
      <c r="O24" s="157">
        <f t="shared" si="18"/>
        <v>78</v>
      </c>
      <c r="P24" s="157">
        <f t="shared" si="8"/>
        <v>1657</v>
      </c>
      <c r="Q24" s="160">
        <f t="shared" si="19"/>
        <v>4.9398353388220392E-2</v>
      </c>
      <c r="R24" s="164">
        <f t="shared" si="20"/>
        <v>645</v>
      </c>
      <c r="S24" s="165">
        <f t="shared" si="21"/>
        <v>9.4659813710870511E-2</v>
      </c>
      <c r="U24" s="158">
        <f t="shared" si="9"/>
        <v>126</v>
      </c>
      <c r="V24" s="157">
        <f t="shared" si="9"/>
        <v>125</v>
      </c>
      <c r="W24" s="157">
        <f t="shared" si="9"/>
        <v>1</v>
      </c>
      <c r="X24" s="157">
        <f t="shared" si="9"/>
        <v>1783</v>
      </c>
      <c r="Y24" s="167">
        <f t="shared" si="10"/>
        <v>7.6041038020519008E-2</v>
      </c>
      <c r="Z24" s="158">
        <f t="shared" si="9"/>
        <v>187</v>
      </c>
      <c r="AA24" s="157">
        <f t="shared" si="9"/>
        <v>135</v>
      </c>
      <c r="AB24" s="157">
        <f t="shared" si="9"/>
        <v>52</v>
      </c>
      <c r="AC24" s="157">
        <f t="shared" si="9"/>
        <v>1970</v>
      </c>
      <c r="AD24" s="167">
        <f t="shared" si="11"/>
        <v>0.10487941671340438</v>
      </c>
      <c r="AE24" s="158">
        <f t="shared" si="9"/>
        <v>284</v>
      </c>
      <c r="AF24" s="157">
        <f t="shared" si="9"/>
        <v>141</v>
      </c>
      <c r="AG24" s="157">
        <f t="shared" si="9"/>
        <v>143</v>
      </c>
      <c r="AH24" s="157">
        <f t="shared" si="9"/>
        <v>2254</v>
      </c>
      <c r="AI24" s="167">
        <f t="shared" si="12"/>
        <v>0.14416243654822336</v>
      </c>
      <c r="AJ24" s="158">
        <f t="shared" si="9"/>
        <v>321</v>
      </c>
      <c r="AK24" s="157">
        <f t="shared" si="9"/>
        <v>123</v>
      </c>
      <c r="AL24" s="157">
        <f t="shared" si="9"/>
        <v>198</v>
      </c>
      <c r="AM24" s="157">
        <f t="shared" si="9"/>
        <v>2575</v>
      </c>
      <c r="AN24" s="167">
        <f t="shared" si="13"/>
        <v>0.14241348713398402</v>
      </c>
      <c r="AO24" s="158">
        <f t="shared" si="14"/>
        <v>276</v>
      </c>
      <c r="AP24" s="157">
        <f t="shared" si="14"/>
        <v>97</v>
      </c>
      <c r="AQ24" s="157">
        <f t="shared" si="14"/>
        <v>179</v>
      </c>
      <c r="AR24" s="157">
        <f t="shared" si="14"/>
        <v>2851</v>
      </c>
      <c r="AS24" s="167">
        <f t="shared" si="15"/>
        <v>0.10718446601941747</v>
      </c>
      <c r="AT24" s="164">
        <f t="shared" si="16"/>
        <v>1194</v>
      </c>
      <c r="AU24" s="165">
        <f t="shared" si="17"/>
        <v>0.1245052012126493</v>
      </c>
    </row>
    <row r="25" spans="2:47" outlineLevel="1" x14ac:dyDescent="0.35">
      <c r="B25" s="294" t="s">
        <v>85</v>
      </c>
      <c r="C25" s="62" t="s">
        <v>141</v>
      </c>
      <c r="D25" s="157">
        <f t="shared" si="0"/>
        <v>590</v>
      </c>
      <c r="E25" s="157">
        <f t="shared" si="0"/>
        <v>2074</v>
      </c>
      <c r="F25" s="157">
        <f t="shared" si="0"/>
        <v>1048</v>
      </c>
      <c r="G25" s="157">
        <f t="shared" si="0"/>
        <v>3122</v>
      </c>
      <c r="H25" s="160">
        <f t="shared" si="1"/>
        <v>0.50530376084860174</v>
      </c>
      <c r="I25" s="157">
        <f t="shared" si="2"/>
        <v>620</v>
      </c>
      <c r="J25" s="157">
        <f t="shared" si="2"/>
        <v>3742</v>
      </c>
      <c r="K25" s="160">
        <f t="shared" si="3"/>
        <v>0.19859064702114029</v>
      </c>
      <c r="L25" s="157">
        <f t="shared" si="4"/>
        <v>201</v>
      </c>
      <c r="M25" s="157">
        <f t="shared" si="5"/>
        <v>3943</v>
      </c>
      <c r="N25" s="160">
        <f t="shared" si="6"/>
        <v>5.3714591127739179E-2</v>
      </c>
      <c r="O25" s="157">
        <f t="shared" si="18"/>
        <v>199</v>
      </c>
      <c r="P25" s="157">
        <f t="shared" si="8"/>
        <v>4142</v>
      </c>
      <c r="Q25" s="160">
        <f t="shared" si="19"/>
        <v>5.046918589906163E-2</v>
      </c>
      <c r="R25" s="164">
        <f t="shared" si="20"/>
        <v>2658</v>
      </c>
      <c r="S25" s="165">
        <f t="shared" si="21"/>
        <v>0.18877684039270903</v>
      </c>
      <c r="U25" s="158">
        <f t="shared" si="9"/>
        <v>238</v>
      </c>
      <c r="V25" s="157">
        <f t="shared" si="9"/>
        <v>234</v>
      </c>
      <c r="W25" s="157">
        <f t="shared" si="9"/>
        <v>4</v>
      </c>
      <c r="X25" s="157">
        <f t="shared" si="9"/>
        <v>4380</v>
      </c>
      <c r="Y25" s="167">
        <f t="shared" si="10"/>
        <v>5.7460164171897636E-2</v>
      </c>
      <c r="Z25" s="158">
        <f t="shared" si="9"/>
        <v>295</v>
      </c>
      <c r="AA25" s="157">
        <f t="shared" si="9"/>
        <v>260</v>
      </c>
      <c r="AB25" s="157">
        <f t="shared" si="9"/>
        <v>35</v>
      </c>
      <c r="AC25" s="157">
        <f t="shared" si="9"/>
        <v>4675</v>
      </c>
      <c r="AD25" s="167">
        <f t="shared" si="11"/>
        <v>6.7351598173515978E-2</v>
      </c>
      <c r="AE25" s="158">
        <f t="shared" si="9"/>
        <v>315</v>
      </c>
      <c r="AF25" s="157">
        <f t="shared" si="9"/>
        <v>274</v>
      </c>
      <c r="AG25" s="157">
        <f t="shared" si="9"/>
        <v>41</v>
      </c>
      <c r="AH25" s="157">
        <f t="shared" si="9"/>
        <v>4990</v>
      </c>
      <c r="AI25" s="167">
        <f t="shared" si="12"/>
        <v>6.737967914438503E-2</v>
      </c>
      <c r="AJ25" s="158">
        <f t="shared" si="9"/>
        <v>271</v>
      </c>
      <c r="AK25" s="157">
        <f t="shared" si="9"/>
        <v>240</v>
      </c>
      <c r="AL25" s="157">
        <f t="shared" si="9"/>
        <v>31</v>
      </c>
      <c r="AM25" s="157">
        <f t="shared" si="9"/>
        <v>5261</v>
      </c>
      <c r="AN25" s="167">
        <f t="shared" si="13"/>
        <v>5.4308617234468941E-2</v>
      </c>
      <c r="AO25" s="158">
        <f t="shared" si="14"/>
        <v>219</v>
      </c>
      <c r="AP25" s="157">
        <f t="shared" si="14"/>
        <v>189</v>
      </c>
      <c r="AQ25" s="157">
        <f t="shared" si="14"/>
        <v>30</v>
      </c>
      <c r="AR25" s="157">
        <f t="shared" si="14"/>
        <v>5480</v>
      </c>
      <c r="AS25" s="167">
        <f t="shared" si="15"/>
        <v>4.1627067097509976E-2</v>
      </c>
      <c r="AT25" s="164">
        <f t="shared" si="16"/>
        <v>1338</v>
      </c>
      <c r="AU25" s="165">
        <f t="shared" si="17"/>
        <v>5.7612589774532097E-2</v>
      </c>
    </row>
    <row r="26" spans="2:47" outlineLevel="1" x14ac:dyDescent="0.35">
      <c r="B26" s="294" t="s">
        <v>86</v>
      </c>
      <c r="C26" s="62" t="s">
        <v>141</v>
      </c>
      <c r="D26" s="157">
        <f t="shared" si="0"/>
        <v>167</v>
      </c>
      <c r="E26" s="157">
        <f t="shared" si="0"/>
        <v>1245</v>
      </c>
      <c r="F26" s="157">
        <f t="shared" si="0"/>
        <v>239</v>
      </c>
      <c r="G26" s="157">
        <f t="shared" si="0"/>
        <v>1484</v>
      </c>
      <c r="H26" s="160">
        <f t="shared" si="1"/>
        <v>0.19196787148594377</v>
      </c>
      <c r="I26" s="157">
        <f t="shared" si="2"/>
        <v>448</v>
      </c>
      <c r="J26" s="157">
        <f t="shared" si="2"/>
        <v>1932</v>
      </c>
      <c r="K26" s="160">
        <f t="shared" si="3"/>
        <v>0.30188679245283018</v>
      </c>
      <c r="L26" s="157">
        <f t="shared" si="4"/>
        <v>273</v>
      </c>
      <c r="M26" s="157">
        <f t="shared" si="5"/>
        <v>2205</v>
      </c>
      <c r="N26" s="160">
        <f t="shared" si="6"/>
        <v>0.14130434782608695</v>
      </c>
      <c r="O26" s="157">
        <f t="shared" si="18"/>
        <v>156</v>
      </c>
      <c r="P26" s="157">
        <f t="shared" si="8"/>
        <v>2361</v>
      </c>
      <c r="Q26" s="160">
        <f t="shared" si="19"/>
        <v>7.0748299319727898E-2</v>
      </c>
      <c r="R26" s="164">
        <f t="shared" si="20"/>
        <v>1283</v>
      </c>
      <c r="S26" s="165">
        <f t="shared" si="21"/>
        <v>0.1734961224546383</v>
      </c>
      <c r="U26" s="158">
        <f t="shared" si="9"/>
        <v>261</v>
      </c>
      <c r="V26" s="157">
        <f t="shared" si="9"/>
        <v>241</v>
      </c>
      <c r="W26" s="157">
        <f t="shared" si="9"/>
        <v>20</v>
      </c>
      <c r="X26" s="157">
        <f t="shared" si="9"/>
        <v>2622</v>
      </c>
      <c r="Y26" s="167">
        <f t="shared" si="10"/>
        <v>0.11054637865311309</v>
      </c>
      <c r="Z26" s="158">
        <f t="shared" si="9"/>
        <v>505</v>
      </c>
      <c r="AA26" s="157">
        <f t="shared" si="9"/>
        <v>266</v>
      </c>
      <c r="AB26" s="157">
        <f t="shared" si="9"/>
        <v>239</v>
      </c>
      <c r="AC26" s="157">
        <f t="shared" si="9"/>
        <v>3127</v>
      </c>
      <c r="AD26" s="167">
        <f t="shared" si="11"/>
        <v>0.19260106788710907</v>
      </c>
      <c r="AE26" s="158">
        <f t="shared" si="9"/>
        <v>745</v>
      </c>
      <c r="AF26" s="157">
        <f t="shared" si="9"/>
        <v>279</v>
      </c>
      <c r="AG26" s="157">
        <f t="shared" si="9"/>
        <v>466</v>
      </c>
      <c r="AH26" s="157">
        <f t="shared" si="9"/>
        <v>3872</v>
      </c>
      <c r="AI26" s="167">
        <f t="shared" si="12"/>
        <v>0.23824752158618484</v>
      </c>
      <c r="AJ26" s="158">
        <f t="shared" si="9"/>
        <v>732</v>
      </c>
      <c r="AK26" s="157">
        <f t="shared" si="9"/>
        <v>245</v>
      </c>
      <c r="AL26" s="157">
        <f t="shared" si="9"/>
        <v>487</v>
      </c>
      <c r="AM26" s="157">
        <f t="shared" si="9"/>
        <v>4604</v>
      </c>
      <c r="AN26" s="167">
        <f t="shared" si="13"/>
        <v>0.18904958677685951</v>
      </c>
      <c r="AO26" s="158">
        <f t="shared" si="14"/>
        <v>601</v>
      </c>
      <c r="AP26" s="157">
        <f t="shared" si="14"/>
        <v>192</v>
      </c>
      <c r="AQ26" s="157">
        <f t="shared" si="14"/>
        <v>409</v>
      </c>
      <c r="AR26" s="157">
        <f t="shared" si="14"/>
        <v>5205</v>
      </c>
      <c r="AS26" s="167">
        <f t="shared" si="15"/>
        <v>0.13053866203301476</v>
      </c>
      <c r="AT26" s="164">
        <f t="shared" si="16"/>
        <v>2844</v>
      </c>
      <c r="AU26" s="165">
        <f t="shared" si="17"/>
        <v>0.18698986728163902</v>
      </c>
    </row>
    <row r="27" spans="2:47" outlineLevel="1" x14ac:dyDescent="0.35">
      <c r="B27" s="294" t="s">
        <v>87</v>
      </c>
      <c r="C27" s="62" t="s">
        <v>141</v>
      </c>
      <c r="D27" s="157">
        <f t="shared" si="0"/>
        <v>382</v>
      </c>
      <c r="E27" s="157">
        <f t="shared" si="0"/>
        <v>2696</v>
      </c>
      <c r="F27" s="157">
        <f t="shared" si="0"/>
        <v>461</v>
      </c>
      <c r="G27" s="157">
        <f t="shared" si="0"/>
        <v>3157</v>
      </c>
      <c r="H27" s="160">
        <f t="shared" si="1"/>
        <v>0.17099406528189912</v>
      </c>
      <c r="I27" s="157">
        <f t="shared" si="2"/>
        <v>347</v>
      </c>
      <c r="J27" s="157">
        <f t="shared" si="2"/>
        <v>3504</v>
      </c>
      <c r="K27" s="160">
        <f t="shared" si="3"/>
        <v>0.1099144757681343</v>
      </c>
      <c r="L27" s="157">
        <f t="shared" si="4"/>
        <v>170</v>
      </c>
      <c r="M27" s="157">
        <f t="shared" si="5"/>
        <v>3674</v>
      </c>
      <c r="N27" s="160">
        <f t="shared" si="6"/>
        <v>4.8515981735159815E-2</v>
      </c>
      <c r="O27" s="157">
        <f t="shared" si="18"/>
        <v>142</v>
      </c>
      <c r="P27" s="157">
        <f t="shared" si="8"/>
        <v>3816</v>
      </c>
      <c r="Q27" s="160">
        <f t="shared" si="19"/>
        <v>3.8649972781709306E-2</v>
      </c>
      <c r="R27" s="164">
        <f t="shared" si="20"/>
        <v>1502</v>
      </c>
      <c r="S27" s="165">
        <f t="shared" si="21"/>
        <v>9.0742208923189738E-2</v>
      </c>
      <c r="U27" s="158">
        <f t="shared" si="9"/>
        <v>237</v>
      </c>
      <c r="V27" s="157">
        <f t="shared" si="9"/>
        <v>228</v>
      </c>
      <c r="W27" s="157">
        <f t="shared" si="9"/>
        <v>9</v>
      </c>
      <c r="X27" s="157">
        <f t="shared" si="9"/>
        <v>4053</v>
      </c>
      <c r="Y27" s="167">
        <f t="shared" si="10"/>
        <v>6.2106918238993711E-2</v>
      </c>
      <c r="Z27" s="158">
        <f t="shared" si="9"/>
        <v>389</v>
      </c>
      <c r="AA27" s="157">
        <f t="shared" si="9"/>
        <v>252</v>
      </c>
      <c r="AB27" s="157">
        <f t="shared" si="9"/>
        <v>137</v>
      </c>
      <c r="AC27" s="157">
        <f t="shared" si="9"/>
        <v>4442</v>
      </c>
      <c r="AD27" s="167">
        <f t="shared" si="11"/>
        <v>9.5978287688132241E-2</v>
      </c>
      <c r="AE27" s="158">
        <f t="shared" si="9"/>
        <v>429</v>
      </c>
      <c r="AF27" s="157">
        <f t="shared" si="9"/>
        <v>264</v>
      </c>
      <c r="AG27" s="157">
        <f t="shared" si="9"/>
        <v>165</v>
      </c>
      <c r="AH27" s="157">
        <f t="shared" si="9"/>
        <v>4871</v>
      </c>
      <c r="AI27" s="167">
        <f t="shared" si="12"/>
        <v>9.657811796488068E-2</v>
      </c>
      <c r="AJ27" s="158">
        <f t="shared" si="9"/>
        <v>339</v>
      </c>
      <c r="AK27" s="157">
        <f t="shared" si="9"/>
        <v>231</v>
      </c>
      <c r="AL27" s="157">
        <f t="shared" si="9"/>
        <v>108</v>
      </c>
      <c r="AM27" s="157">
        <f t="shared" si="9"/>
        <v>5210</v>
      </c>
      <c r="AN27" s="167">
        <f t="shared" si="13"/>
        <v>6.9595565592280847E-2</v>
      </c>
      <c r="AO27" s="158">
        <f t="shared" si="14"/>
        <v>355</v>
      </c>
      <c r="AP27" s="157">
        <f t="shared" si="14"/>
        <v>182</v>
      </c>
      <c r="AQ27" s="157">
        <f t="shared" si="14"/>
        <v>173</v>
      </c>
      <c r="AR27" s="157">
        <f t="shared" si="14"/>
        <v>5565</v>
      </c>
      <c r="AS27" s="167">
        <f t="shared" si="15"/>
        <v>6.8138195777351251E-2</v>
      </c>
      <c r="AT27" s="164">
        <f t="shared" si="16"/>
        <v>1749</v>
      </c>
      <c r="AU27" s="165">
        <f t="shared" si="17"/>
        <v>8.2485633562165095E-2</v>
      </c>
    </row>
    <row r="28" spans="2:47" outlineLevel="1" x14ac:dyDescent="0.35">
      <c r="B28" s="294" t="s">
        <v>88</v>
      </c>
      <c r="C28" s="62" t="s">
        <v>141</v>
      </c>
      <c r="D28" s="157">
        <f t="shared" si="0"/>
        <v>349</v>
      </c>
      <c r="E28" s="157">
        <f t="shared" si="0"/>
        <v>2594</v>
      </c>
      <c r="F28" s="157">
        <f t="shared" si="0"/>
        <v>525</v>
      </c>
      <c r="G28" s="157">
        <f t="shared" si="0"/>
        <v>3119</v>
      </c>
      <c r="H28" s="160">
        <f t="shared" si="1"/>
        <v>0.20239013107170392</v>
      </c>
      <c r="I28" s="157">
        <f t="shared" si="2"/>
        <v>544</v>
      </c>
      <c r="J28" s="157">
        <f t="shared" si="2"/>
        <v>3663</v>
      </c>
      <c r="K28" s="160">
        <f t="shared" si="3"/>
        <v>0.17441487656300098</v>
      </c>
      <c r="L28" s="157">
        <f t="shared" si="4"/>
        <v>265</v>
      </c>
      <c r="M28" s="157">
        <f t="shared" si="5"/>
        <v>3928</v>
      </c>
      <c r="N28" s="160">
        <f t="shared" si="6"/>
        <v>7.2345072345072342E-2</v>
      </c>
      <c r="O28" s="157">
        <f t="shared" si="18"/>
        <v>269</v>
      </c>
      <c r="P28" s="157">
        <f t="shared" si="8"/>
        <v>4197</v>
      </c>
      <c r="Q28" s="160">
        <f t="shared" si="19"/>
        <v>6.8482688391038701E-2</v>
      </c>
      <c r="R28" s="164">
        <f t="shared" si="20"/>
        <v>1952</v>
      </c>
      <c r="S28" s="165">
        <f t="shared" si="21"/>
        <v>0.12782638205806696</v>
      </c>
      <c r="U28" s="158">
        <f t="shared" si="9"/>
        <v>435</v>
      </c>
      <c r="V28" s="157">
        <f t="shared" si="9"/>
        <v>413</v>
      </c>
      <c r="W28" s="157">
        <f t="shared" si="9"/>
        <v>22</v>
      </c>
      <c r="X28" s="157">
        <f t="shared" si="9"/>
        <v>4632</v>
      </c>
      <c r="Y28" s="167">
        <f t="shared" si="10"/>
        <v>0.10364546104360257</v>
      </c>
      <c r="Z28" s="158">
        <f t="shared" si="9"/>
        <v>601</v>
      </c>
      <c r="AA28" s="157">
        <f t="shared" si="9"/>
        <v>455</v>
      </c>
      <c r="AB28" s="157">
        <f t="shared" si="9"/>
        <v>146</v>
      </c>
      <c r="AC28" s="157">
        <f t="shared" si="9"/>
        <v>5233</v>
      </c>
      <c r="AD28" s="167">
        <f t="shared" si="11"/>
        <v>0.12974956822107081</v>
      </c>
      <c r="AE28" s="158">
        <f t="shared" si="9"/>
        <v>756</v>
      </c>
      <c r="AF28" s="157">
        <f t="shared" si="9"/>
        <v>474</v>
      </c>
      <c r="AG28" s="157">
        <f t="shared" si="9"/>
        <v>282</v>
      </c>
      <c r="AH28" s="157">
        <f t="shared" si="9"/>
        <v>5989</v>
      </c>
      <c r="AI28" s="167">
        <f t="shared" si="12"/>
        <v>0.14446780049684693</v>
      </c>
      <c r="AJ28" s="158">
        <f t="shared" si="9"/>
        <v>667</v>
      </c>
      <c r="AK28" s="157">
        <f t="shared" si="9"/>
        <v>414</v>
      </c>
      <c r="AL28" s="157">
        <f t="shared" si="9"/>
        <v>253</v>
      </c>
      <c r="AM28" s="157">
        <f t="shared" si="9"/>
        <v>6656</v>
      </c>
      <c r="AN28" s="167">
        <f t="shared" si="13"/>
        <v>0.11137084655201203</v>
      </c>
      <c r="AO28" s="158">
        <f t="shared" si="14"/>
        <v>620</v>
      </c>
      <c r="AP28" s="157">
        <f t="shared" si="14"/>
        <v>327</v>
      </c>
      <c r="AQ28" s="157">
        <f t="shared" si="14"/>
        <v>293</v>
      </c>
      <c r="AR28" s="157">
        <f t="shared" si="14"/>
        <v>7276</v>
      </c>
      <c r="AS28" s="167">
        <f t="shared" si="15"/>
        <v>9.3149038461538464E-2</v>
      </c>
      <c r="AT28" s="164">
        <f t="shared" si="16"/>
        <v>3079</v>
      </c>
      <c r="AU28" s="165">
        <f t="shared" si="17"/>
        <v>0.11951788196067215</v>
      </c>
    </row>
    <row r="29" spans="2:47" outlineLevel="1" x14ac:dyDescent="0.35">
      <c r="B29" s="294" t="s">
        <v>89</v>
      </c>
      <c r="C29" s="62" t="s">
        <v>141</v>
      </c>
      <c r="D29" s="157">
        <f t="shared" si="0"/>
        <v>163</v>
      </c>
      <c r="E29" s="157">
        <f t="shared" si="0"/>
        <v>2081</v>
      </c>
      <c r="F29" s="157">
        <f t="shared" si="0"/>
        <v>213</v>
      </c>
      <c r="G29" s="157">
        <f t="shared" si="0"/>
        <v>2294</v>
      </c>
      <c r="H29" s="160">
        <f t="shared" si="1"/>
        <v>0.10235463719365689</v>
      </c>
      <c r="I29" s="157">
        <f t="shared" si="2"/>
        <v>217</v>
      </c>
      <c r="J29" s="157">
        <f t="shared" si="2"/>
        <v>2511</v>
      </c>
      <c r="K29" s="160">
        <f t="shared" si="3"/>
        <v>9.45945945945946E-2</v>
      </c>
      <c r="L29" s="157">
        <f t="shared" si="4"/>
        <v>121</v>
      </c>
      <c r="M29" s="157">
        <f t="shared" si="5"/>
        <v>2632</v>
      </c>
      <c r="N29" s="160">
        <f t="shared" si="6"/>
        <v>4.8187972919155712E-2</v>
      </c>
      <c r="O29" s="157">
        <f t="shared" si="18"/>
        <v>82</v>
      </c>
      <c r="P29" s="157">
        <f t="shared" si="8"/>
        <v>2714</v>
      </c>
      <c r="Q29" s="160">
        <f t="shared" si="19"/>
        <v>3.115501519756839E-2</v>
      </c>
      <c r="R29" s="164">
        <f t="shared" si="20"/>
        <v>796</v>
      </c>
      <c r="S29" s="165">
        <f t="shared" si="21"/>
        <v>6.8647417995762794E-2</v>
      </c>
      <c r="U29" s="158">
        <f t="shared" si="9"/>
        <v>166</v>
      </c>
      <c r="V29" s="157">
        <f t="shared" si="9"/>
        <v>143</v>
      </c>
      <c r="W29" s="157">
        <f t="shared" si="9"/>
        <v>23</v>
      </c>
      <c r="X29" s="157">
        <f t="shared" si="9"/>
        <v>2880</v>
      </c>
      <c r="Y29" s="167">
        <f t="shared" si="10"/>
        <v>6.1164333087693444E-2</v>
      </c>
      <c r="Z29" s="158">
        <f t="shared" si="9"/>
        <v>207</v>
      </c>
      <c r="AA29" s="157">
        <f t="shared" si="9"/>
        <v>158</v>
      </c>
      <c r="AB29" s="157">
        <f t="shared" si="9"/>
        <v>49</v>
      </c>
      <c r="AC29" s="157">
        <f t="shared" si="9"/>
        <v>3087</v>
      </c>
      <c r="AD29" s="167">
        <f t="shared" si="11"/>
        <v>7.1874999999999994E-2</v>
      </c>
      <c r="AE29" s="158">
        <f t="shared" si="9"/>
        <v>259</v>
      </c>
      <c r="AF29" s="157">
        <f t="shared" si="9"/>
        <v>166</v>
      </c>
      <c r="AG29" s="157">
        <f t="shared" si="9"/>
        <v>93</v>
      </c>
      <c r="AH29" s="157">
        <f t="shared" si="9"/>
        <v>3346</v>
      </c>
      <c r="AI29" s="167">
        <f t="shared" si="12"/>
        <v>8.390022675736962E-2</v>
      </c>
      <c r="AJ29" s="158">
        <f t="shared" si="9"/>
        <v>294</v>
      </c>
      <c r="AK29" s="157">
        <f t="shared" si="9"/>
        <v>145</v>
      </c>
      <c r="AL29" s="157">
        <f t="shared" si="9"/>
        <v>149</v>
      </c>
      <c r="AM29" s="157">
        <f t="shared" ref="AM29" si="22">AM91+AM152+AM213+AM282+AM343</f>
        <v>3640</v>
      </c>
      <c r="AN29" s="167">
        <f t="shared" si="13"/>
        <v>8.7866108786610872E-2</v>
      </c>
      <c r="AO29" s="158">
        <f t="shared" si="14"/>
        <v>271</v>
      </c>
      <c r="AP29" s="157">
        <f t="shared" si="14"/>
        <v>115</v>
      </c>
      <c r="AQ29" s="157">
        <f t="shared" si="14"/>
        <v>156</v>
      </c>
      <c r="AR29" s="157">
        <f t="shared" si="14"/>
        <v>3911</v>
      </c>
      <c r="AS29" s="167">
        <f t="shared" si="15"/>
        <v>7.445054945054945E-2</v>
      </c>
      <c r="AT29" s="164">
        <f t="shared" si="16"/>
        <v>1197</v>
      </c>
      <c r="AU29" s="165">
        <f t="shared" si="17"/>
        <v>7.950294642765221E-2</v>
      </c>
    </row>
    <row r="30" spans="2:47" outlineLevel="1" x14ac:dyDescent="0.35">
      <c r="B30" s="294" t="s">
        <v>90</v>
      </c>
      <c r="C30" s="62" t="s">
        <v>141</v>
      </c>
      <c r="D30" s="157">
        <f t="shared" ref="D30:G45" si="23">D92+D153+D214+D283+D344</f>
        <v>1</v>
      </c>
      <c r="E30" s="157">
        <f t="shared" si="23"/>
        <v>27</v>
      </c>
      <c r="F30" s="157">
        <f t="shared" si="23"/>
        <v>1</v>
      </c>
      <c r="G30" s="157">
        <f t="shared" si="23"/>
        <v>28</v>
      </c>
      <c r="H30" s="160">
        <f t="shared" si="1"/>
        <v>3.7037037037037035E-2</v>
      </c>
      <c r="I30" s="157">
        <f t="shared" ref="I30:J45" si="24">I92+I153+I214+I283+I344</f>
        <v>0</v>
      </c>
      <c r="J30" s="157">
        <f t="shared" si="24"/>
        <v>28</v>
      </c>
      <c r="K30" s="160">
        <f t="shared" si="3"/>
        <v>0</v>
      </c>
      <c r="L30" s="157">
        <f t="shared" ref="L30:L45" si="25">L92+L153+L214+L283+L344</f>
        <v>0</v>
      </c>
      <c r="M30" s="157">
        <f t="shared" si="5"/>
        <v>28</v>
      </c>
      <c r="N30" s="160">
        <f t="shared" si="6"/>
        <v>0</v>
      </c>
      <c r="O30" s="157">
        <f t="shared" si="18"/>
        <v>-1</v>
      </c>
      <c r="P30" s="157">
        <f t="shared" si="8"/>
        <v>27</v>
      </c>
      <c r="Q30" s="160">
        <f t="shared" si="19"/>
        <v>-3.5714285714285712E-2</v>
      </c>
      <c r="R30" s="164">
        <f t="shared" si="20"/>
        <v>1</v>
      </c>
      <c r="S30" s="165">
        <f t="shared" si="21"/>
        <v>0</v>
      </c>
      <c r="U30" s="158">
        <f t="shared" ref="U30:X45" si="26">U92+U153+U214+U283+U344</f>
        <v>2</v>
      </c>
      <c r="V30" s="157">
        <f t="shared" si="26"/>
        <v>2</v>
      </c>
      <c r="W30" s="157">
        <f t="shared" si="26"/>
        <v>0</v>
      </c>
      <c r="X30" s="157">
        <f t="shared" si="26"/>
        <v>29</v>
      </c>
      <c r="Y30" s="167">
        <f t="shared" si="10"/>
        <v>7.407407407407407E-2</v>
      </c>
      <c r="Z30" s="158">
        <f t="shared" ref="Z30:AC45" si="27">Z92+Z153+Z214+Z283+Z344</f>
        <v>8</v>
      </c>
      <c r="AA30" s="157">
        <f t="shared" si="27"/>
        <v>1</v>
      </c>
      <c r="AB30" s="157">
        <f t="shared" si="27"/>
        <v>7</v>
      </c>
      <c r="AC30" s="157">
        <f t="shared" si="27"/>
        <v>37</v>
      </c>
      <c r="AD30" s="167">
        <f t="shared" si="11"/>
        <v>0.27586206896551724</v>
      </c>
      <c r="AE30" s="158">
        <f t="shared" ref="AE30:AH45" si="28">AE92+AE153+AE214+AE283+AE344</f>
        <v>10</v>
      </c>
      <c r="AF30" s="157">
        <f t="shared" si="28"/>
        <v>1</v>
      </c>
      <c r="AG30" s="157">
        <f t="shared" si="28"/>
        <v>9</v>
      </c>
      <c r="AH30" s="157">
        <f t="shared" si="28"/>
        <v>47</v>
      </c>
      <c r="AI30" s="167">
        <f t="shared" si="12"/>
        <v>0.27027027027027029</v>
      </c>
      <c r="AJ30" s="158">
        <f t="shared" ref="AJ30:AM45" si="29">AJ92+AJ153+AJ214+AJ283+AJ344</f>
        <v>19</v>
      </c>
      <c r="AK30" s="157">
        <f t="shared" si="29"/>
        <v>1</v>
      </c>
      <c r="AL30" s="157">
        <f t="shared" si="29"/>
        <v>18</v>
      </c>
      <c r="AM30" s="157">
        <f t="shared" si="29"/>
        <v>66</v>
      </c>
      <c r="AN30" s="167">
        <f t="shared" si="13"/>
        <v>0.40425531914893614</v>
      </c>
      <c r="AO30" s="158">
        <f t="shared" ref="AO30:AR45" si="30">AO92+AO153+AO214+AO283+AO344</f>
        <v>18</v>
      </c>
      <c r="AP30" s="157">
        <f t="shared" si="30"/>
        <v>0</v>
      </c>
      <c r="AQ30" s="157">
        <f t="shared" si="30"/>
        <v>18</v>
      </c>
      <c r="AR30" s="157">
        <f t="shared" si="30"/>
        <v>84</v>
      </c>
      <c r="AS30" s="167">
        <f t="shared" si="15"/>
        <v>0.27272727272727271</v>
      </c>
      <c r="AT30" s="164">
        <f t="shared" si="16"/>
        <v>57</v>
      </c>
      <c r="AU30" s="165">
        <f t="shared" si="17"/>
        <v>0.30457881586109092</v>
      </c>
    </row>
    <row r="31" spans="2:47" outlineLevel="1" x14ac:dyDescent="0.35">
      <c r="B31" s="294" t="s">
        <v>91</v>
      </c>
      <c r="C31" s="62" t="s">
        <v>141</v>
      </c>
      <c r="D31" s="157">
        <f t="shared" si="23"/>
        <v>22</v>
      </c>
      <c r="E31" s="157">
        <f t="shared" si="23"/>
        <v>155</v>
      </c>
      <c r="F31" s="157">
        <f t="shared" si="23"/>
        <v>21</v>
      </c>
      <c r="G31" s="157">
        <f t="shared" si="23"/>
        <v>176</v>
      </c>
      <c r="H31" s="160">
        <f t="shared" si="1"/>
        <v>0.13548387096774195</v>
      </c>
      <c r="I31" s="157">
        <f t="shared" si="24"/>
        <v>48</v>
      </c>
      <c r="J31" s="157">
        <f t="shared" si="24"/>
        <v>224</v>
      </c>
      <c r="K31" s="160">
        <f t="shared" si="3"/>
        <v>0.27272727272727271</v>
      </c>
      <c r="L31" s="157">
        <f t="shared" si="25"/>
        <v>41</v>
      </c>
      <c r="M31" s="157">
        <f t="shared" si="5"/>
        <v>265</v>
      </c>
      <c r="N31" s="160">
        <f t="shared" si="6"/>
        <v>0.18303571428571427</v>
      </c>
      <c r="O31" s="157">
        <f t="shared" si="18"/>
        <v>12</v>
      </c>
      <c r="P31" s="157">
        <f t="shared" si="8"/>
        <v>277</v>
      </c>
      <c r="Q31" s="160">
        <f t="shared" si="19"/>
        <v>4.5283018867924525E-2</v>
      </c>
      <c r="R31" s="164">
        <f t="shared" si="20"/>
        <v>144</v>
      </c>
      <c r="S31" s="165">
        <f t="shared" si="21"/>
        <v>0.15621078930497778</v>
      </c>
      <c r="U31" s="158">
        <f t="shared" si="26"/>
        <v>10</v>
      </c>
      <c r="V31" s="157">
        <f t="shared" si="26"/>
        <v>10</v>
      </c>
      <c r="W31" s="157">
        <f t="shared" si="26"/>
        <v>0</v>
      </c>
      <c r="X31" s="157">
        <f t="shared" si="26"/>
        <v>287</v>
      </c>
      <c r="Y31" s="167">
        <f t="shared" si="10"/>
        <v>3.6101083032490974E-2</v>
      </c>
      <c r="Z31" s="158">
        <f t="shared" si="27"/>
        <v>16</v>
      </c>
      <c r="AA31" s="157">
        <f t="shared" si="27"/>
        <v>10</v>
      </c>
      <c r="AB31" s="157">
        <f t="shared" si="27"/>
        <v>6</v>
      </c>
      <c r="AC31" s="157">
        <f t="shared" si="27"/>
        <v>303</v>
      </c>
      <c r="AD31" s="167">
        <f t="shared" si="11"/>
        <v>5.5749128919860627E-2</v>
      </c>
      <c r="AE31" s="158">
        <f t="shared" si="28"/>
        <v>22</v>
      </c>
      <c r="AF31" s="157">
        <f t="shared" si="28"/>
        <v>10</v>
      </c>
      <c r="AG31" s="157">
        <f t="shared" si="28"/>
        <v>12</v>
      </c>
      <c r="AH31" s="157">
        <f t="shared" si="28"/>
        <v>325</v>
      </c>
      <c r="AI31" s="167">
        <f t="shared" si="12"/>
        <v>7.2607260726072612E-2</v>
      </c>
      <c r="AJ31" s="158">
        <f t="shared" si="29"/>
        <v>20</v>
      </c>
      <c r="AK31" s="157">
        <f t="shared" si="29"/>
        <v>9</v>
      </c>
      <c r="AL31" s="157">
        <f t="shared" si="29"/>
        <v>11</v>
      </c>
      <c r="AM31" s="157">
        <f t="shared" si="29"/>
        <v>345</v>
      </c>
      <c r="AN31" s="167">
        <f t="shared" si="13"/>
        <v>6.1538461538461542E-2</v>
      </c>
      <c r="AO31" s="158">
        <f t="shared" si="30"/>
        <v>20</v>
      </c>
      <c r="AP31" s="157">
        <f t="shared" si="30"/>
        <v>7</v>
      </c>
      <c r="AQ31" s="157">
        <f t="shared" si="30"/>
        <v>13</v>
      </c>
      <c r="AR31" s="157">
        <f t="shared" si="30"/>
        <v>365</v>
      </c>
      <c r="AS31" s="167">
        <f t="shared" si="15"/>
        <v>5.7971014492753624E-2</v>
      </c>
      <c r="AT31" s="164">
        <f t="shared" si="16"/>
        <v>88</v>
      </c>
      <c r="AU31" s="165">
        <f t="shared" si="17"/>
        <v>6.1946754392235626E-2</v>
      </c>
    </row>
    <row r="32" spans="2:47" outlineLevel="1" x14ac:dyDescent="0.35">
      <c r="B32" s="294" t="s">
        <v>92</v>
      </c>
      <c r="C32" s="62" t="s">
        <v>141</v>
      </c>
      <c r="D32" s="157">
        <f t="shared" si="23"/>
        <v>159</v>
      </c>
      <c r="E32" s="157">
        <f t="shared" si="23"/>
        <v>1109</v>
      </c>
      <c r="F32" s="157">
        <f t="shared" si="23"/>
        <v>262</v>
      </c>
      <c r="G32" s="157">
        <f t="shared" si="23"/>
        <v>1371</v>
      </c>
      <c r="H32" s="160">
        <f t="shared" si="1"/>
        <v>0.23624887285843102</v>
      </c>
      <c r="I32" s="157">
        <f t="shared" si="24"/>
        <v>642</v>
      </c>
      <c r="J32" s="157">
        <f t="shared" si="24"/>
        <v>2013</v>
      </c>
      <c r="K32" s="160">
        <f t="shared" si="3"/>
        <v>0.46827133479212252</v>
      </c>
      <c r="L32" s="157">
        <f t="shared" si="25"/>
        <v>252</v>
      </c>
      <c r="M32" s="157">
        <f t="shared" si="5"/>
        <v>2265</v>
      </c>
      <c r="N32" s="160">
        <f t="shared" si="6"/>
        <v>0.12518628912071536</v>
      </c>
      <c r="O32" s="157">
        <f t="shared" si="18"/>
        <v>211</v>
      </c>
      <c r="P32" s="157">
        <f t="shared" si="8"/>
        <v>2476</v>
      </c>
      <c r="Q32" s="160">
        <f t="shared" si="19"/>
        <v>9.3156732891832225E-2</v>
      </c>
      <c r="R32" s="164">
        <f t="shared" si="20"/>
        <v>1526</v>
      </c>
      <c r="S32" s="165">
        <f t="shared" si="21"/>
        <v>0.22237588495487093</v>
      </c>
      <c r="U32" s="158">
        <f t="shared" si="26"/>
        <v>300</v>
      </c>
      <c r="V32" s="157">
        <f t="shared" si="26"/>
        <v>294</v>
      </c>
      <c r="W32" s="157">
        <f t="shared" si="26"/>
        <v>6</v>
      </c>
      <c r="X32" s="157">
        <f t="shared" si="26"/>
        <v>2776</v>
      </c>
      <c r="Y32" s="167">
        <f t="shared" si="10"/>
        <v>0.12116316639741519</v>
      </c>
      <c r="Z32" s="158">
        <f t="shared" si="27"/>
        <v>384</v>
      </c>
      <c r="AA32" s="157">
        <f t="shared" si="27"/>
        <v>325</v>
      </c>
      <c r="AB32" s="157">
        <f t="shared" si="27"/>
        <v>59</v>
      </c>
      <c r="AC32" s="157">
        <f t="shared" si="27"/>
        <v>3160</v>
      </c>
      <c r="AD32" s="167">
        <f t="shared" si="11"/>
        <v>0.13832853025936601</v>
      </c>
      <c r="AE32" s="158">
        <f t="shared" si="28"/>
        <v>464</v>
      </c>
      <c r="AF32" s="157">
        <f t="shared" si="28"/>
        <v>340</v>
      </c>
      <c r="AG32" s="157">
        <f t="shared" si="28"/>
        <v>124</v>
      </c>
      <c r="AH32" s="157">
        <f t="shared" si="28"/>
        <v>3624</v>
      </c>
      <c r="AI32" s="167">
        <f t="shared" si="12"/>
        <v>0.14683544303797469</v>
      </c>
      <c r="AJ32" s="158">
        <f t="shared" si="29"/>
        <v>411</v>
      </c>
      <c r="AK32" s="157">
        <f t="shared" si="29"/>
        <v>298</v>
      </c>
      <c r="AL32" s="157">
        <f t="shared" si="29"/>
        <v>113</v>
      </c>
      <c r="AM32" s="157">
        <f t="shared" si="29"/>
        <v>4035</v>
      </c>
      <c r="AN32" s="167">
        <f t="shared" si="13"/>
        <v>0.11341059602649006</v>
      </c>
      <c r="AO32" s="158">
        <f t="shared" si="30"/>
        <v>327</v>
      </c>
      <c r="AP32" s="157">
        <f t="shared" si="30"/>
        <v>236</v>
      </c>
      <c r="AQ32" s="157">
        <f t="shared" si="30"/>
        <v>91</v>
      </c>
      <c r="AR32" s="157">
        <f t="shared" si="30"/>
        <v>4362</v>
      </c>
      <c r="AS32" s="167">
        <f t="shared" si="15"/>
        <v>8.1040892193308553E-2</v>
      </c>
      <c r="AT32" s="164">
        <f t="shared" si="16"/>
        <v>1886</v>
      </c>
      <c r="AU32" s="165">
        <f t="shared" si="17"/>
        <v>0.11960943560821535</v>
      </c>
    </row>
    <row r="33" spans="2:47" outlineLevel="1" x14ac:dyDescent="0.35">
      <c r="B33" s="294" t="s">
        <v>93</v>
      </c>
      <c r="C33" s="62" t="s">
        <v>141</v>
      </c>
      <c r="D33" s="157">
        <f t="shared" si="23"/>
        <v>225</v>
      </c>
      <c r="E33" s="157">
        <f t="shared" si="23"/>
        <v>1113</v>
      </c>
      <c r="F33" s="157">
        <f t="shared" si="23"/>
        <v>428</v>
      </c>
      <c r="G33" s="157">
        <f t="shared" si="23"/>
        <v>1541</v>
      </c>
      <c r="H33" s="160">
        <f t="shared" si="1"/>
        <v>0.38454627133872415</v>
      </c>
      <c r="I33" s="157">
        <f t="shared" si="24"/>
        <v>667</v>
      </c>
      <c r="J33" s="157">
        <f t="shared" si="24"/>
        <v>2208</v>
      </c>
      <c r="K33" s="160">
        <f t="shared" si="3"/>
        <v>0.43283582089552236</v>
      </c>
      <c r="L33" s="157">
        <f t="shared" si="25"/>
        <v>396</v>
      </c>
      <c r="M33" s="157">
        <f t="shared" si="5"/>
        <v>2604</v>
      </c>
      <c r="N33" s="160">
        <f t="shared" si="6"/>
        <v>0.17934782608695651</v>
      </c>
      <c r="O33" s="157">
        <f t="shared" si="18"/>
        <v>224</v>
      </c>
      <c r="P33" s="157">
        <f t="shared" si="8"/>
        <v>2828</v>
      </c>
      <c r="Q33" s="160">
        <f t="shared" si="19"/>
        <v>8.6021505376344093E-2</v>
      </c>
      <c r="R33" s="164">
        <f t="shared" si="20"/>
        <v>1940</v>
      </c>
      <c r="S33" s="165">
        <f t="shared" si="21"/>
        <v>0.26254265651502173</v>
      </c>
      <c r="U33" s="158">
        <f t="shared" si="26"/>
        <v>415</v>
      </c>
      <c r="V33" s="157">
        <f t="shared" si="26"/>
        <v>358</v>
      </c>
      <c r="W33" s="157">
        <f t="shared" si="26"/>
        <v>57</v>
      </c>
      <c r="X33" s="157">
        <f t="shared" si="26"/>
        <v>3243</v>
      </c>
      <c r="Y33" s="167">
        <f t="shared" si="10"/>
        <v>0.14674681753889673</v>
      </c>
      <c r="Z33" s="158">
        <f t="shared" si="27"/>
        <v>584</v>
      </c>
      <c r="AA33" s="157">
        <f t="shared" si="27"/>
        <v>397</v>
      </c>
      <c r="AB33" s="157">
        <f t="shared" si="27"/>
        <v>187</v>
      </c>
      <c r="AC33" s="157">
        <f t="shared" si="27"/>
        <v>3827</v>
      </c>
      <c r="AD33" s="167">
        <f t="shared" si="11"/>
        <v>0.18008017267961765</v>
      </c>
      <c r="AE33" s="158">
        <f t="shared" si="28"/>
        <v>989</v>
      </c>
      <c r="AF33" s="157">
        <f t="shared" si="28"/>
        <v>416</v>
      </c>
      <c r="AG33" s="157">
        <f t="shared" si="28"/>
        <v>573</v>
      </c>
      <c r="AH33" s="157">
        <f t="shared" si="28"/>
        <v>4816</v>
      </c>
      <c r="AI33" s="167">
        <f t="shared" si="12"/>
        <v>0.25842696629213485</v>
      </c>
      <c r="AJ33" s="158">
        <f t="shared" si="29"/>
        <v>1047</v>
      </c>
      <c r="AK33" s="157">
        <f t="shared" si="29"/>
        <v>364</v>
      </c>
      <c r="AL33" s="157">
        <f t="shared" si="29"/>
        <v>683</v>
      </c>
      <c r="AM33" s="157">
        <f t="shared" si="29"/>
        <v>5863</v>
      </c>
      <c r="AN33" s="167">
        <f t="shared" si="13"/>
        <v>0.21740033222591362</v>
      </c>
      <c r="AO33" s="158">
        <f t="shared" si="30"/>
        <v>892</v>
      </c>
      <c r="AP33" s="157">
        <f t="shared" si="30"/>
        <v>287</v>
      </c>
      <c r="AQ33" s="157">
        <f t="shared" si="30"/>
        <v>605</v>
      </c>
      <c r="AR33" s="157">
        <f t="shared" si="30"/>
        <v>6755</v>
      </c>
      <c r="AS33" s="167">
        <f t="shared" si="15"/>
        <v>0.15214054238444483</v>
      </c>
      <c r="AT33" s="164">
        <f t="shared" si="16"/>
        <v>3927</v>
      </c>
      <c r="AU33" s="165">
        <f t="shared" si="17"/>
        <v>0.2013501340299193</v>
      </c>
    </row>
    <row r="34" spans="2:47" outlineLevel="1" x14ac:dyDescent="0.35">
      <c r="B34" s="294" t="s">
        <v>94</v>
      </c>
      <c r="C34" s="62" t="s">
        <v>141</v>
      </c>
      <c r="D34" s="157">
        <f t="shared" si="23"/>
        <v>316</v>
      </c>
      <c r="E34" s="157">
        <f t="shared" si="23"/>
        <v>2956</v>
      </c>
      <c r="F34" s="157">
        <f t="shared" si="23"/>
        <v>433</v>
      </c>
      <c r="G34" s="157">
        <f t="shared" si="23"/>
        <v>3389</v>
      </c>
      <c r="H34" s="160">
        <f t="shared" si="1"/>
        <v>0.14648173207036536</v>
      </c>
      <c r="I34" s="157">
        <f t="shared" si="24"/>
        <v>374</v>
      </c>
      <c r="J34" s="157">
        <f t="shared" si="24"/>
        <v>3763</v>
      </c>
      <c r="K34" s="160">
        <f t="shared" si="3"/>
        <v>0.11035703747418117</v>
      </c>
      <c r="L34" s="157">
        <f t="shared" si="25"/>
        <v>236</v>
      </c>
      <c r="M34" s="157">
        <f t="shared" si="5"/>
        <v>3999</v>
      </c>
      <c r="N34" s="160">
        <f t="shared" si="6"/>
        <v>6.2715918150411901E-2</v>
      </c>
      <c r="O34" s="157">
        <f t="shared" si="18"/>
        <v>199</v>
      </c>
      <c r="P34" s="157">
        <f t="shared" si="8"/>
        <v>4198</v>
      </c>
      <c r="Q34" s="160">
        <f t="shared" si="19"/>
        <v>4.9762440610152538E-2</v>
      </c>
      <c r="R34" s="164">
        <f t="shared" si="20"/>
        <v>1558</v>
      </c>
      <c r="S34" s="165">
        <f t="shared" si="21"/>
        <v>9.1652719796017301E-2</v>
      </c>
      <c r="U34" s="158">
        <f t="shared" si="26"/>
        <v>308</v>
      </c>
      <c r="V34" s="157">
        <f t="shared" si="26"/>
        <v>305</v>
      </c>
      <c r="W34" s="157">
        <f t="shared" si="26"/>
        <v>3</v>
      </c>
      <c r="X34" s="157">
        <f t="shared" si="26"/>
        <v>4506</v>
      </c>
      <c r="Y34" s="167">
        <f t="shared" si="10"/>
        <v>7.3368270605050023E-2</v>
      </c>
      <c r="Z34" s="158">
        <f t="shared" si="27"/>
        <v>423</v>
      </c>
      <c r="AA34" s="157">
        <f t="shared" si="27"/>
        <v>339</v>
      </c>
      <c r="AB34" s="157">
        <f t="shared" si="27"/>
        <v>84</v>
      </c>
      <c r="AC34" s="157">
        <f t="shared" si="27"/>
        <v>4929</v>
      </c>
      <c r="AD34" s="167">
        <f t="shared" si="11"/>
        <v>9.3874833555259649E-2</v>
      </c>
      <c r="AE34" s="158">
        <f t="shared" si="28"/>
        <v>513</v>
      </c>
      <c r="AF34" s="157">
        <f t="shared" si="28"/>
        <v>356</v>
      </c>
      <c r="AG34" s="157">
        <f t="shared" si="28"/>
        <v>157</v>
      </c>
      <c r="AH34" s="157">
        <f t="shared" si="28"/>
        <v>5442</v>
      </c>
      <c r="AI34" s="167">
        <f t="shared" si="12"/>
        <v>0.10407790626902008</v>
      </c>
      <c r="AJ34" s="158">
        <f t="shared" si="29"/>
        <v>501</v>
      </c>
      <c r="AK34" s="157">
        <f t="shared" si="29"/>
        <v>312</v>
      </c>
      <c r="AL34" s="157">
        <f t="shared" si="29"/>
        <v>189</v>
      </c>
      <c r="AM34" s="157">
        <f t="shared" si="29"/>
        <v>5943</v>
      </c>
      <c r="AN34" s="167">
        <f t="shared" si="13"/>
        <v>9.206174200661521E-2</v>
      </c>
      <c r="AO34" s="158">
        <f t="shared" si="30"/>
        <v>450</v>
      </c>
      <c r="AP34" s="157">
        <f t="shared" si="30"/>
        <v>246</v>
      </c>
      <c r="AQ34" s="157">
        <f t="shared" si="30"/>
        <v>204</v>
      </c>
      <c r="AR34" s="157">
        <f t="shared" si="30"/>
        <v>6393</v>
      </c>
      <c r="AS34" s="167">
        <f t="shared" si="15"/>
        <v>7.5719333669863706E-2</v>
      </c>
      <c r="AT34" s="164">
        <f t="shared" si="16"/>
        <v>2195</v>
      </c>
      <c r="AU34" s="165">
        <f t="shared" si="17"/>
        <v>9.1386001982878717E-2</v>
      </c>
    </row>
    <row r="35" spans="2:47" outlineLevel="1" x14ac:dyDescent="0.35">
      <c r="B35" s="294" t="s">
        <v>95</v>
      </c>
      <c r="C35" s="62" t="s">
        <v>141</v>
      </c>
      <c r="D35" s="157">
        <f t="shared" si="23"/>
        <v>294</v>
      </c>
      <c r="E35" s="157">
        <f t="shared" si="23"/>
        <v>2561</v>
      </c>
      <c r="F35" s="157">
        <f t="shared" si="23"/>
        <v>308</v>
      </c>
      <c r="G35" s="157">
        <f t="shared" si="23"/>
        <v>2869</v>
      </c>
      <c r="H35" s="160">
        <f t="shared" si="1"/>
        <v>0.1202655212807497</v>
      </c>
      <c r="I35" s="157">
        <f t="shared" si="24"/>
        <v>382</v>
      </c>
      <c r="J35" s="157">
        <f t="shared" si="24"/>
        <v>3251</v>
      </c>
      <c r="K35" s="160">
        <f t="shared" si="3"/>
        <v>0.13314743813175323</v>
      </c>
      <c r="L35" s="157">
        <f t="shared" si="25"/>
        <v>142</v>
      </c>
      <c r="M35" s="157">
        <f t="shared" si="5"/>
        <v>3393</v>
      </c>
      <c r="N35" s="160">
        <f t="shared" si="6"/>
        <v>4.3678868040602892E-2</v>
      </c>
      <c r="O35" s="157">
        <f t="shared" si="18"/>
        <v>89</v>
      </c>
      <c r="P35" s="157">
        <f t="shared" si="8"/>
        <v>3482</v>
      </c>
      <c r="Q35" s="160">
        <f t="shared" si="19"/>
        <v>2.6230474506336577E-2</v>
      </c>
      <c r="R35" s="164">
        <f t="shared" si="20"/>
        <v>1215</v>
      </c>
      <c r="S35" s="165">
        <f t="shared" si="21"/>
        <v>7.9828528401419518E-2</v>
      </c>
      <c r="U35" s="158">
        <f t="shared" si="26"/>
        <v>154</v>
      </c>
      <c r="V35" s="157">
        <f t="shared" si="26"/>
        <v>149</v>
      </c>
      <c r="W35" s="157">
        <f t="shared" si="26"/>
        <v>5</v>
      </c>
      <c r="X35" s="157">
        <f t="shared" si="26"/>
        <v>3636</v>
      </c>
      <c r="Y35" s="167">
        <f t="shared" si="10"/>
        <v>4.4227455485353243E-2</v>
      </c>
      <c r="Z35" s="158">
        <f t="shared" si="27"/>
        <v>203</v>
      </c>
      <c r="AA35" s="157">
        <f t="shared" si="27"/>
        <v>163</v>
      </c>
      <c r="AB35" s="157">
        <f t="shared" si="27"/>
        <v>40</v>
      </c>
      <c r="AC35" s="157">
        <f t="shared" si="27"/>
        <v>3839</v>
      </c>
      <c r="AD35" s="167">
        <f t="shared" si="11"/>
        <v>5.5830583058305829E-2</v>
      </c>
      <c r="AE35" s="158">
        <f t="shared" si="28"/>
        <v>272</v>
      </c>
      <c r="AF35" s="157">
        <f t="shared" si="28"/>
        <v>172</v>
      </c>
      <c r="AG35" s="157">
        <f t="shared" si="28"/>
        <v>100</v>
      </c>
      <c r="AH35" s="157">
        <f t="shared" si="28"/>
        <v>4111</v>
      </c>
      <c r="AI35" s="167">
        <f t="shared" si="12"/>
        <v>7.085178431883303E-2</v>
      </c>
      <c r="AJ35" s="158">
        <f t="shared" si="29"/>
        <v>290</v>
      </c>
      <c r="AK35" s="157">
        <f t="shared" si="29"/>
        <v>150</v>
      </c>
      <c r="AL35" s="157">
        <f t="shared" si="29"/>
        <v>140</v>
      </c>
      <c r="AM35" s="157">
        <f t="shared" si="29"/>
        <v>4401</v>
      </c>
      <c r="AN35" s="167">
        <f t="shared" si="13"/>
        <v>7.0542447093164679E-2</v>
      </c>
      <c r="AO35" s="158">
        <f t="shared" si="30"/>
        <v>232</v>
      </c>
      <c r="AP35" s="157">
        <f t="shared" si="30"/>
        <v>118</v>
      </c>
      <c r="AQ35" s="157">
        <f t="shared" si="30"/>
        <v>114</v>
      </c>
      <c r="AR35" s="157">
        <f t="shared" si="30"/>
        <v>4633</v>
      </c>
      <c r="AS35" s="167">
        <f t="shared" si="15"/>
        <v>5.2715291979095663E-2</v>
      </c>
      <c r="AT35" s="164">
        <f t="shared" si="16"/>
        <v>1151</v>
      </c>
      <c r="AU35" s="165">
        <f t="shared" si="17"/>
        <v>6.2452704623139121E-2</v>
      </c>
    </row>
    <row r="36" spans="2:47" outlineLevel="1" x14ac:dyDescent="0.35">
      <c r="B36" s="294" t="s">
        <v>96</v>
      </c>
      <c r="C36" s="62" t="s">
        <v>141</v>
      </c>
      <c r="D36" s="157">
        <f t="shared" si="23"/>
        <v>192</v>
      </c>
      <c r="E36" s="157">
        <f t="shared" si="23"/>
        <v>1455</v>
      </c>
      <c r="F36" s="157">
        <f t="shared" si="23"/>
        <v>202</v>
      </c>
      <c r="G36" s="157">
        <f t="shared" si="23"/>
        <v>1657</v>
      </c>
      <c r="H36" s="160">
        <f t="shared" si="1"/>
        <v>0.13883161512027492</v>
      </c>
      <c r="I36" s="157">
        <f t="shared" si="24"/>
        <v>200</v>
      </c>
      <c r="J36" s="157">
        <f t="shared" si="24"/>
        <v>1857</v>
      </c>
      <c r="K36" s="160">
        <f t="shared" si="3"/>
        <v>0.12070006035003017</v>
      </c>
      <c r="L36" s="157">
        <f t="shared" si="25"/>
        <v>109</v>
      </c>
      <c r="M36" s="157">
        <f t="shared" si="5"/>
        <v>1966</v>
      </c>
      <c r="N36" s="160">
        <f t="shared" si="6"/>
        <v>5.8696822832525579E-2</v>
      </c>
      <c r="O36" s="157">
        <f t="shared" si="18"/>
        <v>141</v>
      </c>
      <c r="P36" s="157">
        <f t="shared" si="8"/>
        <v>2107</v>
      </c>
      <c r="Q36" s="160">
        <f t="shared" si="19"/>
        <v>7.1719226856561541E-2</v>
      </c>
      <c r="R36" s="164">
        <f t="shared" si="20"/>
        <v>844</v>
      </c>
      <c r="S36" s="165">
        <f t="shared" si="21"/>
        <v>9.698423321374805E-2</v>
      </c>
      <c r="U36" s="158">
        <f t="shared" si="26"/>
        <v>172</v>
      </c>
      <c r="V36" s="157">
        <f t="shared" si="26"/>
        <v>172</v>
      </c>
      <c r="W36" s="157">
        <f t="shared" si="26"/>
        <v>0</v>
      </c>
      <c r="X36" s="157">
        <f t="shared" si="26"/>
        <v>2279</v>
      </c>
      <c r="Y36" s="167">
        <f t="shared" si="10"/>
        <v>8.1632653061224483E-2</v>
      </c>
      <c r="Z36" s="158">
        <f t="shared" si="27"/>
        <v>233</v>
      </c>
      <c r="AA36" s="157">
        <f t="shared" si="27"/>
        <v>191</v>
      </c>
      <c r="AB36" s="157">
        <f t="shared" si="27"/>
        <v>42</v>
      </c>
      <c r="AC36" s="157">
        <f t="shared" si="27"/>
        <v>2512</v>
      </c>
      <c r="AD36" s="167">
        <f t="shared" si="11"/>
        <v>0.10223782360684511</v>
      </c>
      <c r="AE36" s="158">
        <f t="shared" si="28"/>
        <v>317</v>
      </c>
      <c r="AF36" s="157">
        <f t="shared" si="28"/>
        <v>201</v>
      </c>
      <c r="AG36" s="157">
        <f t="shared" si="28"/>
        <v>116</v>
      </c>
      <c r="AH36" s="157">
        <f t="shared" si="28"/>
        <v>2829</v>
      </c>
      <c r="AI36" s="167">
        <f t="shared" si="12"/>
        <v>0.12619426751592358</v>
      </c>
      <c r="AJ36" s="158">
        <f t="shared" si="29"/>
        <v>291</v>
      </c>
      <c r="AK36" s="157">
        <f t="shared" si="29"/>
        <v>177</v>
      </c>
      <c r="AL36" s="157">
        <f t="shared" si="29"/>
        <v>114</v>
      </c>
      <c r="AM36" s="157">
        <f t="shared" si="29"/>
        <v>3120</v>
      </c>
      <c r="AN36" s="167">
        <f t="shared" si="13"/>
        <v>0.10286320254506894</v>
      </c>
      <c r="AO36" s="158">
        <f t="shared" si="30"/>
        <v>252</v>
      </c>
      <c r="AP36" s="157">
        <f t="shared" si="30"/>
        <v>139</v>
      </c>
      <c r="AQ36" s="157">
        <f t="shared" si="30"/>
        <v>113</v>
      </c>
      <c r="AR36" s="157">
        <f t="shared" si="30"/>
        <v>3372</v>
      </c>
      <c r="AS36" s="167">
        <f t="shared" si="15"/>
        <v>8.0769230769230774E-2</v>
      </c>
      <c r="AT36" s="164">
        <f t="shared" si="16"/>
        <v>1265</v>
      </c>
      <c r="AU36" s="165">
        <f t="shared" si="17"/>
        <v>0.10289917077287147</v>
      </c>
    </row>
    <row r="37" spans="2:47" outlineLevel="1" x14ac:dyDescent="0.35">
      <c r="B37" s="294" t="s">
        <v>97</v>
      </c>
      <c r="C37" s="62" t="s">
        <v>141</v>
      </c>
      <c r="D37" s="157">
        <f t="shared" si="23"/>
        <v>398</v>
      </c>
      <c r="E37" s="157">
        <f t="shared" si="23"/>
        <v>3483</v>
      </c>
      <c r="F37" s="157">
        <f t="shared" si="23"/>
        <v>497</v>
      </c>
      <c r="G37" s="157">
        <f t="shared" si="23"/>
        <v>3980</v>
      </c>
      <c r="H37" s="160">
        <f t="shared" si="1"/>
        <v>0.1426930806775768</v>
      </c>
      <c r="I37" s="157">
        <f t="shared" si="24"/>
        <v>459</v>
      </c>
      <c r="J37" s="157">
        <f t="shared" si="24"/>
        <v>4439</v>
      </c>
      <c r="K37" s="160">
        <f t="shared" si="3"/>
        <v>0.11532663316582914</v>
      </c>
      <c r="L37" s="157">
        <f t="shared" si="25"/>
        <v>306</v>
      </c>
      <c r="M37" s="157">
        <f t="shared" si="5"/>
        <v>4745</v>
      </c>
      <c r="N37" s="160">
        <f t="shared" si="6"/>
        <v>6.8934444694751074E-2</v>
      </c>
      <c r="O37" s="157">
        <f t="shared" si="18"/>
        <v>202</v>
      </c>
      <c r="P37" s="157">
        <f t="shared" si="8"/>
        <v>4947</v>
      </c>
      <c r="Q37" s="160">
        <f t="shared" si="19"/>
        <v>4.2571127502634351E-2</v>
      </c>
      <c r="R37" s="164">
        <f t="shared" si="20"/>
        <v>1862</v>
      </c>
      <c r="S37" s="165">
        <f t="shared" si="21"/>
        <v>9.1684411630204021E-2</v>
      </c>
      <c r="U37" s="158">
        <f t="shared" si="26"/>
        <v>396</v>
      </c>
      <c r="V37" s="157">
        <f t="shared" si="26"/>
        <v>386</v>
      </c>
      <c r="W37" s="157">
        <f t="shared" si="26"/>
        <v>10</v>
      </c>
      <c r="X37" s="157">
        <f t="shared" si="26"/>
        <v>5343</v>
      </c>
      <c r="Y37" s="167">
        <f t="shared" si="10"/>
        <v>8.0048514251061242E-2</v>
      </c>
      <c r="Z37" s="158">
        <f t="shared" si="27"/>
        <v>662</v>
      </c>
      <c r="AA37" s="157">
        <f t="shared" si="27"/>
        <v>426</v>
      </c>
      <c r="AB37" s="157">
        <f t="shared" si="27"/>
        <v>236</v>
      </c>
      <c r="AC37" s="157">
        <f t="shared" si="27"/>
        <v>6005</v>
      </c>
      <c r="AD37" s="167">
        <f t="shared" si="11"/>
        <v>0.12390043046977353</v>
      </c>
      <c r="AE37" s="158">
        <f t="shared" si="28"/>
        <v>760</v>
      </c>
      <c r="AF37" s="157">
        <f t="shared" si="28"/>
        <v>446</v>
      </c>
      <c r="AG37" s="157">
        <f t="shared" si="28"/>
        <v>314</v>
      </c>
      <c r="AH37" s="157">
        <f t="shared" si="28"/>
        <v>6765</v>
      </c>
      <c r="AI37" s="167">
        <f t="shared" si="12"/>
        <v>0.12656119900083265</v>
      </c>
      <c r="AJ37" s="158">
        <f t="shared" si="29"/>
        <v>615</v>
      </c>
      <c r="AK37" s="157">
        <f t="shared" si="29"/>
        <v>391</v>
      </c>
      <c r="AL37" s="157">
        <f t="shared" si="29"/>
        <v>224</v>
      </c>
      <c r="AM37" s="157">
        <f t="shared" si="29"/>
        <v>7380</v>
      </c>
      <c r="AN37" s="167">
        <f t="shared" si="13"/>
        <v>9.0909090909090912E-2</v>
      </c>
      <c r="AO37" s="158">
        <f t="shared" si="30"/>
        <v>648</v>
      </c>
      <c r="AP37" s="157">
        <f t="shared" si="30"/>
        <v>307</v>
      </c>
      <c r="AQ37" s="157">
        <f t="shared" si="30"/>
        <v>341</v>
      </c>
      <c r="AR37" s="157">
        <f t="shared" si="30"/>
        <v>8028</v>
      </c>
      <c r="AS37" s="167">
        <f t="shared" si="15"/>
        <v>8.7804878048780483E-2</v>
      </c>
      <c r="AT37" s="164">
        <f t="shared" si="16"/>
        <v>3081</v>
      </c>
      <c r="AU37" s="165">
        <f t="shared" si="17"/>
        <v>0.10714766235220741</v>
      </c>
    </row>
    <row r="38" spans="2:47" outlineLevel="1" x14ac:dyDescent="0.35">
      <c r="B38" s="294" t="s">
        <v>98</v>
      </c>
      <c r="C38" s="62" t="s">
        <v>141</v>
      </c>
      <c r="D38" s="157">
        <f t="shared" si="23"/>
        <v>88</v>
      </c>
      <c r="E38" s="157">
        <f t="shared" si="23"/>
        <v>890</v>
      </c>
      <c r="F38" s="157">
        <f t="shared" si="23"/>
        <v>78</v>
      </c>
      <c r="G38" s="157">
        <f t="shared" si="23"/>
        <v>968</v>
      </c>
      <c r="H38" s="160">
        <f t="shared" si="1"/>
        <v>8.7640449438202248E-2</v>
      </c>
      <c r="I38" s="157">
        <f t="shared" si="24"/>
        <v>85</v>
      </c>
      <c r="J38" s="157">
        <f t="shared" si="24"/>
        <v>1053</v>
      </c>
      <c r="K38" s="160">
        <f t="shared" si="3"/>
        <v>8.78099173553719E-2</v>
      </c>
      <c r="L38" s="157">
        <f t="shared" si="25"/>
        <v>67</v>
      </c>
      <c r="M38" s="157">
        <f t="shared" si="5"/>
        <v>1120</v>
      </c>
      <c r="N38" s="160">
        <f t="shared" si="6"/>
        <v>6.3627730294396959E-2</v>
      </c>
      <c r="O38" s="157">
        <f t="shared" si="18"/>
        <v>18</v>
      </c>
      <c r="P38" s="157">
        <f t="shared" si="8"/>
        <v>1138</v>
      </c>
      <c r="Q38" s="160">
        <f t="shared" si="19"/>
        <v>1.607142857142857E-2</v>
      </c>
      <c r="R38" s="164">
        <f t="shared" si="20"/>
        <v>336</v>
      </c>
      <c r="S38" s="165">
        <f t="shared" si="21"/>
        <v>6.3378961798215006E-2</v>
      </c>
      <c r="U38" s="158">
        <f t="shared" si="26"/>
        <v>85</v>
      </c>
      <c r="V38" s="157">
        <f t="shared" si="26"/>
        <v>78</v>
      </c>
      <c r="W38" s="157">
        <f t="shared" si="26"/>
        <v>7</v>
      </c>
      <c r="X38" s="157">
        <f t="shared" si="26"/>
        <v>1223</v>
      </c>
      <c r="Y38" s="167">
        <f t="shared" si="10"/>
        <v>7.4692442882249563E-2</v>
      </c>
      <c r="Z38" s="158">
        <f t="shared" si="27"/>
        <v>164</v>
      </c>
      <c r="AA38" s="157">
        <f t="shared" si="27"/>
        <v>88</v>
      </c>
      <c r="AB38" s="157">
        <f t="shared" si="27"/>
        <v>76</v>
      </c>
      <c r="AC38" s="157">
        <f t="shared" si="27"/>
        <v>1387</v>
      </c>
      <c r="AD38" s="167">
        <f t="shared" si="11"/>
        <v>0.13409648405560098</v>
      </c>
      <c r="AE38" s="158">
        <f t="shared" si="28"/>
        <v>238</v>
      </c>
      <c r="AF38" s="157">
        <f t="shared" si="28"/>
        <v>93</v>
      </c>
      <c r="AG38" s="157">
        <f t="shared" si="28"/>
        <v>145</v>
      </c>
      <c r="AH38" s="157">
        <f t="shared" si="28"/>
        <v>1625</v>
      </c>
      <c r="AI38" s="167">
        <f t="shared" si="12"/>
        <v>0.17159336697909156</v>
      </c>
      <c r="AJ38" s="158">
        <f t="shared" si="29"/>
        <v>242</v>
      </c>
      <c r="AK38" s="157">
        <f t="shared" si="29"/>
        <v>80</v>
      </c>
      <c r="AL38" s="157">
        <f t="shared" si="29"/>
        <v>162</v>
      </c>
      <c r="AM38" s="157">
        <f t="shared" si="29"/>
        <v>1867</v>
      </c>
      <c r="AN38" s="167">
        <f t="shared" si="13"/>
        <v>0.14892307692307694</v>
      </c>
      <c r="AO38" s="158">
        <f t="shared" si="30"/>
        <v>249</v>
      </c>
      <c r="AP38" s="157">
        <f t="shared" si="30"/>
        <v>64</v>
      </c>
      <c r="AQ38" s="157">
        <f t="shared" si="30"/>
        <v>185</v>
      </c>
      <c r="AR38" s="157">
        <f t="shared" si="30"/>
        <v>2116</v>
      </c>
      <c r="AS38" s="167">
        <f t="shared" si="15"/>
        <v>0.13336904124263524</v>
      </c>
      <c r="AT38" s="164">
        <f t="shared" si="16"/>
        <v>978</v>
      </c>
      <c r="AU38" s="165">
        <f t="shared" si="17"/>
        <v>0.14689141426351693</v>
      </c>
    </row>
    <row r="39" spans="2:47" outlineLevel="1" x14ac:dyDescent="0.35">
      <c r="B39" s="294" t="s">
        <v>99</v>
      </c>
      <c r="C39" s="62" t="s">
        <v>141</v>
      </c>
      <c r="D39" s="157">
        <f t="shared" si="23"/>
        <v>594</v>
      </c>
      <c r="E39" s="157">
        <f t="shared" si="23"/>
        <v>5545</v>
      </c>
      <c r="F39" s="157">
        <f t="shared" si="23"/>
        <v>837</v>
      </c>
      <c r="G39" s="157">
        <f t="shared" si="23"/>
        <v>6382</v>
      </c>
      <c r="H39" s="160">
        <f t="shared" si="1"/>
        <v>0.1509467989179441</v>
      </c>
      <c r="I39" s="157">
        <f t="shared" si="24"/>
        <v>978</v>
      </c>
      <c r="J39" s="157">
        <f t="shared" si="24"/>
        <v>7360</v>
      </c>
      <c r="K39" s="160">
        <f t="shared" si="3"/>
        <v>0.15324349733625822</v>
      </c>
      <c r="L39" s="157">
        <f t="shared" si="25"/>
        <v>358</v>
      </c>
      <c r="M39" s="157">
        <f t="shared" si="5"/>
        <v>7718</v>
      </c>
      <c r="N39" s="160">
        <f t="shared" si="6"/>
        <v>4.8641304347826084E-2</v>
      </c>
      <c r="O39" s="157">
        <f t="shared" si="18"/>
        <v>255</v>
      </c>
      <c r="P39" s="157">
        <f t="shared" si="8"/>
        <v>7973</v>
      </c>
      <c r="Q39" s="160">
        <f t="shared" si="19"/>
        <v>3.3039647577092511E-2</v>
      </c>
      <c r="R39" s="164">
        <f t="shared" si="20"/>
        <v>3022</v>
      </c>
      <c r="S39" s="165">
        <f t="shared" si="21"/>
        <v>9.5040176189617798E-2</v>
      </c>
      <c r="U39" s="158">
        <f t="shared" si="26"/>
        <v>387</v>
      </c>
      <c r="V39" s="157">
        <f t="shared" si="26"/>
        <v>387</v>
      </c>
      <c r="W39" s="157">
        <f t="shared" si="26"/>
        <v>0</v>
      </c>
      <c r="X39" s="157">
        <f t="shared" si="26"/>
        <v>8360</v>
      </c>
      <c r="Y39" s="167">
        <f t="shared" si="10"/>
        <v>4.8538818512479619E-2</v>
      </c>
      <c r="Z39" s="158">
        <f t="shared" si="27"/>
        <v>475</v>
      </c>
      <c r="AA39" s="157">
        <f t="shared" si="27"/>
        <v>425</v>
      </c>
      <c r="AB39" s="157">
        <f t="shared" si="27"/>
        <v>50</v>
      </c>
      <c r="AC39" s="157">
        <f t="shared" si="27"/>
        <v>8835</v>
      </c>
      <c r="AD39" s="167">
        <f t="shared" si="11"/>
        <v>5.6818181818181816E-2</v>
      </c>
      <c r="AE39" s="158">
        <f t="shared" si="28"/>
        <v>544</v>
      </c>
      <c r="AF39" s="157">
        <f t="shared" si="28"/>
        <v>443</v>
      </c>
      <c r="AG39" s="157">
        <f t="shared" si="28"/>
        <v>101</v>
      </c>
      <c r="AH39" s="157">
        <f t="shared" si="28"/>
        <v>9379</v>
      </c>
      <c r="AI39" s="167">
        <f t="shared" si="12"/>
        <v>6.1573288058856819E-2</v>
      </c>
      <c r="AJ39" s="158">
        <f t="shared" si="29"/>
        <v>545</v>
      </c>
      <c r="AK39" s="157">
        <f t="shared" si="29"/>
        <v>388</v>
      </c>
      <c r="AL39" s="157">
        <f t="shared" si="29"/>
        <v>157</v>
      </c>
      <c r="AM39" s="157">
        <f t="shared" si="29"/>
        <v>9924</v>
      </c>
      <c r="AN39" s="167">
        <f t="shared" si="13"/>
        <v>5.8108540356114721E-2</v>
      </c>
      <c r="AO39" s="158">
        <f t="shared" si="30"/>
        <v>458</v>
      </c>
      <c r="AP39" s="157">
        <f t="shared" si="30"/>
        <v>306</v>
      </c>
      <c r="AQ39" s="157">
        <f t="shared" si="30"/>
        <v>152</v>
      </c>
      <c r="AR39" s="157">
        <f t="shared" si="30"/>
        <v>10382</v>
      </c>
      <c r="AS39" s="167">
        <f t="shared" si="15"/>
        <v>4.6150745667069733E-2</v>
      </c>
      <c r="AT39" s="164">
        <f t="shared" si="16"/>
        <v>2409</v>
      </c>
      <c r="AU39" s="165">
        <f t="shared" si="17"/>
        <v>5.5646924500321493E-2</v>
      </c>
    </row>
    <row r="40" spans="2:47" outlineLevel="1" x14ac:dyDescent="0.35">
      <c r="B40" s="294" t="s">
        <v>100</v>
      </c>
      <c r="C40" s="62" t="s">
        <v>141</v>
      </c>
      <c r="D40" s="157">
        <f t="shared" si="23"/>
        <v>118</v>
      </c>
      <c r="E40" s="157">
        <f t="shared" si="23"/>
        <v>1128</v>
      </c>
      <c r="F40" s="157">
        <f t="shared" si="23"/>
        <v>143</v>
      </c>
      <c r="G40" s="157">
        <f t="shared" si="23"/>
        <v>1271</v>
      </c>
      <c r="H40" s="160">
        <f t="shared" si="1"/>
        <v>0.12677304964539007</v>
      </c>
      <c r="I40" s="157">
        <f t="shared" si="24"/>
        <v>138</v>
      </c>
      <c r="J40" s="157">
        <f t="shared" si="24"/>
        <v>1409</v>
      </c>
      <c r="K40" s="160">
        <f t="shared" si="3"/>
        <v>0.10857592446892211</v>
      </c>
      <c r="L40" s="157">
        <f t="shared" si="25"/>
        <v>63</v>
      </c>
      <c r="M40" s="157">
        <f t="shared" si="5"/>
        <v>1472</v>
      </c>
      <c r="N40" s="160">
        <f t="shared" si="6"/>
        <v>4.4712562100780694E-2</v>
      </c>
      <c r="O40" s="157">
        <f t="shared" si="18"/>
        <v>38</v>
      </c>
      <c r="P40" s="157">
        <f t="shared" si="8"/>
        <v>1510</v>
      </c>
      <c r="Q40" s="160">
        <f t="shared" si="19"/>
        <v>2.5815217391304348E-2</v>
      </c>
      <c r="R40" s="164">
        <f t="shared" si="20"/>
        <v>500</v>
      </c>
      <c r="S40" s="165">
        <f t="shared" si="21"/>
        <v>7.5640044284871921E-2</v>
      </c>
      <c r="U40" s="158">
        <f t="shared" si="26"/>
        <v>113</v>
      </c>
      <c r="V40" s="157">
        <f t="shared" si="26"/>
        <v>100</v>
      </c>
      <c r="W40" s="157">
        <f t="shared" si="26"/>
        <v>13</v>
      </c>
      <c r="X40" s="157">
        <f t="shared" si="26"/>
        <v>1623</v>
      </c>
      <c r="Y40" s="167">
        <f t="shared" si="10"/>
        <v>7.483443708609272E-2</v>
      </c>
      <c r="Z40" s="158">
        <f t="shared" si="27"/>
        <v>230</v>
      </c>
      <c r="AA40" s="157">
        <f t="shared" si="27"/>
        <v>110</v>
      </c>
      <c r="AB40" s="157">
        <f t="shared" si="27"/>
        <v>120</v>
      </c>
      <c r="AC40" s="157">
        <f t="shared" si="27"/>
        <v>1853</v>
      </c>
      <c r="AD40" s="167">
        <f t="shared" si="11"/>
        <v>0.14171287738755392</v>
      </c>
      <c r="AE40" s="158">
        <f t="shared" si="28"/>
        <v>317</v>
      </c>
      <c r="AF40" s="157">
        <f t="shared" si="28"/>
        <v>115</v>
      </c>
      <c r="AG40" s="157">
        <f t="shared" si="28"/>
        <v>202</v>
      </c>
      <c r="AH40" s="157">
        <f t="shared" si="28"/>
        <v>2170</v>
      </c>
      <c r="AI40" s="167">
        <f t="shared" si="12"/>
        <v>0.17107393416082028</v>
      </c>
      <c r="AJ40" s="158">
        <f t="shared" si="29"/>
        <v>307</v>
      </c>
      <c r="AK40" s="157">
        <f t="shared" si="29"/>
        <v>100</v>
      </c>
      <c r="AL40" s="157">
        <f t="shared" si="29"/>
        <v>207</v>
      </c>
      <c r="AM40" s="157">
        <f t="shared" si="29"/>
        <v>2477</v>
      </c>
      <c r="AN40" s="167">
        <f t="shared" si="13"/>
        <v>0.14147465437788018</v>
      </c>
      <c r="AO40" s="158">
        <f t="shared" si="30"/>
        <v>410</v>
      </c>
      <c r="AP40" s="157">
        <f t="shared" si="30"/>
        <v>79</v>
      </c>
      <c r="AQ40" s="157">
        <f t="shared" si="30"/>
        <v>331</v>
      </c>
      <c r="AR40" s="157">
        <f t="shared" si="30"/>
        <v>2887</v>
      </c>
      <c r="AS40" s="167">
        <f t="shared" si="15"/>
        <v>0.16552280985062576</v>
      </c>
      <c r="AT40" s="164">
        <f t="shared" si="16"/>
        <v>1377</v>
      </c>
      <c r="AU40" s="165">
        <f t="shared" si="17"/>
        <v>0.15486725084744735</v>
      </c>
    </row>
    <row r="41" spans="2:47" outlineLevel="1" x14ac:dyDescent="0.35">
      <c r="B41" s="294" t="s">
        <v>101</v>
      </c>
      <c r="C41" s="62" t="s">
        <v>141</v>
      </c>
      <c r="D41" s="157">
        <f t="shared" si="23"/>
        <v>6</v>
      </c>
      <c r="E41" s="157">
        <f t="shared" si="23"/>
        <v>43</v>
      </c>
      <c r="F41" s="157">
        <f t="shared" si="23"/>
        <v>6</v>
      </c>
      <c r="G41" s="157">
        <f t="shared" si="23"/>
        <v>49</v>
      </c>
      <c r="H41" s="160">
        <f t="shared" si="1"/>
        <v>0.13953488372093023</v>
      </c>
      <c r="I41" s="157">
        <f t="shared" si="24"/>
        <v>7</v>
      </c>
      <c r="J41" s="157">
        <f t="shared" si="24"/>
        <v>56</v>
      </c>
      <c r="K41" s="160">
        <f t="shared" si="3"/>
        <v>0.14285714285714285</v>
      </c>
      <c r="L41" s="157">
        <f t="shared" si="25"/>
        <v>3</v>
      </c>
      <c r="M41" s="157">
        <f t="shared" si="5"/>
        <v>59</v>
      </c>
      <c r="N41" s="160">
        <f t="shared" si="6"/>
        <v>5.3571428571428568E-2</v>
      </c>
      <c r="O41" s="157">
        <f t="shared" si="18"/>
        <v>2</v>
      </c>
      <c r="P41" s="157">
        <f t="shared" si="8"/>
        <v>61</v>
      </c>
      <c r="Q41" s="160">
        <f t="shared" si="19"/>
        <v>3.3898305084745763E-2</v>
      </c>
      <c r="R41" s="164">
        <f t="shared" si="20"/>
        <v>24</v>
      </c>
      <c r="S41" s="165">
        <f t="shared" si="21"/>
        <v>9.135324689875457E-2</v>
      </c>
      <c r="U41" s="158">
        <f t="shared" si="26"/>
        <v>6</v>
      </c>
      <c r="V41" s="157">
        <f t="shared" si="26"/>
        <v>5</v>
      </c>
      <c r="W41" s="157">
        <f t="shared" si="26"/>
        <v>1</v>
      </c>
      <c r="X41" s="157">
        <f t="shared" si="26"/>
        <v>67</v>
      </c>
      <c r="Y41" s="167">
        <f t="shared" si="10"/>
        <v>9.8360655737704916E-2</v>
      </c>
      <c r="Z41" s="158">
        <f t="shared" si="27"/>
        <v>4</v>
      </c>
      <c r="AA41" s="157">
        <f t="shared" si="27"/>
        <v>4</v>
      </c>
      <c r="AB41" s="157">
        <f t="shared" si="27"/>
        <v>0</v>
      </c>
      <c r="AC41" s="157">
        <f t="shared" si="27"/>
        <v>71</v>
      </c>
      <c r="AD41" s="167">
        <f t="shared" si="11"/>
        <v>5.9701492537313432E-2</v>
      </c>
      <c r="AE41" s="158">
        <f t="shared" si="28"/>
        <v>5</v>
      </c>
      <c r="AF41" s="157">
        <f t="shared" si="28"/>
        <v>5</v>
      </c>
      <c r="AG41" s="157">
        <f t="shared" si="28"/>
        <v>0</v>
      </c>
      <c r="AH41" s="157">
        <f t="shared" si="28"/>
        <v>76</v>
      </c>
      <c r="AI41" s="167">
        <f t="shared" si="12"/>
        <v>7.0422535211267609E-2</v>
      </c>
      <c r="AJ41" s="158">
        <f t="shared" si="29"/>
        <v>4</v>
      </c>
      <c r="AK41" s="157">
        <f t="shared" si="29"/>
        <v>4</v>
      </c>
      <c r="AL41" s="157">
        <f t="shared" si="29"/>
        <v>0</v>
      </c>
      <c r="AM41" s="157">
        <f t="shared" si="29"/>
        <v>80</v>
      </c>
      <c r="AN41" s="167">
        <f t="shared" si="13"/>
        <v>5.2631578947368418E-2</v>
      </c>
      <c r="AO41" s="158">
        <f t="shared" si="30"/>
        <v>3</v>
      </c>
      <c r="AP41" s="157">
        <f t="shared" si="30"/>
        <v>3</v>
      </c>
      <c r="AQ41" s="157">
        <f t="shared" si="30"/>
        <v>0</v>
      </c>
      <c r="AR41" s="157">
        <f t="shared" si="30"/>
        <v>83</v>
      </c>
      <c r="AS41" s="167">
        <f t="shared" si="15"/>
        <v>3.7499999999999999E-2</v>
      </c>
      <c r="AT41" s="164">
        <f t="shared" si="16"/>
        <v>22</v>
      </c>
      <c r="AU41" s="165">
        <f t="shared" si="17"/>
        <v>5.4996022840410497E-2</v>
      </c>
    </row>
    <row r="42" spans="2:47" outlineLevel="1" x14ac:dyDescent="0.35">
      <c r="B42" s="294" t="s">
        <v>102</v>
      </c>
      <c r="C42" s="62" t="s">
        <v>141</v>
      </c>
      <c r="D42" s="157">
        <f t="shared" si="23"/>
        <v>393</v>
      </c>
      <c r="E42" s="157">
        <f t="shared" si="23"/>
        <v>2979</v>
      </c>
      <c r="F42" s="157">
        <f t="shared" si="23"/>
        <v>390</v>
      </c>
      <c r="G42" s="157">
        <f t="shared" si="23"/>
        <v>3369</v>
      </c>
      <c r="H42" s="160">
        <f t="shared" si="1"/>
        <v>0.13091641490433031</v>
      </c>
      <c r="I42" s="157">
        <f t="shared" si="24"/>
        <v>318</v>
      </c>
      <c r="J42" s="157">
        <f t="shared" si="24"/>
        <v>3687</v>
      </c>
      <c r="K42" s="160">
        <f t="shared" si="3"/>
        <v>9.4390026714158498E-2</v>
      </c>
      <c r="L42" s="157">
        <f t="shared" si="25"/>
        <v>128</v>
      </c>
      <c r="M42" s="157">
        <f t="shared" si="5"/>
        <v>3815</v>
      </c>
      <c r="N42" s="160">
        <f t="shared" si="6"/>
        <v>3.471657173854082E-2</v>
      </c>
      <c r="O42" s="157">
        <f t="shared" si="18"/>
        <v>108</v>
      </c>
      <c r="P42" s="157">
        <f t="shared" si="8"/>
        <v>3923</v>
      </c>
      <c r="Q42" s="160">
        <f t="shared" si="19"/>
        <v>2.8309305373525558E-2</v>
      </c>
      <c r="R42" s="164">
        <f t="shared" si="20"/>
        <v>1337</v>
      </c>
      <c r="S42" s="165">
        <f t="shared" si="21"/>
        <v>7.1240420329948817E-2</v>
      </c>
      <c r="U42" s="158">
        <f t="shared" si="26"/>
        <v>156</v>
      </c>
      <c r="V42" s="157">
        <f t="shared" si="26"/>
        <v>152</v>
      </c>
      <c r="W42" s="157">
        <f t="shared" si="26"/>
        <v>4</v>
      </c>
      <c r="X42" s="157">
        <f t="shared" si="26"/>
        <v>4079</v>
      </c>
      <c r="Y42" s="167">
        <f t="shared" si="10"/>
        <v>3.9765485597756819E-2</v>
      </c>
      <c r="Z42" s="158">
        <f t="shared" si="27"/>
        <v>174</v>
      </c>
      <c r="AA42" s="157">
        <f t="shared" si="27"/>
        <v>168</v>
      </c>
      <c r="AB42" s="157">
        <f t="shared" si="27"/>
        <v>6</v>
      </c>
      <c r="AC42" s="157">
        <f t="shared" si="27"/>
        <v>4253</v>
      </c>
      <c r="AD42" s="167">
        <f t="shared" si="11"/>
        <v>4.2657514096592304E-2</v>
      </c>
      <c r="AE42" s="158">
        <f t="shared" si="28"/>
        <v>192</v>
      </c>
      <c r="AF42" s="157">
        <f t="shared" si="28"/>
        <v>177</v>
      </c>
      <c r="AG42" s="157">
        <f t="shared" si="28"/>
        <v>15</v>
      </c>
      <c r="AH42" s="157">
        <f t="shared" si="28"/>
        <v>4445</v>
      </c>
      <c r="AI42" s="167">
        <f t="shared" si="12"/>
        <v>4.5144603809075944E-2</v>
      </c>
      <c r="AJ42" s="158">
        <f t="shared" si="29"/>
        <v>171</v>
      </c>
      <c r="AK42" s="157">
        <f t="shared" si="29"/>
        <v>155</v>
      </c>
      <c r="AL42" s="157">
        <f t="shared" si="29"/>
        <v>16</v>
      </c>
      <c r="AM42" s="157">
        <f t="shared" si="29"/>
        <v>4616</v>
      </c>
      <c r="AN42" s="167">
        <f t="shared" si="13"/>
        <v>3.8470191226096739E-2</v>
      </c>
      <c r="AO42" s="158">
        <f t="shared" si="30"/>
        <v>133</v>
      </c>
      <c r="AP42" s="157">
        <f t="shared" si="30"/>
        <v>122</v>
      </c>
      <c r="AQ42" s="157">
        <f t="shared" si="30"/>
        <v>11</v>
      </c>
      <c r="AR42" s="157">
        <f t="shared" si="30"/>
        <v>4749</v>
      </c>
      <c r="AS42" s="167">
        <f t="shared" si="15"/>
        <v>2.8812824956672443E-2</v>
      </c>
      <c r="AT42" s="164">
        <f t="shared" si="16"/>
        <v>826</v>
      </c>
      <c r="AU42" s="165">
        <f t="shared" si="17"/>
        <v>3.8752581421991783E-2</v>
      </c>
    </row>
    <row r="43" spans="2:47" outlineLevel="1" x14ac:dyDescent="0.35">
      <c r="B43" s="294" t="s">
        <v>103</v>
      </c>
      <c r="C43" s="62" t="s">
        <v>141</v>
      </c>
      <c r="D43" s="157">
        <f t="shared" si="23"/>
        <v>-1</v>
      </c>
      <c r="E43" s="157">
        <f t="shared" si="23"/>
        <v>17</v>
      </c>
      <c r="F43" s="157">
        <f t="shared" si="23"/>
        <v>0</v>
      </c>
      <c r="G43" s="157">
        <f t="shared" si="23"/>
        <v>17</v>
      </c>
      <c r="H43" s="160">
        <f t="shared" si="1"/>
        <v>0</v>
      </c>
      <c r="I43" s="157">
        <f t="shared" si="24"/>
        <v>0</v>
      </c>
      <c r="J43" s="157">
        <f t="shared" si="24"/>
        <v>17</v>
      </c>
      <c r="K43" s="160">
        <f t="shared" si="3"/>
        <v>0</v>
      </c>
      <c r="L43" s="157">
        <f t="shared" si="25"/>
        <v>1</v>
      </c>
      <c r="M43" s="157">
        <f t="shared" si="5"/>
        <v>18</v>
      </c>
      <c r="N43" s="160">
        <f t="shared" si="6"/>
        <v>5.8823529411764705E-2</v>
      </c>
      <c r="O43" s="157">
        <f t="shared" si="18"/>
        <v>0</v>
      </c>
      <c r="P43" s="157">
        <f t="shared" si="8"/>
        <v>18</v>
      </c>
      <c r="Q43" s="160">
        <f t="shared" si="19"/>
        <v>0</v>
      </c>
      <c r="R43" s="164">
        <f t="shared" si="20"/>
        <v>0</v>
      </c>
      <c r="S43" s="165">
        <f t="shared" si="21"/>
        <v>1.4392187891376196E-2</v>
      </c>
      <c r="U43" s="158">
        <f t="shared" si="26"/>
        <v>0</v>
      </c>
      <c r="V43" s="157">
        <f t="shared" si="26"/>
        <v>0</v>
      </c>
      <c r="W43" s="157">
        <f t="shared" si="26"/>
        <v>0</v>
      </c>
      <c r="X43" s="157">
        <f t="shared" si="26"/>
        <v>18</v>
      </c>
      <c r="Y43" s="167">
        <f t="shared" si="10"/>
        <v>0</v>
      </c>
      <c r="Z43" s="158">
        <f t="shared" si="27"/>
        <v>0</v>
      </c>
      <c r="AA43" s="157">
        <f t="shared" si="27"/>
        <v>0</v>
      </c>
      <c r="AB43" s="157">
        <f t="shared" si="27"/>
        <v>0</v>
      </c>
      <c r="AC43" s="157">
        <f t="shared" si="27"/>
        <v>18</v>
      </c>
      <c r="AD43" s="167">
        <f t="shared" si="11"/>
        <v>0</v>
      </c>
      <c r="AE43" s="158">
        <f t="shared" si="28"/>
        <v>0</v>
      </c>
      <c r="AF43" s="157">
        <f t="shared" si="28"/>
        <v>0</v>
      </c>
      <c r="AG43" s="157">
        <f t="shared" si="28"/>
        <v>0</v>
      </c>
      <c r="AH43" s="157">
        <f t="shared" si="28"/>
        <v>18</v>
      </c>
      <c r="AI43" s="167">
        <f t="shared" si="12"/>
        <v>0</v>
      </c>
      <c r="AJ43" s="158">
        <f t="shared" si="29"/>
        <v>0</v>
      </c>
      <c r="AK43" s="157">
        <f t="shared" si="29"/>
        <v>0</v>
      </c>
      <c r="AL43" s="157">
        <f t="shared" si="29"/>
        <v>0</v>
      </c>
      <c r="AM43" s="157">
        <f t="shared" si="29"/>
        <v>18</v>
      </c>
      <c r="AN43" s="167">
        <f t="shared" si="13"/>
        <v>0</v>
      </c>
      <c r="AO43" s="158">
        <f t="shared" si="30"/>
        <v>0</v>
      </c>
      <c r="AP43" s="157">
        <f t="shared" si="30"/>
        <v>0</v>
      </c>
      <c r="AQ43" s="157">
        <f t="shared" si="30"/>
        <v>0</v>
      </c>
      <c r="AR43" s="157">
        <f t="shared" si="30"/>
        <v>18</v>
      </c>
      <c r="AS43" s="167">
        <f t="shared" si="15"/>
        <v>0</v>
      </c>
      <c r="AT43" s="164">
        <f t="shared" si="16"/>
        <v>0</v>
      </c>
      <c r="AU43" s="165">
        <f t="shared" si="17"/>
        <v>0</v>
      </c>
    </row>
    <row r="44" spans="2:47" outlineLevel="1" x14ac:dyDescent="0.35">
      <c r="B44" s="294" t="s">
        <v>104</v>
      </c>
      <c r="C44" s="62" t="s">
        <v>141</v>
      </c>
      <c r="D44" s="157">
        <f t="shared" si="23"/>
        <v>0</v>
      </c>
      <c r="E44" s="157">
        <f t="shared" si="23"/>
        <v>1</v>
      </c>
      <c r="F44" s="157">
        <f t="shared" si="23"/>
        <v>0</v>
      </c>
      <c r="G44" s="157">
        <f t="shared" si="23"/>
        <v>1</v>
      </c>
      <c r="H44" s="160">
        <f t="shared" si="1"/>
        <v>0</v>
      </c>
      <c r="I44" s="157">
        <f t="shared" si="24"/>
        <v>0</v>
      </c>
      <c r="J44" s="157">
        <f t="shared" si="24"/>
        <v>1</v>
      </c>
      <c r="K44" s="160">
        <f t="shared" si="3"/>
        <v>0</v>
      </c>
      <c r="L44" s="157">
        <f t="shared" si="25"/>
        <v>0</v>
      </c>
      <c r="M44" s="157">
        <f t="shared" si="5"/>
        <v>1</v>
      </c>
      <c r="N44" s="160">
        <f t="shared" si="6"/>
        <v>0</v>
      </c>
      <c r="O44" s="157">
        <f t="shared" si="18"/>
        <v>0</v>
      </c>
      <c r="P44" s="157">
        <f t="shared" si="8"/>
        <v>1</v>
      </c>
      <c r="Q44" s="160">
        <f t="shared" si="19"/>
        <v>0</v>
      </c>
      <c r="R44" s="164">
        <f t="shared" si="20"/>
        <v>0</v>
      </c>
      <c r="S44" s="165">
        <f t="shared" si="21"/>
        <v>0</v>
      </c>
      <c r="U44" s="158">
        <f t="shared" si="26"/>
        <v>0</v>
      </c>
      <c r="V44" s="157">
        <f t="shared" si="26"/>
        <v>0</v>
      </c>
      <c r="W44" s="157">
        <f t="shared" si="26"/>
        <v>0</v>
      </c>
      <c r="X44" s="157">
        <f t="shared" si="26"/>
        <v>1</v>
      </c>
      <c r="Y44" s="167">
        <f t="shared" si="10"/>
        <v>0</v>
      </c>
      <c r="Z44" s="158">
        <f t="shared" si="27"/>
        <v>0</v>
      </c>
      <c r="AA44" s="157">
        <f t="shared" si="27"/>
        <v>0</v>
      </c>
      <c r="AB44" s="157">
        <f t="shared" si="27"/>
        <v>0</v>
      </c>
      <c r="AC44" s="157">
        <f t="shared" si="27"/>
        <v>1</v>
      </c>
      <c r="AD44" s="167">
        <f t="shared" si="11"/>
        <v>0</v>
      </c>
      <c r="AE44" s="158">
        <f t="shared" si="28"/>
        <v>0</v>
      </c>
      <c r="AF44" s="157">
        <f t="shared" si="28"/>
        <v>0</v>
      </c>
      <c r="AG44" s="157">
        <f t="shared" si="28"/>
        <v>0</v>
      </c>
      <c r="AH44" s="157">
        <f t="shared" si="28"/>
        <v>1</v>
      </c>
      <c r="AI44" s="167">
        <f t="shared" si="12"/>
        <v>0</v>
      </c>
      <c r="AJ44" s="158">
        <f t="shared" si="29"/>
        <v>48</v>
      </c>
      <c r="AK44" s="157">
        <f t="shared" si="29"/>
        <v>0</v>
      </c>
      <c r="AL44" s="157">
        <f t="shared" si="29"/>
        <v>48</v>
      </c>
      <c r="AM44" s="157">
        <f t="shared" si="29"/>
        <v>49</v>
      </c>
      <c r="AN44" s="167">
        <f t="shared" si="13"/>
        <v>48</v>
      </c>
      <c r="AO44" s="158">
        <f t="shared" si="30"/>
        <v>92</v>
      </c>
      <c r="AP44" s="157">
        <f t="shared" si="30"/>
        <v>0</v>
      </c>
      <c r="AQ44" s="157">
        <f t="shared" si="30"/>
        <v>92</v>
      </c>
      <c r="AR44" s="157">
        <f t="shared" si="30"/>
        <v>141</v>
      </c>
      <c r="AS44" s="167">
        <f t="shared" si="15"/>
        <v>1.8775510204081634</v>
      </c>
      <c r="AT44" s="164">
        <f t="shared" si="16"/>
        <v>140</v>
      </c>
      <c r="AU44" s="165">
        <f t="shared" si="17"/>
        <v>2.4459167266545947</v>
      </c>
    </row>
    <row r="45" spans="2:47" outlineLevel="1" x14ac:dyDescent="0.35">
      <c r="B45" s="294" t="s">
        <v>136</v>
      </c>
      <c r="C45" s="62" t="s">
        <v>141</v>
      </c>
      <c r="D45" s="157">
        <f t="shared" si="23"/>
        <v>0</v>
      </c>
      <c r="E45" s="157">
        <f t="shared" si="23"/>
        <v>0</v>
      </c>
      <c r="F45" s="157">
        <f t="shared" si="23"/>
        <v>0</v>
      </c>
      <c r="G45" s="157">
        <f t="shared" si="23"/>
        <v>0</v>
      </c>
      <c r="H45" s="160">
        <f t="shared" si="1"/>
        <v>0</v>
      </c>
      <c r="I45" s="157">
        <f t="shared" si="24"/>
        <v>0</v>
      </c>
      <c r="J45" s="157">
        <f t="shared" si="24"/>
        <v>0</v>
      </c>
      <c r="K45" s="160">
        <f t="shared" si="3"/>
        <v>0</v>
      </c>
      <c r="L45" s="157">
        <f t="shared" si="25"/>
        <v>0</v>
      </c>
      <c r="M45" s="157">
        <f t="shared" si="5"/>
        <v>0</v>
      </c>
      <c r="N45" s="160">
        <f t="shared" si="6"/>
        <v>0</v>
      </c>
      <c r="O45" s="157">
        <f t="shared" si="18"/>
        <v>0</v>
      </c>
      <c r="P45" s="157">
        <f t="shared" si="8"/>
        <v>0</v>
      </c>
      <c r="Q45" s="160">
        <f t="shared" si="19"/>
        <v>0</v>
      </c>
      <c r="R45" s="164">
        <f t="shared" si="20"/>
        <v>0</v>
      </c>
      <c r="S45" s="165">
        <f t="shared" si="21"/>
        <v>0</v>
      </c>
      <c r="U45" s="158">
        <f t="shared" si="26"/>
        <v>0</v>
      </c>
      <c r="V45" s="157">
        <f t="shared" si="26"/>
        <v>0</v>
      </c>
      <c r="W45" s="157">
        <f t="shared" si="26"/>
        <v>0</v>
      </c>
      <c r="X45" s="157">
        <f t="shared" si="26"/>
        <v>0</v>
      </c>
      <c r="Y45" s="167">
        <f t="shared" si="10"/>
        <v>0</v>
      </c>
      <c r="Z45" s="158">
        <f t="shared" si="27"/>
        <v>0</v>
      </c>
      <c r="AA45" s="157">
        <f t="shared" si="27"/>
        <v>0</v>
      </c>
      <c r="AB45" s="157">
        <f t="shared" si="27"/>
        <v>0</v>
      </c>
      <c r="AC45" s="157">
        <f t="shared" si="27"/>
        <v>0</v>
      </c>
      <c r="AD45" s="167">
        <f t="shared" si="11"/>
        <v>0</v>
      </c>
      <c r="AE45" s="158">
        <f t="shared" si="28"/>
        <v>0</v>
      </c>
      <c r="AF45" s="157">
        <f t="shared" si="28"/>
        <v>0</v>
      </c>
      <c r="AG45" s="157">
        <f t="shared" si="28"/>
        <v>0</v>
      </c>
      <c r="AH45" s="157">
        <f t="shared" si="28"/>
        <v>0</v>
      </c>
      <c r="AI45" s="167">
        <f t="shared" si="12"/>
        <v>0</v>
      </c>
      <c r="AJ45" s="158">
        <f t="shared" si="29"/>
        <v>48</v>
      </c>
      <c r="AK45" s="157">
        <f t="shared" si="29"/>
        <v>0</v>
      </c>
      <c r="AL45" s="157">
        <f t="shared" si="29"/>
        <v>48</v>
      </c>
      <c r="AM45" s="157">
        <f t="shared" si="29"/>
        <v>48</v>
      </c>
      <c r="AN45" s="167">
        <f t="shared" si="13"/>
        <v>0</v>
      </c>
      <c r="AO45" s="158">
        <f t="shared" si="30"/>
        <v>81</v>
      </c>
      <c r="AP45" s="157">
        <f t="shared" si="30"/>
        <v>0</v>
      </c>
      <c r="AQ45" s="157">
        <f t="shared" si="30"/>
        <v>81</v>
      </c>
      <c r="AR45" s="157">
        <f t="shared" si="30"/>
        <v>129</v>
      </c>
      <c r="AS45" s="167">
        <f t="shared" si="15"/>
        <v>1.6875</v>
      </c>
      <c r="AT45" s="164">
        <f t="shared" si="16"/>
        <v>129</v>
      </c>
      <c r="AU45" s="165">
        <f t="shared" si="17"/>
        <v>0</v>
      </c>
    </row>
    <row r="46" spans="2:47" outlineLevel="1" x14ac:dyDescent="0.35">
      <c r="B46" s="294" t="s">
        <v>106</v>
      </c>
      <c r="C46" s="62" t="s">
        <v>141</v>
      </c>
      <c r="D46" s="157">
        <f t="shared" ref="D46:G61" si="31">D108+D169+D230+D299+D360</f>
        <v>182</v>
      </c>
      <c r="E46" s="157">
        <f t="shared" si="31"/>
        <v>982</v>
      </c>
      <c r="F46" s="157">
        <f t="shared" si="31"/>
        <v>173</v>
      </c>
      <c r="G46" s="157">
        <f t="shared" si="31"/>
        <v>1155</v>
      </c>
      <c r="H46" s="160">
        <f t="shared" si="1"/>
        <v>0.17617107942973523</v>
      </c>
      <c r="I46" s="157">
        <f t="shared" ref="I46:J61" si="32">I108+I169+I230+I299+I360</f>
        <v>182</v>
      </c>
      <c r="J46" s="157">
        <f t="shared" si="32"/>
        <v>1337</v>
      </c>
      <c r="K46" s="160">
        <f t="shared" si="3"/>
        <v>0.15757575757575756</v>
      </c>
      <c r="L46" s="157">
        <f t="shared" ref="L46:L61" si="33">L108+L169+L230+L299+L360</f>
        <v>67</v>
      </c>
      <c r="M46" s="157">
        <f t="shared" ref="M46:M67" si="34">M108+M169+M230+M299+M360</f>
        <v>1404</v>
      </c>
      <c r="N46" s="160">
        <f t="shared" si="6"/>
        <v>5.0112191473448017E-2</v>
      </c>
      <c r="O46" s="157">
        <f t="shared" si="18"/>
        <v>68</v>
      </c>
      <c r="P46" s="157">
        <f t="shared" ref="P46:P67" si="35">P108+P169+P230+P299+P360</f>
        <v>1472</v>
      </c>
      <c r="Q46" s="160">
        <f t="shared" si="19"/>
        <v>4.843304843304843E-2</v>
      </c>
      <c r="R46" s="164">
        <f t="shared" si="20"/>
        <v>672</v>
      </c>
      <c r="S46" s="165">
        <f t="shared" si="21"/>
        <v>0.10649404397507389</v>
      </c>
      <c r="U46" s="158">
        <f t="shared" ref="U46:X61" si="36">U108+U169+U230+U299+U360</f>
        <v>75</v>
      </c>
      <c r="V46" s="157">
        <f t="shared" si="36"/>
        <v>73</v>
      </c>
      <c r="W46" s="157">
        <f t="shared" si="36"/>
        <v>2</v>
      </c>
      <c r="X46" s="157">
        <f t="shared" si="36"/>
        <v>1547</v>
      </c>
      <c r="Y46" s="167">
        <f t="shared" si="10"/>
        <v>5.0951086956521736E-2</v>
      </c>
      <c r="Z46" s="158">
        <f t="shared" ref="Z46:AC61" si="37">Z108+Z169+Z230+Z299+Z360</f>
        <v>102</v>
      </c>
      <c r="AA46" s="157">
        <f t="shared" si="37"/>
        <v>82</v>
      </c>
      <c r="AB46" s="157">
        <f t="shared" si="37"/>
        <v>20</v>
      </c>
      <c r="AC46" s="157">
        <f t="shared" si="37"/>
        <v>1649</v>
      </c>
      <c r="AD46" s="167">
        <f t="shared" si="11"/>
        <v>6.5934065934065936E-2</v>
      </c>
      <c r="AE46" s="158">
        <f t="shared" ref="AE46:AH61" si="38">AE108+AE169+AE230+AE299+AE360</f>
        <v>108</v>
      </c>
      <c r="AF46" s="157">
        <f t="shared" si="38"/>
        <v>86</v>
      </c>
      <c r="AG46" s="157">
        <f t="shared" si="38"/>
        <v>22</v>
      </c>
      <c r="AH46" s="157">
        <f t="shared" si="38"/>
        <v>1757</v>
      </c>
      <c r="AI46" s="167">
        <f t="shared" si="12"/>
        <v>6.549423893268648E-2</v>
      </c>
      <c r="AJ46" s="158">
        <f t="shared" ref="AJ46:AM61" si="39">AJ108+AJ169+AJ230+AJ299+AJ360</f>
        <v>100</v>
      </c>
      <c r="AK46" s="157">
        <f t="shared" si="39"/>
        <v>75</v>
      </c>
      <c r="AL46" s="157">
        <f t="shared" si="39"/>
        <v>25</v>
      </c>
      <c r="AM46" s="157">
        <f t="shared" si="39"/>
        <v>1857</v>
      </c>
      <c r="AN46" s="167">
        <f t="shared" si="13"/>
        <v>5.6915196357427436E-2</v>
      </c>
      <c r="AO46" s="158">
        <f t="shared" ref="AO46:AR61" si="40">AO108+AO169+AO230+AO299+AO360</f>
        <v>137</v>
      </c>
      <c r="AP46" s="157">
        <f t="shared" si="40"/>
        <v>60</v>
      </c>
      <c r="AQ46" s="157">
        <f t="shared" si="40"/>
        <v>77</v>
      </c>
      <c r="AR46" s="157">
        <f t="shared" si="40"/>
        <v>1994</v>
      </c>
      <c r="AS46" s="167">
        <f t="shared" si="15"/>
        <v>7.3774905761981688E-2</v>
      </c>
      <c r="AT46" s="164">
        <f t="shared" si="16"/>
        <v>522</v>
      </c>
      <c r="AU46" s="165">
        <f t="shared" si="17"/>
        <v>6.5512895217883393E-2</v>
      </c>
    </row>
    <row r="47" spans="2:47" outlineLevel="1" x14ac:dyDescent="0.35">
      <c r="B47" s="294" t="s">
        <v>107</v>
      </c>
      <c r="C47" s="62" t="s">
        <v>141</v>
      </c>
      <c r="D47" s="157">
        <f t="shared" si="31"/>
        <v>108</v>
      </c>
      <c r="E47" s="157">
        <f t="shared" si="31"/>
        <v>1374</v>
      </c>
      <c r="F47" s="157">
        <f t="shared" si="31"/>
        <v>184</v>
      </c>
      <c r="G47" s="157">
        <f t="shared" si="31"/>
        <v>1558</v>
      </c>
      <c r="H47" s="160">
        <f t="shared" si="1"/>
        <v>0.1339155749636099</v>
      </c>
      <c r="I47" s="157">
        <f t="shared" si="32"/>
        <v>251</v>
      </c>
      <c r="J47" s="157">
        <f t="shared" si="32"/>
        <v>1809</v>
      </c>
      <c r="K47" s="160">
        <f t="shared" si="3"/>
        <v>0.16110397946084723</v>
      </c>
      <c r="L47" s="157">
        <f t="shared" si="33"/>
        <v>160</v>
      </c>
      <c r="M47" s="157">
        <f t="shared" si="34"/>
        <v>1969</v>
      </c>
      <c r="N47" s="160">
        <f t="shared" si="6"/>
        <v>8.8446655610834715E-2</v>
      </c>
      <c r="O47" s="157">
        <f t="shared" ref="O47:O67" si="41">O109+O170+O231+O300+O361</f>
        <v>88</v>
      </c>
      <c r="P47" s="157">
        <f t="shared" si="35"/>
        <v>2057</v>
      </c>
      <c r="Q47" s="160">
        <f t="shared" si="19"/>
        <v>4.4692737430167599E-2</v>
      </c>
      <c r="R47" s="164">
        <f t="shared" si="20"/>
        <v>791</v>
      </c>
      <c r="S47" s="165">
        <f t="shared" si="21"/>
        <v>0.10614456488317003</v>
      </c>
      <c r="U47" s="158">
        <f t="shared" si="36"/>
        <v>149</v>
      </c>
      <c r="V47" s="157">
        <f t="shared" si="36"/>
        <v>146</v>
      </c>
      <c r="W47" s="157">
        <f t="shared" si="36"/>
        <v>3</v>
      </c>
      <c r="X47" s="157">
        <f t="shared" si="36"/>
        <v>2206</v>
      </c>
      <c r="Y47" s="167">
        <f t="shared" si="10"/>
        <v>7.2435585804569769E-2</v>
      </c>
      <c r="Z47" s="158">
        <f t="shared" si="37"/>
        <v>214</v>
      </c>
      <c r="AA47" s="157">
        <f t="shared" si="37"/>
        <v>162</v>
      </c>
      <c r="AB47" s="157">
        <f t="shared" si="37"/>
        <v>52</v>
      </c>
      <c r="AC47" s="157">
        <f t="shared" si="37"/>
        <v>2420</v>
      </c>
      <c r="AD47" s="167">
        <f t="shared" si="11"/>
        <v>9.7008159564823213E-2</v>
      </c>
      <c r="AE47" s="158">
        <f t="shared" si="38"/>
        <v>236</v>
      </c>
      <c r="AF47" s="157">
        <f t="shared" si="38"/>
        <v>169</v>
      </c>
      <c r="AG47" s="157">
        <f t="shared" si="38"/>
        <v>67</v>
      </c>
      <c r="AH47" s="157">
        <f t="shared" si="38"/>
        <v>2656</v>
      </c>
      <c r="AI47" s="167">
        <f t="shared" si="12"/>
        <v>9.7520661157024791E-2</v>
      </c>
      <c r="AJ47" s="158">
        <f t="shared" si="39"/>
        <v>195</v>
      </c>
      <c r="AK47" s="157">
        <f t="shared" si="39"/>
        <v>148</v>
      </c>
      <c r="AL47" s="157">
        <f t="shared" si="39"/>
        <v>47</v>
      </c>
      <c r="AM47" s="157">
        <f t="shared" si="39"/>
        <v>2851</v>
      </c>
      <c r="AN47" s="167">
        <f t="shared" si="13"/>
        <v>7.3418674698795178E-2</v>
      </c>
      <c r="AO47" s="158">
        <f t="shared" si="40"/>
        <v>155</v>
      </c>
      <c r="AP47" s="157">
        <f t="shared" si="40"/>
        <v>117</v>
      </c>
      <c r="AQ47" s="157">
        <f t="shared" si="40"/>
        <v>38</v>
      </c>
      <c r="AR47" s="157">
        <f t="shared" si="40"/>
        <v>3006</v>
      </c>
      <c r="AS47" s="167">
        <f t="shared" si="15"/>
        <v>5.436688881094353E-2</v>
      </c>
      <c r="AT47" s="164">
        <f t="shared" si="16"/>
        <v>949</v>
      </c>
      <c r="AU47" s="165">
        <f t="shared" si="17"/>
        <v>8.042809042867316E-2</v>
      </c>
    </row>
    <row r="48" spans="2:47" outlineLevel="1" x14ac:dyDescent="0.35">
      <c r="B48" s="294" t="s">
        <v>108</v>
      </c>
      <c r="C48" s="62" t="s">
        <v>141</v>
      </c>
      <c r="D48" s="157">
        <f t="shared" si="31"/>
        <v>244</v>
      </c>
      <c r="E48" s="157">
        <f t="shared" si="31"/>
        <v>2205</v>
      </c>
      <c r="F48" s="157">
        <f t="shared" si="31"/>
        <v>394</v>
      </c>
      <c r="G48" s="157">
        <f t="shared" si="31"/>
        <v>2599</v>
      </c>
      <c r="H48" s="160">
        <f t="shared" si="1"/>
        <v>0.17868480725623584</v>
      </c>
      <c r="I48" s="157">
        <f t="shared" si="32"/>
        <v>398</v>
      </c>
      <c r="J48" s="157">
        <f t="shared" si="32"/>
        <v>2997</v>
      </c>
      <c r="K48" s="160">
        <f t="shared" si="3"/>
        <v>0.15313582146979607</v>
      </c>
      <c r="L48" s="157">
        <f t="shared" si="33"/>
        <v>219</v>
      </c>
      <c r="M48" s="157">
        <f t="shared" si="34"/>
        <v>3216</v>
      </c>
      <c r="N48" s="160">
        <f t="shared" si="6"/>
        <v>7.3073073073073078E-2</v>
      </c>
      <c r="O48" s="157">
        <f t="shared" si="41"/>
        <v>140</v>
      </c>
      <c r="P48" s="157">
        <f t="shared" si="35"/>
        <v>3356</v>
      </c>
      <c r="Q48" s="160">
        <f t="shared" si="19"/>
        <v>4.3532338308457715E-2</v>
      </c>
      <c r="R48" s="164">
        <f t="shared" si="20"/>
        <v>1395</v>
      </c>
      <c r="S48" s="165">
        <f t="shared" si="21"/>
        <v>0.11071679694943892</v>
      </c>
      <c r="U48" s="158">
        <f t="shared" si="36"/>
        <v>272</v>
      </c>
      <c r="V48" s="157">
        <f t="shared" si="36"/>
        <v>211</v>
      </c>
      <c r="W48" s="157">
        <f t="shared" si="36"/>
        <v>61</v>
      </c>
      <c r="X48" s="157">
        <f t="shared" si="36"/>
        <v>3628</v>
      </c>
      <c r="Y48" s="167">
        <f t="shared" si="10"/>
        <v>8.1048867699642438E-2</v>
      </c>
      <c r="Z48" s="158">
        <f t="shared" si="37"/>
        <v>308</v>
      </c>
      <c r="AA48" s="157">
        <f t="shared" si="37"/>
        <v>233</v>
      </c>
      <c r="AB48" s="157">
        <f t="shared" si="37"/>
        <v>75</v>
      </c>
      <c r="AC48" s="157">
        <f t="shared" si="37"/>
        <v>3936</v>
      </c>
      <c r="AD48" s="167">
        <f t="shared" si="11"/>
        <v>8.4895259095920619E-2</v>
      </c>
      <c r="AE48" s="158">
        <f t="shared" si="38"/>
        <v>484</v>
      </c>
      <c r="AF48" s="157">
        <f t="shared" si="38"/>
        <v>244</v>
      </c>
      <c r="AG48" s="157">
        <f t="shared" si="38"/>
        <v>240</v>
      </c>
      <c r="AH48" s="157">
        <f t="shared" si="38"/>
        <v>4420</v>
      </c>
      <c r="AI48" s="167">
        <f t="shared" si="12"/>
        <v>0.12296747967479675</v>
      </c>
      <c r="AJ48" s="158">
        <f t="shared" si="39"/>
        <v>618</v>
      </c>
      <c r="AK48" s="157">
        <f t="shared" si="39"/>
        <v>214</v>
      </c>
      <c r="AL48" s="157">
        <f t="shared" si="39"/>
        <v>404</v>
      </c>
      <c r="AM48" s="157">
        <f t="shared" si="39"/>
        <v>5038</v>
      </c>
      <c r="AN48" s="167">
        <f t="shared" si="13"/>
        <v>0.13981900452488688</v>
      </c>
      <c r="AO48" s="158">
        <f t="shared" si="40"/>
        <v>558</v>
      </c>
      <c r="AP48" s="157">
        <f t="shared" si="40"/>
        <v>168</v>
      </c>
      <c r="AQ48" s="157">
        <f t="shared" si="40"/>
        <v>390</v>
      </c>
      <c r="AR48" s="157">
        <f t="shared" si="40"/>
        <v>5596</v>
      </c>
      <c r="AS48" s="167">
        <f t="shared" si="15"/>
        <v>0.11075823739579198</v>
      </c>
      <c r="AT48" s="164">
        <f t="shared" si="16"/>
        <v>2240</v>
      </c>
      <c r="AU48" s="165">
        <f t="shared" si="17"/>
        <v>0.11442951823269198</v>
      </c>
    </row>
    <row r="49" spans="2:47" outlineLevel="1" x14ac:dyDescent="0.35">
      <c r="B49" s="294" t="s">
        <v>109</v>
      </c>
      <c r="C49" s="62" t="s">
        <v>141</v>
      </c>
      <c r="D49" s="157">
        <f t="shared" si="31"/>
        <v>495</v>
      </c>
      <c r="E49" s="157">
        <f t="shared" si="31"/>
        <v>5306</v>
      </c>
      <c r="F49" s="157">
        <f t="shared" si="31"/>
        <v>702</v>
      </c>
      <c r="G49" s="157">
        <f t="shared" si="31"/>
        <v>6008</v>
      </c>
      <c r="H49" s="160">
        <f t="shared" si="1"/>
        <v>0.13230305314738033</v>
      </c>
      <c r="I49" s="157">
        <f t="shared" si="32"/>
        <v>608</v>
      </c>
      <c r="J49" s="157">
        <f t="shared" si="32"/>
        <v>6616</v>
      </c>
      <c r="K49" s="160">
        <f t="shared" si="3"/>
        <v>0.10119840213049268</v>
      </c>
      <c r="L49" s="157">
        <f t="shared" si="33"/>
        <v>409</v>
      </c>
      <c r="M49" s="157">
        <f t="shared" si="34"/>
        <v>7025</v>
      </c>
      <c r="N49" s="160">
        <f t="shared" si="6"/>
        <v>6.1819830713422008E-2</v>
      </c>
      <c r="O49" s="157">
        <f t="shared" si="41"/>
        <v>393</v>
      </c>
      <c r="P49" s="157">
        <f t="shared" si="35"/>
        <v>7418</v>
      </c>
      <c r="Q49" s="160">
        <f t="shared" si="19"/>
        <v>5.5943060498220641E-2</v>
      </c>
      <c r="R49" s="164">
        <f t="shared" si="20"/>
        <v>2607</v>
      </c>
      <c r="S49" s="165">
        <f t="shared" si="21"/>
        <v>8.737638204623388E-2</v>
      </c>
      <c r="U49" s="158">
        <f t="shared" si="36"/>
        <v>590</v>
      </c>
      <c r="V49" s="157">
        <f t="shared" si="36"/>
        <v>590</v>
      </c>
      <c r="W49" s="157">
        <f t="shared" si="36"/>
        <v>0</v>
      </c>
      <c r="X49" s="157">
        <f t="shared" si="36"/>
        <v>8008</v>
      </c>
      <c r="Y49" s="167">
        <f t="shared" si="10"/>
        <v>7.9536263143704503E-2</v>
      </c>
      <c r="Z49" s="158">
        <f t="shared" si="37"/>
        <v>655</v>
      </c>
      <c r="AA49" s="157">
        <f t="shared" si="37"/>
        <v>655</v>
      </c>
      <c r="AB49" s="157">
        <f t="shared" si="37"/>
        <v>0</v>
      </c>
      <c r="AC49" s="157">
        <f t="shared" si="37"/>
        <v>8663</v>
      </c>
      <c r="AD49" s="167">
        <f t="shared" si="11"/>
        <v>8.1793206793206799E-2</v>
      </c>
      <c r="AE49" s="158">
        <f t="shared" si="38"/>
        <v>716</v>
      </c>
      <c r="AF49" s="157">
        <f t="shared" si="38"/>
        <v>687</v>
      </c>
      <c r="AG49" s="157">
        <f t="shared" si="38"/>
        <v>29</v>
      </c>
      <c r="AH49" s="157">
        <f t="shared" si="38"/>
        <v>9379</v>
      </c>
      <c r="AI49" s="167">
        <f t="shared" si="12"/>
        <v>8.2650352072030475E-2</v>
      </c>
      <c r="AJ49" s="158">
        <f t="shared" si="39"/>
        <v>639</v>
      </c>
      <c r="AK49" s="157">
        <f t="shared" si="39"/>
        <v>603</v>
      </c>
      <c r="AL49" s="157">
        <f t="shared" si="39"/>
        <v>36</v>
      </c>
      <c r="AM49" s="157">
        <f t="shared" si="39"/>
        <v>10018</v>
      </c>
      <c r="AN49" s="167">
        <f t="shared" si="13"/>
        <v>6.8130930802857453E-2</v>
      </c>
      <c r="AO49" s="158">
        <f t="shared" si="40"/>
        <v>499</v>
      </c>
      <c r="AP49" s="157">
        <f t="shared" si="40"/>
        <v>475</v>
      </c>
      <c r="AQ49" s="157">
        <f t="shared" si="40"/>
        <v>24</v>
      </c>
      <c r="AR49" s="157">
        <f t="shared" si="40"/>
        <v>10517</v>
      </c>
      <c r="AS49" s="167">
        <f t="shared" si="15"/>
        <v>4.9810341385506086E-2</v>
      </c>
      <c r="AT49" s="164">
        <f t="shared" si="16"/>
        <v>3099</v>
      </c>
      <c r="AU49" s="165">
        <f t="shared" si="17"/>
        <v>7.0513016645801008E-2</v>
      </c>
    </row>
    <row r="50" spans="2:47" outlineLevel="1" x14ac:dyDescent="0.35">
      <c r="B50" s="294" t="s">
        <v>110</v>
      </c>
      <c r="C50" s="62" t="s">
        <v>141</v>
      </c>
      <c r="D50" s="157">
        <f t="shared" si="31"/>
        <v>123</v>
      </c>
      <c r="E50" s="157">
        <f t="shared" si="31"/>
        <v>998</v>
      </c>
      <c r="F50" s="157">
        <f t="shared" si="31"/>
        <v>144</v>
      </c>
      <c r="G50" s="157">
        <f t="shared" si="31"/>
        <v>1142</v>
      </c>
      <c r="H50" s="160">
        <f t="shared" si="1"/>
        <v>0.14428857715430862</v>
      </c>
      <c r="I50" s="157">
        <f t="shared" si="32"/>
        <v>121</v>
      </c>
      <c r="J50" s="157">
        <f t="shared" si="32"/>
        <v>1263</v>
      </c>
      <c r="K50" s="160">
        <f t="shared" si="3"/>
        <v>0.10595446584938704</v>
      </c>
      <c r="L50" s="157">
        <f t="shared" si="33"/>
        <v>75</v>
      </c>
      <c r="M50" s="157">
        <f t="shared" si="34"/>
        <v>1338</v>
      </c>
      <c r="N50" s="160">
        <f t="shared" si="6"/>
        <v>5.9382422802850353E-2</v>
      </c>
      <c r="O50" s="157">
        <f t="shared" si="41"/>
        <v>42</v>
      </c>
      <c r="P50" s="157">
        <f t="shared" si="35"/>
        <v>1380</v>
      </c>
      <c r="Q50" s="160">
        <f t="shared" si="19"/>
        <v>3.1390134529147982E-2</v>
      </c>
      <c r="R50" s="164">
        <f t="shared" si="20"/>
        <v>505</v>
      </c>
      <c r="S50" s="165">
        <f t="shared" si="21"/>
        <v>8.439407574115898E-2</v>
      </c>
      <c r="U50" s="158">
        <f t="shared" si="36"/>
        <v>67</v>
      </c>
      <c r="V50" s="157">
        <f t="shared" si="36"/>
        <v>62</v>
      </c>
      <c r="W50" s="157">
        <f t="shared" si="36"/>
        <v>5</v>
      </c>
      <c r="X50" s="157">
        <f t="shared" si="36"/>
        <v>1447</v>
      </c>
      <c r="Y50" s="167">
        <f t="shared" si="10"/>
        <v>4.8550724637681161E-2</v>
      </c>
      <c r="Z50" s="158">
        <f t="shared" si="37"/>
        <v>73</v>
      </c>
      <c r="AA50" s="157">
        <f t="shared" si="37"/>
        <v>67</v>
      </c>
      <c r="AB50" s="157">
        <f t="shared" si="37"/>
        <v>6</v>
      </c>
      <c r="AC50" s="157">
        <f t="shared" si="37"/>
        <v>1520</v>
      </c>
      <c r="AD50" s="167">
        <f t="shared" si="11"/>
        <v>5.0449205252246027E-2</v>
      </c>
      <c r="AE50" s="158">
        <f t="shared" si="38"/>
        <v>88</v>
      </c>
      <c r="AF50" s="157">
        <f t="shared" si="38"/>
        <v>69</v>
      </c>
      <c r="AG50" s="157">
        <f t="shared" si="38"/>
        <v>19</v>
      </c>
      <c r="AH50" s="157">
        <f t="shared" si="38"/>
        <v>1608</v>
      </c>
      <c r="AI50" s="167">
        <f t="shared" si="12"/>
        <v>5.7894736842105263E-2</v>
      </c>
      <c r="AJ50" s="158">
        <f t="shared" si="39"/>
        <v>82</v>
      </c>
      <c r="AK50" s="157">
        <f t="shared" si="39"/>
        <v>61</v>
      </c>
      <c r="AL50" s="157">
        <f t="shared" si="39"/>
        <v>21</v>
      </c>
      <c r="AM50" s="157">
        <f t="shared" si="39"/>
        <v>1690</v>
      </c>
      <c r="AN50" s="167">
        <f t="shared" si="13"/>
        <v>5.0995024875621887E-2</v>
      </c>
      <c r="AO50" s="158">
        <f t="shared" si="40"/>
        <v>96</v>
      </c>
      <c r="AP50" s="157">
        <f t="shared" si="40"/>
        <v>48</v>
      </c>
      <c r="AQ50" s="157">
        <f t="shared" si="40"/>
        <v>48</v>
      </c>
      <c r="AR50" s="157">
        <f t="shared" si="40"/>
        <v>1786</v>
      </c>
      <c r="AS50" s="167">
        <f t="shared" si="15"/>
        <v>5.6804733727810648E-2</v>
      </c>
      <c r="AT50" s="164">
        <f t="shared" si="16"/>
        <v>406</v>
      </c>
      <c r="AU50" s="165">
        <f t="shared" si="17"/>
        <v>5.403062819050497E-2</v>
      </c>
    </row>
    <row r="51" spans="2:47" outlineLevel="1" x14ac:dyDescent="0.35">
      <c r="B51" s="294" t="s">
        <v>111</v>
      </c>
      <c r="C51" s="62" t="s">
        <v>141</v>
      </c>
      <c r="D51" s="157">
        <f t="shared" si="31"/>
        <v>146</v>
      </c>
      <c r="E51" s="157">
        <f t="shared" si="31"/>
        <v>1064</v>
      </c>
      <c r="F51" s="157">
        <f t="shared" si="31"/>
        <v>222</v>
      </c>
      <c r="G51" s="157">
        <f t="shared" si="31"/>
        <v>1286</v>
      </c>
      <c r="H51" s="160">
        <f t="shared" si="1"/>
        <v>0.20864661654135339</v>
      </c>
      <c r="I51" s="157">
        <f t="shared" si="32"/>
        <v>194</v>
      </c>
      <c r="J51" s="157">
        <f t="shared" si="32"/>
        <v>1480</v>
      </c>
      <c r="K51" s="160">
        <f t="shared" si="3"/>
        <v>0.15085536547433903</v>
      </c>
      <c r="L51" s="157">
        <f t="shared" si="33"/>
        <v>99</v>
      </c>
      <c r="M51" s="157">
        <f t="shared" si="34"/>
        <v>1579</v>
      </c>
      <c r="N51" s="160">
        <f t="shared" si="6"/>
        <v>6.6891891891891889E-2</v>
      </c>
      <c r="O51" s="157">
        <f t="shared" si="41"/>
        <v>67</v>
      </c>
      <c r="P51" s="157">
        <f t="shared" si="35"/>
        <v>1646</v>
      </c>
      <c r="Q51" s="160">
        <f t="shared" si="19"/>
        <v>4.2431918936035463E-2</v>
      </c>
      <c r="R51" s="164">
        <f t="shared" si="20"/>
        <v>728</v>
      </c>
      <c r="S51" s="165">
        <f t="shared" si="21"/>
        <v>0.11524953472629451</v>
      </c>
      <c r="U51" s="158">
        <f t="shared" si="36"/>
        <v>96</v>
      </c>
      <c r="V51" s="157">
        <f t="shared" si="36"/>
        <v>94</v>
      </c>
      <c r="W51" s="157">
        <f t="shared" si="36"/>
        <v>2</v>
      </c>
      <c r="X51" s="157">
        <f t="shared" si="36"/>
        <v>1742</v>
      </c>
      <c r="Y51" s="167">
        <f t="shared" si="10"/>
        <v>5.8323207776427702E-2</v>
      </c>
      <c r="Z51" s="158">
        <f t="shared" si="37"/>
        <v>139</v>
      </c>
      <c r="AA51" s="157">
        <f t="shared" si="37"/>
        <v>103</v>
      </c>
      <c r="AB51" s="157">
        <f t="shared" si="37"/>
        <v>36</v>
      </c>
      <c r="AC51" s="157">
        <f t="shared" si="37"/>
        <v>1881</v>
      </c>
      <c r="AD51" s="167">
        <f t="shared" si="11"/>
        <v>7.9793340987370842E-2</v>
      </c>
      <c r="AE51" s="158">
        <f t="shared" si="38"/>
        <v>205</v>
      </c>
      <c r="AF51" s="157">
        <f t="shared" si="38"/>
        <v>109</v>
      </c>
      <c r="AG51" s="157">
        <f t="shared" si="38"/>
        <v>96</v>
      </c>
      <c r="AH51" s="157">
        <f t="shared" si="38"/>
        <v>2086</v>
      </c>
      <c r="AI51" s="167">
        <f t="shared" si="12"/>
        <v>0.1089845826687932</v>
      </c>
      <c r="AJ51" s="158">
        <f t="shared" si="39"/>
        <v>190</v>
      </c>
      <c r="AK51" s="157">
        <f t="shared" si="39"/>
        <v>95</v>
      </c>
      <c r="AL51" s="157">
        <f t="shared" si="39"/>
        <v>95</v>
      </c>
      <c r="AM51" s="157">
        <f t="shared" si="39"/>
        <v>2276</v>
      </c>
      <c r="AN51" s="167">
        <f t="shared" si="13"/>
        <v>9.1083413231064239E-2</v>
      </c>
      <c r="AO51" s="158">
        <f t="shared" si="40"/>
        <v>150</v>
      </c>
      <c r="AP51" s="157">
        <f t="shared" si="40"/>
        <v>76</v>
      </c>
      <c r="AQ51" s="157">
        <f t="shared" si="40"/>
        <v>74</v>
      </c>
      <c r="AR51" s="157">
        <f t="shared" si="40"/>
        <v>2426</v>
      </c>
      <c r="AS51" s="167">
        <f t="shared" si="15"/>
        <v>6.5905096660808432E-2</v>
      </c>
      <c r="AT51" s="164">
        <f t="shared" si="16"/>
        <v>780</v>
      </c>
      <c r="AU51" s="165">
        <f t="shared" si="17"/>
        <v>8.6327219287915202E-2</v>
      </c>
    </row>
    <row r="52" spans="2:47" outlineLevel="1" x14ac:dyDescent="0.35">
      <c r="B52" s="294" t="s">
        <v>112</v>
      </c>
      <c r="C52" s="62" t="s">
        <v>141</v>
      </c>
      <c r="D52" s="157">
        <f t="shared" si="31"/>
        <v>194</v>
      </c>
      <c r="E52" s="157">
        <f t="shared" si="31"/>
        <v>1839</v>
      </c>
      <c r="F52" s="157">
        <f t="shared" si="31"/>
        <v>211</v>
      </c>
      <c r="G52" s="157">
        <f t="shared" si="31"/>
        <v>2050</v>
      </c>
      <c r="H52" s="160">
        <f t="shared" si="1"/>
        <v>0.11473626971179988</v>
      </c>
      <c r="I52" s="157">
        <f t="shared" si="32"/>
        <v>237</v>
      </c>
      <c r="J52" s="157">
        <f t="shared" si="32"/>
        <v>2287</v>
      </c>
      <c r="K52" s="160">
        <f t="shared" si="3"/>
        <v>0.11560975609756098</v>
      </c>
      <c r="L52" s="157">
        <f t="shared" si="33"/>
        <v>141</v>
      </c>
      <c r="M52" s="157">
        <f t="shared" si="34"/>
        <v>2428</v>
      </c>
      <c r="N52" s="160">
        <f t="shared" si="6"/>
        <v>6.1652820288587672E-2</v>
      </c>
      <c r="O52" s="157">
        <f t="shared" si="41"/>
        <v>67</v>
      </c>
      <c r="P52" s="157">
        <f t="shared" si="35"/>
        <v>2495</v>
      </c>
      <c r="Q52" s="160">
        <f t="shared" si="19"/>
        <v>2.7594728171334432E-2</v>
      </c>
      <c r="R52" s="164">
        <f t="shared" si="20"/>
        <v>850</v>
      </c>
      <c r="S52" s="165">
        <f t="shared" si="21"/>
        <v>7.9250367421955792E-2</v>
      </c>
      <c r="U52" s="158">
        <f t="shared" si="36"/>
        <v>168</v>
      </c>
      <c r="V52" s="157">
        <f t="shared" si="36"/>
        <v>154</v>
      </c>
      <c r="W52" s="157">
        <f t="shared" si="36"/>
        <v>14</v>
      </c>
      <c r="X52" s="157">
        <f t="shared" si="36"/>
        <v>2663</v>
      </c>
      <c r="Y52" s="167">
        <f t="shared" si="10"/>
        <v>6.733466933867735E-2</v>
      </c>
      <c r="Z52" s="158">
        <f t="shared" si="37"/>
        <v>251</v>
      </c>
      <c r="AA52" s="157">
        <f t="shared" si="37"/>
        <v>170</v>
      </c>
      <c r="AB52" s="157">
        <f t="shared" si="37"/>
        <v>81</v>
      </c>
      <c r="AC52" s="157">
        <f t="shared" si="37"/>
        <v>2914</v>
      </c>
      <c r="AD52" s="167">
        <f t="shared" si="11"/>
        <v>9.4254600075103265E-2</v>
      </c>
      <c r="AE52" s="158">
        <f t="shared" si="38"/>
        <v>323</v>
      </c>
      <c r="AF52" s="157">
        <f t="shared" si="38"/>
        <v>179</v>
      </c>
      <c r="AG52" s="157">
        <f t="shared" si="38"/>
        <v>144</v>
      </c>
      <c r="AH52" s="157">
        <f t="shared" si="38"/>
        <v>3237</v>
      </c>
      <c r="AI52" s="167">
        <f t="shared" si="12"/>
        <v>0.11084420041180508</v>
      </c>
      <c r="AJ52" s="158">
        <f t="shared" si="39"/>
        <v>322</v>
      </c>
      <c r="AK52" s="157">
        <f t="shared" si="39"/>
        <v>156</v>
      </c>
      <c r="AL52" s="157">
        <f t="shared" si="39"/>
        <v>166</v>
      </c>
      <c r="AM52" s="157">
        <f t="shared" si="39"/>
        <v>3559</v>
      </c>
      <c r="AN52" s="167">
        <f t="shared" si="13"/>
        <v>9.9474822366388632E-2</v>
      </c>
      <c r="AO52" s="158">
        <f t="shared" si="40"/>
        <v>326</v>
      </c>
      <c r="AP52" s="157">
        <f t="shared" si="40"/>
        <v>124</v>
      </c>
      <c r="AQ52" s="157">
        <f t="shared" si="40"/>
        <v>202</v>
      </c>
      <c r="AR52" s="157">
        <f t="shared" si="40"/>
        <v>3885</v>
      </c>
      <c r="AS52" s="167">
        <f t="shared" si="15"/>
        <v>9.1598763697667882E-2</v>
      </c>
      <c r="AT52" s="164">
        <f t="shared" si="16"/>
        <v>1390</v>
      </c>
      <c r="AU52" s="165">
        <f t="shared" si="17"/>
        <v>9.9018401618247376E-2</v>
      </c>
    </row>
    <row r="53" spans="2:47" outlineLevel="1" x14ac:dyDescent="0.35">
      <c r="B53" s="294" t="s">
        <v>113</v>
      </c>
      <c r="C53" s="62" t="s">
        <v>141</v>
      </c>
      <c r="D53" s="157">
        <f t="shared" si="31"/>
        <v>0</v>
      </c>
      <c r="E53" s="157">
        <f t="shared" si="31"/>
        <v>0</v>
      </c>
      <c r="F53" s="157">
        <f t="shared" si="31"/>
        <v>0</v>
      </c>
      <c r="G53" s="157">
        <f t="shared" si="31"/>
        <v>0</v>
      </c>
      <c r="H53" s="160">
        <f t="shared" si="1"/>
        <v>0</v>
      </c>
      <c r="I53" s="157">
        <f t="shared" si="32"/>
        <v>0</v>
      </c>
      <c r="J53" s="157">
        <f t="shared" si="32"/>
        <v>0</v>
      </c>
      <c r="K53" s="160">
        <f t="shared" si="3"/>
        <v>0</v>
      </c>
      <c r="L53" s="157">
        <f t="shared" si="33"/>
        <v>0</v>
      </c>
      <c r="M53" s="157">
        <f t="shared" si="34"/>
        <v>0</v>
      </c>
      <c r="N53" s="160">
        <f t="shared" si="6"/>
        <v>0</v>
      </c>
      <c r="O53" s="157">
        <f t="shared" si="41"/>
        <v>1</v>
      </c>
      <c r="P53" s="157">
        <f t="shared" si="35"/>
        <v>1</v>
      </c>
      <c r="Q53" s="160">
        <f t="shared" si="19"/>
        <v>0</v>
      </c>
      <c r="R53" s="164">
        <f t="shared" si="20"/>
        <v>1</v>
      </c>
      <c r="S53" s="165">
        <f t="shared" si="21"/>
        <v>0</v>
      </c>
      <c r="U53" s="158">
        <f t="shared" si="36"/>
        <v>0</v>
      </c>
      <c r="V53" s="157">
        <f t="shared" si="36"/>
        <v>0</v>
      </c>
      <c r="W53" s="157">
        <f t="shared" si="36"/>
        <v>0</v>
      </c>
      <c r="X53" s="157">
        <f t="shared" si="36"/>
        <v>1</v>
      </c>
      <c r="Y53" s="167">
        <f t="shared" si="10"/>
        <v>0</v>
      </c>
      <c r="Z53" s="158">
        <f t="shared" si="37"/>
        <v>0</v>
      </c>
      <c r="AA53" s="157">
        <f t="shared" si="37"/>
        <v>0</v>
      </c>
      <c r="AB53" s="157">
        <f t="shared" si="37"/>
        <v>0</v>
      </c>
      <c r="AC53" s="157">
        <f t="shared" si="37"/>
        <v>1</v>
      </c>
      <c r="AD53" s="167">
        <f t="shared" si="11"/>
        <v>0</v>
      </c>
      <c r="AE53" s="158">
        <f t="shared" si="38"/>
        <v>1</v>
      </c>
      <c r="AF53" s="157">
        <f t="shared" si="38"/>
        <v>0</v>
      </c>
      <c r="AG53" s="157">
        <f t="shared" si="38"/>
        <v>1</v>
      </c>
      <c r="AH53" s="157">
        <f t="shared" si="38"/>
        <v>2</v>
      </c>
      <c r="AI53" s="167">
        <f t="shared" si="12"/>
        <v>1</v>
      </c>
      <c r="AJ53" s="158">
        <f t="shared" si="39"/>
        <v>0</v>
      </c>
      <c r="AK53" s="157">
        <f t="shared" si="39"/>
        <v>0</v>
      </c>
      <c r="AL53" s="157">
        <f t="shared" si="39"/>
        <v>0</v>
      </c>
      <c r="AM53" s="157">
        <f t="shared" si="39"/>
        <v>2</v>
      </c>
      <c r="AN53" s="167">
        <f t="shared" si="13"/>
        <v>0</v>
      </c>
      <c r="AO53" s="158">
        <f t="shared" si="40"/>
        <v>0</v>
      </c>
      <c r="AP53" s="157">
        <f t="shared" si="40"/>
        <v>0</v>
      </c>
      <c r="AQ53" s="157">
        <f t="shared" si="40"/>
        <v>0</v>
      </c>
      <c r="AR53" s="157">
        <f t="shared" si="40"/>
        <v>2</v>
      </c>
      <c r="AS53" s="167">
        <f t="shared" si="15"/>
        <v>0</v>
      </c>
      <c r="AT53" s="164">
        <f t="shared" si="16"/>
        <v>1</v>
      </c>
      <c r="AU53" s="165">
        <f t="shared" si="17"/>
        <v>0.18920711500272103</v>
      </c>
    </row>
    <row r="54" spans="2:47" outlineLevel="1" x14ac:dyDescent="0.35">
      <c r="B54" s="294" t="s">
        <v>114</v>
      </c>
      <c r="C54" s="62" t="s">
        <v>141</v>
      </c>
      <c r="D54" s="157">
        <f t="shared" si="31"/>
        <v>420</v>
      </c>
      <c r="E54" s="157">
        <f t="shared" si="31"/>
        <v>5113</v>
      </c>
      <c r="F54" s="157">
        <f t="shared" si="31"/>
        <v>670</v>
      </c>
      <c r="G54" s="157">
        <f t="shared" si="31"/>
        <v>5783</v>
      </c>
      <c r="H54" s="160">
        <f t="shared" si="1"/>
        <v>0.13103852923919421</v>
      </c>
      <c r="I54" s="157">
        <f t="shared" si="32"/>
        <v>571</v>
      </c>
      <c r="J54" s="157">
        <f t="shared" si="32"/>
        <v>6354</v>
      </c>
      <c r="K54" s="160">
        <f t="shared" si="3"/>
        <v>9.8737679405153031E-2</v>
      </c>
      <c r="L54" s="157">
        <f t="shared" si="33"/>
        <v>316</v>
      </c>
      <c r="M54" s="157">
        <f t="shared" si="34"/>
        <v>6670</v>
      </c>
      <c r="N54" s="160">
        <f t="shared" si="6"/>
        <v>4.9732451998740948E-2</v>
      </c>
      <c r="O54" s="157">
        <f t="shared" si="41"/>
        <v>273</v>
      </c>
      <c r="P54" s="157">
        <f t="shared" si="35"/>
        <v>6943</v>
      </c>
      <c r="Q54" s="160">
        <f t="shared" si="19"/>
        <v>4.092953523238381E-2</v>
      </c>
      <c r="R54" s="164">
        <f t="shared" si="20"/>
        <v>2250</v>
      </c>
      <c r="S54" s="165">
        <f t="shared" si="21"/>
        <v>7.9488060197548727E-2</v>
      </c>
      <c r="U54" s="158">
        <f t="shared" si="36"/>
        <v>583</v>
      </c>
      <c r="V54" s="157">
        <f t="shared" si="36"/>
        <v>583</v>
      </c>
      <c r="W54" s="157">
        <f t="shared" si="36"/>
        <v>0</v>
      </c>
      <c r="X54" s="157">
        <f t="shared" si="36"/>
        <v>7526</v>
      </c>
      <c r="Y54" s="167">
        <f t="shared" si="10"/>
        <v>8.3969465648854963E-2</v>
      </c>
      <c r="Z54" s="158">
        <f t="shared" si="37"/>
        <v>646</v>
      </c>
      <c r="AA54" s="157">
        <f t="shared" si="37"/>
        <v>646</v>
      </c>
      <c r="AB54" s="157">
        <f t="shared" si="37"/>
        <v>0</v>
      </c>
      <c r="AC54" s="157">
        <f t="shared" si="37"/>
        <v>8172</v>
      </c>
      <c r="AD54" s="167">
        <f t="shared" si="11"/>
        <v>8.5835769332979012E-2</v>
      </c>
      <c r="AE54" s="158">
        <f t="shared" si="38"/>
        <v>679</v>
      </c>
      <c r="AF54" s="157">
        <f t="shared" si="38"/>
        <v>679</v>
      </c>
      <c r="AG54" s="157">
        <f t="shared" si="38"/>
        <v>0</v>
      </c>
      <c r="AH54" s="157">
        <f t="shared" si="38"/>
        <v>8851</v>
      </c>
      <c r="AI54" s="167">
        <f t="shared" si="12"/>
        <v>8.3088595203132651E-2</v>
      </c>
      <c r="AJ54" s="158">
        <f t="shared" si="39"/>
        <v>595</v>
      </c>
      <c r="AK54" s="157">
        <f t="shared" si="39"/>
        <v>595</v>
      </c>
      <c r="AL54" s="157">
        <f t="shared" si="39"/>
        <v>0</v>
      </c>
      <c r="AM54" s="157">
        <f t="shared" si="39"/>
        <v>9446</v>
      </c>
      <c r="AN54" s="167">
        <f t="shared" si="13"/>
        <v>6.722404248107558E-2</v>
      </c>
      <c r="AO54" s="158">
        <f t="shared" si="40"/>
        <v>469</v>
      </c>
      <c r="AP54" s="157">
        <f t="shared" si="40"/>
        <v>469</v>
      </c>
      <c r="AQ54" s="157">
        <f t="shared" si="40"/>
        <v>0</v>
      </c>
      <c r="AR54" s="157">
        <f t="shared" si="40"/>
        <v>9915</v>
      </c>
      <c r="AS54" s="167">
        <f t="shared" si="15"/>
        <v>4.9650645775989835E-2</v>
      </c>
      <c r="AT54" s="164">
        <f t="shared" si="16"/>
        <v>2972</v>
      </c>
      <c r="AU54" s="165">
        <f t="shared" si="17"/>
        <v>7.1351855564305122E-2</v>
      </c>
    </row>
    <row r="55" spans="2:47" outlineLevel="1" x14ac:dyDescent="0.35">
      <c r="B55" s="294" t="s">
        <v>115</v>
      </c>
      <c r="C55" s="62" t="s">
        <v>141</v>
      </c>
      <c r="D55" s="157">
        <f t="shared" si="31"/>
        <v>354</v>
      </c>
      <c r="E55" s="157">
        <f t="shared" si="31"/>
        <v>564</v>
      </c>
      <c r="F55" s="157">
        <f t="shared" si="31"/>
        <v>772</v>
      </c>
      <c r="G55" s="157">
        <f t="shared" si="31"/>
        <v>1336</v>
      </c>
      <c r="H55" s="160">
        <f t="shared" si="1"/>
        <v>1.3687943262411348</v>
      </c>
      <c r="I55" s="157">
        <f t="shared" si="32"/>
        <v>523</v>
      </c>
      <c r="J55" s="157">
        <f t="shared" si="32"/>
        <v>1859</v>
      </c>
      <c r="K55" s="160">
        <f t="shared" si="3"/>
        <v>0.39146706586826346</v>
      </c>
      <c r="L55" s="157">
        <f t="shared" si="33"/>
        <v>248</v>
      </c>
      <c r="M55" s="157">
        <f t="shared" si="34"/>
        <v>2107</v>
      </c>
      <c r="N55" s="160">
        <f t="shared" si="6"/>
        <v>0.13340505648197956</v>
      </c>
      <c r="O55" s="157">
        <f t="shared" si="41"/>
        <v>134</v>
      </c>
      <c r="P55" s="157">
        <f t="shared" si="35"/>
        <v>2241</v>
      </c>
      <c r="Q55" s="160">
        <f t="shared" si="19"/>
        <v>6.3597532036070242E-2</v>
      </c>
      <c r="R55" s="164">
        <f t="shared" si="20"/>
        <v>2031</v>
      </c>
      <c r="S55" s="165">
        <f t="shared" si="21"/>
        <v>0.41185692435388943</v>
      </c>
      <c r="U55" s="158">
        <f t="shared" si="36"/>
        <v>219</v>
      </c>
      <c r="V55" s="157">
        <f t="shared" si="36"/>
        <v>215</v>
      </c>
      <c r="W55" s="157">
        <f t="shared" si="36"/>
        <v>4</v>
      </c>
      <c r="X55" s="157">
        <f t="shared" si="36"/>
        <v>2460</v>
      </c>
      <c r="Y55" s="167">
        <f t="shared" si="10"/>
        <v>9.772423025435073E-2</v>
      </c>
      <c r="Z55" s="158">
        <f t="shared" si="37"/>
        <v>288</v>
      </c>
      <c r="AA55" s="157">
        <f t="shared" si="37"/>
        <v>235</v>
      </c>
      <c r="AB55" s="157">
        <f t="shared" si="37"/>
        <v>53</v>
      </c>
      <c r="AC55" s="157">
        <f t="shared" si="37"/>
        <v>2748</v>
      </c>
      <c r="AD55" s="167">
        <f t="shared" si="11"/>
        <v>0.11707317073170732</v>
      </c>
      <c r="AE55" s="158">
        <f t="shared" si="38"/>
        <v>330</v>
      </c>
      <c r="AF55" s="157">
        <f t="shared" si="38"/>
        <v>245</v>
      </c>
      <c r="AG55" s="157">
        <f t="shared" si="38"/>
        <v>85</v>
      </c>
      <c r="AH55" s="157">
        <f t="shared" si="38"/>
        <v>3078</v>
      </c>
      <c r="AI55" s="167">
        <f t="shared" si="12"/>
        <v>0.12008733624454149</v>
      </c>
      <c r="AJ55" s="158">
        <f t="shared" si="39"/>
        <v>322</v>
      </c>
      <c r="AK55" s="157">
        <f t="shared" si="39"/>
        <v>214</v>
      </c>
      <c r="AL55" s="157">
        <f t="shared" si="39"/>
        <v>108</v>
      </c>
      <c r="AM55" s="157">
        <f t="shared" si="39"/>
        <v>3400</v>
      </c>
      <c r="AN55" s="167">
        <f t="shared" si="13"/>
        <v>0.1046133853151397</v>
      </c>
      <c r="AO55" s="158">
        <f t="shared" si="40"/>
        <v>294</v>
      </c>
      <c r="AP55" s="157">
        <f t="shared" si="40"/>
        <v>168</v>
      </c>
      <c r="AQ55" s="157">
        <f t="shared" si="40"/>
        <v>126</v>
      </c>
      <c r="AR55" s="157">
        <f t="shared" si="40"/>
        <v>3694</v>
      </c>
      <c r="AS55" s="167">
        <f t="shared" si="15"/>
        <v>8.6470588235294119E-2</v>
      </c>
      <c r="AT55" s="164">
        <f t="shared" si="16"/>
        <v>1453</v>
      </c>
      <c r="AU55" s="165">
        <f t="shared" si="17"/>
        <v>0.1069817116605547</v>
      </c>
    </row>
    <row r="56" spans="2:47" outlineLevel="1" x14ac:dyDescent="0.35">
      <c r="B56" s="294" t="s">
        <v>116</v>
      </c>
      <c r="C56" s="62" t="s">
        <v>141</v>
      </c>
      <c r="D56" s="157">
        <f t="shared" si="31"/>
        <v>512</v>
      </c>
      <c r="E56" s="157">
        <f t="shared" si="31"/>
        <v>5756</v>
      </c>
      <c r="F56" s="157">
        <f t="shared" si="31"/>
        <v>649</v>
      </c>
      <c r="G56" s="157">
        <f t="shared" si="31"/>
        <v>6405</v>
      </c>
      <c r="H56" s="160">
        <f t="shared" si="1"/>
        <v>0.11275191104933982</v>
      </c>
      <c r="I56" s="157">
        <f t="shared" si="32"/>
        <v>523</v>
      </c>
      <c r="J56" s="157">
        <f t="shared" si="32"/>
        <v>6928</v>
      </c>
      <c r="K56" s="160">
        <f t="shared" si="3"/>
        <v>8.1654957064793129E-2</v>
      </c>
      <c r="L56" s="157">
        <f t="shared" si="33"/>
        <v>287</v>
      </c>
      <c r="M56" s="157">
        <f t="shared" si="34"/>
        <v>7215</v>
      </c>
      <c r="N56" s="160">
        <f t="shared" si="6"/>
        <v>4.142609699769053E-2</v>
      </c>
      <c r="O56" s="157">
        <f t="shared" si="41"/>
        <v>320</v>
      </c>
      <c r="P56" s="157">
        <f t="shared" si="35"/>
        <v>7535</v>
      </c>
      <c r="Q56" s="160">
        <f t="shared" si="19"/>
        <v>4.4352044352044352E-2</v>
      </c>
      <c r="R56" s="164">
        <f t="shared" si="20"/>
        <v>2291</v>
      </c>
      <c r="S56" s="165">
        <f t="shared" si="21"/>
        <v>6.9647345777044567E-2</v>
      </c>
      <c r="U56" s="158">
        <f t="shared" si="36"/>
        <v>431</v>
      </c>
      <c r="V56" s="157">
        <f t="shared" si="36"/>
        <v>430</v>
      </c>
      <c r="W56" s="157">
        <f t="shared" si="36"/>
        <v>1</v>
      </c>
      <c r="X56" s="157">
        <f t="shared" si="36"/>
        <v>7966</v>
      </c>
      <c r="Y56" s="167">
        <f t="shared" si="10"/>
        <v>5.7199734571997347E-2</v>
      </c>
      <c r="Z56" s="158">
        <f t="shared" si="37"/>
        <v>477</v>
      </c>
      <c r="AA56" s="157">
        <f t="shared" si="37"/>
        <v>477</v>
      </c>
      <c r="AB56" s="157">
        <f t="shared" si="37"/>
        <v>0</v>
      </c>
      <c r="AC56" s="157">
        <f t="shared" si="37"/>
        <v>8443</v>
      </c>
      <c r="AD56" s="167">
        <f t="shared" si="11"/>
        <v>5.9879487823248805E-2</v>
      </c>
      <c r="AE56" s="158">
        <f t="shared" si="38"/>
        <v>501</v>
      </c>
      <c r="AF56" s="157">
        <f t="shared" si="38"/>
        <v>501</v>
      </c>
      <c r="AG56" s="157">
        <f t="shared" si="38"/>
        <v>0</v>
      </c>
      <c r="AH56" s="157">
        <f t="shared" si="38"/>
        <v>8944</v>
      </c>
      <c r="AI56" s="167">
        <f t="shared" si="12"/>
        <v>5.9339097477200051E-2</v>
      </c>
      <c r="AJ56" s="158">
        <f t="shared" si="39"/>
        <v>439</v>
      </c>
      <c r="AK56" s="157">
        <f t="shared" si="39"/>
        <v>439</v>
      </c>
      <c r="AL56" s="157">
        <f t="shared" si="39"/>
        <v>0</v>
      </c>
      <c r="AM56" s="157">
        <f t="shared" si="39"/>
        <v>9383</v>
      </c>
      <c r="AN56" s="167">
        <f t="shared" si="13"/>
        <v>4.9083184257602865E-2</v>
      </c>
      <c r="AO56" s="158">
        <f t="shared" si="40"/>
        <v>346</v>
      </c>
      <c r="AP56" s="157">
        <f t="shared" si="40"/>
        <v>346</v>
      </c>
      <c r="AQ56" s="157">
        <f t="shared" si="40"/>
        <v>0</v>
      </c>
      <c r="AR56" s="157">
        <f t="shared" si="40"/>
        <v>9729</v>
      </c>
      <c r="AS56" s="167">
        <f t="shared" si="15"/>
        <v>3.6875199829478844E-2</v>
      </c>
      <c r="AT56" s="164">
        <f t="shared" si="16"/>
        <v>2194</v>
      </c>
      <c r="AU56" s="165">
        <f t="shared" si="17"/>
        <v>5.1252339563093274E-2</v>
      </c>
    </row>
    <row r="57" spans="2:47" outlineLevel="1" x14ac:dyDescent="0.35">
      <c r="B57" s="294" t="s">
        <v>117</v>
      </c>
      <c r="C57" s="62" t="s">
        <v>141</v>
      </c>
      <c r="D57" s="157">
        <f t="shared" si="31"/>
        <v>360</v>
      </c>
      <c r="E57" s="157">
        <f t="shared" si="31"/>
        <v>3604</v>
      </c>
      <c r="F57" s="157">
        <f t="shared" si="31"/>
        <v>445</v>
      </c>
      <c r="G57" s="157">
        <f t="shared" si="31"/>
        <v>4049</v>
      </c>
      <c r="H57" s="160">
        <f t="shared" si="1"/>
        <v>0.1234739178690344</v>
      </c>
      <c r="I57" s="157">
        <f t="shared" si="32"/>
        <v>476</v>
      </c>
      <c r="J57" s="157">
        <f t="shared" si="32"/>
        <v>4525</v>
      </c>
      <c r="K57" s="160">
        <f t="shared" si="3"/>
        <v>0.11755989133119289</v>
      </c>
      <c r="L57" s="157">
        <f t="shared" si="33"/>
        <v>308</v>
      </c>
      <c r="M57" s="157">
        <f t="shared" si="34"/>
        <v>4833</v>
      </c>
      <c r="N57" s="160">
        <f t="shared" si="6"/>
        <v>6.8066298342541437E-2</v>
      </c>
      <c r="O57" s="157">
        <f t="shared" si="41"/>
        <v>237</v>
      </c>
      <c r="P57" s="157">
        <f t="shared" si="35"/>
        <v>5070</v>
      </c>
      <c r="Q57" s="160">
        <f t="shared" si="19"/>
        <v>4.9037864680322778E-2</v>
      </c>
      <c r="R57" s="164">
        <f t="shared" si="20"/>
        <v>1826</v>
      </c>
      <c r="S57" s="165">
        <f t="shared" si="21"/>
        <v>8.9069998283685337E-2</v>
      </c>
      <c r="U57" s="158">
        <f t="shared" si="36"/>
        <v>498</v>
      </c>
      <c r="V57" s="157">
        <f t="shared" si="36"/>
        <v>430</v>
      </c>
      <c r="W57" s="157">
        <f t="shared" si="36"/>
        <v>68</v>
      </c>
      <c r="X57" s="157">
        <f t="shared" si="36"/>
        <v>5568</v>
      </c>
      <c r="Y57" s="167">
        <f t="shared" si="10"/>
        <v>9.8224852071005911E-2</v>
      </c>
      <c r="Z57" s="158">
        <f t="shared" si="37"/>
        <v>762</v>
      </c>
      <c r="AA57" s="157">
        <f t="shared" si="37"/>
        <v>474</v>
      </c>
      <c r="AB57" s="157">
        <f t="shared" si="37"/>
        <v>288</v>
      </c>
      <c r="AC57" s="157">
        <f t="shared" si="37"/>
        <v>6330</v>
      </c>
      <c r="AD57" s="167">
        <f t="shared" si="11"/>
        <v>0.13685344827586207</v>
      </c>
      <c r="AE57" s="158">
        <f t="shared" si="38"/>
        <v>935</v>
      </c>
      <c r="AF57" s="157">
        <f t="shared" si="38"/>
        <v>497</v>
      </c>
      <c r="AG57" s="157">
        <f t="shared" si="38"/>
        <v>438</v>
      </c>
      <c r="AH57" s="157">
        <f t="shared" si="38"/>
        <v>7265</v>
      </c>
      <c r="AI57" s="167">
        <f t="shared" si="12"/>
        <v>0.14770932069510267</v>
      </c>
      <c r="AJ57" s="158">
        <f t="shared" si="39"/>
        <v>1040</v>
      </c>
      <c r="AK57" s="157">
        <f t="shared" si="39"/>
        <v>436</v>
      </c>
      <c r="AL57" s="157">
        <f t="shared" si="39"/>
        <v>604</v>
      </c>
      <c r="AM57" s="157">
        <f t="shared" si="39"/>
        <v>8305</v>
      </c>
      <c r="AN57" s="167">
        <f t="shared" si="13"/>
        <v>0.14315209910529939</v>
      </c>
      <c r="AO57" s="158">
        <f t="shared" si="40"/>
        <v>961</v>
      </c>
      <c r="AP57" s="157">
        <f t="shared" si="40"/>
        <v>342</v>
      </c>
      <c r="AQ57" s="157">
        <f t="shared" si="40"/>
        <v>619</v>
      </c>
      <c r="AR57" s="157">
        <f t="shared" si="40"/>
        <v>9266</v>
      </c>
      <c r="AS57" s="167">
        <f t="shared" si="15"/>
        <v>0.11571342564720048</v>
      </c>
      <c r="AT57" s="164">
        <f t="shared" si="16"/>
        <v>4196</v>
      </c>
      <c r="AU57" s="165">
        <f t="shared" si="17"/>
        <v>0.13579059280883787</v>
      </c>
    </row>
    <row r="58" spans="2:47" outlineLevel="1" x14ac:dyDescent="0.35">
      <c r="B58" s="294" t="s">
        <v>118</v>
      </c>
      <c r="C58" s="62" t="s">
        <v>141</v>
      </c>
      <c r="D58" s="157">
        <f t="shared" si="31"/>
        <v>351</v>
      </c>
      <c r="E58" s="157">
        <f t="shared" si="31"/>
        <v>2088</v>
      </c>
      <c r="F58" s="157">
        <f t="shared" si="31"/>
        <v>703</v>
      </c>
      <c r="G58" s="157">
        <f t="shared" si="31"/>
        <v>2791</v>
      </c>
      <c r="H58" s="160">
        <f t="shared" si="1"/>
        <v>0.33668582375478928</v>
      </c>
      <c r="I58" s="157">
        <f t="shared" si="32"/>
        <v>458</v>
      </c>
      <c r="J58" s="157">
        <f t="shared" si="32"/>
        <v>3249</v>
      </c>
      <c r="K58" s="160">
        <f t="shared" si="3"/>
        <v>0.1640988892869939</v>
      </c>
      <c r="L58" s="157">
        <f t="shared" si="33"/>
        <v>192</v>
      </c>
      <c r="M58" s="157">
        <f t="shared" si="34"/>
        <v>3441</v>
      </c>
      <c r="N58" s="160">
        <f t="shared" si="6"/>
        <v>5.9095106186518927E-2</v>
      </c>
      <c r="O58" s="157">
        <f t="shared" si="41"/>
        <v>176</v>
      </c>
      <c r="P58" s="157">
        <f t="shared" si="35"/>
        <v>3617</v>
      </c>
      <c r="Q58" s="160">
        <f t="shared" si="19"/>
        <v>5.1147922115664053E-2</v>
      </c>
      <c r="R58" s="164">
        <f t="shared" si="20"/>
        <v>1880</v>
      </c>
      <c r="S58" s="165">
        <f t="shared" si="21"/>
        <v>0.14724058850965549</v>
      </c>
      <c r="U58" s="158">
        <f t="shared" si="36"/>
        <v>196</v>
      </c>
      <c r="V58" s="157">
        <f t="shared" si="36"/>
        <v>196</v>
      </c>
      <c r="W58" s="157">
        <f t="shared" si="36"/>
        <v>0</v>
      </c>
      <c r="X58" s="157">
        <f t="shared" si="36"/>
        <v>3813</v>
      </c>
      <c r="Y58" s="167">
        <f t="shared" si="10"/>
        <v>5.4188554050317944E-2</v>
      </c>
      <c r="Z58" s="158">
        <f t="shared" si="37"/>
        <v>217</v>
      </c>
      <c r="AA58" s="157">
        <f t="shared" si="37"/>
        <v>217</v>
      </c>
      <c r="AB58" s="157">
        <f t="shared" si="37"/>
        <v>0</v>
      </c>
      <c r="AC58" s="157">
        <f t="shared" si="37"/>
        <v>4030</v>
      </c>
      <c r="AD58" s="167">
        <f t="shared" si="11"/>
        <v>5.6910569105691054E-2</v>
      </c>
      <c r="AE58" s="158">
        <f t="shared" si="38"/>
        <v>227</v>
      </c>
      <c r="AF58" s="157">
        <f t="shared" si="38"/>
        <v>227</v>
      </c>
      <c r="AG58" s="157">
        <f t="shared" si="38"/>
        <v>0</v>
      </c>
      <c r="AH58" s="157">
        <f t="shared" si="38"/>
        <v>4257</v>
      </c>
      <c r="AI58" s="167">
        <f t="shared" si="12"/>
        <v>5.6327543424317617E-2</v>
      </c>
      <c r="AJ58" s="158">
        <f t="shared" si="39"/>
        <v>198</v>
      </c>
      <c r="AK58" s="157">
        <f t="shared" si="39"/>
        <v>198</v>
      </c>
      <c r="AL58" s="157">
        <f t="shared" si="39"/>
        <v>0</v>
      </c>
      <c r="AM58" s="157">
        <f t="shared" si="39"/>
        <v>4455</v>
      </c>
      <c r="AN58" s="167">
        <f t="shared" si="13"/>
        <v>4.6511627906976744E-2</v>
      </c>
      <c r="AO58" s="158">
        <f t="shared" si="40"/>
        <v>172</v>
      </c>
      <c r="AP58" s="157">
        <f t="shared" si="40"/>
        <v>156</v>
      </c>
      <c r="AQ58" s="157">
        <f t="shared" si="40"/>
        <v>16</v>
      </c>
      <c r="AR58" s="157">
        <f t="shared" si="40"/>
        <v>4627</v>
      </c>
      <c r="AS58" s="167">
        <f t="shared" si="15"/>
        <v>3.8608305274971944E-2</v>
      </c>
      <c r="AT58" s="164">
        <f t="shared" si="16"/>
        <v>1010</v>
      </c>
      <c r="AU58" s="165">
        <f t="shared" si="17"/>
        <v>4.9562181551523254E-2</v>
      </c>
    </row>
    <row r="59" spans="2:47" outlineLevel="1" x14ac:dyDescent="0.35">
      <c r="B59" s="294" t="s">
        <v>119</v>
      </c>
      <c r="C59" s="62" t="s">
        <v>141</v>
      </c>
      <c r="D59" s="157">
        <f t="shared" si="31"/>
        <v>0</v>
      </c>
      <c r="E59" s="157">
        <f t="shared" si="31"/>
        <v>7</v>
      </c>
      <c r="F59" s="157">
        <f t="shared" si="31"/>
        <v>1</v>
      </c>
      <c r="G59" s="157">
        <f t="shared" si="31"/>
        <v>8</v>
      </c>
      <c r="H59" s="160">
        <f t="shared" si="1"/>
        <v>0.14285714285714285</v>
      </c>
      <c r="I59" s="157">
        <f t="shared" si="32"/>
        <v>3</v>
      </c>
      <c r="J59" s="157">
        <f t="shared" si="32"/>
        <v>11</v>
      </c>
      <c r="K59" s="160">
        <f t="shared" si="3"/>
        <v>0.375</v>
      </c>
      <c r="L59" s="157">
        <f t="shared" si="33"/>
        <v>-1</v>
      </c>
      <c r="M59" s="157">
        <f t="shared" si="34"/>
        <v>10</v>
      </c>
      <c r="N59" s="160">
        <f t="shared" si="6"/>
        <v>-9.0909090909090912E-2</v>
      </c>
      <c r="O59" s="157">
        <f t="shared" si="41"/>
        <v>0</v>
      </c>
      <c r="P59" s="157">
        <f t="shared" si="35"/>
        <v>10</v>
      </c>
      <c r="Q59" s="160">
        <f t="shared" si="19"/>
        <v>0</v>
      </c>
      <c r="R59" s="164">
        <f t="shared" si="20"/>
        <v>3</v>
      </c>
      <c r="S59" s="165">
        <f t="shared" si="21"/>
        <v>9.3265113929093424E-2</v>
      </c>
      <c r="U59" s="158">
        <f t="shared" si="36"/>
        <v>0</v>
      </c>
      <c r="V59" s="157">
        <f t="shared" si="36"/>
        <v>0</v>
      </c>
      <c r="W59" s="157">
        <f t="shared" si="36"/>
        <v>0</v>
      </c>
      <c r="X59" s="157">
        <f t="shared" si="36"/>
        <v>10</v>
      </c>
      <c r="Y59" s="167">
        <f t="shared" si="10"/>
        <v>0</v>
      </c>
      <c r="Z59" s="158">
        <f t="shared" si="37"/>
        <v>0</v>
      </c>
      <c r="AA59" s="157">
        <f t="shared" si="37"/>
        <v>0</v>
      </c>
      <c r="AB59" s="157">
        <f t="shared" si="37"/>
        <v>0</v>
      </c>
      <c r="AC59" s="157">
        <f t="shared" si="37"/>
        <v>10</v>
      </c>
      <c r="AD59" s="167">
        <f t="shared" si="11"/>
        <v>0</v>
      </c>
      <c r="AE59" s="158">
        <f t="shared" si="38"/>
        <v>0</v>
      </c>
      <c r="AF59" s="157">
        <f t="shared" si="38"/>
        <v>0</v>
      </c>
      <c r="AG59" s="157">
        <f t="shared" si="38"/>
        <v>0</v>
      </c>
      <c r="AH59" s="157">
        <f t="shared" si="38"/>
        <v>10</v>
      </c>
      <c r="AI59" s="167">
        <f t="shared" si="12"/>
        <v>0</v>
      </c>
      <c r="AJ59" s="158">
        <f t="shared" si="39"/>
        <v>0</v>
      </c>
      <c r="AK59" s="157">
        <f t="shared" si="39"/>
        <v>0</v>
      </c>
      <c r="AL59" s="157">
        <f t="shared" si="39"/>
        <v>0</v>
      </c>
      <c r="AM59" s="157">
        <f t="shared" si="39"/>
        <v>10</v>
      </c>
      <c r="AN59" s="167">
        <f t="shared" si="13"/>
        <v>0</v>
      </c>
      <c r="AO59" s="158">
        <f t="shared" si="40"/>
        <v>0</v>
      </c>
      <c r="AP59" s="157">
        <f t="shared" si="40"/>
        <v>0</v>
      </c>
      <c r="AQ59" s="157">
        <f t="shared" si="40"/>
        <v>0</v>
      </c>
      <c r="AR59" s="157">
        <f t="shared" si="40"/>
        <v>10</v>
      </c>
      <c r="AS59" s="167">
        <f t="shared" si="15"/>
        <v>0</v>
      </c>
      <c r="AT59" s="164">
        <f t="shared" si="16"/>
        <v>0</v>
      </c>
      <c r="AU59" s="165">
        <f t="shared" si="17"/>
        <v>0</v>
      </c>
    </row>
    <row r="60" spans="2:47" outlineLevel="1" x14ac:dyDescent="0.35">
      <c r="B60" s="294" t="s">
        <v>120</v>
      </c>
      <c r="C60" s="62" t="s">
        <v>141</v>
      </c>
      <c r="D60" s="157">
        <f t="shared" si="31"/>
        <v>519</v>
      </c>
      <c r="E60" s="157">
        <f t="shared" si="31"/>
        <v>5061</v>
      </c>
      <c r="F60" s="157">
        <f t="shared" si="31"/>
        <v>593</v>
      </c>
      <c r="G60" s="157">
        <f t="shared" si="31"/>
        <v>5654</v>
      </c>
      <c r="H60" s="160">
        <f t="shared" si="1"/>
        <v>0.11717051966014622</v>
      </c>
      <c r="I60" s="157">
        <f t="shared" si="32"/>
        <v>651</v>
      </c>
      <c r="J60" s="157">
        <f t="shared" si="32"/>
        <v>6305</v>
      </c>
      <c r="K60" s="160">
        <f t="shared" si="3"/>
        <v>0.11513972408914043</v>
      </c>
      <c r="L60" s="157">
        <f t="shared" si="33"/>
        <v>385</v>
      </c>
      <c r="M60" s="157">
        <f t="shared" si="34"/>
        <v>6690</v>
      </c>
      <c r="N60" s="160">
        <f t="shared" si="6"/>
        <v>6.1062648691514669E-2</v>
      </c>
      <c r="O60" s="157">
        <f t="shared" si="41"/>
        <v>327</v>
      </c>
      <c r="P60" s="157">
        <f t="shared" si="35"/>
        <v>7017</v>
      </c>
      <c r="Q60" s="160">
        <f t="shared" si="19"/>
        <v>4.8878923766816143E-2</v>
      </c>
      <c r="R60" s="164">
        <f t="shared" si="20"/>
        <v>2475</v>
      </c>
      <c r="S60" s="165">
        <f t="shared" si="21"/>
        <v>8.5122540327941421E-2</v>
      </c>
      <c r="U60" s="158">
        <f t="shared" si="36"/>
        <v>500</v>
      </c>
      <c r="V60" s="157">
        <f t="shared" si="36"/>
        <v>495</v>
      </c>
      <c r="W60" s="157">
        <f t="shared" si="36"/>
        <v>5</v>
      </c>
      <c r="X60" s="157">
        <f t="shared" si="36"/>
        <v>7517</v>
      </c>
      <c r="Y60" s="167">
        <f t="shared" si="10"/>
        <v>7.1255522302978477E-2</v>
      </c>
      <c r="Z60" s="158">
        <f t="shared" si="37"/>
        <v>597</v>
      </c>
      <c r="AA60" s="157">
        <f t="shared" si="37"/>
        <v>547</v>
      </c>
      <c r="AB60" s="157">
        <f t="shared" si="37"/>
        <v>50</v>
      </c>
      <c r="AC60" s="157">
        <f t="shared" si="37"/>
        <v>8114</v>
      </c>
      <c r="AD60" s="167">
        <f t="shared" si="11"/>
        <v>7.9419981375548759E-2</v>
      </c>
      <c r="AE60" s="158">
        <f t="shared" si="38"/>
        <v>687</v>
      </c>
      <c r="AF60" s="157">
        <f t="shared" si="38"/>
        <v>574</v>
      </c>
      <c r="AG60" s="157">
        <f t="shared" si="38"/>
        <v>113</v>
      </c>
      <c r="AH60" s="157">
        <f t="shared" si="38"/>
        <v>8801</v>
      </c>
      <c r="AI60" s="167">
        <f t="shared" si="12"/>
        <v>8.4668474242050776E-2</v>
      </c>
      <c r="AJ60" s="158">
        <f t="shared" si="39"/>
        <v>628</v>
      </c>
      <c r="AK60" s="157">
        <f t="shared" si="39"/>
        <v>503</v>
      </c>
      <c r="AL60" s="157">
        <f t="shared" si="39"/>
        <v>125</v>
      </c>
      <c r="AM60" s="157">
        <f t="shared" si="39"/>
        <v>9429</v>
      </c>
      <c r="AN60" s="167">
        <f t="shared" si="13"/>
        <v>7.1355527780933986E-2</v>
      </c>
      <c r="AO60" s="158">
        <f t="shared" si="40"/>
        <v>551</v>
      </c>
      <c r="AP60" s="157">
        <f t="shared" si="40"/>
        <v>397</v>
      </c>
      <c r="AQ60" s="157">
        <f t="shared" si="40"/>
        <v>154</v>
      </c>
      <c r="AR60" s="157">
        <f t="shared" si="40"/>
        <v>9980</v>
      </c>
      <c r="AS60" s="167">
        <f t="shared" si="15"/>
        <v>5.8436737724042849E-2</v>
      </c>
      <c r="AT60" s="164">
        <f t="shared" si="16"/>
        <v>2963</v>
      </c>
      <c r="AU60" s="165">
        <f t="shared" si="17"/>
        <v>7.3424485898017089E-2</v>
      </c>
    </row>
    <row r="61" spans="2:47" outlineLevel="1" x14ac:dyDescent="0.35">
      <c r="B61" s="294" t="s">
        <v>121</v>
      </c>
      <c r="C61" s="62" t="s">
        <v>141</v>
      </c>
      <c r="D61" s="157">
        <f t="shared" si="31"/>
        <v>106</v>
      </c>
      <c r="E61" s="157">
        <f t="shared" si="31"/>
        <v>489</v>
      </c>
      <c r="F61" s="157">
        <f t="shared" si="31"/>
        <v>182</v>
      </c>
      <c r="G61" s="157">
        <f t="shared" si="31"/>
        <v>671</v>
      </c>
      <c r="H61" s="160">
        <f t="shared" si="1"/>
        <v>0.3721881390593047</v>
      </c>
      <c r="I61" s="157">
        <f t="shared" si="32"/>
        <v>316</v>
      </c>
      <c r="J61" s="157">
        <f t="shared" si="32"/>
        <v>987</v>
      </c>
      <c r="K61" s="160">
        <f t="shared" si="3"/>
        <v>0.47093889716840537</v>
      </c>
      <c r="L61" s="157">
        <f t="shared" si="33"/>
        <v>226</v>
      </c>
      <c r="M61" s="157">
        <f t="shared" si="34"/>
        <v>1213</v>
      </c>
      <c r="N61" s="160">
        <f t="shared" si="6"/>
        <v>0.22897669706180346</v>
      </c>
      <c r="O61" s="157">
        <f t="shared" si="41"/>
        <v>91</v>
      </c>
      <c r="P61" s="157">
        <f t="shared" si="35"/>
        <v>1304</v>
      </c>
      <c r="Q61" s="160">
        <f t="shared" si="19"/>
        <v>7.5020610057708159E-2</v>
      </c>
      <c r="R61" s="164">
        <f t="shared" si="20"/>
        <v>921</v>
      </c>
      <c r="S61" s="165">
        <f t="shared" si="21"/>
        <v>0.27788620849254486</v>
      </c>
      <c r="U61" s="158">
        <f t="shared" si="36"/>
        <v>159</v>
      </c>
      <c r="V61" s="157">
        <f t="shared" si="36"/>
        <v>150</v>
      </c>
      <c r="W61" s="157">
        <f t="shared" si="36"/>
        <v>9</v>
      </c>
      <c r="X61" s="157">
        <f t="shared" si="36"/>
        <v>1463</v>
      </c>
      <c r="Y61" s="167">
        <f t="shared" si="10"/>
        <v>0.12193251533742332</v>
      </c>
      <c r="Z61" s="158">
        <f t="shared" si="37"/>
        <v>215</v>
      </c>
      <c r="AA61" s="157">
        <f t="shared" si="37"/>
        <v>166</v>
      </c>
      <c r="AB61" s="157">
        <f t="shared" si="37"/>
        <v>49</v>
      </c>
      <c r="AC61" s="157">
        <f t="shared" si="37"/>
        <v>1678</v>
      </c>
      <c r="AD61" s="167">
        <f t="shared" si="11"/>
        <v>0.1469583048530417</v>
      </c>
      <c r="AE61" s="158">
        <f t="shared" si="38"/>
        <v>281</v>
      </c>
      <c r="AF61" s="157">
        <f t="shared" si="38"/>
        <v>175</v>
      </c>
      <c r="AG61" s="157">
        <f t="shared" si="38"/>
        <v>106</v>
      </c>
      <c r="AH61" s="157">
        <f t="shared" si="38"/>
        <v>1959</v>
      </c>
      <c r="AI61" s="167">
        <f t="shared" si="12"/>
        <v>0.16746126340882003</v>
      </c>
      <c r="AJ61" s="158">
        <f t="shared" si="39"/>
        <v>281</v>
      </c>
      <c r="AK61" s="157">
        <f t="shared" si="39"/>
        <v>153</v>
      </c>
      <c r="AL61" s="157">
        <f t="shared" si="39"/>
        <v>128</v>
      </c>
      <c r="AM61" s="157">
        <f t="shared" si="39"/>
        <v>2240</v>
      </c>
      <c r="AN61" s="167">
        <f t="shared" si="13"/>
        <v>0.14344053088310363</v>
      </c>
      <c r="AO61" s="158">
        <f t="shared" si="40"/>
        <v>307</v>
      </c>
      <c r="AP61" s="157">
        <f t="shared" si="40"/>
        <v>121</v>
      </c>
      <c r="AQ61" s="157">
        <f t="shared" si="40"/>
        <v>186</v>
      </c>
      <c r="AR61" s="157">
        <f t="shared" si="40"/>
        <v>2547</v>
      </c>
      <c r="AS61" s="167">
        <f t="shared" si="15"/>
        <v>0.13705357142857144</v>
      </c>
      <c r="AT61" s="164">
        <f t="shared" si="16"/>
        <v>1243</v>
      </c>
      <c r="AU61" s="165">
        <f t="shared" si="17"/>
        <v>0.14867231703186334</v>
      </c>
    </row>
    <row r="62" spans="2:47" outlineLevel="1" x14ac:dyDescent="0.35">
      <c r="B62" s="294" t="s">
        <v>137</v>
      </c>
      <c r="C62" s="62" t="s">
        <v>141</v>
      </c>
      <c r="D62" s="157">
        <f t="shared" ref="D62:G67" si="42">D124+D185+D246+D315+D376</f>
        <v>0</v>
      </c>
      <c r="E62" s="157">
        <f t="shared" si="42"/>
        <v>0</v>
      </c>
      <c r="F62" s="157">
        <f t="shared" si="42"/>
        <v>0</v>
      </c>
      <c r="G62" s="157">
        <f t="shared" si="42"/>
        <v>0</v>
      </c>
      <c r="H62" s="160">
        <f t="shared" si="1"/>
        <v>0</v>
      </c>
      <c r="I62" s="157">
        <f t="shared" ref="I62:J67" si="43">I124+I185+I246+I315+I376</f>
        <v>0</v>
      </c>
      <c r="J62" s="157">
        <f t="shared" si="43"/>
        <v>0</v>
      </c>
      <c r="K62" s="160">
        <f t="shared" si="3"/>
        <v>0</v>
      </c>
      <c r="L62" s="157">
        <f t="shared" ref="L62:L67" si="44">L124+L185+L246+L315+L376</f>
        <v>0</v>
      </c>
      <c r="M62" s="157">
        <f t="shared" si="34"/>
        <v>0</v>
      </c>
      <c r="N62" s="160">
        <f t="shared" si="6"/>
        <v>0</v>
      </c>
      <c r="O62" s="157">
        <f t="shared" si="41"/>
        <v>0</v>
      </c>
      <c r="P62" s="157">
        <f t="shared" si="35"/>
        <v>0</v>
      </c>
      <c r="Q62" s="160">
        <f t="shared" si="19"/>
        <v>0</v>
      </c>
      <c r="R62" s="164">
        <f t="shared" si="20"/>
        <v>0</v>
      </c>
      <c r="S62" s="165">
        <f t="shared" si="21"/>
        <v>0</v>
      </c>
      <c r="U62" s="158">
        <f t="shared" ref="U62:X67" si="45">U124+U185+U246+U315+U376</f>
        <v>0</v>
      </c>
      <c r="V62" s="157">
        <f t="shared" si="45"/>
        <v>0</v>
      </c>
      <c r="W62" s="157">
        <f t="shared" si="45"/>
        <v>0</v>
      </c>
      <c r="X62" s="157">
        <f t="shared" si="45"/>
        <v>0</v>
      </c>
      <c r="Y62" s="167">
        <f t="shared" si="10"/>
        <v>0</v>
      </c>
      <c r="Z62" s="158">
        <f t="shared" ref="Z62:AC67" si="46">Z124+Z185+Z246+Z315+Z376</f>
        <v>0</v>
      </c>
      <c r="AA62" s="157">
        <f t="shared" si="46"/>
        <v>0</v>
      </c>
      <c r="AB62" s="157">
        <f t="shared" si="46"/>
        <v>0</v>
      </c>
      <c r="AC62" s="157">
        <f t="shared" si="46"/>
        <v>0</v>
      </c>
      <c r="AD62" s="167">
        <f t="shared" si="11"/>
        <v>0</v>
      </c>
      <c r="AE62" s="158">
        <f t="shared" ref="AE62:AH67" si="47">AE124+AE185+AE246+AE315+AE376</f>
        <v>0</v>
      </c>
      <c r="AF62" s="157">
        <f t="shared" si="47"/>
        <v>0</v>
      </c>
      <c r="AG62" s="157">
        <f t="shared" si="47"/>
        <v>0</v>
      </c>
      <c r="AH62" s="157">
        <f t="shared" si="47"/>
        <v>0</v>
      </c>
      <c r="AI62" s="167">
        <f t="shared" si="12"/>
        <v>0</v>
      </c>
      <c r="AJ62" s="158">
        <f t="shared" ref="AJ62:AM67" si="48">AJ124+AJ185+AJ246+AJ315+AJ376</f>
        <v>0</v>
      </c>
      <c r="AK62" s="157">
        <f t="shared" si="48"/>
        <v>0</v>
      </c>
      <c r="AL62" s="157">
        <f t="shared" si="48"/>
        <v>0</v>
      </c>
      <c r="AM62" s="157">
        <f t="shared" si="48"/>
        <v>0</v>
      </c>
      <c r="AN62" s="167">
        <f t="shared" si="13"/>
        <v>0</v>
      </c>
      <c r="AO62" s="158">
        <f t="shared" ref="AO62:AR67" si="49">AO124+AO185+AO246+AO315+AO376</f>
        <v>0</v>
      </c>
      <c r="AP62" s="157">
        <f t="shared" si="49"/>
        <v>0</v>
      </c>
      <c r="AQ62" s="157">
        <f t="shared" si="49"/>
        <v>0</v>
      </c>
      <c r="AR62" s="157">
        <f t="shared" si="49"/>
        <v>0</v>
      </c>
      <c r="AS62" s="167">
        <f t="shared" si="15"/>
        <v>0</v>
      </c>
      <c r="AT62" s="164">
        <f t="shared" si="16"/>
        <v>0</v>
      </c>
      <c r="AU62" s="165">
        <f t="shared" si="17"/>
        <v>0</v>
      </c>
    </row>
    <row r="63" spans="2:47" outlineLevel="1" x14ac:dyDescent="0.35">
      <c r="B63" s="294" t="s">
        <v>123</v>
      </c>
      <c r="C63" s="62" t="s">
        <v>141</v>
      </c>
      <c r="D63" s="157">
        <f t="shared" si="42"/>
        <v>268</v>
      </c>
      <c r="E63" s="157">
        <f t="shared" si="42"/>
        <v>3239</v>
      </c>
      <c r="F63" s="157">
        <f t="shared" si="42"/>
        <v>414</v>
      </c>
      <c r="G63" s="157">
        <f t="shared" si="42"/>
        <v>3653</v>
      </c>
      <c r="H63" s="160">
        <f t="shared" si="1"/>
        <v>0.127817227539364</v>
      </c>
      <c r="I63" s="157">
        <f t="shared" si="43"/>
        <v>357</v>
      </c>
      <c r="J63" s="157">
        <f t="shared" si="43"/>
        <v>4010</v>
      </c>
      <c r="K63" s="160">
        <f t="shared" si="3"/>
        <v>9.7727894880919791E-2</v>
      </c>
      <c r="L63" s="157">
        <f t="shared" si="44"/>
        <v>286</v>
      </c>
      <c r="M63" s="157">
        <f t="shared" si="34"/>
        <v>4296</v>
      </c>
      <c r="N63" s="160">
        <f t="shared" si="6"/>
        <v>7.1321695760598505E-2</v>
      </c>
      <c r="O63" s="157">
        <f t="shared" si="41"/>
        <v>148</v>
      </c>
      <c r="P63" s="157">
        <f t="shared" si="35"/>
        <v>4444</v>
      </c>
      <c r="Q63" s="160">
        <f t="shared" si="19"/>
        <v>3.4450651769087522E-2</v>
      </c>
      <c r="R63" s="164">
        <f t="shared" si="20"/>
        <v>1473</v>
      </c>
      <c r="S63" s="165">
        <f t="shared" si="21"/>
        <v>8.2282847388881697E-2</v>
      </c>
      <c r="U63" s="158">
        <f t="shared" si="45"/>
        <v>236</v>
      </c>
      <c r="V63" s="157">
        <f t="shared" si="45"/>
        <v>235</v>
      </c>
      <c r="W63" s="157">
        <f t="shared" si="45"/>
        <v>1</v>
      </c>
      <c r="X63" s="157">
        <f t="shared" si="45"/>
        <v>4680</v>
      </c>
      <c r="Y63" s="167">
        <f t="shared" si="10"/>
        <v>5.3105310531053107E-2</v>
      </c>
      <c r="Z63" s="158">
        <f t="shared" si="46"/>
        <v>278</v>
      </c>
      <c r="AA63" s="157">
        <f t="shared" si="46"/>
        <v>262</v>
      </c>
      <c r="AB63" s="157">
        <f t="shared" si="46"/>
        <v>16</v>
      </c>
      <c r="AC63" s="157">
        <f t="shared" si="46"/>
        <v>4958</v>
      </c>
      <c r="AD63" s="167">
        <f t="shared" si="11"/>
        <v>5.9401709401709399E-2</v>
      </c>
      <c r="AE63" s="158">
        <f t="shared" si="47"/>
        <v>332</v>
      </c>
      <c r="AF63" s="157">
        <f t="shared" si="47"/>
        <v>275</v>
      </c>
      <c r="AG63" s="157">
        <f t="shared" si="47"/>
        <v>57</v>
      </c>
      <c r="AH63" s="157">
        <f t="shared" si="47"/>
        <v>5290</v>
      </c>
      <c r="AI63" s="167">
        <f t="shared" si="12"/>
        <v>6.6962484872932632E-2</v>
      </c>
      <c r="AJ63" s="158">
        <f t="shared" si="48"/>
        <v>301</v>
      </c>
      <c r="AK63" s="157">
        <f t="shared" si="48"/>
        <v>241</v>
      </c>
      <c r="AL63" s="157">
        <f t="shared" si="48"/>
        <v>60</v>
      </c>
      <c r="AM63" s="157">
        <f t="shared" si="48"/>
        <v>5591</v>
      </c>
      <c r="AN63" s="167">
        <f t="shared" si="13"/>
        <v>5.6899810964083176E-2</v>
      </c>
      <c r="AO63" s="158">
        <f t="shared" si="49"/>
        <v>261</v>
      </c>
      <c r="AP63" s="157">
        <f t="shared" si="49"/>
        <v>190</v>
      </c>
      <c r="AQ63" s="157">
        <f t="shared" si="49"/>
        <v>71</v>
      </c>
      <c r="AR63" s="157">
        <f t="shared" si="49"/>
        <v>5852</v>
      </c>
      <c r="AS63" s="167">
        <f t="shared" si="15"/>
        <v>4.6682167769629759E-2</v>
      </c>
      <c r="AT63" s="164">
        <f t="shared" si="16"/>
        <v>1408</v>
      </c>
      <c r="AU63" s="165">
        <f t="shared" si="17"/>
        <v>5.7461625468773647E-2</v>
      </c>
    </row>
    <row r="64" spans="2:47" outlineLevel="1" x14ac:dyDescent="0.35">
      <c r="B64" s="294" t="s">
        <v>124</v>
      </c>
      <c r="C64" s="62" t="s">
        <v>141</v>
      </c>
      <c r="D64" s="157">
        <f t="shared" si="42"/>
        <v>31</v>
      </c>
      <c r="E64" s="157">
        <f t="shared" si="42"/>
        <v>40</v>
      </c>
      <c r="F64" s="157">
        <f t="shared" si="42"/>
        <v>48</v>
      </c>
      <c r="G64" s="157">
        <f t="shared" si="42"/>
        <v>88</v>
      </c>
      <c r="H64" s="160">
        <f t="shared" si="1"/>
        <v>1.2</v>
      </c>
      <c r="I64" s="157">
        <f t="shared" si="43"/>
        <v>30</v>
      </c>
      <c r="J64" s="157">
        <f t="shared" si="43"/>
        <v>118</v>
      </c>
      <c r="K64" s="160">
        <f t="shared" si="3"/>
        <v>0.34090909090909088</v>
      </c>
      <c r="L64" s="157">
        <f t="shared" si="44"/>
        <v>19</v>
      </c>
      <c r="M64" s="157">
        <f t="shared" si="34"/>
        <v>137</v>
      </c>
      <c r="N64" s="160">
        <f t="shared" si="6"/>
        <v>0.16101694915254236</v>
      </c>
      <c r="O64" s="157">
        <f t="shared" si="41"/>
        <v>5</v>
      </c>
      <c r="P64" s="157">
        <f t="shared" si="35"/>
        <v>142</v>
      </c>
      <c r="Q64" s="160">
        <f t="shared" si="19"/>
        <v>3.6496350364963501E-2</v>
      </c>
      <c r="R64" s="164">
        <f t="shared" si="20"/>
        <v>133</v>
      </c>
      <c r="S64" s="165">
        <f t="shared" si="21"/>
        <v>0.37264138366205368</v>
      </c>
      <c r="U64" s="158">
        <f t="shared" si="45"/>
        <v>9</v>
      </c>
      <c r="V64" s="157">
        <f t="shared" si="45"/>
        <v>9</v>
      </c>
      <c r="W64" s="157">
        <f t="shared" si="45"/>
        <v>0</v>
      </c>
      <c r="X64" s="157">
        <f t="shared" si="45"/>
        <v>151</v>
      </c>
      <c r="Y64" s="167">
        <f t="shared" si="10"/>
        <v>6.3380281690140844E-2</v>
      </c>
      <c r="Z64" s="158">
        <f t="shared" si="46"/>
        <v>8</v>
      </c>
      <c r="AA64" s="157">
        <f t="shared" si="46"/>
        <v>8</v>
      </c>
      <c r="AB64" s="157">
        <f t="shared" si="46"/>
        <v>0</v>
      </c>
      <c r="AC64" s="157">
        <f t="shared" si="46"/>
        <v>159</v>
      </c>
      <c r="AD64" s="167">
        <f t="shared" si="11"/>
        <v>5.2980132450331126E-2</v>
      </c>
      <c r="AE64" s="158">
        <f t="shared" si="47"/>
        <v>9</v>
      </c>
      <c r="AF64" s="157">
        <f t="shared" si="47"/>
        <v>9</v>
      </c>
      <c r="AG64" s="157">
        <f t="shared" si="47"/>
        <v>0</v>
      </c>
      <c r="AH64" s="157">
        <f t="shared" si="47"/>
        <v>168</v>
      </c>
      <c r="AI64" s="167">
        <f t="shared" si="12"/>
        <v>5.6603773584905662E-2</v>
      </c>
      <c r="AJ64" s="158">
        <f t="shared" si="48"/>
        <v>8</v>
      </c>
      <c r="AK64" s="157">
        <f t="shared" si="48"/>
        <v>8</v>
      </c>
      <c r="AL64" s="157">
        <f t="shared" si="48"/>
        <v>0</v>
      </c>
      <c r="AM64" s="157">
        <f t="shared" si="48"/>
        <v>176</v>
      </c>
      <c r="AN64" s="167">
        <f t="shared" si="13"/>
        <v>4.7619047619047616E-2</v>
      </c>
      <c r="AO64" s="158">
        <f t="shared" si="49"/>
        <v>6</v>
      </c>
      <c r="AP64" s="157">
        <f t="shared" si="49"/>
        <v>6</v>
      </c>
      <c r="AQ64" s="157">
        <f t="shared" si="49"/>
        <v>0</v>
      </c>
      <c r="AR64" s="157">
        <f t="shared" si="49"/>
        <v>182</v>
      </c>
      <c r="AS64" s="167">
        <f t="shared" si="15"/>
        <v>3.4090909090909088E-2</v>
      </c>
      <c r="AT64" s="164">
        <f t="shared" si="16"/>
        <v>40</v>
      </c>
      <c r="AU64" s="165">
        <f t="shared" si="17"/>
        <v>4.7788458099667697E-2</v>
      </c>
    </row>
    <row r="65" spans="2:47" outlineLevel="1" x14ac:dyDescent="0.35">
      <c r="B65" s="294" t="s">
        <v>125</v>
      </c>
      <c r="C65" s="62" t="s">
        <v>141</v>
      </c>
      <c r="D65" s="157">
        <f t="shared" si="42"/>
        <v>124</v>
      </c>
      <c r="E65" s="157">
        <f t="shared" si="42"/>
        <v>819</v>
      </c>
      <c r="F65" s="157">
        <f t="shared" si="42"/>
        <v>142</v>
      </c>
      <c r="G65" s="157">
        <f t="shared" si="42"/>
        <v>961</v>
      </c>
      <c r="H65" s="160">
        <f t="shared" si="1"/>
        <v>0.17338217338217338</v>
      </c>
      <c r="I65" s="157">
        <f t="shared" si="43"/>
        <v>192</v>
      </c>
      <c r="J65" s="157">
        <f t="shared" si="43"/>
        <v>1153</v>
      </c>
      <c r="K65" s="160">
        <f t="shared" si="3"/>
        <v>0.19979188345473464</v>
      </c>
      <c r="L65" s="157">
        <f t="shared" si="44"/>
        <v>82</v>
      </c>
      <c r="M65" s="157">
        <f t="shared" si="34"/>
        <v>1235</v>
      </c>
      <c r="N65" s="160">
        <f t="shared" si="6"/>
        <v>7.1118820468343447E-2</v>
      </c>
      <c r="O65" s="157">
        <f t="shared" si="41"/>
        <v>64</v>
      </c>
      <c r="P65" s="157">
        <f t="shared" si="35"/>
        <v>1299</v>
      </c>
      <c r="Q65" s="160">
        <f t="shared" si="19"/>
        <v>5.1821862348178135E-2</v>
      </c>
      <c r="R65" s="164">
        <f t="shared" si="20"/>
        <v>604</v>
      </c>
      <c r="S65" s="165">
        <f t="shared" si="21"/>
        <v>0.12222854786263015</v>
      </c>
      <c r="U65" s="158">
        <f t="shared" si="45"/>
        <v>101</v>
      </c>
      <c r="V65" s="157">
        <f t="shared" si="45"/>
        <v>99</v>
      </c>
      <c r="W65" s="157">
        <f t="shared" si="45"/>
        <v>2</v>
      </c>
      <c r="X65" s="157">
        <f t="shared" si="45"/>
        <v>1400</v>
      </c>
      <c r="Y65" s="167">
        <f t="shared" si="10"/>
        <v>7.7752117013086985E-2</v>
      </c>
      <c r="Z65" s="158">
        <f t="shared" si="46"/>
        <v>116</v>
      </c>
      <c r="AA65" s="157">
        <f t="shared" si="46"/>
        <v>109</v>
      </c>
      <c r="AB65" s="157">
        <f t="shared" si="46"/>
        <v>7</v>
      </c>
      <c r="AC65" s="157">
        <f t="shared" si="46"/>
        <v>1516</v>
      </c>
      <c r="AD65" s="167">
        <f t="shared" si="11"/>
        <v>8.2857142857142851E-2</v>
      </c>
      <c r="AE65" s="158">
        <f t="shared" si="47"/>
        <v>125</v>
      </c>
      <c r="AF65" s="157">
        <f t="shared" si="47"/>
        <v>114</v>
      </c>
      <c r="AG65" s="157">
        <f t="shared" si="47"/>
        <v>11</v>
      </c>
      <c r="AH65" s="157">
        <f t="shared" si="47"/>
        <v>1641</v>
      </c>
      <c r="AI65" s="167">
        <f t="shared" si="12"/>
        <v>8.2453825857519786E-2</v>
      </c>
      <c r="AJ65" s="158">
        <f t="shared" si="48"/>
        <v>113</v>
      </c>
      <c r="AK65" s="157">
        <f t="shared" si="48"/>
        <v>100</v>
      </c>
      <c r="AL65" s="157">
        <f t="shared" si="48"/>
        <v>13</v>
      </c>
      <c r="AM65" s="157">
        <f t="shared" si="48"/>
        <v>1754</v>
      </c>
      <c r="AN65" s="167">
        <f t="shared" si="13"/>
        <v>6.8860450944546014E-2</v>
      </c>
      <c r="AO65" s="158">
        <f t="shared" si="49"/>
        <v>88</v>
      </c>
      <c r="AP65" s="157">
        <f t="shared" si="49"/>
        <v>78</v>
      </c>
      <c r="AQ65" s="157">
        <f t="shared" si="49"/>
        <v>10</v>
      </c>
      <c r="AR65" s="157">
        <f t="shared" si="49"/>
        <v>1842</v>
      </c>
      <c r="AS65" s="167">
        <f t="shared" si="15"/>
        <v>5.0171037628278223E-2</v>
      </c>
      <c r="AT65" s="164">
        <f t="shared" si="16"/>
        <v>543</v>
      </c>
      <c r="AU65" s="165">
        <f t="shared" si="17"/>
        <v>7.1002285342254945E-2</v>
      </c>
    </row>
    <row r="66" spans="2:47" outlineLevel="1" x14ac:dyDescent="0.35">
      <c r="B66" s="294" t="s">
        <v>126</v>
      </c>
      <c r="C66" s="62" t="s">
        <v>141</v>
      </c>
      <c r="D66" s="157">
        <f t="shared" si="42"/>
        <v>515</v>
      </c>
      <c r="E66" s="157">
        <f t="shared" si="42"/>
        <v>4064</v>
      </c>
      <c r="F66" s="157">
        <f t="shared" si="42"/>
        <v>851</v>
      </c>
      <c r="G66" s="157">
        <f t="shared" si="42"/>
        <v>4915</v>
      </c>
      <c r="H66" s="160">
        <f t="shared" si="1"/>
        <v>0.20939960629921259</v>
      </c>
      <c r="I66" s="157">
        <f t="shared" si="43"/>
        <v>1170</v>
      </c>
      <c r="J66" s="157">
        <f t="shared" si="43"/>
        <v>6085</v>
      </c>
      <c r="K66" s="160">
        <f t="shared" si="3"/>
        <v>0.2380467955239064</v>
      </c>
      <c r="L66" s="157">
        <f t="shared" si="44"/>
        <v>465</v>
      </c>
      <c r="M66" s="157">
        <f t="shared" si="34"/>
        <v>6550</v>
      </c>
      <c r="N66" s="160">
        <f t="shared" si="6"/>
        <v>7.641741988496302E-2</v>
      </c>
      <c r="O66" s="157">
        <f t="shared" si="41"/>
        <v>407</v>
      </c>
      <c r="P66" s="157">
        <f t="shared" si="35"/>
        <v>6957</v>
      </c>
      <c r="Q66" s="160">
        <f t="shared" si="19"/>
        <v>6.2137404580152669E-2</v>
      </c>
      <c r="R66" s="164">
        <f t="shared" si="20"/>
        <v>3408</v>
      </c>
      <c r="S66" s="165">
        <f t="shared" si="21"/>
        <v>0.143844731080639</v>
      </c>
      <c r="U66" s="158">
        <f t="shared" si="45"/>
        <v>549</v>
      </c>
      <c r="V66" s="157">
        <f t="shared" si="45"/>
        <v>533</v>
      </c>
      <c r="W66" s="157">
        <f t="shared" si="45"/>
        <v>16</v>
      </c>
      <c r="X66" s="157">
        <f t="shared" si="45"/>
        <v>7506</v>
      </c>
      <c r="Y66" s="167">
        <f t="shared" si="10"/>
        <v>7.8913324708926258E-2</v>
      </c>
      <c r="Z66" s="158">
        <f t="shared" si="46"/>
        <v>665</v>
      </c>
      <c r="AA66" s="157">
        <f t="shared" si="46"/>
        <v>589</v>
      </c>
      <c r="AB66" s="157">
        <f t="shared" si="46"/>
        <v>76</v>
      </c>
      <c r="AC66" s="157">
        <f t="shared" si="46"/>
        <v>8171</v>
      </c>
      <c r="AD66" s="167">
        <f t="shared" si="11"/>
        <v>8.8595790034638952E-2</v>
      </c>
      <c r="AE66" s="158">
        <f t="shared" si="47"/>
        <v>726</v>
      </c>
      <c r="AF66" s="157">
        <f t="shared" si="47"/>
        <v>618</v>
      </c>
      <c r="AG66" s="157">
        <f t="shared" si="47"/>
        <v>108</v>
      </c>
      <c r="AH66" s="157">
        <f t="shared" si="47"/>
        <v>8897</v>
      </c>
      <c r="AI66" s="167">
        <f t="shared" si="12"/>
        <v>8.8850813853873459E-2</v>
      </c>
      <c r="AJ66" s="158">
        <f t="shared" si="48"/>
        <v>625</v>
      </c>
      <c r="AK66" s="157">
        <f t="shared" si="48"/>
        <v>541</v>
      </c>
      <c r="AL66" s="157">
        <f t="shared" si="48"/>
        <v>84</v>
      </c>
      <c r="AM66" s="157">
        <f t="shared" si="48"/>
        <v>9522</v>
      </c>
      <c r="AN66" s="167">
        <f t="shared" si="13"/>
        <v>7.0248398336517928E-2</v>
      </c>
      <c r="AO66" s="158">
        <f t="shared" si="49"/>
        <v>539</v>
      </c>
      <c r="AP66" s="157">
        <f t="shared" si="49"/>
        <v>427</v>
      </c>
      <c r="AQ66" s="157">
        <f t="shared" si="49"/>
        <v>112</v>
      </c>
      <c r="AR66" s="157">
        <f t="shared" si="49"/>
        <v>10061</v>
      </c>
      <c r="AS66" s="167">
        <f t="shared" si="15"/>
        <v>5.6605755093467762E-2</v>
      </c>
      <c r="AT66" s="164">
        <f t="shared" si="16"/>
        <v>3104</v>
      </c>
      <c r="AU66" s="165">
        <f t="shared" si="17"/>
        <v>7.5989782255328375E-2</v>
      </c>
    </row>
    <row r="67" spans="2:47" outlineLevel="1" x14ac:dyDescent="0.35">
      <c r="B67" s="294" t="s">
        <v>127</v>
      </c>
      <c r="C67" s="62" t="s">
        <v>141</v>
      </c>
      <c r="D67" s="157">
        <f t="shared" si="42"/>
        <v>0</v>
      </c>
      <c r="E67" s="157">
        <f t="shared" si="42"/>
        <v>1</v>
      </c>
      <c r="F67" s="157">
        <f t="shared" si="42"/>
        <v>0</v>
      </c>
      <c r="G67" s="157">
        <f t="shared" si="42"/>
        <v>1</v>
      </c>
      <c r="H67" s="160">
        <f t="shared" si="1"/>
        <v>0</v>
      </c>
      <c r="I67" s="157">
        <f t="shared" si="43"/>
        <v>0</v>
      </c>
      <c r="J67" s="157">
        <f t="shared" si="43"/>
        <v>1</v>
      </c>
      <c r="K67" s="160">
        <f t="shared" si="3"/>
        <v>0</v>
      </c>
      <c r="L67" s="157">
        <f t="shared" si="44"/>
        <v>0</v>
      </c>
      <c r="M67" s="157">
        <f t="shared" si="34"/>
        <v>1</v>
      </c>
      <c r="N67" s="160">
        <f t="shared" si="6"/>
        <v>0</v>
      </c>
      <c r="O67" s="157">
        <f t="shared" si="41"/>
        <v>0</v>
      </c>
      <c r="P67" s="157">
        <f t="shared" si="35"/>
        <v>1</v>
      </c>
      <c r="Q67" s="160">
        <f t="shared" si="19"/>
        <v>0</v>
      </c>
      <c r="R67" s="164">
        <f t="shared" si="20"/>
        <v>0</v>
      </c>
      <c r="S67" s="165">
        <f t="shared" si="21"/>
        <v>0</v>
      </c>
      <c r="U67" s="158">
        <f t="shared" si="45"/>
        <v>1</v>
      </c>
      <c r="V67" s="157">
        <f t="shared" si="45"/>
        <v>1</v>
      </c>
      <c r="W67" s="157">
        <f t="shared" si="45"/>
        <v>0</v>
      </c>
      <c r="X67" s="157">
        <f t="shared" si="45"/>
        <v>2</v>
      </c>
      <c r="Y67" s="167">
        <f t="shared" si="10"/>
        <v>1</v>
      </c>
      <c r="Z67" s="158">
        <f t="shared" si="46"/>
        <v>0</v>
      </c>
      <c r="AA67" s="157">
        <f t="shared" si="46"/>
        <v>0</v>
      </c>
      <c r="AB67" s="157">
        <f t="shared" si="46"/>
        <v>0</v>
      </c>
      <c r="AC67" s="157">
        <f t="shared" si="46"/>
        <v>2</v>
      </c>
      <c r="AD67" s="167">
        <f t="shared" si="11"/>
        <v>0</v>
      </c>
      <c r="AE67" s="158">
        <f t="shared" si="47"/>
        <v>0</v>
      </c>
      <c r="AF67" s="157">
        <f t="shared" si="47"/>
        <v>0</v>
      </c>
      <c r="AG67" s="157">
        <f t="shared" si="47"/>
        <v>0</v>
      </c>
      <c r="AH67" s="157">
        <f t="shared" si="47"/>
        <v>2</v>
      </c>
      <c r="AI67" s="167">
        <f t="shared" si="12"/>
        <v>0</v>
      </c>
      <c r="AJ67" s="158">
        <f t="shared" si="48"/>
        <v>0</v>
      </c>
      <c r="AK67" s="157">
        <f t="shared" si="48"/>
        <v>0</v>
      </c>
      <c r="AL67" s="157">
        <f t="shared" si="48"/>
        <v>0</v>
      </c>
      <c r="AM67" s="157">
        <f t="shared" si="48"/>
        <v>2</v>
      </c>
      <c r="AN67" s="167">
        <f t="shared" si="13"/>
        <v>0</v>
      </c>
      <c r="AO67" s="158">
        <f t="shared" si="49"/>
        <v>0</v>
      </c>
      <c r="AP67" s="157">
        <f t="shared" si="49"/>
        <v>0</v>
      </c>
      <c r="AQ67" s="157">
        <f t="shared" si="49"/>
        <v>0</v>
      </c>
      <c r="AR67" s="157">
        <f t="shared" si="49"/>
        <v>2</v>
      </c>
      <c r="AS67" s="167">
        <f t="shared" si="15"/>
        <v>0</v>
      </c>
      <c r="AT67" s="164">
        <f t="shared" si="16"/>
        <v>1</v>
      </c>
      <c r="AU67" s="165">
        <f t="shared" si="17"/>
        <v>0</v>
      </c>
    </row>
    <row r="68" spans="2:47" s="245" customFormat="1" ht="15" customHeight="1" outlineLevel="1" x14ac:dyDescent="0.35">
      <c r="B68" s="246" t="s">
        <v>138</v>
      </c>
      <c r="C68" s="247" t="s">
        <v>141</v>
      </c>
      <c r="D68" s="248">
        <f>SUM(D14:D67)</f>
        <v>14713</v>
      </c>
      <c r="E68" s="248">
        <f t="shared" ref="E68:P68" si="50">SUM(E14:E67)</f>
        <v>135028</v>
      </c>
      <c r="F68" s="248">
        <f t="shared" si="50"/>
        <v>20461</v>
      </c>
      <c r="G68" s="248">
        <f t="shared" si="50"/>
        <v>155489</v>
      </c>
      <c r="H68" s="250">
        <f>IFERROR((G68-E68)/E68,0)</f>
        <v>0.15153153420031401</v>
      </c>
      <c r="I68" s="248">
        <f t="shared" si="50"/>
        <v>20111</v>
      </c>
      <c r="J68" s="248">
        <f t="shared" si="50"/>
        <v>175600</v>
      </c>
      <c r="K68" s="250">
        <f t="shared" si="3"/>
        <v>0.12934033918798116</v>
      </c>
      <c r="L68" s="248">
        <f t="shared" si="50"/>
        <v>10915</v>
      </c>
      <c r="M68" s="248">
        <f t="shared" si="50"/>
        <v>186515</v>
      </c>
      <c r="N68" s="250">
        <f t="shared" si="6"/>
        <v>6.2158314350797265E-2</v>
      </c>
      <c r="O68" s="248">
        <f t="shared" si="50"/>
        <v>8201</v>
      </c>
      <c r="P68" s="248">
        <f t="shared" si="50"/>
        <v>194716</v>
      </c>
      <c r="Q68" s="250">
        <f>IFERROR((P68-M68)/M68,0)</f>
        <v>4.3969653915234698E-2</v>
      </c>
      <c r="R68" s="251">
        <f>D68+F68+I68+L68+O68</f>
        <v>74401</v>
      </c>
      <c r="S68" s="252">
        <f>IFERROR((P68/E68)^(1/4)-1,0)</f>
        <v>9.5833192800404587E-2</v>
      </c>
      <c r="U68" s="248">
        <f t="shared" ref="U68:AR68" si="51">SUM(U14:U67)</f>
        <v>13887</v>
      </c>
      <c r="V68" s="248">
        <f t="shared" si="51"/>
        <v>13341</v>
      </c>
      <c r="W68" s="248">
        <f t="shared" si="51"/>
        <v>546</v>
      </c>
      <c r="X68" s="248">
        <f t="shared" si="51"/>
        <v>208603</v>
      </c>
      <c r="Y68" s="250">
        <f>IFERROR((X68-P68)/P68,0)</f>
        <v>7.131925470942295E-2</v>
      </c>
      <c r="Z68" s="248">
        <f t="shared" si="51"/>
        <v>17925</v>
      </c>
      <c r="AA68" s="248">
        <f t="shared" si="51"/>
        <v>14725</v>
      </c>
      <c r="AB68" s="248">
        <f t="shared" si="51"/>
        <v>3200</v>
      </c>
      <c r="AC68" s="248">
        <f t="shared" si="51"/>
        <v>226528</v>
      </c>
      <c r="AD68" s="250">
        <f t="shared" si="11"/>
        <v>8.592877379519949E-2</v>
      </c>
      <c r="AE68" s="248">
        <f t="shared" si="51"/>
        <v>21524</v>
      </c>
      <c r="AF68" s="248">
        <f t="shared" si="51"/>
        <v>15437</v>
      </c>
      <c r="AG68" s="248">
        <f t="shared" si="51"/>
        <v>6087</v>
      </c>
      <c r="AH68" s="248">
        <f t="shared" si="51"/>
        <v>248052</v>
      </c>
      <c r="AI68" s="250">
        <f t="shared" si="12"/>
        <v>9.5016951546828654E-2</v>
      </c>
      <c r="AJ68" s="248">
        <f t="shared" si="51"/>
        <v>20635</v>
      </c>
      <c r="AK68" s="248">
        <f t="shared" si="51"/>
        <v>13521</v>
      </c>
      <c r="AL68" s="248">
        <f t="shared" si="51"/>
        <v>7114</v>
      </c>
      <c r="AM68" s="248">
        <f t="shared" si="51"/>
        <v>268687</v>
      </c>
      <c r="AN68" s="250">
        <f t="shared" si="13"/>
        <v>8.318820247367488E-2</v>
      </c>
      <c r="AO68" s="248">
        <f t="shared" si="51"/>
        <v>18372</v>
      </c>
      <c r="AP68" s="248">
        <f t="shared" si="51"/>
        <v>10655</v>
      </c>
      <c r="AQ68" s="248">
        <f t="shared" si="51"/>
        <v>7717</v>
      </c>
      <c r="AR68" s="248">
        <f t="shared" si="51"/>
        <v>287059</v>
      </c>
      <c r="AS68" s="250">
        <f t="shared" si="15"/>
        <v>6.8376959063892184E-2</v>
      </c>
      <c r="AT68" s="248">
        <f>SUM(AT14:AT67)</f>
        <v>92343</v>
      </c>
      <c r="AU68" s="252">
        <f t="shared" si="17"/>
        <v>8.3085282409684158E-2</v>
      </c>
    </row>
    <row r="69" spans="2:47" ht="15" customHeight="1" x14ac:dyDescent="0.35">
      <c r="O69" s="52"/>
    </row>
    <row r="70" spans="2:47" ht="15" customHeight="1" x14ac:dyDescent="0.35">
      <c r="O70" s="52"/>
    </row>
    <row r="71" spans="2:47" ht="15.5" x14ac:dyDescent="0.35">
      <c r="B71" s="419" t="s">
        <v>133</v>
      </c>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c r="AJ71" s="419"/>
      <c r="AK71" s="419"/>
      <c r="AL71" s="419"/>
      <c r="AM71" s="419"/>
      <c r="AN71" s="419"/>
      <c r="AO71" s="419"/>
      <c r="AP71" s="419"/>
      <c r="AQ71" s="419"/>
      <c r="AR71" s="419"/>
      <c r="AS71" s="419"/>
      <c r="AT71" s="419"/>
      <c r="AU71" s="419"/>
    </row>
    <row r="72" spans="2:47" ht="5.9" customHeight="1" outlineLevel="1" x14ac:dyDescent="0.35">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row>
    <row r="73" spans="2:47" outlineLevel="1" x14ac:dyDescent="0.35">
      <c r="B73" s="462"/>
      <c r="C73" s="465" t="s">
        <v>134</v>
      </c>
      <c r="D73" s="435" t="s">
        <v>169</v>
      </c>
      <c r="E73" s="436"/>
      <c r="F73" s="436"/>
      <c r="G73" s="436"/>
      <c r="H73" s="436"/>
      <c r="I73" s="436"/>
      <c r="J73" s="436"/>
      <c r="K73" s="436"/>
      <c r="L73" s="436"/>
      <c r="M73" s="436"/>
      <c r="N73" s="436"/>
      <c r="O73" s="436"/>
      <c r="P73" s="436"/>
      <c r="Q73" s="437"/>
      <c r="R73" s="431" t="str">
        <f xml:space="preserve"> D74&amp;" - "&amp;O74</f>
        <v>2019 - 2023</v>
      </c>
      <c r="S73" s="456"/>
      <c r="U73" s="435" t="s">
        <v>170</v>
      </c>
      <c r="V73" s="436"/>
      <c r="W73" s="436"/>
      <c r="X73" s="436"/>
      <c r="Y73" s="436"/>
      <c r="Z73" s="436"/>
      <c r="AA73" s="436"/>
      <c r="AB73" s="436"/>
      <c r="AC73" s="436"/>
      <c r="AD73" s="436"/>
      <c r="AE73" s="436"/>
      <c r="AF73" s="436"/>
      <c r="AG73" s="436"/>
      <c r="AH73" s="436"/>
      <c r="AI73" s="436"/>
      <c r="AJ73" s="436"/>
      <c r="AK73" s="436"/>
      <c r="AL73" s="436"/>
      <c r="AM73" s="436"/>
      <c r="AN73" s="436"/>
      <c r="AO73" s="436"/>
      <c r="AP73" s="436"/>
      <c r="AQ73" s="436"/>
      <c r="AR73" s="436"/>
      <c r="AS73" s="436"/>
      <c r="AT73" s="436"/>
      <c r="AU73" s="437"/>
    </row>
    <row r="74" spans="2:47" outlineLevel="1" x14ac:dyDescent="0.35">
      <c r="B74" s="463"/>
      <c r="C74" s="465"/>
      <c r="D74" s="435">
        <f>$C$3-5</f>
        <v>2019</v>
      </c>
      <c r="E74" s="437"/>
      <c r="F74" s="435">
        <f>$C$3-4</f>
        <v>2020</v>
      </c>
      <c r="G74" s="436"/>
      <c r="H74" s="437"/>
      <c r="I74" s="435">
        <f>$C$3-3</f>
        <v>2021</v>
      </c>
      <c r="J74" s="436"/>
      <c r="K74" s="437"/>
      <c r="L74" s="435">
        <f>$C$3-2</f>
        <v>2022</v>
      </c>
      <c r="M74" s="436"/>
      <c r="N74" s="437"/>
      <c r="O74" s="435">
        <f>$C$3-1</f>
        <v>2023</v>
      </c>
      <c r="P74" s="436"/>
      <c r="Q74" s="437"/>
      <c r="R74" s="433"/>
      <c r="S74" s="457"/>
      <c r="U74" s="435">
        <f>$C$3</f>
        <v>2024</v>
      </c>
      <c r="V74" s="436"/>
      <c r="W74" s="436"/>
      <c r="X74" s="436"/>
      <c r="Y74" s="437"/>
      <c r="Z74" s="435">
        <f>$C$3+1</f>
        <v>2025</v>
      </c>
      <c r="AA74" s="436"/>
      <c r="AB74" s="436"/>
      <c r="AC74" s="436"/>
      <c r="AD74" s="437"/>
      <c r="AE74" s="435">
        <f>$C$3+2</f>
        <v>2026</v>
      </c>
      <c r="AF74" s="436"/>
      <c r="AG74" s="436"/>
      <c r="AH74" s="436"/>
      <c r="AI74" s="437"/>
      <c r="AJ74" s="435">
        <f>$C$3+3</f>
        <v>2027</v>
      </c>
      <c r="AK74" s="436"/>
      <c r="AL74" s="436"/>
      <c r="AM74" s="436"/>
      <c r="AN74" s="437"/>
      <c r="AO74" s="435">
        <f>$C$3+4</f>
        <v>2028</v>
      </c>
      <c r="AP74" s="436"/>
      <c r="AQ74" s="436"/>
      <c r="AR74" s="436"/>
      <c r="AS74" s="437"/>
      <c r="AT74" s="439" t="str">
        <f>U74&amp;" - "&amp;AO74</f>
        <v>2024 - 2028</v>
      </c>
      <c r="AU74" s="458"/>
    </row>
    <row r="75" spans="2:47" ht="43.5" outlineLevel="1" x14ac:dyDescent="0.35">
      <c r="B75" s="464"/>
      <c r="C75" s="465"/>
      <c r="D75" s="66" t="s">
        <v>192</v>
      </c>
      <c r="E75" s="67" t="s">
        <v>193</v>
      </c>
      <c r="F75" s="66" t="s">
        <v>192</v>
      </c>
      <c r="G75" s="9" t="s">
        <v>193</v>
      </c>
      <c r="H75" s="67" t="s">
        <v>173</v>
      </c>
      <c r="I75" s="66" t="s">
        <v>192</v>
      </c>
      <c r="J75" s="9" t="s">
        <v>193</v>
      </c>
      <c r="K75" s="67" t="s">
        <v>173</v>
      </c>
      <c r="L75" s="66" t="s">
        <v>192</v>
      </c>
      <c r="M75" s="9" t="s">
        <v>193</v>
      </c>
      <c r="N75" s="67" t="s">
        <v>173</v>
      </c>
      <c r="O75" s="66" t="s">
        <v>192</v>
      </c>
      <c r="P75" s="9" t="s">
        <v>193</v>
      </c>
      <c r="Q75" s="67" t="s">
        <v>173</v>
      </c>
      <c r="R75" s="66" t="s">
        <v>164</v>
      </c>
      <c r="S75" s="134" t="s">
        <v>174</v>
      </c>
      <c r="U75" s="66" t="s">
        <v>192</v>
      </c>
      <c r="V75" s="105" t="s">
        <v>202</v>
      </c>
      <c r="W75" s="105" t="s">
        <v>203</v>
      </c>
      <c r="X75" s="9" t="s">
        <v>193</v>
      </c>
      <c r="Y75" s="67" t="s">
        <v>173</v>
      </c>
      <c r="Z75" s="66" t="s">
        <v>192</v>
      </c>
      <c r="AA75" s="105" t="s">
        <v>202</v>
      </c>
      <c r="AB75" s="105" t="s">
        <v>203</v>
      </c>
      <c r="AC75" s="9" t="s">
        <v>193</v>
      </c>
      <c r="AD75" s="67" t="s">
        <v>173</v>
      </c>
      <c r="AE75" s="66" t="s">
        <v>192</v>
      </c>
      <c r="AF75" s="105" t="s">
        <v>202</v>
      </c>
      <c r="AG75" s="105" t="s">
        <v>203</v>
      </c>
      <c r="AH75" s="9" t="s">
        <v>193</v>
      </c>
      <c r="AI75" s="67" t="s">
        <v>173</v>
      </c>
      <c r="AJ75" s="66" t="s">
        <v>192</v>
      </c>
      <c r="AK75" s="105" t="s">
        <v>202</v>
      </c>
      <c r="AL75" s="105" t="s">
        <v>203</v>
      </c>
      <c r="AM75" s="9" t="s">
        <v>193</v>
      </c>
      <c r="AN75" s="67" t="s">
        <v>173</v>
      </c>
      <c r="AO75" s="66" t="s">
        <v>192</v>
      </c>
      <c r="AP75" s="105" t="s">
        <v>202</v>
      </c>
      <c r="AQ75" s="105" t="s">
        <v>203</v>
      </c>
      <c r="AR75" s="9" t="s">
        <v>193</v>
      </c>
      <c r="AS75" s="67" t="s">
        <v>173</v>
      </c>
      <c r="AT75" s="66" t="s">
        <v>164</v>
      </c>
      <c r="AU75" s="134" t="s">
        <v>174</v>
      </c>
    </row>
    <row r="76" spans="2:47" outlineLevel="1" x14ac:dyDescent="0.35">
      <c r="B76" s="48" t="s">
        <v>74</v>
      </c>
      <c r="C76" s="62" t="s">
        <v>141</v>
      </c>
      <c r="D76" s="70">
        <v>83</v>
      </c>
      <c r="E76" s="71">
        <v>897</v>
      </c>
      <c r="F76" s="70">
        <v>91</v>
      </c>
      <c r="G76" s="4">
        <v>988</v>
      </c>
      <c r="H76" s="167">
        <f t="shared" ref="H76:H129" si="52">IFERROR((G76-E76)/E76,0)</f>
        <v>0.10144927536231885</v>
      </c>
      <c r="I76" s="70">
        <v>76</v>
      </c>
      <c r="J76" s="4">
        <v>1064</v>
      </c>
      <c r="K76" s="167">
        <f t="shared" ref="K76:K130" si="53">IFERROR((J76-G76)/G76,0)</f>
        <v>7.6923076923076927E-2</v>
      </c>
      <c r="L76" s="70">
        <v>35</v>
      </c>
      <c r="M76" s="4">
        <v>1099</v>
      </c>
      <c r="N76" s="167">
        <f t="shared" ref="N76:N107" si="54">IFERROR((M76-J76)/J76,0)</f>
        <v>3.2894736842105261E-2</v>
      </c>
      <c r="O76" s="70">
        <v>11</v>
      </c>
      <c r="P76" s="4">
        <v>1110</v>
      </c>
      <c r="Q76" s="167">
        <f t="shared" ref="Q76:Q107" si="55">IFERROR((P76-M76)/M76,0)</f>
        <v>1.0009099181073703E-2</v>
      </c>
      <c r="R76" s="164">
        <f>D76+F76+I76+L76+O76</f>
        <v>296</v>
      </c>
      <c r="S76" s="165">
        <f t="shared" ref="S76:S107" si="56">IFERROR((P76/E76)^(1/4)-1,0)</f>
        <v>5.4708956298843869E-2</v>
      </c>
      <c r="U76" s="170">
        <f>V76+W76</f>
        <v>42</v>
      </c>
      <c r="V76" s="6">
        <v>42</v>
      </c>
      <c r="W76" s="6">
        <v>0</v>
      </c>
      <c r="X76" s="138">
        <f t="shared" ref="X76:X107" si="57">P76+U76</f>
        <v>1152</v>
      </c>
      <c r="Y76" s="167">
        <f t="shared" ref="Y76:Y107" si="58">IFERROR((X76-P76)/P76,0)</f>
        <v>3.783783783783784E-2</v>
      </c>
      <c r="Z76" s="170">
        <f>AA76+AB76</f>
        <v>97</v>
      </c>
      <c r="AA76" s="6">
        <v>47</v>
      </c>
      <c r="AB76" s="6">
        <v>50</v>
      </c>
      <c r="AC76" s="138">
        <f t="shared" ref="AC76:AC129" si="59">X76+Z76</f>
        <v>1249</v>
      </c>
      <c r="AD76" s="160">
        <f t="shared" ref="AD76:AD130" si="60">IFERROR((AC76-X76)/X76,0)</f>
        <v>8.4201388888888895E-2</v>
      </c>
      <c r="AE76" s="170">
        <f>AF76+AG76</f>
        <v>170</v>
      </c>
      <c r="AF76" s="6">
        <v>49</v>
      </c>
      <c r="AG76" s="6">
        <v>121</v>
      </c>
      <c r="AH76" s="138">
        <f t="shared" ref="AH76:AH129" si="61">AC76+AE76</f>
        <v>1419</v>
      </c>
      <c r="AI76" s="160">
        <f t="shared" ref="AI76:AI130" si="62">IFERROR((AH76-AC76)/AC76,0)</f>
        <v>0.13610888710968774</v>
      </c>
      <c r="AJ76" s="170">
        <f>AK76+AL76</f>
        <v>158</v>
      </c>
      <c r="AK76" s="6">
        <v>43</v>
      </c>
      <c r="AL76" s="6">
        <v>115</v>
      </c>
      <c r="AM76" s="138">
        <f t="shared" ref="AM76:AM129" si="63">AH76+AJ76</f>
        <v>1577</v>
      </c>
      <c r="AN76" s="160">
        <f t="shared" ref="AN76:AN130" si="64">IFERROR((AM76-AH76)/AH76,0)</f>
        <v>0.1113460183227625</v>
      </c>
      <c r="AO76" s="170">
        <f>AP76+AQ76</f>
        <v>126</v>
      </c>
      <c r="AP76" s="6">
        <v>34</v>
      </c>
      <c r="AQ76" s="6">
        <v>92</v>
      </c>
      <c r="AR76" s="138">
        <f t="shared" ref="AR76:AR129" si="65">AM76+AO76</f>
        <v>1703</v>
      </c>
      <c r="AS76" s="160">
        <f t="shared" ref="AS76:AS130" si="66">IFERROR((AR76-AM76)/AM76,0)</f>
        <v>7.9898541534559289E-2</v>
      </c>
      <c r="AT76" s="164">
        <f t="shared" ref="AT76:AT129" si="67">U76+Z76+AE76+AJ76+AO76</f>
        <v>593</v>
      </c>
      <c r="AU76" s="165">
        <f t="shared" ref="AU76:AU130" si="68">IFERROR((AR76/X76)^(1/4)-1,0)</f>
        <v>0.10265726245794049</v>
      </c>
    </row>
    <row r="77" spans="2:47" outlineLevel="1" x14ac:dyDescent="0.35">
      <c r="B77" s="48" t="s">
        <v>75</v>
      </c>
      <c r="C77" s="62" t="s">
        <v>141</v>
      </c>
      <c r="D77" s="70">
        <v>654</v>
      </c>
      <c r="E77" s="71">
        <v>4455</v>
      </c>
      <c r="F77" s="70">
        <v>1055</v>
      </c>
      <c r="G77" s="4">
        <v>5510</v>
      </c>
      <c r="H77" s="167">
        <f t="shared" si="52"/>
        <v>0.23681257014590348</v>
      </c>
      <c r="I77" s="70">
        <v>899</v>
      </c>
      <c r="J77" s="4">
        <v>6409</v>
      </c>
      <c r="K77" s="167">
        <f t="shared" si="53"/>
        <v>0.16315789473684211</v>
      </c>
      <c r="L77" s="70">
        <v>540</v>
      </c>
      <c r="M77" s="4">
        <v>6949</v>
      </c>
      <c r="N77" s="167">
        <f t="shared" si="54"/>
        <v>8.4256514276798256E-2</v>
      </c>
      <c r="O77" s="70">
        <v>318</v>
      </c>
      <c r="P77" s="4">
        <v>7267</v>
      </c>
      <c r="Q77" s="167">
        <f t="shared" si="55"/>
        <v>4.5761980141027489E-2</v>
      </c>
      <c r="R77" s="164">
        <f t="shared" ref="R77:R129" si="69">D77+F77+I77+L77+O77</f>
        <v>3466</v>
      </c>
      <c r="S77" s="165">
        <f t="shared" si="56"/>
        <v>0.1301259906708776</v>
      </c>
      <c r="U77" s="170">
        <f t="shared" ref="U77:U129" si="70">V77+W77</f>
        <v>516</v>
      </c>
      <c r="V77" s="6">
        <v>514</v>
      </c>
      <c r="W77" s="6">
        <v>2</v>
      </c>
      <c r="X77" s="138">
        <f t="shared" si="57"/>
        <v>7783</v>
      </c>
      <c r="Y77" s="167">
        <f t="shared" si="58"/>
        <v>7.1005917159763315E-2</v>
      </c>
      <c r="Z77" s="170">
        <f>AA77+AB77</f>
        <v>655</v>
      </c>
      <c r="AA77" s="6">
        <v>570</v>
      </c>
      <c r="AB77" s="6">
        <v>85</v>
      </c>
      <c r="AC77" s="138">
        <f t="shared" si="59"/>
        <v>8438</v>
      </c>
      <c r="AD77" s="160">
        <f t="shared" si="60"/>
        <v>8.415777977643582E-2</v>
      </c>
      <c r="AE77" s="170">
        <f>AF77+AG77</f>
        <v>727</v>
      </c>
      <c r="AF77" s="6">
        <v>600</v>
      </c>
      <c r="AG77" s="6">
        <v>127</v>
      </c>
      <c r="AH77" s="138">
        <f t="shared" si="61"/>
        <v>9165</v>
      </c>
      <c r="AI77" s="160">
        <f t="shared" si="62"/>
        <v>8.6157857312159275E-2</v>
      </c>
      <c r="AJ77" s="170">
        <f>AK77+AL77</f>
        <v>652</v>
      </c>
      <c r="AK77" s="6">
        <v>526</v>
      </c>
      <c r="AL77" s="6">
        <v>126</v>
      </c>
      <c r="AM77" s="138">
        <f t="shared" si="63"/>
        <v>9817</v>
      </c>
      <c r="AN77" s="160">
        <f t="shared" si="64"/>
        <v>7.1140207310420076E-2</v>
      </c>
      <c r="AO77" s="170">
        <f>AP77+AQ77</f>
        <v>521</v>
      </c>
      <c r="AP77" s="6">
        <v>414</v>
      </c>
      <c r="AQ77" s="6">
        <v>107</v>
      </c>
      <c r="AR77" s="138">
        <f t="shared" si="65"/>
        <v>10338</v>
      </c>
      <c r="AS77" s="160">
        <f t="shared" si="66"/>
        <v>5.3071203015177752E-2</v>
      </c>
      <c r="AT77" s="164">
        <f t="shared" si="67"/>
        <v>3071</v>
      </c>
      <c r="AU77" s="165">
        <f t="shared" si="68"/>
        <v>7.355024243828856E-2</v>
      </c>
    </row>
    <row r="78" spans="2:47" outlineLevel="1" x14ac:dyDescent="0.35">
      <c r="B78" s="48" t="s">
        <v>76</v>
      </c>
      <c r="C78" s="62" t="s">
        <v>141</v>
      </c>
      <c r="D78" s="70">
        <v>244</v>
      </c>
      <c r="E78" s="71">
        <v>1612</v>
      </c>
      <c r="F78" s="70">
        <v>261</v>
      </c>
      <c r="G78" s="4">
        <v>1873</v>
      </c>
      <c r="H78" s="167">
        <f t="shared" si="52"/>
        <v>0.16191066997518611</v>
      </c>
      <c r="I78" s="70">
        <v>362</v>
      </c>
      <c r="J78" s="4">
        <v>2235</v>
      </c>
      <c r="K78" s="167">
        <f t="shared" si="53"/>
        <v>0.19327282434596904</v>
      </c>
      <c r="L78" s="70">
        <v>221</v>
      </c>
      <c r="M78" s="4">
        <v>2456</v>
      </c>
      <c r="N78" s="167">
        <f t="shared" si="54"/>
        <v>9.888143176733781E-2</v>
      </c>
      <c r="O78" s="70">
        <v>140</v>
      </c>
      <c r="P78" s="4">
        <v>2596</v>
      </c>
      <c r="Q78" s="167">
        <f t="shared" si="55"/>
        <v>5.7003257328990226E-2</v>
      </c>
      <c r="R78" s="164">
        <f t="shared" si="69"/>
        <v>1228</v>
      </c>
      <c r="S78" s="165">
        <f t="shared" si="56"/>
        <v>0.12650964040203738</v>
      </c>
      <c r="U78" s="170">
        <f t="shared" si="70"/>
        <v>229</v>
      </c>
      <c r="V78" s="6">
        <v>220</v>
      </c>
      <c r="W78" s="6">
        <v>9</v>
      </c>
      <c r="X78" s="138">
        <f t="shared" si="57"/>
        <v>2825</v>
      </c>
      <c r="Y78" s="167">
        <f t="shared" si="58"/>
        <v>8.8212634822804309E-2</v>
      </c>
      <c r="Z78" s="170">
        <f t="shared" ref="Z78:Z129" si="71">AA78+AB78</f>
        <v>317</v>
      </c>
      <c r="AA78" s="6">
        <v>244</v>
      </c>
      <c r="AB78" s="6">
        <v>73</v>
      </c>
      <c r="AC78" s="138">
        <f t="shared" si="59"/>
        <v>3142</v>
      </c>
      <c r="AD78" s="160">
        <f t="shared" si="60"/>
        <v>0.11221238938053098</v>
      </c>
      <c r="AE78" s="170">
        <f t="shared" ref="AE78:AE129" si="72">AF78+AG78</f>
        <v>471</v>
      </c>
      <c r="AF78" s="6">
        <v>257</v>
      </c>
      <c r="AG78" s="6">
        <v>214</v>
      </c>
      <c r="AH78" s="138">
        <f t="shared" si="61"/>
        <v>3613</v>
      </c>
      <c r="AI78" s="160">
        <f t="shared" si="62"/>
        <v>0.14990451941438573</v>
      </c>
      <c r="AJ78" s="170">
        <f t="shared" ref="AJ78:AJ129" si="73">AK78+AL78</f>
        <v>479</v>
      </c>
      <c r="AK78" s="6">
        <v>226</v>
      </c>
      <c r="AL78" s="6">
        <v>253</v>
      </c>
      <c r="AM78" s="138">
        <f t="shared" si="63"/>
        <v>4092</v>
      </c>
      <c r="AN78" s="160">
        <f t="shared" si="64"/>
        <v>0.13257680597841129</v>
      </c>
      <c r="AO78" s="170">
        <f t="shared" ref="AO78:AO129" si="74">AP78+AQ78</f>
        <v>435</v>
      </c>
      <c r="AP78" s="6">
        <v>178</v>
      </c>
      <c r="AQ78" s="6">
        <v>257</v>
      </c>
      <c r="AR78" s="138">
        <f t="shared" si="65"/>
        <v>4527</v>
      </c>
      <c r="AS78" s="160">
        <f t="shared" si="66"/>
        <v>0.1063049853372434</v>
      </c>
      <c r="AT78" s="164">
        <f t="shared" si="67"/>
        <v>1931</v>
      </c>
      <c r="AU78" s="165">
        <f t="shared" si="68"/>
        <v>0.12511783901704443</v>
      </c>
    </row>
    <row r="79" spans="2:47" outlineLevel="1" x14ac:dyDescent="0.35">
      <c r="B79" s="48" t="s">
        <v>77</v>
      </c>
      <c r="C79" s="62" t="s">
        <v>141</v>
      </c>
      <c r="D79" s="70">
        <v>57</v>
      </c>
      <c r="E79" s="71">
        <v>354</v>
      </c>
      <c r="F79" s="70">
        <v>65</v>
      </c>
      <c r="G79" s="4">
        <v>419</v>
      </c>
      <c r="H79" s="167">
        <f t="shared" si="52"/>
        <v>0.18361581920903955</v>
      </c>
      <c r="I79" s="70">
        <v>94</v>
      </c>
      <c r="J79" s="4">
        <v>513</v>
      </c>
      <c r="K79" s="167">
        <f t="shared" si="53"/>
        <v>0.22434367541766109</v>
      </c>
      <c r="L79" s="70">
        <v>73</v>
      </c>
      <c r="M79" s="4">
        <v>586</v>
      </c>
      <c r="N79" s="167">
        <f t="shared" si="54"/>
        <v>0.14230019493177387</v>
      </c>
      <c r="O79" s="70">
        <v>24</v>
      </c>
      <c r="P79" s="4">
        <v>610</v>
      </c>
      <c r="Q79" s="167">
        <f t="shared" si="55"/>
        <v>4.0955631399317405E-2</v>
      </c>
      <c r="R79" s="164">
        <f t="shared" si="69"/>
        <v>313</v>
      </c>
      <c r="S79" s="165">
        <f t="shared" si="56"/>
        <v>0.14572830726379782</v>
      </c>
      <c r="U79" s="170">
        <f t="shared" si="70"/>
        <v>47</v>
      </c>
      <c r="V79" s="6">
        <v>47</v>
      </c>
      <c r="W79" s="6">
        <v>0</v>
      </c>
      <c r="X79" s="138">
        <f t="shared" si="57"/>
        <v>657</v>
      </c>
      <c r="Y79" s="167">
        <f t="shared" si="58"/>
        <v>7.7049180327868852E-2</v>
      </c>
      <c r="Z79" s="170">
        <f t="shared" si="71"/>
        <v>52</v>
      </c>
      <c r="AA79" s="6">
        <v>52</v>
      </c>
      <c r="AB79" s="6">
        <v>0</v>
      </c>
      <c r="AC79" s="138">
        <f t="shared" si="59"/>
        <v>709</v>
      </c>
      <c r="AD79" s="160">
        <f t="shared" si="60"/>
        <v>7.9147640791476404E-2</v>
      </c>
      <c r="AE79" s="170">
        <f t="shared" si="72"/>
        <v>71</v>
      </c>
      <c r="AF79" s="6">
        <v>55</v>
      </c>
      <c r="AG79" s="6">
        <v>16</v>
      </c>
      <c r="AH79" s="138">
        <f t="shared" si="61"/>
        <v>780</v>
      </c>
      <c r="AI79" s="160">
        <f t="shared" si="62"/>
        <v>0.1001410437235543</v>
      </c>
      <c r="AJ79" s="170">
        <f t="shared" si="73"/>
        <v>74</v>
      </c>
      <c r="AK79" s="6">
        <v>48</v>
      </c>
      <c r="AL79" s="6">
        <v>26</v>
      </c>
      <c r="AM79" s="138">
        <f t="shared" si="63"/>
        <v>854</v>
      </c>
      <c r="AN79" s="160">
        <f t="shared" si="64"/>
        <v>9.4871794871794868E-2</v>
      </c>
      <c r="AO79" s="170">
        <f t="shared" si="74"/>
        <v>58</v>
      </c>
      <c r="AP79" s="6">
        <v>38</v>
      </c>
      <c r="AQ79" s="6">
        <v>20</v>
      </c>
      <c r="AR79" s="138">
        <f t="shared" si="65"/>
        <v>912</v>
      </c>
      <c r="AS79" s="160">
        <f t="shared" si="66"/>
        <v>6.7915690866510545E-2</v>
      </c>
      <c r="AT79" s="164">
        <f t="shared" si="67"/>
        <v>302</v>
      </c>
      <c r="AU79" s="165">
        <f t="shared" si="68"/>
        <v>8.5443862171870055E-2</v>
      </c>
    </row>
    <row r="80" spans="2:47" outlineLevel="1" x14ac:dyDescent="0.35">
      <c r="B80" s="48" t="s">
        <v>78</v>
      </c>
      <c r="C80" s="62" t="s">
        <v>141</v>
      </c>
      <c r="D80" s="70">
        <v>2701</v>
      </c>
      <c r="E80" s="71">
        <v>28500</v>
      </c>
      <c r="F80" s="70">
        <v>3642</v>
      </c>
      <c r="G80" s="4">
        <v>32142</v>
      </c>
      <c r="H80" s="167">
        <f t="shared" si="52"/>
        <v>0.12778947368421054</v>
      </c>
      <c r="I80" s="70">
        <v>3060</v>
      </c>
      <c r="J80" s="4">
        <v>35202</v>
      </c>
      <c r="K80" s="167">
        <f t="shared" si="53"/>
        <v>9.5202538734366252E-2</v>
      </c>
      <c r="L80" s="70">
        <v>1923</v>
      </c>
      <c r="M80" s="4">
        <v>37125</v>
      </c>
      <c r="N80" s="167">
        <f t="shared" si="54"/>
        <v>5.4627577978523946E-2</v>
      </c>
      <c r="O80" s="70">
        <v>1630</v>
      </c>
      <c r="P80" s="4">
        <v>38755</v>
      </c>
      <c r="Q80" s="167">
        <f t="shared" si="55"/>
        <v>4.3905723905723906E-2</v>
      </c>
      <c r="R80" s="164">
        <f t="shared" si="69"/>
        <v>12956</v>
      </c>
      <c r="S80" s="165">
        <f t="shared" si="56"/>
        <v>7.9868120589466463E-2</v>
      </c>
      <c r="U80" s="170">
        <f t="shared" si="70"/>
        <v>2920</v>
      </c>
      <c r="V80" s="6">
        <v>2794</v>
      </c>
      <c r="W80" s="6">
        <v>126</v>
      </c>
      <c r="X80" s="138">
        <f t="shared" si="57"/>
        <v>41675</v>
      </c>
      <c r="Y80" s="167">
        <f t="shared" si="58"/>
        <v>7.5345116759127848E-2</v>
      </c>
      <c r="Z80" s="170">
        <f t="shared" si="71"/>
        <v>3590</v>
      </c>
      <c r="AA80" s="6">
        <v>3103</v>
      </c>
      <c r="AB80" s="6">
        <v>487</v>
      </c>
      <c r="AC80" s="138">
        <f t="shared" si="59"/>
        <v>45265</v>
      </c>
      <c r="AD80" s="160">
        <f t="shared" si="60"/>
        <v>8.6142771445710864E-2</v>
      </c>
      <c r="AE80" s="170">
        <f t="shared" si="72"/>
        <v>4111</v>
      </c>
      <c r="AF80" s="6">
        <v>3268</v>
      </c>
      <c r="AG80" s="6">
        <v>843</v>
      </c>
      <c r="AH80" s="138">
        <f t="shared" si="61"/>
        <v>49376</v>
      </c>
      <c r="AI80" s="160">
        <f t="shared" si="62"/>
        <v>9.0820722412459962E-2</v>
      </c>
      <c r="AJ80" s="170">
        <f t="shared" si="73"/>
        <v>4009</v>
      </c>
      <c r="AK80" s="6">
        <v>2868</v>
      </c>
      <c r="AL80" s="6">
        <v>1141</v>
      </c>
      <c r="AM80" s="138">
        <f t="shared" si="63"/>
        <v>53385</v>
      </c>
      <c r="AN80" s="160">
        <f t="shared" si="64"/>
        <v>8.1193292287751129E-2</v>
      </c>
      <c r="AO80" s="170">
        <f t="shared" si="74"/>
        <v>3513</v>
      </c>
      <c r="AP80" s="6">
        <v>2257</v>
      </c>
      <c r="AQ80" s="6">
        <v>1256</v>
      </c>
      <c r="AR80" s="138">
        <f t="shared" si="65"/>
        <v>56898</v>
      </c>
      <c r="AS80" s="160">
        <f t="shared" si="66"/>
        <v>6.5805001404889013E-2</v>
      </c>
      <c r="AT80" s="164">
        <f t="shared" si="67"/>
        <v>18143</v>
      </c>
      <c r="AU80" s="165">
        <f t="shared" si="68"/>
        <v>8.0949358461619436E-2</v>
      </c>
    </row>
    <row r="81" spans="2:47" outlineLevel="1" x14ac:dyDescent="0.35">
      <c r="B81" s="48" t="s">
        <v>79</v>
      </c>
      <c r="C81" s="62" t="s">
        <v>141</v>
      </c>
      <c r="D81" s="70">
        <v>389</v>
      </c>
      <c r="E81" s="71">
        <v>3642</v>
      </c>
      <c r="F81" s="70">
        <v>453</v>
      </c>
      <c r="G81" s="4">
        <v>4095</v>
      </c>
      <c r="H81" s="167">
        <f t="shared" si="52"/>
        <v>0.1243822075782537</v>
      </c>
      <c r="I81" s="70">
        <v>501</v>
      </c>
      <c r="J81" s="4">
        <v>4596</v>
      </c>
      <c r="K81" s="167">
        <f t="shared" si="53"/>
        <v>0.12234432234432234</v>
      </c>
      <c r="L81" s="70">
        <v>316</v>
      </c>
      <c r="M81" s="4">
        <v>4912</v>
      </c>
      <c r="N81" s="167">
        <f t="shared" si="54"/>
        <v>6.875543951261967E-2</v>
      </c>
      <c r="O81" s="70">
        <v>151</v>
      </c>
      <c r="P81" s="4">
        <v>5063</v>
      </c>
      <c r="Q81" s="167">
        <f t="shared" si="55"/>
        <v>3.0741042345276873E-2</v>
      </c>
      <c r="R81" s="164">
        <f t="shared" si="69"/>
        <v>1810</v>
      </c>
      <c r="S81" s="165">
        <f t="shared" si="56"/>
        <v>8.5842901273905703E-2</v>
      </c>
      <c r="U81" s="170">
        <f t="shared" si="70"/>
        <v>283</v>
      </c>
      <c r="V81" s="6">
        <v>280</v>
      </c>
      <c r="W81" s="6">
        <v>3</v>
      </c>
      <c r="X81" s="138">
        <f t="shared" si="57"/>
        <v>5346</v>
      </c>
      <c r="Y81" s="167">
        <f t="shared" si="58"/>
        <v>5.5895714003555204E-2</v>
      </c>
      <c r="Z81" s="170">
        <f t="shared" si="71"/>
        <v>315</v>
      </c>
      <c r="AA81" s="6">
        <v>311</v>
      </c>
      <c r="AB81" s="6">
        <v>4</v>
      </c>
      <c r="AC81" s="138">
        <f t="shared" si="59"/>
        <v>5661</v>
      </c>
      <c r="AD81" s="160">
        <f t="shared" si="60"/>
        <v>5.8922558922558925E-2</v>
      </c>
      <c r="AE81" s="170">
        <f t="shared" si="72"/>
        <v>330</v>
      </c>
      <c r="AF81" s="6">
        <v>327</v>
      </c>
      <c r="AG81" s="6">
        <v>3</v>
      </c>
      <c r="AH81" s="138">
        <f t="shared" si="61"/>
        <v>5991</v>
      </c>
      <c r="AI81" s="160">
        <f t="shared" si="62"/>
        <v>5.8293587705352409E-2</v>
      </c>
      <c r="AJ81" s="170">
        <f t="shared" si="73"/>
        <v>288</v>
      </c>
      <c r="AK81" s="6">
        <v>287</v>
      </c>
      <c r="AL81" s="6">
        <v>1</v>
      </c>
      <c r="AM81" s="138">
        <f t="shared" si="63"/>
        <v>6279</v>
      </c>
      <c r="AN81" s="160">
        <f t="shared" si="64"/>
        <v>4.8072108162243367E-2</v>
      </c>
      <c r="AO81" s="170">
        <f t="shared" si="74"/>
        <v>275</v>
      </c>
      <c r="AP81" s="6">
        <v>226</v>
      </c>
      <c r="AQ81" s="6">
        <v>49</v>
      </c>
      <c r="AR81" s="138">
        <f t="shared" si="65"/>
        <v>6554</v>
      </c>
      <c r="AS81" s="160">
        <f t="shared" si="66"/>
        <v>4.3796782927217712E-2</v>
      </c>
      <c r="AT81" s="164">
        <f t="shared" si="67"/>
        <v>1491</v>
      </c>
      <c r="AU81" s="165">
        <f t="shared" si="68"/>
        <v>5.2251056955594066E-2</v>
      </c>
    </row>
    <row r="82" spans="2:47" outlineLevel="1" x14ac:dyDescent="0.35">
      <c r="B82" s="48" t="s">
        <v>80</v>
      </c>
      <c r="C82" s="62" t="s">
        <v>141</v>
      </c>
      <c r="D82" s="70">
        <v>247</v>
      </c>
      <c r="E82" s="71">
        <v>1411</v>
      </c>
      <c r="F82" s="70">
        <v>264</v>
      </c>
      <c r="G82" s="4">
        <v>1675</v>
      </c>
      <c r="H82" s="167">
        <f t="shared" si="52"/>
        <v>0.18710134656272148</v>
      </c>
      <c r="I82" s="70">
        <v>483</v>
      </c>
      <c r="J82" s="4">
        <v>2158</v>
      </c>
      <c r="K82" s="167">
        <f t="shared" si="53"/>
        <v>0.2883582089552239</v>
      </c>
      <c r="L82" s="70">
        <v>260</v>
      </c>
      <c r="M82" s="4">
        <v>2418</v>
      </c>
      <c r="N82" s="167">
        <f t="shared" si="54"/>
        <v>0.12048192771084337</v>
      </c>
      <c r="O82" s="70">
        <v>176</v>
      </c>
      <c r="P82" s="4">
        <v>2594</v>
      </c>
      <c r="Q82" s="167">
        <f t="shared" si="55"/>
        <v>7.278742762613731E-2</v>
      </c>
      <c r="R82" s="164">
        <f t="shared" si="69"/>
        <v>1430</v>
      </c>
      <c r="S82" s="165">
        <f t="shared" si="56"/>
        <v>0.16442290440009377</v>
      </c>
      <c r="U82" s="170">
        <f t="shared" si="70"/>
        <v>298</v>
      </c>
      <c r="V82" s="6">
        <v>286</v>
      </c>
      <c r="W82" s="6">
        <v>12</v>
      </c>
      <c r="X82" s="138">
        <f t="shared" si="57"/>
        <v>2892</v>
      </c>
      <c r="Y82" s="167">
        <f t="shared" si="58"/>
        <v>0.11488049344641481</v>
      </c>
      <c r="Z82" s="170">
        <f t="shared" si="71"/>
        <v>350</v>
      </c>
      <c r="AA82" s="6">
        <v>317</v>
      </c>
      <c r="AB82" s="6">
        <v>33</v>
      </c>
      <c r="AC82" s="138">
        <f t="shared" si="59"/>
        <v>3242</v>
      </c>
      <c r="AD82" s="160">
        <f t="shared" si="60"/>
        <v>0.12102351313969571</v>
      </c>
      <c r="AE82" s="170">
        <f t="shared" si="72"/>
        <v>371</v>
      </c>
      <c r="AF82" s="6">
        <v>333</v>
      </c>
      <c r="AG82" s="6">
        <v>38</v>
      </c>
      <c r="AH82" s="138">
        <f t="shared" si="61"/>
        <v>3613</v>
      </c>
      <c r="AI82" s="160">
        <f t="shared" si="62"/>
        <v>0.11443553362122147</v>
      </c>
      <c r="AJ82" s="170">
        <f t="shared" si="73"/>
        <v>319</v>
      </c>
      <c r="AK82" s="6">
        <v>292</v>
      </c>
      <c r="AL82" s="6">
        <v>27</v>
      </c>
      <c r="AM82" s="138">
        <f t="shared" si="63"/>
        <v>3932</v>
      </c>
      <c r="AN82" s="160">
        <f t="shared" si="64"/>
        <v>8.8292277885413786E-2</v>
      </c>
      <c r="AO82" s="170">
        <f t="shared" si="74"/>
        <v>270</v>
      </c>
      <c r="AP82" s="6">
        <v>230</v>
      </c>
      <c r="AQ82" s="6">
        <v>40</v>
      </c>
      <c r="AR82" s="138">
        <f t="shared" si="65"/>
        <v>4202</v>
      </c>
      <c r="AS82" s="160">
        <f t="shared" si="66"/>
        <v>6.8667344862665305E-2</v>
      </c>
      <c r="AT82" s="164">
        <f t="shared" si="67"/>
        <v>1608</v>
      </c>
      <c r="AU82" s="165">
        <f t="shared" si="68"/>
        <v>9.7904183306721571E-2</v>
      </c>
    </row>
    <row r="83" spans="2:47" outlineLevel="1" x14ac:dyDescent="0.35">
      <c r="B83" s="48" t="s">
        <v>81</v>
      </c>
      <c r="C83" s="62" t="s">
        <v>141</v>
      </c>
      <c r="D83" s="70">
        <v>534</v>
      </c>
      <c r="E83" s="71">
        <v>5422</v>
      </c>
      <c r="F83" s="70">
        <v>683</v>
      </c>
      <c r="G83" s="4">
        <v>6105</v>
      </c>
      <c r="H83" s="167">
        <f t="shared" si="52"/>
        <v>0.12596827738841757</v>
      </c>
      <c r="I83" s="70">
        <v>623</v>
      </c>
      <c r="J83" s="4">
        <v>6728</v>
      </c>
      <c r="K83" s="167">
        <f t="shared" si="53"/>
        <v>0.10204750204750204</v>
      </c>
      <c r="L83" s="70">
        <v>351</v>
      </c>
      <c r="M83" s="4">
        <v>7079</v>
      </c>
      <c r="N83" s="167">
        <f t="shared" si="54"/>
        <v>5.2170035671819263E-2</v>
      </c>
      <c r="O83" s="70">
        <v>335</v>
      </c>
      <c r="P83" s="4">
        <v>7414</v>
      </c>
      <c r="Q83" s="167">
        <f t="shared" si="55"/>
        <v>4.7323068229975986E-2</v>
      </c>
      <c r="R83" s="164">
        <f t="shared" si="69"/>
        <v>2526</v>
      </c>
      <c r="S83" s="165">
        <f t="shared" si="56"/>
        <v>8.1367385951470306E-2</v>
      </c>
      <c r="U83" s="170">
        <f t="shared" si="70"/>
        <v>478</v>
      </c>
      <c r="V83" s="6">
        <v>467</v>
      </c>
      <c r="W83" s="6">
        <v>11</v>
      </c>
      <c r="X83" s="138">
        <f t="shared" si="57"/>
        <v>7892</v>
      </c>
      <c r="Y83" s="167">
        <f t="shared" si="58"/>
        <v>6.4472619368761808E-2</v>
      </c>
      <c r="Z83" s="170">
        <f t="shared" si="71"/>
        <v>542</v>
      </c>
      <c r="AA83" s="6">
        <v>518</v>
      </c>
      <c r="AB83" s="6">
        <v>24</v>
      </c>
      <c r="AC83" s="138">
        <f t="shared" si="59"/>
        <v>8434</v>
      </c>
      <c r="AD83" s="160">
        <f t="shared" si="60"/>
        <v>6.86771414090218E-2</v>
      </c>
      <c r="AE83" s="170">
        <f t="shared" si="72"/>
        <v>573</v>
      </c>
      <c r="AF83" s="6">
        <v>545</v>
      </c>
      <c r="AG83" s="6">
        <v>28</v>
      </c>
      <c r="AH83" s="138">
        <f t="shared" si="61"/>
        <v>9007</v>
      </c>
      <c r="AI83" s="160">
        <f t="shared" si="62"/>
        <v>6.7939293336495135E-2</v>
      </c>
      <c r="AJ83" s="170">
        <f t="shared" si="73"/>
        <v>500</v>
      </c>
      <c r="AK83" s="6">
        <v>479</v>
      </c>
      <c r="AL83" s="6">
        <v>21</v>
      </c>
      <c r="AM83" s="138">
        <f t="shared" si="63"/>
        <v>9507</v>
      </c>
      <c r="AN83" s="160">
        <f t="shared" si="64"/>
        <v>5.5512379260575111E-2</v>
      </c>
      <c r="AO83" s="170">
        <f t="shared" si="74"/>
        <v>399</v>
      </c>
      <c r="AP83" s="6">
        <v>377</v>
      </c>
      <c r="AQ83" s="6">
        <v>22</v>
      </c>
      <c r="AR83" s="138">
        <f t="shared" si="65"/>
        <v>9906</v>
      </c>
      <c r="AS83" s="160">
        <f t="shared" si="66"/>
        <v>4.1969075418112969E-2</v>
      </c>
      <c r="AT83" s="164">
        <f t="shared" si="67"/>
        <v>2492</v>
      </c>
      <c r="AU83" s="165">
        <f t="shared" si="68"/>
        <v>5.8468192456203827E-2</v>
      </c>
    </row>
    <row r="84" spans="2:47" outlineLevel="1" x14ac:dyDescent="0.35">
      <c r="B84" s="48" t="s">
        <v>82</v>
      </c>
      <c r="C84" s="62" t="s">
        <v>141</v>
      </c>
      <c r="D84" s="70">
        <v>0</v>
      </c>
      <c r="E84" s="71">
        <v>0</v>
      </c>
      <c r="F84" s="70">
        <v>0</v>
      </c>
      <c r="G84" s="4">
        <v>0</v>
      </c>
      <c r="H84" s="167">
        <f t="shared" si="52"/>
        <v>0</v>
      </c>
      <c r="I84" s="70">
        <v>0</v>
      </c>
      <c r="J84" s="4">
        <v>0</v>
      </c>
      <c r="K84" s="167">
        <f t="shared" si="53"/>
        <v>0</v>
      </c>
      <c r="L84" s="70">
        <v>0</v>
      </c>
      <c r="M84" s="4">
        <v>0</v>
      </c>
      <c r="N84" s="167">
        <f t="shared" si="54"/>
        <v>0</v>
      </c>
      <c r="O84" s="70">
        <v>0</v>
      </c>
      <c r="P84" s="4">
        <v>0</v>
      </c>
      <c r="Q84" s="167">
        <f t="shared" si="55"/>
        <v>0</v>
      </c>
      <c r="R84" s="164">
        <f t="shared" si="69"/>
        <v>0</v>
      </c>
      <c r="S84" s="165">
        <f t="shared" si="56"/>
        <v>0</v>
      </c>
      <c r="U84" s="170">
        <f t="shared" si="70"/>
        <v>0</v>
      </c>
      <c r="V84" s="6">
        <v>0</v>
      </c>
      <c r="W84" s="6">
        <v>0</v>
      </c>
      <c r="X84" s="138">
        <f t="shared" si="57"/>
        <v>0</v>
      </c>
      <c r="Y84" s="167">
        <f t="shared" si="58"/>
        <v>0</v>
      </c>
      <c r="Z84" s="170">
        <f t="shared" si="71"/>
        <v>0</v>
      </c>
      <c r="AA84" s="6">
        <v>0</v>
      </c>
      <c r="AB84" s="6">
        <v>0</v>
      </c>
      <c r="AC84" s="138">
        <f t="shared" si="59"/>
        <v>0</v>
      </c>
      <c r="AD84" s="160">
        <f t="shared" si="60"/>
        <v>0</v>
      </c>
      <c r="AE84" s="170">
        <f t="shared" si="72"/>
        <v>0</v>
      </c>
      <c r="AF84" s="6">
        <v>0</v>
      </c>
      <c r="AG84" s="6">
        <v>0</v>
      </c>
      <c r="AH84" s="138">
        <f t="shared" si="61"/>
        <v>0</v>
      </c>
      <c r="AI84" s="160">
        <f t="shared" si="62"/>
        <v>0</v>
      </c>
      <c r="AJ84" s="170">
        <f t="shared" si="73"/>
        <v>0</v>
      </c>
      <c r="AK84" s="6">
        <v>0</v>
      </c>
      <c r="AL84" s="6">
        <v>0</v>
      </c>
      <c r="AM84" s="138">
        <f t="shared" si="63"/>
        <v>0</v>
      </c>
      <c r="AN84" s="160">
        <f t="shared" si="64"/>
        <v>0</v>
      </c>
      <c r="AO84" s="170">
        <f t="shared" si="74"/>
        <v>0</v>
      </c>
      <c r="AP84" s="6">
        <v>0</v>
      </c>
      <c r="AQ84" s="6">
        <v>0</v>
      </c>
      <c r="AR84" s="138">
        <f t="shared" si="65"/>
        <v>0</v>
      </c>
      <c r="AS84" s="160">
        <f t="shared" si="66"/>
        <v>0</v>
      </c>
      <c r="AT84" s="164">
        <f t="shared" si="67"/>
        <v>0</v>
      </c>
      <c r="AU84" s="165">
        <f t="shared" si="68"/>
        <v>0</v>
      </c>
    </row>
    <row r="85" spans="2:47" outlineLevel="1" x14ac:dyDescent="0.35">
      <c r="B85" s="48" t="s">
        <v>83</v>
      </c>
      <c r="C85" s="62" t="s">
        <v>141</v>
      </c>
      <c r="D85" s="70">
        <v>71</v>
      </c>
      <c r="E85" s="71">
        <v>2602</v>
      </c>
      <c r="F85" s="70">
        <v>97</v>
      </c>
      <c r="G85" s="4">
        <v>2699</v>
      </c>
      <c r="H85" s="167">
        <f t="shared" si="52"/>
        <v>3.7279016141429672E-2</v>
      </c>
      <c r="I85" s="70">
        <v>75</v>
      </c>
      <c r="J85" s="4">
        <v>2774</v>
      </c>
      <c r="K85" s="167">
        <f t="shared" si="53"/>
        <v>2.7788069655427936E-2</v>
      </c>
      <c r="L85" s="70">
        <v>33</v>
      </c>
      <c r="M85" s="4">
        <v>2807</v>
      </c>
      <c r="N85" s="167">
        <f t="shared" si="54"/>
        <v>1.1896178803172314E-2</v>
      </c>
      <c r="O85" s="70">
        <v>30</v>
      </c>
      <c r="P85" s="4">
        <v>2837</v>
      </c>
      <c r="Q85" s="167">
        <f t="shared" si="55"/>
        <v>1.0687566797292483E-2</v>
      </c>
      <c r="R85" s="164">
        <f t="shared" si="69"/>
        <v>306</v>
      </c>
      <c r="S85" s="165">
        <f t="shared" si="56"/>
        <v>2.1852027313266298E-2</v>
      </c>
      <c r="U85" s="170">
        <f t="shared" si="70"/>
        <v>56</v>
      </c>
      <c r="V85" s="6">
        <v>56</v>
      </c>
      <c r="W85" s="6">
        <v>0</v>
      </c>
      <c r="X85" s="138">
        <f t="shared" si="57"/>
        <v>2893</v>
      </c>
      <c r="Y85" s="167">
        <f t="shared" si="58"/>
        <v>1.9739161085653861E-2</v>
      </c>
      <c r="Z85" s="170">
        <f t="shared" si="71"/>
        <v>108</v>
      </c>
      <c r="AA85" s="6">
        <v>62</v>
      </c>
      <c r="AB85" s="6">
        <v>46</v>
      </c>
      <c r="AC85" s="138">
        <f t="shared" si="59"/>
        <v>3001</v>
      </c>
      <c r="AD85" s="160">
        <f t="shared" si="60"/>
        <v>3.7331489802972691E-2</v>
      </c>
      <c r="AE85" s="170">
        <f t="shared" si="72"/>
        <v>134</v>
      </c>
      <c r="AF85" s="6">
        <v>65</v>
      </c>
      <c r="AG85" s="6">
        <v>69</v>
      </c>
      <c r="AH85" s="138">
        <f t="shared" si="61"/>
        <v>3135</v>
      </c>
      <c r="AI85" s="160">
        <f t="shared" si="62"/>
        <v>4.4651782739086973E-2</v>
      </c>
      <c r="AJ85" s="170">
        <f t="shared" si="73"/>
        <v>143</v>
      </c>
      <c r="AK85" s="6">
        <v>57</v>
      </c>
      <c r="AL85" s="6">
        <v>86</v>
      </c>
      <c r="AM85" s="138">
        <f t="shared" si="63"/>
        <v>3278</v>
      </c>
      <c r="AN85" s="160">
        <f t="shared" si="64"/>
        <v>4.5614035087719301E-2</v>
      </c>
      <c r="AO85" s="170">
        <f t="shared" si="74"/>
        <v>135</v>
      </c>
      <c r="AP85" s="6">
        <v>45</v>
      </c>
      <c r="AQ85" s="6">
        <v>90</v>
      </c>
      <c r="AR85" s="138">
        <f t="shared" si="65"/>
        <v>3413</v>
      </c>
      <c r="AS85" s="160">
        <f t="shared" si="66"/>
        <v>4.1183648566198904E-2</v>
      </c>
      <c r="AT85" s="164">
        <f t="shared" si="67"/>
        <v>576</v>
      </c>
      <c r="AU85" s="165">
        <f t="shared" si="68"/>
        <v>4.2190148640289804E-2</v>
      </c>
    </row>
    <row r="86" spans="2:47" outlineLevel="1" x14ac:dyDescent="0.35">
      <c r="B86" s="48" t="s">
        <v>84</v>
      </c>
      <c r="C86" s="62" t="s">
        <v>141</v>
      </c>
      <c r="D86" s="70">
        <v>142</v>
      </c>
      <c r="E86" s="71">
        <v>1066</v>
      </c>
      <c r="F86" s="70">
        <v>176</v>
      </c>
      <c r="G86" s="4">
        <v>1242</v>
      </c>
      <c r="H86" s="167">
        <f t="shared" si="52"/>
        <v>0.16510318949343339</v>
      </c>
      <c r="I86" s="70">
        <v>158</v>
      </c>
      <c r="J86" s="4">
        <v>1400</v>
      </c>
      <c r="K86" s="167">
        <f t="shared" si="53"/>
        <v>0.12721417069243157</v>
      </c>
      <c r="L86" s="70">
        <v>87</v>
      </c>
      <c r="M86" s="4">
        <v>1487</v>
      </c>
      <c r="N86" s="167">
        <f t="shared" si="54"/>
        <v>6.2142857142857146E-2</v>
      </c>
      <c r="O86" s="70">
        <v>78</v>
      </c>
      <c r="P86" s="4">
        <v>1565</v>
      </c>
      <c r="Q86" s="167">
        <f t="shared" si="55"/>
        <v>5.2454606590450571E-2</v>
      </c>
      <c r="R86" s="164">
        <f t="shared" si="69"/>
        <v>641</v>
      </c>
      <c r="S86" s="165">
        <f t="shared" si="56"/>
        <v>0.10075149581942644</v>
      </c>
      <c r="U86" s="170">
        <f t="shared" si="70"/>
        <v>119</v>
      </c>
      <c r="V86" s="6">
        <v>118</v>
      </c>
      <c r="W86" s="6">
        <v>1</v>
      </c>
      <c r="X86" s="138">
        <f t="shared" si="57"/>
        <v>1684</v>
      </c>
      <c r="Y86" s="167">
        <f t="shared" si="58"/>
        <v>7.6038338658146964E-2</v>
      </c>
      <c r="Z86" s="170">
        <f t="shared" si="71"/>
        <v>182</v>
      </c>
      <c r="AA86" s="6">
        <v>131</v>
      </c>
      <c r="AB86" s="6">
        <v>51</v>
      </c>
      <c r="AC86" s="138">
        <f t="shared" si="59"/>
        <v>1866</v>
      </c>
      <c r="AD86" s="160">
        <f t="shared" si="60"/>
        <v>0.10807600950118765</v>
      </c>
      <c r="AE86" s="170">
        <f t="shared" si="72"/>
        <v>277</v>
      </c>
      <c r="AF86" s="6">
        <v>138</v>
      </c>
      <c r="AG86" s="6">
        <v>139</v>
      </c>
      <c r="AH86" s="138">
        <f t="shared" si="61"/>
        <v>2143</v>
      </c>
      <c r="AI86" s="160">
        <f t="shared" si="62"/>
        <v>0.14844587352625938</v>
      </c>
      <c r="AJ86" s="170">
        <f t="shared" si="73"/>
        <v>314</v>
      </c>
      <c r="AK86" s="6">
        <v>121</v>
      </c>
      <c r="AL86" s="6">
        <v>193</v>
      </c>
      <c r="AM86" s="138">
        <f t="shared" si="63"/>
        <v>2457</v>
      </c>
      <c r="AN86" s="160">
        <f t="shared" si="64"/>
        <v>0.14652356509566028</v>
      </c>
      <c r="AO86" s="170">
        <f t="shared" si="74"/>
        <v>269</v>
      </c>
      <c r="AP86" s="6">
        <v>95</v>
      </c>
      <c r="AQ86" s="6">
        <v>174</v>
      </c>
      <c r="AR86" s="138">
        <f t="shared" si="65"/>
        <v>2726</v>
      </c>
      <c r="AS86" s="160">
        <f t="shared" si="66"/>
        <v>0.10948310948310948</v>
      </c>
      <c r="AT86" s="164">
        <f t="shared" si="67"/>
        <v>1161</v>
      </c>
      <c r="AU86" s="165">
        <f t="shared" si="68"/>
        <v>0.12796582357026143</v>
      </c>
    </row>
    <row r="87" spans="2:47" outlineLevel="1" x14ac:dyDescent="0.35">
      <c r="B87" s="48" t="s">
        <v>85</v>
      </c>
      <c r="C87" s="62" t="s">
        <v>141</v>
      </c>
      <c r="D87" s="70">
        <v>584</v>
      </c>
      <c r="E87" s="71">
        <v>2031</v>
      </c>
      <c r="F87" s="70">
        <v>1041</v>
      </c>
      <c r="G87" s="4">
        <v>3072</v>
      </c>
      <c r="H87" s="167">
        <f t="shared" si="52"/>
        <v>0.51255539143279172</v>
      </c>
      <c r="I87" s="70">
        <v>615</v>
      </c>
      <c r="J87" s="4">
        <v>3687</v>
      </c>
      <c r="K87" s="167">
        <f t="shared" si="53"/>
        <v>0.2001953125</v>
      </c>
      <c r="L87" s="70">
        <v>202</v>
      </c>
      <c r="M87" s="4">
        <v>3889</v>
      </c>
      <c r="N87" s="167">
        <f t="shared" si="54"/>
        <v>5.478708977488473E-2</v>
      </c>
      <c r="O87" s="70">
        <v>197</v>
      </c>
      <c r="P87" s="4">
        <v>4086</v>
      </c>
      <c r="Q87" s="167">
        <f t="shared" si="55"/>
        <v>5.065569555155567E-2</v>
      </c>
      <c r="R87" s="164">
        <f t="shared" si="69"/>
        <v>2639</v>
      </c>
      <c r="S87" s="165">
        <f t="shared" si="56"/>
        <v>0.19095982000145262</v>
      </c>
      <c r="U87" s="170">
        <f t="shared" si="70"/>
        <v>237</v>
      </c>
      <c r="V87" s="6">
        <v>233</v>
      </c>
      <c r="W87" s="6">
        <v>4</v>
      </c>
      <c r="X87" s="138">
        <f t="shared" si="57"/>
        <v>4323</v>
      </c>
      <c r="Y87" s="167">
        <f t="shared" si="58"/>
        <v>5.8002936857562408E-2</v>
      </c>
      <c r="Z87" s="170">
        <f t="shared" si="71"/>
        <v>292</v>
      </c>
      <c r="AA87" s="6">
        <v>258</v>
      </c>
      <c r="AB87" s="6">
        <v>34</v>
      </c>
      <c r="AC87" s="138">
        <f t="shared" si="59"/>
        <v>4615</v>
      </c>
      <c r="AD87" s="160">
        <f t="shared" si="60"/>
        <v>6.7545685866296556E-2</v>
      </c>
      <c r="AE87" s="170">
        <f t="shared" si="72"/>
        <v>312</v>
      </c>
      <c r="AF87" s="6">
        <v>272</v>
      </c>
      <c r="AG87" s="6">
        <v>40</v>
      </c>
      <c r="AH87" s="138">
        <f t="shared" si="61"/>
        <v>4927</v>
      </c>
      <c r="AI87" s="160">
        <f t="shared" si="62"/>
        <v>6.7605633802816895E-2</v>
      </c>
      <c r="AJ87" s="170">
        <f t="shared" si="73"/>
        <v>269</v>
      </c>
      <c r="AK87" s="6">
        <v>239</v>
      </c>
      <c r="AL87" s="6">
        <v>30</v>
      </c>
      <c r="AM87" s="138">
        <f t="shared" si="63"/>
        <v>5196</v>
      </c>
      <c r="AN87" s="160">
        <f t="shared" si="64"/>
        <v>5.4597117921656182E-2</v>
      </c>
      <c r="AO87" s="170">
        <f t="shared" si="74"/>
        <v>217</v>
      </c>
      <c r="AP87" s="6">
        <v>188</v>
      </c>
      <c r="AQ87" s="6">
        <v>29</v>
      </c>
      <c r="AR87" s="138">
        <f t="shared" si="65"/>
        <v>5413</v>
      </c>
      <c r="AS87" s="160">
        <f t="shared" si="66"/>
        <v>4.176289453425712E-2</v>
      </c>
      <c r="AT87" s="164">
        <f t="shared" si="67"/>
        <v>1327</v>
      </c>
      <c r="AU87" s="165">
        <f t="shared" si="68"/>
        <v>5.7823468486941643E-2</v>
      </c>
    </row>
    <row r="88" spans="2:47" outlineLevel="1" x14ac:dyDescent="0.35">
      <c r="B88" s="48" t="s">
        <v>86</v>
      </c>
      <c r="C88" s="62" t="s">
        <v>141</v>
      </c>
      <c r="D88" s="70">
        <v>165</v>
      </c>
      <c r="E88" s="71">
        <v>1166</v>
      </c>
      <c r="F88" s="70">
        <v>233</v>
      </c>
      <c r="G88" s="4">
        <v>1399</v>
      </c>
      <c r="H88" s="167">
        <f t="shared" si="52"/>
        <v>0.19982847341337909</v>
      </c>
      <c r="I88" s="70">
        <v>444</v>
      </c>
      <c r="J88" s="4">
        <v>1843</v>
      </c>
      <c r="K88" s="167">
        <f t="shared" si="53"/>
        <v>0.31736954967834169</v>
      </c>
      <c r="L88" s="70">
        <v>271</v>
      </c>
      <c r="M88" s="4">
        <v>2114</v>
      </c>
      <c r="N88" s="167">
        <f t="shared" si="54"/>
        <v>0.14704286489419424</v>
      </c>
      <c r="O88" s="70">
        <v>157</v>
      </c>
      <c r="P88" s="4">
        <v>2271</v>
      </c>
      <c r="Q88" s="167">
        <f t="shared" si="55"/>
        <v>7.4266792809839166E-2</v>
      </c>
      <c r="R88" s="164">
        <f t="shared" si="69"/>
        <v>1270</v>
      </c>
      <c r="S88" s="165">
        <f t="shared" si="56"/>
        <v>0.1813528842357981</v>
      </c>
      <c r="U88" s="170">
        <f t="shared" si="70"/>
        <v>258</v>
      </c>
      <c r="V88" s="6">
        <v>238</v>
      </c>
      <c r="W88" s="6">
        <v>20</v>
      </c>
      <c r="X88" s="138">
        <f t="shared" si="57"/>
        <v>2529</v>
      </c>
      <c r="Y88" s="167">
        <f t="shared" si="58"/>
        <v>0.11360634081902246</v>
      </c>
      <c r="Z88" s="170">
        <f t="shared" si="71"/>
        <v>497</v>
      </c>
      <c r="AA88" s="6">
        <v>263</v>
      </c>
      <c r="AB88" s="6">
        <v>234</v>
      </c>
      <c r="AC88" s="138">
        <f t="shared" si="59"/>
        <v>3026</v>
      </c>
      <c r="AD88" s="160">
        <f t="shared" si="60"/>
        <v>0.19652036378015025</v>
      </c>
      <c r="AE88" s="170">
        <f t="shared" si="72"/>
        <v>733</v>
      </c>
      <c r="AF88" s="6">
        <v>277</v>
      </c>
      <c r="AG88" s="6">
        <v>456</v>
      </c>
      <c r="AH88" s="138">
        <f t="shared" si="61"/>
        <v>3759</v>
      </c>
      <c r="AI88" s="160">
        <f t="shared" si="62"/>
        <v>0.24223397224058163</v>
      </c>
      <c r="AJ88" s="170">
        <f t="shared" si="73"/>
        <v>719</v>
      </c>
      <c r="AK88" s="6">
        <v>243</v>
      </c>
      <c r="AL88" s="6">
        <v>476</v>
      </c>
      <c r="AM88" s="138">
        <f t="shared" si="63"/>
        <v>4478</v>
      </c>
      <c r="AN88" s="160">
        <f t="shared" si="64"/>
        <v>0.19127427507315775</v>
      </c>
      <c r="AO88" s="170">
        <f t="shared" si="74"/>
        <v>590</v>
      </c>
      <c r="AP88" s="6">
        <v>191</v>
      </c>
      <c r="AQ88" s="6">
        <v>399</v>
      </c>
      <c r="AR88" s="138">
        <f t="shared" si="65"/>
        <v>5068</v>
      </c>
      <c r="AS88" s="160">
        <f t="shared" si="66"/>
        <v>0.1317552478785172</v>
      </c>
      <c r="AT88" s="164">
        <f t="shared" si="67"/>
        <v>2797</v>
      </c>
      <c r="AU88" s="165">
        <f t="shared" si="68"/>
        <v>0.189794464969397</v>
      </c>
    </row>
    <row r="89" spans="2:47" outlineLevel="1" x14ac:dyDescent="0.35">
      <c r="B89" s="48" t="s">
        <v>87</v>
      </c>
      <c r="C89" s="62" t="s">
        <v>141</v>
      </c>
      <c r="D89" s="70">
        <v>379</v>
      </c>
      <c r="E89" s="71">
        <v>2589</v>
      </c>
      <c r="F89" s="70">
        <v>456</v>
      </c>
      <c r="G89" s="4">
        <v>3045</v>
      </c>
      <c r="H89" s="167">
        <f t="shared" si="52"/>
        <v>0.1761297798377752</v>
      </c>
      <c r="I89" s="70">
        <v>349</v>
      </c>
      <c r="J89" s="4">
        <v>3394</v>
      </c>
      <c r="K89" s="167">
        <f t="shared" si="53"/>
        <v>0.11461412151067324</v>
      </c>
      <c r="L89" s="70">
        <v>169</v>
      </c>
      <c r="M89" s="4">
        <v>3563</v>
      </c>
      <c r="N89" s="167">
        <f t="shared" si="54"/>
        <v>4.9793753682969948E-2</v>
      </c>
      <c r="O89" s="70">
        <v>139</v>
      </c>
      <c r="P89" s="4">
        <v>3702</v>
      </c>
      <c r="Q89" s="167">
        <f t="shared" si="55"/>
        <v>3.9012068481616619E-2</v>
      </c>
      <c r="R89" s="164">
        <f t="shared" si="69"/>
        <v>1492</v>
      </c>
      <c r="S89" s="165">
        <f t="shared" si="56"/>
        <v>9.3518389774631672E-2</v>
      </c>
      <c r="U89" s="170">
        <f t="shared" si="70"/>
        <v>231</v>
      </c>
      <c r="V89" s="6">
        <v>222</v>
      </c>
      <c r="W89" s="6">
        <v>9</v>
      </c>
      <c r="X89" s="138">
        <f t="shared" si="57"/>
        <v>3933</v>
      </c>
      <c r="Y89" s="167">
        <f t="shared" si="58"/>
        <v>6.2398703403565639E-2</v>
      </c>
      <c r="Z89" s="170">
        <f t="shared" si="71"/>
        <v>381</v>
      </c>
      <c r="AA89" s="6">
        <v>247</v>
      </c>
      <c r="AB89" s="6">
        <v>134</v>
      </c>
      <c r="AC89" s="138">
        <f t="shared" si="59"/>
        <v>4314</v>
      </c>
      <c r="AD89" s="160">
        <f t="shared" si="60"/>
        <v>9.6872616323417232E-2</v>
      </c>
      <c r="AE89" s="170">
        <f t="shared" si="72"/>
        <v>421</v>
      </c>
      <c r="AF89" s="6">
        <v>260</v>
      </c>
      <c r="AG89" s="6">
        <v>161</v>
      </c>
      <c r="AH89" s="138">
        <f t="shared" si="61"/>
        <v>4735</v>
      </c>
      <c r="AI89" s="160">
        <f t="shared" si="62"/>
        <v>9.7589244320815949E-2</v>
      </c>
      <c r="AJ89" s="170">
        <f t="shared" si="73"/>
        <v>333</v>
      </c>
      <c r="AK89" s="6">
        <v>228</v>
      </c>
      <c r="AL89" s="6">
        <v>105</v>
      </c>
      <c r="AM89" s="138">
        <f t="shared" si="63"/>
        <v>5068</v>
      </c>
      <c r="AN89" s="160">
        <f t="shared" si="64"/>
        <v>7.0327349524815203E-2</v>
      </c>
      <c r="AO89" s="170">
        <f t="shared" si="74"/>
        <v>349</v>
      </c>
      <c r="AP89" s="6">
        <v>180</v>
      </c>
      <c r="AQ89" s="6">
        <v>169</v>
      </c>
      <c r="AR89" s="138">
        <f t="shared" si="65"/>
        <v>5417</v>
      </c>
      <c r="AS89" s="160">
        <f t="shared" si="66"/>
        <v>6.8863456985003943E-2</v>
      </c>
      <c r="AT89" s="164">
        <f t="shared" si="67"/>
        <v>1715</v>
      </c>
      <c r="AU89" s="165">
        <f t="shared" si="68"/>
        <v>8.3324892176954268E-2</v>
      </c>
    </row>
    <row r="90" spans="2:47" outlineLevel="1" x14ac:dyDescent="0.35">
      <c r="B90" s="48" t="s">
        <v>88</v>
      </c>
      <c r="C90" s="62" t="s">
        <v>141</v>
      </c>
      <c r="D90" s="70">
        <v>344</v>
      </c>
      <c r="E90" s="71">
        <v>2330</v>
      </c>
      <c r="F90" s="70">
        <v>519</v>
      </c>
      <c r="G90" s="4">
        <v>2849</v>
      </c>
      <c r="H90" s="167">
        <f t="shared" si="52"/>
        <v>0.22274678111587984</v>
      </c>
      <c r="I90" s="70">
        <v>535</v>
      </c>
      <c r="J90" s="4">
        <v>3384</v>
      </c>
      <c r="K90" s="167">
        <f t="shared" si="53"/>
        <v>0.1877851877851878</v>
      </c>
      <c r="L90" s="70">
        <v>254</v>
      </c>
      <c r="M90" s="4">
        <v>3638</v>
      </c>
      <c r="N90" s="167">
        <f t="shared" si="54"/>
        <v>7.5059101654846333E-2</v>
      </c>
      <c r="O90" s="70">
        <v>249</v>
      </c>
      <c r="P90" s="4">
        <v>3887</v>
      </c>
      <c r="Q90" s="167">
        <f t="shared" si="55"/>
        <v>6.8444200109950518E-2</v>
      </c>
      <c r="R90" s="164">
        <f t="shared" si="69"/>
        <v>1901</v>
      </c>
      <c r="S90" s="165">
        <f t="shared" si="56"/>
        <v>0.13648747784224735</v>
      </c>
      <c r="U90" s="170">
        <f t="shared" si="70"/>
        <v>409</v>
      </c>
      <c r="V90" s="6">
        <v>387</v>
      </c>
      <c r="W90" s="6">
        <v>22</v>
      </c>
      <c r="X90" s="138">
        <f t="shared" si="57"/>
        <v>4296</v>
      </c>
      <c r="Y90" s="167">
        <f t="shared" si="58"/>
        <v>0.10522253666066375</v>
      </c>
      <c r="Z90" s="170">
        <f t="shared" si="71"/>
        <v>570</v>
      </c>
      <c r="AA90" s="6">
        <v>428</v>
      </c>
      <c r="AB90" s="6">
        <v>142</v>
      </c>
      <c r="AC90" s="138">
        <f t="shared" si="59"/>
        <v>4866</v>
      </c>
      <c r="AD90" s="160">
        <f t="shared" si="60"/>
        <v>0.13268156424581007</v>
      </c>
      <c r="AE90" s="170">
        <f t="shared" si="72"/>
        <v>726</v>
      </c>
      <c r="AF90" s="6">
        <v>451</v>
      </c>
      <c r="AG90" s="6">
        <v>275</v>
      </c>
      <c r="AH90" s="138">
        <f t="shared" si="61"/>
        <v>5592</v>
      </c>
      <c r="AI90" s="160">
        <f t="shared" si="62"/>
        <v>0.14919852034525277</v>
      </c>
      <c r="AJ90" s="170">
        <f t="shared" si="73"/>
        <v>642</v>
      </c>
      <c r="AK90" s="6">
        <v>395</v>
      </c>
      <c r="AL90" s="6">
        <v>247</v>
      </c>
      <c r="AM90" s="138">
        <f t="shared" si="63"/>
        <v>6234</v>
      </c>
      <c r="AN90" s="160">
        <f t="shared" si="64"/>
        <v>0.1148068669527897</v>
      </c>
      <c r="AO90" s="170">
        <f t="shared" si="74"/>
        <v>597</v>
      </c>
      <c r="AP90" s="6">
        <v>311</v>
      </c>
      <c r="AQ90" s="6">
        <v>286</v>
      </c>
      <c r="AR90" s="138">
        <f t="shared" si="65"/>
        <v>6831</v>
      </c>
      <c r="AS90" s="160">
        <f t="shared" si="66"/>
        <v>9.5765158806544751E-2</v>
      </c>
      <c r="AT90" s="164">
        <f t="shared" si="67"/>
        <v>2944</v>
      </c>
      <c r="AU90" s="165">
        <f t="shared" si="68"/>
        <v>0.12293599518068765</v>
      </c>
    </row>
    <row r="91" spans="2:47" outlineLevel="1" x14ac:dyDescent="0.35">
      <c r="B91" s="48" t="s">
        <v>89</v>
      </c>
      <c r="C91" s="62" t="s">
        <v>141</v>
      </c>
      <c r="D91" s="70">
        <v>161</v>
      </c>
      <c r="E91" s="71">
        <v>1956</v>
      </c>
      <c r="F91" s="70">
        <v>211</v>
      </c>
      <c r="G91" s="4">
        <v>2167</v>
      </c>
      <c r="H91" s="167">
        <f t="shared" si="52"/>
        <v>0.10787321063394684</v>
      </c>
      <c r="I91" s="70">
        <v>214</v>
      </c>
      <c r="J91" s="4">
        <v>2381</v>
      </c>
      <c r="K91" s="167">
        <f t="shared" si="53"/>
        <v>9.8754037840332251E-2</v>
      </c>
      <c r="L91" s="70">
        <v>117</v>
      </c>
      <c r="M91" s="4">
        <v>2498</v>
      </c>
      <c r="N91" s="167">
        <f t="shared" si="54"/>
        <v>4.9139017219655606E-2</v>
      </c>
      <c r="O91" s="70">
        <v>82</v>
      </c>
      <c r="P91" s="4">
        <v>2580</v>
      </c>
      <c r="Q91" s="167">
        <f t="shared" si="55"/>
        <v>3.2826261008807048E-2</v>
      </c>
      <c r="R91" s="164">
        <f t="shared" si="69"/>
        <v>785</v>
      </c>
      <c r="S91" s="165">
        <f t="shared" si="56"/>
        <v>7.1674048127133627E-2</v>
      </c>
      <c r="U91" s="170">
        <f t="shared" si="70"/>
        <v>163</v>
      </c>
      <c r="V91" s="6">
        <v>141</v>
      </c>
      <c r="W91" s="6">
        <v>22</v>
      </c>
      <c r="X91" s="138">
        <f t="shared" si="57"/>
        <v>2743</v>
      </c>
      <c r="Y91" s="167">
        <f t="shared" si="58"/>
        <v>6.3178294573643407E-2</v>
      </c>
      <c r="Z91" s="170">
        <f t="shared" si="71"/>
        <v>204</v>
      </c>
      <c r="AA91" s="6">
        <v>156</v>
      </c>
      <c r="AB91" s="6">
        <v>48</v>
      </c>
      <c r="AC91" s="138">
        <f t="shared" si="59"/>
        <v>2947</v>
      </c>
      <c r="AD91" s="160">
        <f t="shared" si="60"/>
        <v>7.437112650382792E-2</v>
      </c>
      <c r="AE91" s="170">
        <f t="shared" si="72"/>
        <v>255</v>
      </c>
      <c r="AF91" s="6">
        <v>164</v>
      </c>
      <c r="AG91" s="6">
        <v>91</v>
      </c>
      <c r="AH91" s="138">
        <f t="shared" si="61"/>
        <v>3202</v>
      </c>
      <c r="AI91" s="160">
        <f t="shared" si="62"/>
        <v>8.6528673227010522E-2</v>
      </c>
      <c r="AJ91" s="170">
        <f t="shared" si="73"/>
        <v>289</v>
      </c>
      <c r="AK91" s="6">
        <v>144</v>
      </c>
      <c r="AL91" s="6">
        <v>145</v>
      </c>
      <c r="AM91" s="138">
        <f t="shared" si="63"/>
        <v>3491</v>
      </c>
      <c r="AN91" s="160">
        <f t="shared" si="64"/>
        <v>9.0256089943785131E-2</v>
      </c>
      <c r="AO91" s="170">
        <f t="shared" si="74"/>
        <v>266</v>
      </c>
      <c r="AP91" s="6">
        <v>114</v>
      </c>
      <c r="AQ91" s="6">
        <v>152</v>
      </c>
      <c r="AR91" s="138">
        <f t="shared" si="65"/>
        <v>3757</v>
      </c>
      <c r="AS91" s="160">
        <f t="shared" si="66"/>
        <v>7.6195932397593813E-2</v>
      </c>
      <c r="AT91" s="164">
        <f t="shared" si="67"/>
        <v>1177</v>
      </c>
      <c r="AU91" s="165">
        <f t="shared" si="68"/>
        <v>8.1817112268323333E-2</v>
      </c>
    </row>
    <row r="92" spans="2:47" outlineLevel="1" x14ac:dyDescent="0.35">
      <c r="B92" s="48" t="s">
        <v>90</v>
      </c>
      <c r="C92" s="62" t="s">
        <v>141</v>
      </c>
      <c r="D92" s="70">
        <v>2</v>
      </c>
      <c r="E92" s="71">
        <v>8</v>
      </c>
      <c r="F92" s="70">
        <v>1</v>
      </c>
      <c r="G92" s="4">
        <v>9</v>
      </c>
      <c r="H92" s="167">
        <f t="shared" si="52"/>
        <v>0.125</v>
      </c>
      <c r="I92" s="70">
        <v>0</v>
      </c>
      <c r="J92" s="4">
        <v>9</v>
      </c>
      <c r="K92" s="167">
        <f t="shared" si="53"/>
        <v>0</v>
      </c>
      <c r="L92" s="70">
        <v>0</v>
      </c>
      <c r="M92" s="4">
        <v>9</v>
      </c>
      <c r="N92" s="167">
        <f t="shared" si="54"/>
        <v>0</v>
      </c>
      <c r="O92" s="70">
        <v>0</v>
      </c>
      <c r="P92" s="4">
        <v>9</v>
      </c>
      <c r="Q92" s="167">
        <f t="shared" si="55"/>
        <v>0</v>
      </c>
      <c r="R92" s="164">
        <f t="shared" si="69"/>
        <v>3</v>
      </c>
      <c r="S92" s="165">
        <f t="shared" si="56"/>
        <v>2.9883571953558841E-2</v>
      </c>
      <c r="U92" s="170">
        <f t="shared" si="70"/>
        <v>1</v>
      </c>
      <c r="V92" s="6">
        <v>1</v>
      </c>
      <c r="W92" s="6">
        <v>0</v>
      </c>
      <c r="X92" s="138">
        <f t="shared" si="57"/>
        <v>10</v>
      </c>
      <c r="Y92" s="167">
        <f t="shared" si="58"/>
        <v>0.1111111111111111</v>
      </c>
      <c r="Z92" s="170">
        <f t="shared" si="71"/>
        <v>8</v>
      </c>
      <c r="AA92" s="6">
        <v>1</v>
      </c>
      <c r="AB92" s="6">
        <v>7</v>
      </c>
      <c r="AC92" s="138">
        <f t="shared" si="59"/>
        <v>18</v>
      </c>
      <c r="AD92" s="160">
        <f t="shared" si="60"/>
        <v>0.8</v>
      </c>
      <c r="AE92" s="170">
        <f t="shared" si="72"/>
        <v>10</v>
      </c>
      <c r="AF92" s="6">
        <v>1</v>
      </c>
      <c r="AG92" s="6">
        <v>9</v>
      </c>
      <c r="AH92" s="138">
        <f t="shared" si="61"/>
        <v>28</v>
      </c>
      <c r="AI92" s="160">
        <f t="shared" si="62"/>
        <v>0.55555555555555558</v>
      </c>
      <c r="AJ92" s="170">
        <f t="shared" si="73"/>
        <v>19</v>
      </c>
      <c r="AK92" s="6">
        <v>1</v>
      </c>
      <c r="AL92" s="6">
        <v>18</v>
      </c>
      <c r="AM92" s="138">
        <f t="shared" si="63"/>
        <v>47</v>
      </c>
      <c r="AN92" s="160">
        <f t="shared" si="64"/>
        <v>0.6785714285714286</v>
      </c>
      <c r="AO92" s="170">
        <f t="shared" si="74"/>
        <v>18</v>
      </c>
      <c r="AP92" s="6">
        <v>0</v>
      </c>
      <c r="AQ92" s="6">
        <v>18</v>
      </c>
      <c r="AR92" s="138">
        <f t="shared" si="65"/>
        <v>65</v>
      </c>
      <c r="AS92" s="160">
        <f t="shared" si="66"/>
        <v>0.38297872340425532</v>
      </c>
      <c r="AT92" s="164">
        <f t="shared" si="67"/>
        <v>56</v>
      </c>
      <c r="AU92" s="165">
        <f t="shared" si="68"/>
        <v>0.59671843378737011</v>
      </c>
    </row>
    <row r="93" spans="2:47" outlineLevel="1" x14ac:dyDescent="0.35">
      <c r="B93" s="48" t="s">
        <v>91</v>
      </c>
      <c r="C93" s="62" t="s">
        <v>141</v>
      </c>
      <c r="D93" s="70">
        <v>20</v>
      </c>
      <c r="E93" s="71">
        <v>143</v>
      </c>
      <c r="F93" s="70">
        <v>21</v>
      </c>
      <c r="G93" s="4">
        <v>164</v>
      </c>
      <c r="H93" s="167">
        <f t="shared" si="52"/>
        <v>0.14685314685314685</v>
      </c>
      <c r="I93" s="70">
        <v>46</v>
      </c>
      <c r="J93" s="4">
        <v>210</v>
      </c>
      <c r="K93" s="167">
        <f t="shared" si="53"/>
        <v>0.28048780487804881</v>
      </c>
      <c r="L93" s="70">
        <v>41</v>
      </c>
      <c r="M93" s="4">
        <v>251</v>
      </c>
      <c r="N93" s="167">
        <f t="shared" si="54"/>
        <v>0.19523809523809524</v>
      </c>
      <c r="O93" s="70">
        <v>13</v>
      </c>
      <c r="P93" s="4">
        <v>264</v>
      </c>
      <c r="Q93" s="167">
        <f t="shared" si="55"/>
        <v>5.1792828685258967E-2</v>
      </c>
      <c r="R93" s="164">
        <f t="shared" si="69"/>
        <v>141</v>
      </c>
      <c r="S93" s="165">
        <f t="shared" si="56"/>
        <v>0.16564679083053058</v>
      </c>
      <c r="U93" s="170">
        <f t="shared" si="70"/>
        <v>9</v>
      </c>
      <c r="V93" s="6">
        <v>9</v>
      </c>
      <c r="W93" s="6">
        <v>0</v>
      </c>
      <c r="X93" s="138">
        <f t="shared" si="57"/>
        <v>273</v>
      </c>
      <c r="Y93" s="167">
        <f t="shared" si="58"/>
        <v>3.4090909090909088E-2</v>
      </c>
      <c r="Z93" s="170">
        <f t="shared" si="71"/>
        <v>16</v>
      </c>
      <c r="AA93" s="6">
        <v>10</v>
      </c>
      <c r="AB93" s="6">
        <v>6</v>
      </c>
      <c r="AC93" s="138">
        <f t="shared" si="59"/>
        <v>289</v>
      </c>
      <c r="AD93" s="160">
        <f t="shared" si="60"/>
        <v>5.8608058608058608E-2</v>
      </c>
      <c r="AE93" s="170">
        <f t="shared" si="72"/>
        <v>22</v>
      </c>
      <c r="AF93" s="6">
        <v>10</v>
      </c>
      <c r="AG93" s="6">
        <v>12</v>
      </c>
      <c r="AH93" s="138">
        <f t="shared" si="61"/>
        <v>311</v>
      </c>
      <c r="AI93" s="160">
        <f t="shared" si="62"/>
        <v>7.6124567474048443E-2</v>
      </c>
      <c r="AJ93" s="170">
        <f t="shared" si="73"/>
        <v>20</v>
      </c>
      <c r="AK93" s="6">
        <v>9</v>
      </c>
      <c r="AL93" s="6">
        <v>11</v>
      </c>
      <c r="AM93" s="138">
        <f t="shared" si="63"/>
        <v>331</v>
      </c>
      <c r="AN93" s="160">
        <f t="shared" si="64"/>
        <v>6.4308681672025719E-2</v>
      </c>
      <c r="AO93" s="170">
        <f t="shared" si="74"/>
        <v>20</v>
      </c>
      <c r="AP93" s="6">
        <v>7</v>
      </c>
      <c r="AQ93" s="6">
        <v>13</v>
      </c>
      <c r="AR93" s="138">
        <f t="shared" si="65"/>
        <v>351</v>
      </c>
      <c r="AS93" s="160">
        <f t="shared" si="66"/>
        <v>6.0422960725075532E-2</v>
      </c>
      <c r="AT93" s="164">
        <f t="shared" si="67"/>
        <v>87</v>
      </c>
      <c r="AU93" s="165">
        <f t="shared" si="68"/>
        <v>6.4844316803015944E-2</v>
      </c>
    </row>
    <row r="94" spans="2:47" outlineLevel="1" x14ac:dyDescent="0.35">
      <c r="B94" s="48" t="s">
        <v>92</v>
      </c>
      <c r="C94" s="62" t="s">
        <v>141</v>
      </c>
      <c r="D94" s="70">
        <v>161</v>
      </c>
      <c r="E94" s="71">
        <v>994</v>
      </c>
      <c r="F94" s="70">
        <v>253</v>
      </c>
      <c r="G94" s="4">
        <v>1247</v>
      </c>
      <c r="H94" s="167">
        <f t="shared" si="52"/>
        <v>0.25452716297786721</v>
      </c>
      <c r="I94" s="70">
        <v>631</v>
      </c>
      <c r="J94" s="4">
        <v>1878</v>
      </c>
      <c r="K94" s="167">
        <f t="shared" si="53"/>
        <v>0.50601443464314355</v>
      </c>
      <c r="L94" s="70">
        <v>257</v>
      </c>
      <c r="M94" s="4">
        <v>2135</v>
      </c>
      <c r="N94" s="167">
        <f t="shared" si="54"/>
        <v>0.13684771033013846</v>
      </c>
      <c r="O94" s="70">
        <v>209</v>
      </c>
      <c r="P94" s="4">
        <v>2344</v>
      </c>
      <c r="Q94" s="167">
        <f t="shared" si="55"/>
        <v>9.7892271662763472E-2</v>
      </c>
      <c r="R94" s="164">
        <f t="shared" si="69"/>
        <v>1511</v>
      </c>
      <c r="S94" s="165">
        <f t="shared" si="56"/>
        <v>0.23920399752879118</v>
      </c>
      <c r="U94" s="170">
        <f t="shared" si="70"/>
        <v>296</v>
      </c>
      <c r="V94" s="6">
        <v>290</v>
      </c>
      <c r="W94" s="6">
        <v>6</v>
      </c>
      <c r="X94" s="138">
        <f t="shared" si="57"/>
        <v>2640</v>
      </c>
      <c r="Y94" s="167">
        <f t="shared" si="58"/>
        <v>0.12627986348122866</v>
      </c>
      <c r="Z94" s="170">
        <f t="shared" si="71"/>
        <v>379</v>
      </c>
      <c r="AA94" s="6">
        <v>321</v>
      </c>
      <c r="AB94" s="6">
        <v>58</v>
      </c>
      <c r="AC94" s="138">
        <f t="shared" si="59"/>
        <v>3019</v>
      </c>
      <c r="AD94" s="160">
        <f t="shared" si="60"/>
        <v>0.14356060606060606</v>
      </c>
      <c r="AE94" s="170">
        <f t="shared" si="72"/>
        <v>458</v>
      </c>
      <c r="AF94" s="6">
        <v>337</v>
      </c>
      <c r="AG94" s="6">
        <v>121</v>
      </c>
      <c r="AH94" s="138">
        <f t="shared" si="61"/>
        <v>3477</v>
      </c>
      <c r="AI94" s="160">
        <f t="shared" si="62"/>
        <v>0.15170586286849949</v>
      </c>
      <c r="AJ94" s="170">
        <f t="shared" si="73"/>
        <v>406</v>
      </c>
      <c r="AK94" s="6">
        <v>296</v>
      </c>
      <c r="AL94" s="6">
        <v>110</v>
      </c>
      <c r="AM94" s="138">
        <f t="shared" si="63"/>
        <v>3883</v>
      </c>
      <c r="AN94" s="160">
        <f t="shared" si="64"/>
        <v>0.11676732815645671</v>
      </c>
      <c r="AO94" s="170">
        <f t="shared" si="74"/>
        <v>321</v>
      </c>
      <c r="AP94" s="6">
        <v>233</v>
      </c>
      <c r="AQ94" s="6">
        <v>88</v>
      </c>
      <c r="AR94" s="138">
        <f t="shared" si="65"/>
        <v>4204</v>
      </c>
      <c r="AS94" s="160">
        <f t="shared" si="66"/>
        <v>8.2668040175122331E-2</v>
      </c>
      <c r="AT94" s="164">
        <f t="shared" si="67"/>
        <v>1860</v>
      </c>
      <c r="AU94" s="165">
        <f t="shared" si="68"/>
        <v>0.12334897952996959</v>
      </c>
    </row>
    <row r="95" spans="2:47" outlineLevel="1" x14ac:dyDescent="0.35">
      <c r="B95" s="48" t="s">
        <v>93</v>
      </c>
      <c r="C95" s="62" t="s">
        <v>141</v>
      </c>
      <c r="D95" s="70">
        <v>215</v>
      </c>
      <c r="E95" s="71">
        <v>1051</v>
      </c>
      <c r="F95" s="70">
        <v>419</v>
      </c>
      <c r="G95" s="4">
        <v>1470</v>
      </c>
      <c r="H95" s="167">
        <f t="shared" si="52"/>
        <v>0.39866793529971456</v>
      </c>
      <c r="I95" s="70">
        <v>652</v>
      </c>
      <c r="J95" s="4">
        <v>2122</v>
      </c>
      <c r="K95" s="167">
        <f t="shared" si="53"/>
        <v>0.44353741496598642</v>
      </c>
      <c r="L95" s="70">
        <v>394</v>
      </c>
      <c r="M95" s="4">
        <v>2516</v>
      </c>
      <c r="N95" s="167">
        <f t="shared" si="54"/>
        <v>0.18567389255419417</v>
      </c>
      <c r="O95" s="70">
        <v>224</v>
      </c>
      <c r="P95" s="4">
        <v>2740</v>
      </c>
      <c r="Q95" s="167">
        <f t="shared" si="55"/>
        <v>8.9030206677265494E-2</v>
      </c>
      <c r="R95" s="164">
        <f t="shared" si="69"/>
        <v>1904</v>
      </c>
      <c r="S95" s="165">
        <f t="shared" si="56"/>
        <v>0.27068224513860284</v>
      </c>
      <c r="U95" s="170">
        <f t="shared" si="70"/>
        <v>409</v>
      </c>
      <c r="V95" s="6">
        <v>354</v>
      </c>
      <c r="W95" s="6">
        <v>55</v>
      </c>
      <c r="X95" s="138">
        <f t="shared" si="57"/>
        <v>3149</v>
      </c>
      <c r="Y95" s="167">
        <f t="shared" si="58"/>
        <v>0.14927007299270073</v>
      </c>
      <c r="Z95" s="170">
        <f t="shared" si="71"/>
        <v>576</v>
      </c>
      <c r="AA95" s="6">
        <v>393</v>
      </c>
      <c r="AB95" s="6">
        <v>183</v>
      </c>
      <c r="AC95" s="138">
        <f t="shared" si="59"/>
        <v>3725</v>
      </c>
      <c r="AD95" s="160">
        <f t="shared" si="60"/>
        <v>0.18291521117815179</v>
      </c>
      <c r="AE95" s="170">
        <f t="shared" si="72"/>
        <v>974</v>
      </c>
      <c r="AF95" s="6">
        <v>413</v>
      </c>
      <c r="AG95" s="6">
        <v>561</v>
      </c>
      <c r="AH95" s="138">
        <f t="shared" si="61"/>
        <v>4699</v>
      </c>
      <c r="AI95" s="160">
        <f t="shared" si="62"/>
        <v>0.26147651006711409</v>
      </c>
      <c r="AJ95" s="170">
        <f t="shared" si="73"/>
        <v>1030</v>
      </c>
      <c r="AK95" s="6">
        <v>362</v>
      </c>
      <c r="AL95" s="6">
        <v>668</v>
      </c>
      <c r="AM95" s="138">
        <f t="shared" si="63"/>
        <v>5729</v>
      </c>
      <c r="AN95" s="160">
        <f t="shared" si="64"/>
        <v>0.21919557352628219</v>
      </c>
      <c r="AO95" s="170">
        <f t="shared" si="74"/>
        <v>876</v>
      </c>
      <c r="AP95" s="6">
        <v>285</v>
      </c>
      <c r="AQ95" s="6">
        <v>591</v>
      </c>
      <c r="AR95" s="138">
        <f t="shared" si="65"/>
        <v>6605</v>
      </c>
      <c r="AS95" s="160">
        <f t="shared" si="66"/>
        <v>0.15290626636411242</v>
      </c>
      <c r="AT95" s="164">
        <f t="shared" si="67"/>
        <v>3865</v>
      </c>
      <c r="AU95" s="165">
        <f t="shared" si="68"/>
        <v>0.203441656604197</v>
      </c>
    </row>
    <row r="96" spans="2:47" outlineLevel="1" x14ac:dyDescent="0.35">
      <c r="B96" s="48" t="s">
        <v>94</v>
      </c>
      <c r="C96" s="62" t="s">
        <v>141</v>
      </c>
      <c r="D96" s="70">
        <v>313</v>
      </c>
      <c r="E96" s="71">
        <v>2777</v>
      </c>
      <c r="F96" s="70">
        <v>433</v>
      </c>
      <c r="G96" s="4">
        <v>3210</v>
      </c>
      <c r="H96" s="167">
        <f t="shared" si="52"/>
        <v>0.15592365862441485</v>
      </c>
      <c r="I96" s="70">
        <v>371</v>
      </c>
      <c r="J96" s="4">
        <v>3581</v>
      </c>
      <c r="K96" s="167">
        <f t="shared" si="53"/>
        <v>0.11557632398753893</v>
      </c>
      <c r="L96" s="70">
        <v>240</v>
      </c>
      <c r="M96" s="4">
        <v>3821</v>
      </c>
      <c r="N96" s="167">
        <f t="shared" si="54"/>
        <v>6.7020385367215857E-2</v>
      </c>
      <c r="O96" s="70">
        <v>199</v>
      </c>
      <c r="P96" s="4">
        <v>4020</v>
      </c>
      <c r="Q96" s="167">
        <f t="shared" si="55"/>
        <v>5.2080607170897672E-2</v>
      </c>
      <c r="R96" s="164">
        <f t="shared" si="69"/>
        <v>1556</v>
      </c>
      <c r="S96" s="165">
        <f t="shared" si="56"/>
        <v>9.6888651686422689E-2</v>
      </c>
      <c r="U96" s="170">
        <f t="shared" si="70"/>
        <v>306</v>
      </c>
      <c r="V96" s="6">
        <v>303</v>
      </c>
      <c r="W96" s="6">
        <v>3</v>
      </c>
      <c r="X96" s="138">
        <f t="shared" si="57"/>
        <v>4326</v>
      </c>
      <c r="Y96" s="167">
        <f t="shared" si="58"/>
        <v>7.6119402985074622E-2</v>
      </c>
      <c r="Z96" s="170">
        <f t="shared" si="71"/>
        <v>419</v>
      </c>
      <c r="AA96" s="6">
        <v>337</v>
      </c>
      <c r="AB96" s="6">
        <v>82</v>
      </c>
      <c r="AC96" s="138">
        <f t="shared" si="59"/>
        <v>4745</v>
      </c>
      <c r="AD96" s="160">
        <f t="shared" si="60"/>
        <v>9.685621821544152E-2</v>
      </c>
      <c r="AE96" s="170">
        <f t="shared" si="72"/>
        <v>507</v>
      </c>
      <c r="AF96" s="6">
        <v>354</v>
      </c>
      <c r="AG96" s="6">
        <v>153</v>
      </c>
      <c r="AH96" s="138">
        <f t="shared" si="61"/>
        <v>5252</v>
      </c>
      <c r="AI96" s="160">
        <f t="shared" si="62"/>
        <v>0.10684931506849316</v>
      </c>
      <c r="AJ96" s="170">
        <f t="shared" si="73"/>
        <v>496</v>
      </c>
      <c r="AK96" s="6">
        <v>311</v>
      </c>
      <c r="AL96" s="6">
        <v>185</v>
      </c>
      <c r="AM96" s="138">
        <f t="shared" si="63"/>
        <v>5748</v>
      </c>
      <c r="AN96" s="160">
        <f t="shared" si="64"/>
        <v>9.4440213252094438E-2</v>
      </c>
      <c r="AO96" s="170">
        <f t="shared" si="74"/>
        <v>444</v>
      </c>
      <c r="AP96" s="6">
        <v>245</v>
      </c>
      <c r="AQ96" s="6">
        <v>199</v>
      </c>
      <c r="AR96" s="138">
        <f t="shared" si="65"/>
        <v>6192</v>
      </c>
      <c r="AS96" s="160">
        <f t="shared" si="66"/>
        <v>7.724425887265135E-2</v>
      </c>
      <c r="AT96" s="164">
        <f t="shared" si="67"/>
        <v>2172</v>
      </c>
      <c r="AU96" s="165">
        <f t="shared" si="68"/>
        <v>9.379543914637023E-2</v>
      </c>
    </row>
    <row r="97" spans="2:47" outlineLevel="1" x14ac:dyDescent="0.35">
      <c r="B97" s="48" t="s">
        <v>95</v>
      </c>
      <c r="C97" s="62" t="s">
        <v>141</v>
      </c>
      <c r="D97" s="70">
        <v>289</v>
      </c>
      <c r="E97" s="71">
        <v>2423</v>
      </c>
      <c r="F97" s="70">
        <v>302</v>
      </c>
      <c r="G97" s="4">
        <v>2725</v>
      </c>
      <c r="H97" s="167">
        <f t="shared" si="52"/>
        <v>0.12463887742468015</v>
      </c>
      <c r="I97" s="70">
        <v>381</v>
      </c>
      <c r="J97" s="4">
        <v>3106</v>
      </c>
      <c r="K97" s="167">
        <f t="shared" si="53"/>
        <v>0.13981651376146789</v>
      </c>
      <c r="L97" s="70">
        <v>148</v>
      </c>
      <c r="M97" s="4">
        <v>3254</v>
      </c>
      <c r="N97" s="167">
        <f t="shared" si="54"/>
        <v>4.7649710238248551E-2</v>
      </c>
      <c r="O97" s="70">
        <v>91</v>
      </c>
      <c r="P97" s="4">
        <v>3345</v>
      </c>
      <c r="Q97" s="167">
        <f t="shared" si="55"/>
        <v>2.7965580823601722E-2</v>
      </c>
      <c r="R97" s="164">
        <f t="shared" si="69"/>
        <v>1211</v>
      </c>
      <c r="S97" s="165">
        <f t="shared" si="56"/>
        <v>8.3953562346895438E-2</v>
      </c>
      <c r="U97" s="170">
        <f t="shared" si="70"/>
        <v>152</v>
      </c>
      <c r="V97" s="6">
        <v>147</v>
      </c>
      <c r="W97" s="6">
        <v>5</v>
      </c>
      <c r="X97" s="138">
        <f t="shared" si="57"/>
        <v>3497</v>
      </c>
      <c r="Y97" s="167">
        <f t="shared" si="58"/>
        <v>4.5440956651718982E-2</v>
      </c>
      <c r="Z97" s="170">
        <f t="shared" si="71"/>
        <v>201</v>
      </c>
      <c r="AA97" s="6">
        <v>162</v>
      </c>
      <c r="AB97" s="6">
        <v>39</v>
      </c>
      <c r="AC97" s="138">
        <f t="shared" si="59"/>
        <v>3698</v>
      </c>
      <c r="AD97" s="160">
        <f t="shared" si="60"/>
        <v>5.747783814698313E-2</v>
      </c>
      <c r="AE97" s="170">
        <f t="shared" si="72"/>
        <v>269</v>
      </c>
      <c r="AF97" s="6">
        <v>171</v>
      </c>
      <c r="AG97" s="6">
        <v>98</v>
      </c>
      <c r="AH97" s="138">
        <f t="shared" si="61"/>
        <v>3967</v>
      </c>
      <c r="AI97" s="160">
        <f t="shared" si="62"/>
        <v>7.2742022714981078E-2</v>
      </c>
      <c r="AJ97" s="170">
        <f t="shared" si="73"/>
        <v>286</v>
      </c>
      <c r="AK97" s="6">
        <v>150</v>
      </c>
      <c r="AL97" s="6">
        <v>136</v>
      </c>
      <c r="AM97" s="138">
        <f t="shared" si="63"/>
        <v>4253</v>
      </c>
      <c r="AN97" s="160">
        <f t="shared" si="64"/>
        <v>7.2094781951096545E-2</v>
      </c>
      <c r="AO97" s="170">
        <f t="shared" si="74"/>
        <v>229</v>
      </c>
      <c r="AP97" s="6">
        <v>118</v>
      </c>
      <c r="AQ97" s="6">
        <v>111</v>
      </c>
      <c r="AR97" s="138">
        <f t="shared" si="65"/>
        <v>4482</v>
      </c>
      <c r="AS97" s="160">
        <f t="shared" si="66"/>
        <v>5.3844345168116627E-2</v>
      </c>
      <c r="AT97" s="164">
        <f t="shared" si="67"/>
        <v>1137</v>
      </c>
      <c r="AU97" s="165">
        <f t="shared" si="68"/>
        <v>6.4005946079451093E-2</v>
      </c>
    </row>
    <row r="98" spans="2:47" outlineLevel="1" x14ac:dyDescent="0.35">
      <c r="B98" s="48" t="s">
        <v>96</v>
      </c>
      <c r="C98" s="62" t="s">
        <v>141</v>
      </c>
      <c r="D98" s="70">
        <v>190</v>
      </c>
      <c r="E98" s="71">
        <v>1327</v>
      </c>
      <c r="F98" s="70">
        <v>200</v>
      </c>
      <c r="G98" s="4">
        <v>1527</v>
      </c>
      <c r="H98" s="167">
        <f t="shared" si="52"/>
        <v>0.15071590052750566</v>
      </c>
      <c r="I98" s="70">
        <v>199</v>
      </c>
      <c r="J98" s="4">
        <v>1726</v>
      </c>
      <c r="K98" s="167">
        <f t="shared" si="53"/>
        <v>0.13032089063523247</v>
      </c>
      <c r="L98" s="70">
        <v>108</v>
      </c>
      <c r="M98" s="4">
        <v>1834</v>
      </c>
      <c r="N98" s="167">
        <f t="shared" si="54"/>
        <v>6.2572421784472768E-2</v>
      </c>
      <c r="O98" s="70">
        <v>147</v>
      </c>
      <c r="P98" s="4">
        <v>1981</v>
      </c>
      <c r="Q98" s="167">
        <f t="shared" si="55"/>
        <v>8.0152671755725186E-2</v>
      </c>
      <c r="R98" s="164">
        <f t="shared" si="69"/>
        <v>844</v>
      </c>
      <c r="S98" s="165">
        <f t="shared" si="56"/>
        <v>0.10535909285939549</v>
      </c>
      <c r="U98" s="170">
        <f t="shared" si="70"/>
        <v>171</v>
      </c>
      <c r="V98" s="6">
        <v>171</v>
      </c>
      <c r="W98" s="6">
        <v>0</v>
      </c>
      <c r="X98" s="138">
        <f t="shared" si="57"/>
        <v>2152</v>
      </c>
      <c r="Y98" s="167">
        <f t="shared" si="58"/>
        <v>8.6320040383644631E-2</v>
      </c>
      <c r="Z98" s="170">
        <f t="shared" si="71"/>
        <v>231</v>
      </c>
      <c r="AA98" s="6">
        <v>190</v>
      </c>
      <c r="AB98" s="6">
        <v>41</v>
      </c>
      <c r="AC98" s="138">
        <f t="shared" si="59"/>
        <v>2383</v>
      </c>
      <c r="AD98" s="160">
        <f t="shared" si="60"/>
        <v>0.10734200743494424</v>
      </c>
      <c r="AE98" s="170">
        <f t="shared" si="72"/>
        <v>313</v>
      </c>
      <c r="AF98" s="6">
        <v>200</v>
      </c>
      <c r="AG98" s="6">
        <v>113</v>
      </c>
      <c r="AH98" s="138">
        <f t="shared" si="61"/>
        <v>2696</v>
      </c>
      <c r="AI98" s="160">
        <f t="shared" si="62"/>
        <v>0.13134704154427193</v>
      </c>
      <c r="AJ98" s="170">
        <f t="shared" si="73"/>
        <v>287</v>
      </c>
      <c r="AK98" s="6">
        <v>176</v>
      </c>
      <c r="AL98" s="6">
        <v>111</v>
      </c>
      <c r="AM98" s="138">
        <f t="shared" si="63"/>
        <v>2983</v>
      </c>
      <c r="AN98" s="160">
        <f t="shared" si="64"/>
        <v>0.1064540059347181</v>
      </c>
      <c r="AO98" s="170">
        <f t="shared" si="74"/>
        <v>248</v>
      </c>
      <c r="AP98" s="6">
        <v>138</v>
      </c>
      <c r="AQ98" s="6">
        <v>110</v>
      </c>
      <c r="AR98" s="138">
        <f t="shared" si="65"/>
        <v>3231</v>
      </c>
      <c r="AS98" s="160">
        <f t="shared" si="66"/>
        <v>8.3137780757626553E-2</v>
      </c>
      <c r="AT98" s="164">
        <f t="shared" si="67"/>
        <v>1250</v>
      </c>
      <c r="AU98" s="165">
        <f t="shared" si="68"/>
        <v>0.10693895883499049</v>
      </c>
    </row>
    <row r="99" spans="2:47" outlineLevel="1" x14ac:dyDescent="0.35">
      <c r="B99" s="48" t="s">
        <v>97</v>
      </c>
      <c r="C99" s="62" t="s">
        <v>141</v>
      </c>
      <c r="D99" s="70">
        <v>392</v>
      </c>
      <c r="E99" s="71">
        <v>3127</v>
      </c>
      <c r="F99" s="70">
        <v>492</v>
      </c>
      <c r="G99" s="4">
        <v>3619</v>
      </c>
      <c r="H99" s="167">
        <f t="shared" si="52"/>
        <v>0.15733930284617845</v>
      </c>
      <c r="I99" s="70">
        <v>459</v>
      </c>
      <c r="J99" s="4">
        <v>4078</v>
      </c>
      <c r="K99" s="167">
        <f t="shared" si="53"/>
        <v>0.12683061619231831</v>
      </c>
      <c r="L99" s="70">
        <v>302</v>
      </c>
      <c r="M99" s="4">
        <v>4380</v>
      </c>
      <c r="N99" s="167">
        <f t="shared" si="54"/>
        <v>7.4055909759686123E-2</v>
      </c>
      <c r="O99" s="70">
        <v>201</v>
      </c>
      <c r="P99" s="4">
        <v>4581</v>
      </c>
      <c r="Q99" s="167">
        <f t="shared" si="55"/>
        <v>4.5890410958904108E-2</v>
      </c>
      <c r="R99" s="164">
        <f t="shared" si="69"/>
        <v>1846</v>
      </c>
      <c r="S99" s="165">
        <f t="shared" si="56"/>
        <v>0.10016570471286967</v>
      </c>
      <c r="U99" s="170">
        <f t="shared" si="70"/>
        <v>384</v>
      </c>
      <c r="V99" s="6">
        <v>374</v>
      </c>
      <c r="W99" s="6">
        <v>10</v>
      </c>
      <c r="X99" s="138">
        <f t="shared" si="57"/>
        <v>4965</v>
      </c>
      <c r="Y99" s="167">
        <f t="shared" si="58"/>
        <v>8.3824492468893258E-2</v>
      </c>
      <c r="Z99" s="170">
        <f t="shared" si="71"/>
        <v>646</v>
      </c>
      <c r="AA99" s="6">
        <v>416</v>
      </c>
      <c r="AB99" s="6">
        <v>230</v>
      </c>
      <c r="AC99" s="138">
        <f t="shared" si="59"/>
        <v>5611</v>
      </c>
      <c r="AD99" s="160">
        <f t="shared" si="60"/>
        <v>0.13011077542799598</v>
      </c>
      <c r="AE99" s="170">
        <f t="shared" si="72"/>
        <v>744</v>
      </c>
      <c r="AF99" s="6">
        <v>438</v>
      </c>
      <c r="AG99" s="6">
        <v>306</v>
      </c>
      <c r="AH99" s="138">
        <f t="shared" si="61"/>
        <v>6355</v>
      </c>
      <c r="AI99" s="160">
        <f t="shared" si="62"/>
        <v>0.13259668508287292</v>
      </c>
      <c r="AJ99" s="170">
        <f t="shared" si="73"/>
        <v>602</v>
      </c>
      <c r="AK99" s="6">
        <v>384</v>
      </c>
      <c r="AL99" s="6">
        <v>218</v>
      </c>
      <c r="AM99" s="138">
        <f t="shared" si="63"/>
        <v>6957</v>
      </c>
      <c r="AN99" s="160">
        <f t="shared" si="64"/>
        <v>9.4728560188827693E-2</v>
      </c>
      <c r="AO99" s="170">
        <f t="shared" si="74"/>
        <v>634</v>
      </c>
      <c r="AP99" s="6">
        <v>302</v>
      </c>
      <c r="AQ99" s="6">
        <v>332</v>
      </c>
      <c r="AR99" s="138">
        <f t="shared" si="65"/>
        <v>7591</v>
      </c>
      <c r="AS99" s="160">
        <f t="shared" si="66"/>
        <v>9.1131234727612476E-2</v>
      </c>
      <c r="AT99" s="164">
        <f t="shared" si="67"/>
        <v>3010</v>
      </c>
      <c r="AU99" s="165">
        <f t="shared" si="68"/>
        <v>0.11197477296041036</v>
      </c>
    </row>
    <row r="100" spans="2:47" outlineLevel="1" x14ac:dyDescent="0.35">
      <c r="B100" s="48" t="s">
        <v>98</v>
      </c>
      <c r="C100" s="62" t="s">
        <v>141</v>
      </c>
      <c r="D100" s="70">
        <v>85</v>
      </c>
      <c r="E100" s="71">
        <v>759</v>
      </c>
      <c r="F100" s="70">
        <v>73</v>
      </c>
      <c r="G100" s="4">
        <v>832</v>
      </c>
      <c r="H100" s="167">
        <f t="shared" si="52"/>
        <v>9.6179183135704879E-2</v>
      </c>
      <c r="I100" s="70">
        <v>83</v>
      </c>
      <c r="J100" s="4">
        <v>915</v>
      </c>
      <c r="K100" s="167">
        <f t="shared" si="53"/>
        <v>9.9759615384615391E-2</v>
      </c>
      <c r="L100" s="70">
        <v>72</v>
      </c>
      <c r="M100" s="4">
        <v>987</v>
      </c>
      <c r="N100" s="167">
        <f t="shared" si="54"/>
        <v>7.8688524590163941E-2</v>
      </c>
      <c r="O100" s="70">
        <v>18</v>
      </c>
      <c r="P100" s="4">
        <v>1005</v>
      </c>
      <c r="Q100" s="167">
        <f t="shared" si="55"/>
        <v>1.82370820668693E-2</v>
      </c>
      <c r="R100" s="164">
        <f t="shared" si="69"/>
        <v>331</v>
      </c>
      <c r="S100" s="165">
        <f t="shared" si="56"/>
        <v>7.2706893356622171E-2</v>
      </c>
      <c r="U100" s="170">
        <f t="shared" si="70"/>
        <v>84</v>
      </c>
      <c r="V100" s="6">
        <v>77</v>
      </c>
      <c r="W100" s="6">
        <v>7</v>
      </c>
      <c r="X100" s="138">
        <f t="shared" si="57"/>
        <v>1089</v>
      </c>
      <c r="Y100" s="167">
        <f t="shared" si="58"/>
        <v>8.3582089552238809E-2</v>
      </c>
      <c r="Z100" s="170">
        <f t="shared" si="71"/>
        <v>160</v>
      </c>
      <c r="AA100" s="6">
        <v>86</v>
      </c>
      <c r="AB100" s="6">
        <v>74</v>
      </c>
      <c r="AC100" s="138">
        <f t="shared" si="59"/>
        <v>1249</v>
      </c>
      <c r="AD100" s="160">
        <f t="shared" si="60"/>
        <v>0.14692378328741965</v>
      </c>
      <c r="AE100" s="170">
        <f t="shared" si="72"/>
        <v>231</v>
      </c>
      <c r="AF100" s="6">
        <v>91</v>
      </c>
      <c r="AG100" s="6">
        <v>140</v>
      </c>
      <c r="AH100" s="138">
        <f t="shared" si="61"/>
        <v>1480</v>
      </c>
      <c r="AI100" s="160">
        <f t="shared" si="62"/>
        <v>0.18494795836669337</v>
      </c>
      <c r="AJ100" s="170">
        <f t="shared" si="73"/>
        <v>236</v>
      </c>
      <c r="AK100" s="6">
        <v>79</v>
      </c>
      <c r="AL100" s="6">
        <v>157</v>
      </c>
      <c r="AM100" s="138">
        <f t="shared" si="63"/>
        <v>1716</v>
      </c>
      <c r="AN100" s="160">
        <f t="shared" si="64"/>
        <v>0.15945945945945947</v>
      </c>
      <c r="AO100" s="170">
        <f t="shared" si="74"/>
        <v>242</v>
      </c>
      <c r="AP100" s="6">
        <v>63</v>
      </c>
      <c r="AQ100" s="6">
        <v>179</v>
      </c>
      <c r="AR100" s="138">
        <f t="shared" si="65"/>
        <v>1958</v>
      </c>
      <c r="AS100" s="160">
        <f t="shared" si="66"/>
        <v>0.14102564102564102</v>
      </c>
      <c r="AT100" s="164">
        <f t="shared" si="67"/>
        <v>953</v>
      </c>
      <c r="AU100" s="165">
        <f t="shared" si="68"/>
        <v>0.15796705060773952</v>
      </c>
    </row>
    <row r="101" spans="2:47" outlineLevel="1" x14ac:dyDescent="0.35">
      <c r="B101" s="48" t="s">
        <v>99</v>
      </c>
      <c r="C101" s="62" t="s">
        <v>141</v>
      </c>
      <c r="D101" s="70">
        <v>588</v>
      </c>
      <c r="E101" s="71">
        <v>5121</v>
      </c>
      <c r="F101" s="70">
        <v>821</v>
      </c>
      <c r="G101" s="4">
        <v>5942</v>
      </c>
      <c r="H101" s="167">
        <f t="shared" si="52"/>
        <v>0.16032024995118141</v>
      </c>
      <c r="I101" s="70">
        <v>950</v>
      </c>
      <c r="J101" s="4">
        <v>6892</v>
      </c>
      <c r="K101" s="167">
        <f t="shared" si="53"/>
        <v>0.15987882867721306</v>
      </c>
      <c r="L101" s="70">
        <v>344</v>
      </c>
      <c r="M101" s="4">
        <v>7236</v>
      </c>
      <c r="N101" s="167">
        <f t="shared" si="54"/>
        <v>4.9912942542077773E-2</v>
      </c>
      <c r="O101" s="70">
        <v>250</v>
      </c>
      <c r="P101" s="4">
        <v>7486</v>
      </c>
      <c r="Q101" s="167">
        <f t="shared" si="55"/>
        <v>3.4549474847982313E-2</v>
      </c>
      <c r="R101" s="164">
        <f t="shared" si="69"/>
        <v>2953</v>
      </c>
      <c r="S101" s="165">
        <f t="shared" si="56"/>
        <v>9.9572226589628832E-2</v>
      </c>
      <c r="U101" s="170">
        <f t="shared" si="70"/>
        <v>366</v>
      </c>
      <c r="V101" s="6">
        <v>366</v>
      </c>
      <c r="W101" s="6">
        <v>0</v>
      </c>
      <c r="X101" s="138">
        <f t="shared" si="57"/>
        <v>7852</v>
      </c>
      <c r="Y101" s="167">
        <f t="shared" si="58"/>
        <v>4.889126369222549E-2</v>
      </c>
      <c r="Z101" s="170">
        <f t="shared" si="71"/>
        <v>454</v>
      </c>
      <c r="AA101" s="6">
        <v>405</v>
      </c>
      <c r="AB101" s="6">
        <v>49</v>
      </c>
      <c r="AC101" s="138">
        <f t="shared" si="59"/>
        <v>8306</v>
      </c>
      <c r="AD101" s="160">
        <f t="shared" si="60"/>
        <v>5.7819663779928678E-2</v>
      </c>
      <c r="AE101" s="170">
        <f t="shared" si="72"/>
        <v>525</v>
      </c>
      <c r="AF101" s="6">
        <v>426</v>
      </c>
      <c r="AG101" s="6">
        <v>99</v>
      </c>
      <c r="AH101" s="138">
        <f t="shared" si="61"/>
        <v>8831</v>
      </c>
      <c r="AI101" s="160">
        <f t="shared" si="62"/>
        <v>6.3207320009631598E-2</v>
      </c>
      <c r="AJ101" s="170">
        <f t="shared" si="73"/>
        <v>526</v>
      </c>
      <c r="AK101" s="6">
        <v>374</v>
      </c>
      <c r="AL101" s="6">
        <v>152</v>
      </c>
      <c r="AM101" s="138">
        <f t="shared" si="63"/>
        <v>9357</v>
      </c>
      <c r="AN101" s="160">
        <f t="shared" si="64"/>
        <v>5.9562903408447512E-2</v>
      </c>
      <c r="AO101" s="170">
        <f t="shared" si="74"/>
        <v>442</v>
      </c>
      <c r="AP101" s="6">
        <v>294</v>
      </c>
      <c r="AQ101" s="6">
        <v>148</v>
      </c>
      <c r="AR101" s="138">
        <f t="shared" si="65"/>
        <v>9799</v>
      </c>
      <c r="AS101" s="160">
        <f t="shared" si="66"/>
        <v>4.723736240247943E-2</v>
      </c>
      <c r="AT101" s="164">
        <f t="shared" si="67"/>
        <v>2313</v>
      </c>
      <c r="AU101" s="165">
        <f t="shared" si="68"/>
        <v>5.6940079228809504E-2</v>
      </c>
    </row>
    <row r="102" spans="2:47" outlineLevel="1" x14ac:dyDescent="0.35">
      <c r="B102" s="48" t="s">
        <v>100</v>
      </c>
      <c r="C102" s="62" t="s">
        <v>141</v>
      </c>
      <c r="D102" s="70">
        <v>115</v>
      </c>
      <c r="E102" s="71">
        <v>1045</v>
      </c>
      <c r="F102" s="70">
        <v>141</v>
      </c>
      <c r="G102" s="4">
        <v>1186</v>
      </c>
      <c r="H102" s="167">
        <f t="shared" si="52"/>
        <v>0.13492822966507176</v>
      </c>
      <c r="I102" s="70">
        <v>135</v>
      </c>
      <c r="J102" s="4">
        <v>1321</v>
      </c>
      <c r="K102" s="167">
        <f t="shared" si="53"/>
        <v>0.11382799325463744</v>
      </c>
      <c r="L102" s="70">
        <v>65</v>
      </c>
      <c r="M102" s="4">
        <v>1386</v>
      </c>
      <c r="N102" s="167">
        <f t="shared" si="54"/>
        <v>4.9205147615442847E-2</v>
      </c>
      <c r="O102" s="70">
        <v>38</v>
      </c>
      <c r="P102" s="4">
        <v>1424</v>
      </c>
      <c r="Q102" s="167">
        <f t="shared" si="55"/>
        <v>2.7417027417027416E-2</v>
      </c>
      <c r="R102" s="164">
        <f t="shared" si="69"/>
        <v>494</v>
      </c>
      <c r="S102" s="165">
        <f t="shared" si="56"/>
        <v>8.0434453378404269E-2</v>
      </c>
      <c r="U102" s="170">
        <f t="shared" si="70"/>
        <v>107</v>
      </c>
      <c r="V102" s="6">
        <v>95</v>
      </c>
      <c r="W102" s="6">
        <v>12</v>
      </c>
      <c r="X102" s="138">
        <f t="shared" si="57"/>
        <v>1531</v>
      </c>
      <c r="Y102" s="167">
        <f t="shared" si="58"/>
        <v>7.514044943820225E-2</v>
      </c>
      <c r="Z102" s="170">
        <f t="shared" si="71"/>
        <v>222</v>
      </c>
      <c r="AA102" s="6">
        <v>106</v>
      </c>
      <c r="AB102" s="6">
        <v>116</v>
      </c>
      <c r="AC102" s="138">
        <f t="shared" si="59"/>
        <v>1753</v>
      </c>
      <c r="AD102" s="160">
        <f t="shared" si="60"/>
        <v>0.14500326583932072</v>
      </c>
      <c r="AE102" s="170">
        <f t="shared" si="72"/>
        <v>307</v>
      </c>
      <c r="AF102" s="6">
        <v>111</v>
      </c>
      <c r="AG102" s="6">
        <v>196</v>
      </c>
      <c r="AH102" s="138">
        <f t="shared" si="61"/>
        <v>2060</v>
      </c>
      <c r="AI102" s="160">
        <f t="shared" si="62"/>
        <v>0.1751283513976041</v>
      </c>
      <c r="AJ102" s="170">
        <f t="shared" si="73"/>
        <v>298</v>
      </c>
      <c r="AK102" s="6">
        <v>97</v>
      </c>
      <c r="AL102" s="6">
        <v>201</v>
      </c>
      <c r="AM102" s="138">
        <f t="shared" si="63"/>
        <v>2358</v>
      </c>
      <c r="AN102" s="160">
        <f t="shared" si="64"/>
        <v>0.14466019417475728</v>
      </c>
      <c r="AO102" s="170">
        <f t="shared" si="74"/>
        <v>398</v>
      </c>
      <c r="AP102" s="6">
        <v>77</v>
      </c>
      <c r="AQ102" s="6">
        <v>321</v>
      </c>
      <c r="AR102" s="138">
        <f t="shared" si="65"/>
        <v>2756</v>
      </c>
      <c r="AS102" s="160">
        <f t="shared" si="66"/>
        <v>0.16878710771840544</v>
      </c>
      <c r="AT102" s="164">
        <f t="shared" si="67"/>
        <v>1332</v>
      </c>
      <c r="AU102" s="165">
        <f t="shared" si="68"/>
        <v>0.1583132002505907</v>
      </c>
    </row>
    <row r="103" spans="2:47" outlineLevel="1" x14ac:dyDescent="0.35">
      <c r="B103" s="48" t="s">
        <v>101</v>
      </c>
      <c r="C103" s="62" t="s">
        <v>141</v>
      </c>
      <c r="D103" s="70">
        <v>3</v>
      </c>
      <c r="E103" s="71">
        <v>17</v>
      </c>
      <c r="F103" s="70">
        <v>5</v>
      </c>
      <c r="G103" s="4">
        <v>22</v>
      </c>
      <c r="H103" s="167">
        <f t="shared" si="52"/>
        <v>0.29411764705882354</v>
      </c>
      <c r="I103" s="70">
        <v>4</v>
      </c>
      <c r="J103" s="4">
        <v>26</v>
      </c>
      <c r="K103" s="167">
        <f t="shared" si="53"/>
        <v>0.18181818181818182</v>
      </c>
      <c r="L103" s="70">
        <v>5</v>
      </c>
      <c r="M103" s="4">
        <v>31</v>
      </c>
      <c r="N103" s="167">
        <f t="shared" si="54"/>
        <v>0.19230769230769232</v>
      </c>
      <c r="O103" s="70">
        <v>1</v>
      </c>
      <c r="P103" s="4">
        <v>32</v>
      </c>
      <c r="Q103" s="167">
        <f t="shared" si="55"/>
        <v>3.2258064516129031E-2</v>
      </c>
      <c r="R103" s="164">
        <f t="shared" si="69"/>
        <v>18</v>
      </c>
      <c r="S103" s="165">
        <f t="shared" si="56"/>
        <v>0.17131920548587898</v>
      </c>
      <c r="U103" s="170">
        <f t="shared" si="70"/>
        <v>4</v>
      </c>
      <c r="V103" s="6">
        <v>4</v>
      </c>
      <c r="W103" s="6">
        <v>0</v>
      </c>
      <c r="X103" s="138">
        <f t="shared" si="57"/>
        <v>36</v>
      </c>
      <c r="Y103" s="167">
        <f t="shared" si="58"/>
        <v>0.125</v>
      </c>
      <c r="Z103" s="170">
        <f t="shared" si="71"/>
        <v>4</v>
      </c>
      <c r="AA103" s="6">
        <v>4</v>
      </c>
      <c r="AB103" s="6">
        <v>0</v>
      </c>
      <c r="AC103" s="138">
        <f t="shared" si="59"/>
        <v>40</v>
      </c>
      <c r="AD103" s="160">
        <f t="shared" si="60"/>
        <v>0.1111111111111111</v>
      </c>
      <c r="AE103" s="170">
        <f t="shared" si="72"/>
        <v>5</v>
      </c>
      <c r="AF103" s="6">
        <v>5</v>
      </c>
      <c r="AG103" s="6">
        <v>0</v>
      </c>
      <c r="AH103" s="138">
        <f t="shared" si="61"/>
        <v>45</v>
      </c>
      <c r="AI103" s="160">
        <f t="shared" si="62"/>
        <v>0.125</v>
      </c>
      <c r="AJ103" s="170">
        <f t="shared" si="73"/>
        <v>4</v>
      </c>
      <c r="AK103" s="6">
        <v>4</v>
      </c>
      <c r="AL103" s="6">
        <v>0</v>
      </c>
      <c r="AM103" s="138">
        <f t="shared" si="63"/>
        <v>49</v>
      </c>
      <c r="AN103" s="160">
        <f t="shared" si="64"/>
        <v>8.8888888888888892E-2</v>
      </c>
      <c r="AO103" s="170">
        <f t="shared" si="74"/>
        <v>3</v>
      </c>
      <c r="AP103" s="6">
        <v>3</v>
      </c>
      <c r="AQ103" s="6">
        <v>0</v>
      </c>
      <c r="AR103" s="138">
        <f t="shared" si="65"/>
        <v>52</v>
      </c>
      <c r="AS103" s="160">
        <f t="shared" si="66"/>
        <v>6.1224489795918366E-2</v>
      </c>
      <c r="AT103" s="164">
        <f t="shared" si="67"/>
        <v>20</v>
      </c>
      <c r="AU103" s="165">
        <f t="shared" si="68"/>
        <v>9.6289389328686026E-2</v>
      </c>
    </row>
    <row r="104" spans="2:47" outlineLevel="1" x14ac:dyDescent="0.35">
      <c r="B104" s="48" t="s">
        <v>102</v>
      </c>
      <c r="C104" s="62" t="s">
        <v>141</v>
      </c>
      <c r="D104" s="70">
        <v>390</v>
      </c>
      <c r="E104" s="71">
        <v>2814</v>
      </c>
      <c r="F104" s="70">
        <v>389</v>
      </c>
      <c r="G104" s="4">
        <v>3203</v>
      </c>
      <c r="H104" s="167">
        <f t="shared" si="52"/>
        <v>0.13823738450604123</v>
      </c>
      <c r="I104" s="70">
        <v>310</v>
      </c>
      <c r="J104" s="4">
        <v>3513</v>
      </c>
      <c r="K104" s="167">
        <f t="shared" si="53"/>
        <v>9.678426475179519E-2</v>
      </c>
      <c r="L104" s="70">
        <v>123</v>
      </c>
      <c r="M104" s="4">
        <v>3636</v>
      </c>
      <c r="N104" s="167">
        <f t="shared" si="54"/>
        <v>3.5012809564474806E-2</v>
      </c>
      <c r="O104" s="70">
        <v>113</v>
      </c>
      <c r="P104" s="4">
        <v>3749</v>
      </c>
      <c r="Q104" s="167">
        <f t="shared" si="55"/>
        <v>3.1078107810781078E-2</v>
      </c>
      <c r="R104" s="164">
        <f t="shared" si="69"/>
        <v>1325</v>
      </c>
      <c r="S104" s="165">
        <f t="shared" si="56"/>
        <v>7.4355067961336729E-2</v>
      </c>
      <c r="U104" s="170">
        <f t="shared" si="70"/>
        <v>154</v>
      </c>
      <c r="V104" s="6">
        <v>150</v>
      </c>
      <c r="W104" s="6">
        <v>4</v>
      </c>
      <c r="X104" s="138">
        <f t="shared" si="57"/>
        <v>3903</v>
      </c>
      <c r="Y104" s="167">
        <f t="shared" si="58"/>
        <v>4.1077620698853026E-2</v>
      </c>
      <c r="Z104" s="170">
        <f t="shared" si="71"/>
        <v>172</v>
      </c>
      <c r="AA104" s="6">
        <v>166</v>
      </c>
      <c r="AB104" s="6">
        <v>6</v>
      </c>
      <c r="AC104" s="138">
        <f t="shared" si="59"/>
        <v>4075</v>
      </c>
      <c r="AD104" s="160">
        <f t="shared" si="60"/>
        <v>4.4068665129387653E-2</v>
      </c>
      <c r="AE104" s="170">
        <f t="shared" si="72"/>
        <v>190</v>
      </c>
      <c r="AF104" s="6">
        <v>175</v>
      </c>
      <c r="AG104" s="6">
        <v>15</v>
      </c>
      <c r="AH104" s="138">
        <f t="shared" si="61"/>
        <v>4265</v>
      </c>
      <c r="AI104" s="160">
        <f t="shared" si="62"/>
        <v>4.6625766871165646E-2</v>
      </c>
      <c r="AJ104" s="170">
        <f t="shared" si="73"/>
        <v>169</v>
      </c>
      <c r="AK104" s="6">
        <v>153</v>
      </c>
      <c r="AL104" s="6">
        <v>16</v>
      </c>
      <c r="AM104" s="138">
        <f t="shared" si="63"/>
        <v>4434</v>
      </c>
      <c r="AN104" s="160">
        <f t="shared" si="64"/>
        <v>3.9624853458382181E-2</v>
      </c>
      <c r="AO104" s="170">
        <f t="shared" si="74"/>
        <v>132</v>
      </c>
      <c r="AP104" s="6">
        <v>121</v>
      </c>
      <c r="AQ104" s="6">
        <v>11</v>
      </c>
      <c r="AR104" s="138">
        <f t="shared" si="65"/>
        <v>4566</v>
      </c>
      <c r="AS104" s="160">
        <f t="shared" si="66"/>
        <v>2.9769959404600813E-2</v>
      </c>
      <c r="AT104" s="164">
        <f t="shared" si="67"/>
        <v>817</v>
      </c>
      <c r="AU104" s="165">
        <f t="shared" si="68"/>
        <v>4.0002393899715383E-2</v>
      </c>
    </row>
    <row r="105" spans="2:47" outlineLevel="1" x14ac:dyDescent="0.35">
      <c r="B105" s="48" t="s">
        <v>103</v>
      </c>
      <c r="C105" s="62" t="s">
        <v>141</v>
      </c>
      <c r="D105" s="70">
        <v>0</v>
      </c>
      <c r="E105" s="71">
        <v>0</v>
      </c>
      <c r="F105" s="70">
        <v>0</v>
      </c>
      <c r="G105" s="4">
        <v>0</v>
      </c>
      <c r="H105" s="167">
        <f t="shared" si="52"/>
        <v>0</v>
      </c>
      <c r="I105" s="70">
        <v>0</v>
      </c>
      <c r="J105" s="4">
        <v>0</v>
      </c>
      <c r="K105" s="167">
        <f t="shared" si="53"/>
        <v>0</v>
      </c>
      <c r="L105" s="70">
        <v>1</v>
      </c>
      <c r="M105" s="4">
        <v>1</v>
      </c>
      <c r="N105" s="167">
        <f t="shared" si="54"/>
        <v>0</v>
      </c>
      <c r="O105" s="70">
        <v>0</v>
      </c>
      <c r="P105" s="4">
        <v>1</v>
      </c>
      <c r="Q105" s="167">
        <f t="shared" si="55"/>
        <v>0</v>
      </c>
      <c r="R105" s="164">
        <f t="shared" si="69"/>
        <v>1</v>
      </c>
      <c r="S105" s="165">
        <f t="shared" si="56"/>
        <v>0</v>
      </c>
      <c r="U105" s="170">
        <f t="shared" si="70"/>
        <v>0</v>
      </c>
      <c r="V105" s="6">
        <v>0</v>
      </c>
      <c r="W105" s="6">
        <v>0</v>
      </c>
      <c r="X105" s="138">
        <f t="shared" si="57"/>
        <v>1</v>
      </c>
      <c r="Y105" s="167">
        <f t="shared" si="58"/>
        <v>0</v>
      </c>
      <c r="Z105" s="170">
        <f t="shared" si="71"/>
        <v>0</v>
      </c>
      <c r="AA105" s="6">
        <v>0</v>
      </c>
      <c r="AB105" s="6">
        <v>0</v>
      </c>
      <c r="AC105" s="138">
        <f t="shared" si="59"/>
        <v>1</v>
      </c>
      <c r="AD105" s="160">
        <f t="shared" si="60"/>
        <v>0</v>
      </c>
      <c r="AE105" s="170">
        <f t="shared" si="72"/>
        <v>0</v>
      </c>
      <c r="AF105" s="6">
        <v>0</v>
      </c>
      <c r="AG105" s="6">
        <v>0</v>
      </c>
      <c r="AH105" s="138">
        <f t="shared" si="61"/>
        <v>1</v>
      </c>
      <c r="AI105" s="160">
        <f t="shared" si="62"/>
        <v>0</v>
      </c>
      <c r="AJ105" s="170">
        <f t="shared" si="73"/>
        <v>0</v>
      </c>
      <c r="AK105" s="6">
        <v>0</v>
      </c>
      <c r="AL105" s="6">
        <v>0</v>
      </c>
      <c r="AM105" s="138">
        <f t="shared" si="63"/>
        <v>1</v>
      </c>
      <c r="AN105" s="160">
        <f t="shared" si="64"/>
        <v>0</v>
      </c>
      <c r="AO105" s="170">
        <f t="shared" si="74"/>
        <v>0</v>
      </c>
      <c r="AP105" s="6">
        <v>0</v>
      </c>
      <c r="AQ105" s="6">
        <v>0</v>
      </c>
      <c r="AR105" s="138">
        <f t="shared" si="65"/>
        <v>1</v>
      </c>
      <c r="AS105" s="160">
        <f t="shared" si="66"/>
        <v>0</v>
      </c>
      <c r="AT105" s="164">
        <f t="shared" si="67"/>
        <v>0</v>
      </c>
      <c r="AU105" s="165">
        <f t="shared" si="68"/>
        <v>0</v>
      </c>
    </row>
    <row r="106" spans="2:47" outlineLevel="1" x14ac:dyDescent="0.35">
      <c r="B106" s="48" t="s">
        <v>104</v>
      </c>
      <c r="C106" s="62" t="s">
        <v>141</v>
      </c>
      <c r="D106" s="70">
        <v>0</v>
      </c>
      <c r="E106" s="71">
        <v>0</v>
      </c>
      <c r="F106" s="70">
        <v>0</v>
      </c>
      <c r="G106" s="4">
        <v>0</v>
      </c>
      <c r="H106" s="167">
        <f t="shared" si="52"/>
        <v>0</v>
      </c>
      <c r="I106" s="70">
        <v>0</v>
      </c>
      <c r="J106" s="4">
        <v>0</v>
      </c>
      <c r="K106" s="167">
        <f t="shared" si="53"/>
        <v>0</v>
      </c>
      <c r="L106" s="70">
        <v>0</v>
      </c>
      <c r="M106" s="4">
        <v>0</v>
      </c>
      <c r="N106" s="167">
        <f t="shared" si="54"/>
        <v>0</v>
      </c>
      <c r="O106" s="70">
        <v>0</v>
      </c>
      <c r="P106" s="4">
        <v>0</v>
      </c>
      <c r="Q106" s="167">
        <f t="shared" si="55"/>
        <v>0</v>
      </c>
      <c r="R106" s="164">
        <f t="shared" si="69"/>
        <v>0</v>
      </c>
      <c r="S106" s="165">
        <f t="shared" si="56"/>
        <v>0</v>
      </c>
      <c r="U106" s="170">
        <f t="shared" si="70"/>
        <v>0</v>
      </c>
      <c r="V106" s="6">
        <v>0</v>
      </c>
      <c r="W106" s="6">
        <v>0</v>
      </c>
      <c r="X106" s="138">
        <f t="shared" si="57"/>
        <v>0</v>
      </c>
      <c r="Y106" s="167">
        <f t="shared" si="58"/>
        <v>0</v>
      </c>
      <c r="Z106" s="170">
        <f t="shared" si="71"/>
        <v>0</v>
      </c>
      <c r="AA106" s="6">
        <v>0</v>
      </c>
      <c r="AB106" s="6">
        <v>0</v>
      </c>
      <c r="AC106" s="138">
        <f t="shared" si="59"/>
        <v>0</v>
      </c>
      <c r="AD106" s="160">
        <f t="shared" si="60"/>
        <v>0</v>
      </c>
      <c r="AE106" s="170">
        <f t="shared" si="72"/>
        <v>0</v>
      </c>
      <c r="AF106" s="6">
        <v>0</v>
      </c>
      <c r="AG106" s="6">
        <v>0</v>
      </c>
      <c r="AH106" s="138">
        <f t="shared" si="61"/>
        <v>0</v>
      </c>
      <c r="AI106" s="160">
        <f t="shared" si="62"/>
        <v>0</v>
      </c>
      <c r="AJ106" s="170">
        <f t="shared" si="73"/>
        <v>47</v>
      </c>
      <c r="AK106" s="6">
        <v>0</v>
      </c>
      <c r="AL106" s="6">
        <v>47</v>
      </c>
      <c r="AM106" s="138">
        <f t="shared" si="63"/>
        <v>47</v>
      </c>
      <c r="AN106" s="160">
        <f t="shared" si="64"/>
        <v>0</v>
      </c>
      <c r="AO106" s="170">
        <f t="shared" si="74"/>
        <v>89</v>
      </c>
      <c r="AP106" s="6">
        <v>0</v>
      </c>
      <c r="AQ106" s="6">
        <v>89</v>
      </c>
      <c r="AR106" s="138">
        <f t="shared" si="65"/>
        <v>136</v>
      </c>
      <c r="AS106" s="160">
        <f t="shared" si="66"/>
        <v>1.8936170212765957</v>
      </c>
      <c r="AT106" s="164">
        <f t="shared" si="67"/>
        <v>136</v>
      </c>
      <c r="AU106" s="165">
        <f t="shared" si="68"/>
        <v>0</v>
      </c>
    </row>
    <row r="107" spans="2:47" outlineLevel="1" x14ac:dyDescent="0.35">
      <c r="B107" s="48" t="s">
        <v>136</v>
      </c>
      <c r="C107" s="62" t="s">
        <v>141</v>
      </c>
      <c r="D107" s="70">
        <v>0</v>
      </c>
      <c r="E107" s="71">
        <v>0</v>
      </c>
      <c r="F107" s="70">
        <v>0</v>
      </c>
      <c r="G107" s="4">
        <v>0</v>
      </c>
      <c r="H107" s="167">
        <f t="shared" si="52"/>
        <v>0</v>
      </c>
      <c r="I107" s="70">
        <v>0</v>
      </c>
      <c r="J107" s="4">
        <v>0</v>
      </c>
      <c r="K107" s="167">
        <f t="shared" si="53"/>
        <v>0</v>
      </c>
      <c r="L107" s="70">
        <v>0</v>
      </c>
      <c r="M107" s="4">
        <v>0</v>
      </c>
      <c r="N107" s="167">
        <f t="shared" si="54"/>
        <v>0</v>
      </c>
      <c r="O107" s="70">
        <v>0</v>
      </c>
      <c r="P107" s="4">
        <v>0</v>
      </c>
      <c r="Q107" s="167">
        <f t="shared" si="55"/>
        <v>0</v>
      </c>
      <c r="R107" s="164">
        <f t="shared" si="69"/>
        <v>0</v>
      </c>
      <c r="S107" s="165">
        <f t="shared" si="56"/>
        <v>0</v>
      </c>
      <c r="U107" s="170">
        <f t="shared" si="70"/>
        <v>0</v>
      </c>
      <c r="V107" s="6">
        <v>0</v>
      </c>
      <c r="W107" s="6">
        <v>0</v>
      </c>
      <c r="X107" s="138">
        <f t="shared" si="57"/>
        <v>0</v>
      </c>
      <c r="Y107" s="167">
        <f t="shared" si="58"/>
        <v>0</v>
      </c>
      <c r="Z107" s="170">
        <f t="shared" si="71"/>
        <v>0</v>
      </c>
      <c r="AA107" s="6">
        <v>0</v>
      </c>
      <c r="AB107" s="6">
        <v>0</v>
      </c>
      <c r="AC107" s="138">
        <f t="shared" si="59"/>
        <v>0</v>
      </c>
      <c r="AD107" s="160">
        <f t="shared" si="60"/>
        <v>0</v>
      </c>
      <c r="AE107" s="170">
        <f t="shared" si="72"/>
        <v>0</v>
      </c>
      <c r="AF107" s="6">
        <v>0</v>
      </c>
      <c r="AG107" s="6">
        <v>0</v>
      </c>
      <c r="AH107" s="138">
        <f t="shared" si="61"/>
        <v>0</v>
      </c>
      <c r="AI107" s="160">
        <f t="shared" si="62"/>
        <v>0</v>
      </c>
      <c r="AJ107" s="170">
        <f t="shared" si="73"/>
        <v>47</v>
      </c>
      <c r="AK107" s="6">
        <v>0</v>
      </c>
      <c r="AL107" s="6">
        <v>47</v>
      </c>
      <c r="AM107" s="138">
        <f t="shared" si="63"/>
        <v>47</v>
      </c>
      <c r="AN107" s="160">
        <f t="shared" si="64"/>
        <v>0</v>
      </c>
      <c r="AO107" s="170">
        <f t="shared" si="74"/>
        <v>80</v>
      </c>
      <c r="AP107" s="6">
        <v>0</v>
      </c>
      <c r="AQ107" s="6">
        <v>80</v>
      </c>
      <c r="AR107" s="138">
        <f t="shared" si="65"/>
        <v>127</v>
      </c>
      <c r="AS107" s="160">
        <f t="shared" si="66"/>
        <v>1.7021276595744681</v>
      </c>
      <c r="AT107" s="164">
        <f t="shared" si="67"/>
        <v>127</v>
      </c>
      <c r="AU107" s="165">
        <f t="shared" si="68"/>
        <v>0</v>
      </c>
    </row>
    <row r="108" spans="2:47" outlineLevel="1" x14ac:dyDescent="0.35">
      <c r="B108" s="48" t="s">
        <v>106</v>
      </c>
      <c r="C108" s="62" t="s">
        <v>141</v>
      </c>
      <c r="D108" s="70">
        <v>176</v>
      </c>
      <c r="E108" s="71">
        <v>896</v>
      </c>
      <c r="F108" s="70">
        <v>169</v>
      </c>
      <c r="G108" s="4">
        <v>1065</v>
      </c>
      <c r="H108" s="167">
        <f t="shared" si="52"/>
        <v>0.18861607142857142</v>
      </c>
      <c r="I108" s="70">
        <v>176</v>
      </c>
      <c r="J108" s="4">
        <v>1241</v>
      </c>
      <c r="K108" s="167">
        <f t="shared" si="53"/>
        <v>0.16525821596244131</v>
      </c>
      <c r="L108" s="70">
        <v>69</v>
      </c>
      <c r="M108" s="4">
        <v>1310</v>
      </c>
      <c r="N108" s="167">
        <f t="shared" ref="N108:N129" si="75">IFERROR((M108-J108)/J108,0)</f>
        <v>5.5600322320709106E-2</v>
      </c>
      <c r="O108" s="70">
        <v>69</v>
      </c>
      <c r="P108" s="4">
        <v>1379</v>
      </c>
      <c r="Q108" s="167">
        <f t="shared" ref="Q108:Q130" si="76">IFERROR((P108-M108)/M108,0)</f>
        <v>5.2671755725190839E-2</v>
      </c>
      <c r="R108" s="164">
        <f t="shared" si="69"/>
        <v>659</v>
      </c>
      <c r="S108" s="165">
        <f t="shared" ref="S108:S130" si="77">IFERROR((P108/E108)^(1/4)-1,0)</f>
        <v>0.1138175692544765</v>
      </c>
      <c r="U108" s="170">
        <f t="shared" si="70"/>
        <v>74</v>
      </c>
      <c r="V108" s="6">
        <v>72</v>
      </c>
      <c r="W108" s="6">
        <v>2</v>
      </c>
      <c r="X108" s="138">
        <f t="shared" ref="X108:X129" si="78">P108+U108</f>
        <v>1453</v>
      </c>
      <c r="Y108" s="167">
        <f t="shared" ref="Y108:Y130" si="79">IFERROR((X108-P108)/P108,0)</f>
        <v>5.3662073966642493E-2</v>
      </c>
      <c r="Z108" s="170">
        <f t="shared" si="71"/>
        <v>99</v>
      </c>
      <c r="AA108" s="6">
        <v>80</v>
      </c>
      <c r="AB108" s="6">
        <v>19</v>
      </c>
      <c r="AC108" s="138">
        <f t="shared" si="59"/>
        <v>1552</v>
      </c>
      <c r="AD108" s="160">
        <f t="shared" si="60"/>
        <v>6.8134893324156912E-2</v>
      </c>
      <c r="AE108" s="170">
        <f t="shared" si="72"/>
        <v>106</v>
      </c>
      <c r="AF108" s="6">
        <v>84</v>
      </c>
      <c r="AG108" s="6">
        <v>22</v>
      </c>
      <c r="AH108" s="138">
        <f t="shared" si="61"/>
        <v>1658</v>
      </c>
      <c r="AI108" s="160">
        <f t="shared" si="62"/>
        <v>6.8298969072164942E-2</v>
      </c>
      <c r="AJ108" s="170">
        <f t="shared" si="73"/>
        <v>98</v>
      </c>
      <c r="AK108" s="6">
        <v>74</v>
      </c>
      <c r="AL108" s="6">
        <v>24</v>
      </c>
      <c r="AM108" s="138">
        <f t="shared" si="63"/>
        <v>1756</v>
      </c>
      <c r="AN108" s="160">
        <f t="shared" si="64"/>
        <v>5.9107358262967431E-2</v>
      </c>
      <c r="AO108" s="170">
        <f t="shared" si="74"/>
        <v>134</v>
      </c>
      <c r="AP108" s="6">
        <v>58</v>
      </c>
      <c r="AQ108" s="6">
        <v>76</v>
      </c>
      <c r="AR108" s="138">
        <f t="shared" si="65"/>
        <v>1890</v>
      </c>
      <c r="AS108" s="160">
        <f t="shared" si="66"/>
        <v>7.6309794988610472E-2</v>
      </c>
      <c r="AT108" s="164">
        <f t="shared" si="67"/>
        <v>511</v>
      </c>
      <c r="AU108" s="165">
        <f t="shared" si="68"/>
        <v>6.7945395178450108E-2</v>
      </c>
    </row>
    <row r="109" spans="2:47" outlineLevel="1" x14ac:dyDescent="0.35">
      <c r="B109" s="48" t="s">
        <v>107</v>
      </c>
      <c r="C109" s="62" t="s">
        <v>141</v>
      </c>
      <c r="D109" s="70">
        <v>108</v>
      </c>
      <c r="E109" s="71">
        <v>1240</v>
      </c>
      <c r="F109" s="70">
        <v>182</v>
      </c>
      <c r="G109" s="4">
        <v>1422</v>
      </c>
      <c r="H109" s="167">
        <f t="shared" si="52"/>
        <v>0.14677419354838708</v>
      </c>
      <c r="I109" s="70">
        <v>243</v>
      </c>
      <c r="J109" s="4">
        <v>1665</v>
      </c>
      <c r="K109" s="167">
        <f t="shared" si="53"/>
        <v>0.17088607594936708</v>
      </c>
      <c r="L109" s="70">
        <v>159</v>
      </c>
      <c r="M109" s="4">
        <v>1824</v>
      </c>
      <c r="N109" s="167">
        <f t="shared" si="75"/>
        <v>9.5495495495495492E-2</v>
      </c>
      <c r="O109" s="70">
        <v>89</v>
      </c>
      <c r="P109" s="4">
        <v>1913</v>
      </c>
      <c r="Q109" s="167">
        <f t="shared" si="76"/>
        <v>4.8793859649122806E-2</v>
      </c>
      <c r="R109" s="164">
        <f t="shared" si="69"/>
        <v>781</v>
      </c>
      <c r="S109" s="165">
        <f t="shared" si="77"/>
        <v>0.11448267396889777</v>
      </c>
      <c r="U109" s="170">
        <f t="shared" si="70"/>
        <v>144</v>
      </c>
      <c r="V109" s="6">
        <v>141</v>
      </c>
      <c r="W109" s="6">
        <v>3</v>
      </c>
      <c r="X109" s="138">
        <f t="shared" si="78"/>
        <v>2057</v>
      </c>
      <c r="Y109" s="167">
        <f t="shared" si="79"/>
        <v>7.5274438055410356E-2</v>
      </c>
      <c r="Z109" s="170">
        <f t="shared" si="71"/>
        <v>207</v>
      </c>
      <c r="AA109" s="6">
        <v>156</v>
      </c>
      <c r="AB109" s="6">
        <v>51</v>
      </c>
      <c r="AC109" s="138">
        <f t="shared" si="59"/>
        <v>2264</v>
      </c>
      <c r="AD109" s="160">
        <f t="shared" si="60"/>
        <v>0.1006319883325231</v>
      </c>
      <c r="AE109" s="170">
        <f t="shared" si="72"/>
        <v>231</v>
      </c>
      <c r="AF109" s="6">
        <v>165</v>
      </c>
      <c r="AG109" s="6">
        <v>66</v>
      </c>
      <c r="AH109" s="138">
        <f t="shared" si="61"/>
        <v>2495</v>
      </c>
      <c r="AI109" s="160">
        <f t="shared" si="62"/>
        <v>0.10203180212014135</v>
      </c>
      <c r="AJ109" s="170">
        <f t="shared" si="73"/>
        <v>190</v>
      </c>
      <c r="AK109" s="6">
        <v>144</v>
      </c>
      <c r="AL109" s="6">
        <v>46</v>
      </c>
      <c r="AM109" s="138">
        <f t="shared" si="63"/>
        <v>2685</v>
      </c>
      <c r="AN109" s="160">
        <f t="shared" si="64"/>
        <v>7.6152304609218444E-2</v>
      </c>
      <c r="AO109" s="170">
        <f t="shared" si="74"/>
        <v>151</v>
      </c>
      <c r="AP109" s="6">
        <v>114</v>
      </c>
      <c r="AQ109" s="6">
        <v>37</v>
      </c>
      <c r="AR109" s="138">
        <f t="shared" si="65"/>
        <v>2836</v>
      </c>
      <c r="AS109" s="160">
        <f t="shared" si="66"/>
        <v>5.623836126629423E-2</v>
      </c>
      <c r="AT109" s="164">
        <f t="shared" si="67"/>
        <v>923</v>
      </c>
      <c r="AU109" s="165">
        <f t="shared" si="68"/>
        <v>8.3597473341360473E-2</v>
      </c>
    </row>
    <row r="110" spans="2:47" outlineLevel="1" x14ac:dyDescent="0.35">
      <c r="B110" s="48" t="s">
        <v>108</v>
      </c>
      <c r="C110" s="62" t="s">
        <v>141</v>
      </c>
      <c r="D110" s="70">
        <v>246</v>
      </c>
      <c r="E110" s="71">
        <v>2064</v>
      </c>
      <c r="F110" s="70">
        <v>387</v>
      </c>
      <c r="G110" s="4">
        <v>2451</v>
      </c>
      <c r="H110" s="167">
        <f t="shared" si="52"/>
        <v>0.1875</v>
      </c>
      <c r="I110" s="70">
        <v>392</v>
      </c>
      <c r="J110" s="4">
        <v>2843</v>
      </c>
      <c r="K110" s="167">
        <f t="shared" si="53"/>
        <v>0.15993472052223581</v>
      </c>
      <c r="L110" s="70">
        <v>217</v>
      </c>
      <c r="M110" s="4">
        <v>3060</v>
      </c>
      <c r="N110" s="167">
        <f t="shared" si="75"/>
        <v>7.6327822722476263E-2</v>
      </c>
      <c r="O110" s="70">
        <v>138</v>
      </c>
      <c r="P110" s="4">
        <v>3198</v>
      </c>
      <c r="Q110" s="167">
        <f t="shared" si="76"/>
        <v>4.5098039215686274E-2</v>
      </c>
      <c r="R110" s="164">
        <f t="shared" si="69"/>
        <v>1380</v>
      </c>
      <c r="S110" s="165">
        <f t="shared" si="77"/>
        <v>0.11568653478845503</v>
      </c>
      <c r="U110" s="170">
        <f t="shared" si="70"/>
        <v>265</v>
      </c>
      <c r="V110" s="6">
        <v>206</v>
      </c>
      <c r="W110" s="6">
        <v>59</v>
      </c>
      <c r="X110" s="138">
        <f t="shared" si="78"/>
        <v>3463</v>
      </c>
      <c r="Y110" s="167">
        <f t="shared" si="79"/>
        <v>8.2864290181363348E-2</v>
      </c>
      <c r="Z110" s="170">
        <f t="shared" si="71"/>
        <v>302</v>
      </c>
      <c r="AA110" s="6">
        <v>229</v>
      </c>
      <c r="AB110" s="6">
        <v>73</v>
      </c>
      <c r="AC110" s="138">
        <f t="shared" si="59"/>
        <v>3765</v>
      </c>
      <c r="AD110" s="160">
        <f t="shared" si="60"/>
        <v>8.7207623447877566E-2</v>
      </c>
      <c r="AE110" s="170">
        <f t="shared" si="72"/>
        <v>476</v>
      </c>
      <c r="AF110" s="6">
        <v>241</v>
      </c>
      <c r="AG110" s="6">
        <v>235</v>
      </c>
      <c r="AH110" s="138">
        <f t="shared" si="61"/>
        <v>4241</v>
      </c>
      <c r="AI110" s="160">
        <f t="shared" si="62"/>
        <v>0.12642762284196546</v>
      </c>
      <c r="AJ110" s="170">
        <f t="shared" si="73"/>
        <v>606</v>
      </c>
      <c r="AK110" s="6">
        <v>211</v>
      </c>
      <c r="AL110" s="6">
        <v>395</v>
      </c>
      <c r="AM110" s="138">
        <f t="shared" si="63"/>
        <v>4847</v>
      </c>
      <c r="AN110" s="160">
        <f t="shared" si="64"/>
        <v>0.14289082763499175</v>
      </c>
      <c r="AO110" s="170">
        <f t="shared" si="74"/>
        <v>547</v>
      </c>
      <c r="AP110" s="6">
        <v>166</v>
      </c>
      <c r="AQ110" s="6">
        <v>381</v>
      </c>
      <c r="AR110" s="138">
        <f t="shared" si="65"/>
        <v>5394</v>
      </c>
      <c r="AS110" s="160">
        <f t="shared" si="66"/>
        <v>0.11285331132659376</v>
      </c>
      <c r="AT110" s="164">
        <f t="shared" si="67"/>
        <v>2196</v>
      </c>
      <c r="AU110" s="165">
        <f t="shared" si="68"/>
        <v>0.11715803287467885</v>
      </c>
    </row>
    <row r="111" spans="2:47" outlineLevel="1" x14ac:dyDescent="0.35">
      <c r="B111" s="48" t="s">
        <v>109</v>
      </c>
      <c r="C111" s="62" t="s">
        <v>141</v>
      </c>
      <c r="D111" s="70">
        <v>492</v>
      </c>
      <c r="E111" s="71">
        <v>4920</v>
      </c>
      <c r="F111" s="70">
        <v>688</v>
      </c>
      <c r="G111" s="4">
        <v>5608</v>
      </c>
      <c r="H111" s="167">
        <f t="shared" si="52"/>
        <v>0.13983739837398373</v>
      </c>
      <c r="I111" s="70">
        <v>596</v>
      </c>
      <c r="J111" s="4">
        <v>6204</v>
      </c>
      <c r="K111" s="167">
        <f t="shared" si="53"/>
        <v>0.10627674750356633</v>
      </c>
      <c r="L111" s="70">
        <v>413</v>
      </c>
      <c r="M111" s="4">
        <v>6617</v>
      </c>
      <c r="N111" s="167">
        <f t="shared" si="75"/>
        <v>6.6569954867827213E-2</v>
      </c>
      <c r="O111" s="70">
        <v>399</v>
      </c>
      <c r="P111" s="4">
        <v>7016</v>
      </c>
      <c r="Q111" s="167">
        <f t="shared" si="76"/>
        <v>6.029922925797189E-2</v>
      </c>
      <c r="R111" s="164">
        <f t="shared" si="69"/>
        <v>2588</v>
      </c>
      <c r="S111" s="165">
        <f t="shared" si="77"/>
        <v>9.2775927309465933E-2</v>
      </c>
      <c r="U111" s="170">
        <f t="shared" si="70"/>
        <v>584</v>
      </c>
      <c r="V111" s="6">
        <v>584</v>
      </c>
      <c r="W111" s="6">
        <v>0</v>
      </c>
      <c r="X111" s="138">
        <f t="shared" si="78"/>
        <v>7600</v>
      </c>
      <c r="Y111" s="167">
        <f t="shared" si="79"/>
        <v>8.3238312428734321E-2</v>
      </c>
      <c r="Z111" s="170">
        <f t="shared" si="71"/>
        <v>649</v>
      </c>
      <c r="AA111" s="6">
        <v>649</v>
      </c>
      <c r="AB111" s="6">
        <v>0</v>
      </c>
      <c r="AC111" s="138">
        <f t="shared" si="59"/>
        <v>8249</v>
      </c>
      <c r="AD111" s="160">
        <f t="shared" si="60"/>
        <v>8.5394736842105259E-2</v>
      </c>
      <c r="AE111" s="170">
        <f t="shared" si="72"/>
        <v>711</v>
      </c>
      <c r="AF111" s="6">
        <v>683</v>
      </c>
      <c r="AG111" s="6">
        <v>28</v>
      </c>
      <c r="AH111" s="138">
        <f t="shared" si="61"/>
        <v>8960</v>
      </c>
      <c r="AI111" s="160">
        <f t="shared" si="62"/>
        <v>8.619226572917929E-2</v>
      </c>
      <c r="AJ111" s="170">
        <f t="shared" si="73"/>
        <v>635</v>
      </c>
      <c r="AK111" s="6">
        <v>600</v>
      </c>
      <c r="AL111" s="6">
        <v>35</v>
      </c>
      <c r="AM111" s="138">
        <f t="shared" si="63"/>
        <v>9595</v>
      </c>
      <c r="AN111" s="160">
        <f t="shared" si="64"/>
        <v>7.0870535714285712E-2</v>
      </c>
      <c r="AO111" s="170">
        <f t="shared" si="74"/>
        <v>495</v>
      </c>
      <c r="AP111" s="6">
        <v>472</v>
      </c>
      <c r="AQ111" s="6">
        <v>23</v>
      </c>
      <c r="AR111" s="138">
        <f t="shared" si="65"/>
        <v>10090</v>
      </c>
      <c r="AS111" s="160">
        <f t="shared" si="66"/>
        <v>5.1589369463262119E-2</v>
      </c>
      <c r="AT111" s="164">
        <f t="shared" si="67"/>
        <v>3074</v>
      </c>
      <c r="AU111" s="165">
        <f t="shared" si="68"/>
        <v>7.3419284885918756E-2</v>
      </c>
    </row>
    <row r="112" spans="2:47" outlineLevel="1" x14ac:dyDescent="0.35">
      <c r="B112" s="48" t="s">
        <v>110</v>
      </c>
      <c r="C112" s="62" t="s">
        <v>141</v>
      </c>
      <c r="D112" s="70">
        <v>119</v>
      </c>
      <c r="E112" s="71">
        <v>894</v>
      </c>
      <c r="F112" s="70">
        <v>143</v>
      </c>
      <c r="G112" s="4">
        <v>1037</v>
      </c>
      <c r="H112" s="167">
        <f t="shared" si="52"/>
        <v>0.15995525727069351</v>
      </c>
      <c r="I112" s="70">
        <v>122</v>
      </c>
      <c r="J112" s="4">
        <v>1159</v>
      </c>
      <c r="K112" s="167">
        <f t="shared" si="53"/>
        <v>0.11764705882352941</v>
      </c>
      <c r="L112" s="70">
        <v>70</v>
      </c>
      <c r="M112" s="4">
        <v>1229</v>
      </c>
      <c r="N112" s="167">
        <f t="shared" si="75"/>
        <v>6.0396893874029335E-2</v>
      </c>
      <c r="O112" s="70">
        <v>37</v>
      </c>
      <c r="P112" s="4">
        <v>1266</v>
      </c>
      <c r="Q112" s="167">
        <f t="shared" si="76"/>
        <v>3.0105777054515868E-2</v>
      </c>
      <c r="R112" s="164">
        <f t="shared" si="69"/>
        <v>491</v>
      </c>
      <c r="S112" s="165">
        <f t="shared" si="77"/>
        <v>9.0872633219782895E-2</v>
      </c>
      <c r="U112" s="170">
        <f t="shared" si="70"/>
        <v>62</v>
      </c>
      <c r="V112" s="6">
        <v>57</v>
      </c>
      <c r="W112" s="6">
        <v>5</v>
      </c>
      <c r="X112" s="138">
        <f t="shared" si="78"/>
        <v>1328</v>
      </c>
      <c r="Y112" s="167">
        <f t="shared" si="79"/>
        <v>4.8973143759873619E-2</v>
      </c>
      <c r="Z112" s="170">
        <f t="shared" si="71"/>
        <v>69</v>
      </c>
      <c r="AA112" s="6">
        <v>63</v>
      </c>
      <c r="AB112" s="6">
        <v>6</v>
      </c>
      <c r="AC112" s="138">
        <f t="shared" si="59"/>
        <v>1397</v>
      </c>
      <c r="AD112" s="160">
        <f t="shared" si="60"/>
        <v>5.1957831325301206E-2</v>
      </c>
      <c r="AE112" s="170">
        <f t="shared" si="72"/>
        <v>85</v>
      </c>
      <c r="AF112" s="6">
        <v>66</v>
      </c>
      <c r="AG112" s="6">
        <v>19</v>
      </c>
      <c r="AH112" s="138">
        <f t="shared" si="61"/>
        <v>1482</v>
      </c>
      <c r="AI112" s="160">
        <f t="shared" si="62"/>
        <v>6.084466714387974E-2</v>
      </c>
      <c r="AJ112" s="170">
        <f t="shared" si="73"/>
        <v>79</v>
      </c>
      <c r="AK112" s="6">
        <v>58</v>
      </c>
      <c r="AL112" s="6">
        <v>21</v>
      </c>
      <c r="AM112" s="138">
        <f t="shared" si="63"/>
        <v>1561</v>
      </c>
      <c r="AN112" s="160">
        <f t="shared" si="64"/>
        <v>5.3306342780026994E-2</v>
      </c>
      <c r="AO112" s="170">
        <f t="shared" si="74"/>
        <v>93</v>
      </c>
      <c r="AP112" s="6">
        <v>46</v>
      </c>
      <c r="AQ112" s="6">
        <v>47</v>
      </c>
      <c r="AR112" s="138">
        <f t="shared" si="65"/>
        <v>1654</v>
      </c>
      <c r="AS112" s="160">
        <f t="shared" si="66"/>
        <v>5.9577194106342088E-2</v>
      </c>
      <c r="AT112" s="164">
        <f t="shared" si="67"/>
        <v>388</v>
      </c>
      <c r="AU112" s="165">
        <f t="shared" si="68"/>
        <v>5.6414509696572024E-2</v>
      </c>
    </row>
    <row r="113" spans="2:47" outlineLevel="1" x14ac:dyDescent="0.35">
      <c r="B113" s="48" t="s">
        <v>111</v>
      </c>
      <c r="C113" s="62" t="s">
        <v>141</v>
      </c>
      <c r="D113" s="70">
        <v>143</v>
      </c>
      <c r="E113" s="71">
        <v>980</v>
      </c>
      <c r="F113" s="70">
        <v>215</v>
      </c>
      <c r="G113" s="4">
        <v>1195</v>
      </c>
      <c r="H113" s="167">
        <f t="shared" si="52"/>
        <v>0.21938775510204081</v>
      </c>
      <c r="I113" s="70">
        <v>194</v>
      </c>
      <c r="J113" s="4">
        <v>1389</v>
      </c>
      <c r="K113" s="167">
        <f t="shared" si="53"/>
        <v>0.16234309623430962</v>
      </c>
      <c r="L113" s="70">
        <v>98</v>
      </c>
      <c r="M113" s="4">
        <v>1487</v>
      </c>
      <c r="N113" s="167">
        <f t="shared" si="75"/>
        <v>7.055435565154787E-2</v>
      </c>
      <c r="O113" s="70">
        <v>66</v>
      </c>
      <c r="P113" s="4">
        <v>1553</v>
      </c>
      <c r="Q113" s="167">
        <f t="shared" si="76"/>
        <v>4.438466711499664E-2</v>
      </c>
      <c r="R113" s="164">
        <f t="shared" si="69"/>
        <v>716</v>
      </c>
      <c r="S113" s="165">
        <f t="shared" si="77"/>
        <v>0.12198317660064273</v>
      </c>
      <c r="U113" s="170">
        <f t="shared" si="70"/>
        <v>93</v>
      </c>
      <c r="V113" s="6">
        <v>91</v>
      </c>
      <c r="W113" s="6">
        <v>2</v>
      </c>
      <c r="X113" s="138">
        <f t="shared" si="78"/>
        <v>1646</v>
      </c>
      <c r="Y113" s="167">
        <f t="shared" si="79"/>
        <v>5.988409529942048E-2</v>
      </c>
      <c r="Z113" s="170">
        <f t="shared" si="71"/>
        <v>136</v>
      </c>
      <c r="AA113" s="6">
        <v>101</v>
      </c>
      <c r="AB113" s="6">
        <v>35</v>
      </c>
      <c r="AC113" s="138">
        <f t="shared" si="59"/>
        <v>1782</v>
      </c>
      <c r="AD113" s="160">
        <f t="shared" si="60"/>
        <v>8.2624544349939252E-2</v>
      </c>
      <c r="AE113" s="170">
        <f t="shared" si="72"/>
        <v>201</v>
      </c>
      <c r="AF113" s="6">
        <v>107</v>
      </c>
      <c r="AG113" s="6">
        <v>94</v>
      </c>
      <c r="AH113" s="138">
        <f t="shared" si="61"/>
        <v>1983</v>
      </c>
      <c r="AI113" s="160">
        <f t="shared" si="62"/>
        <v>0.11279461279461279</v>
      </c>
      <c r="AJ113" s="170">
        <f t="shared" si="73"/>
        <v>186</v>
      </c>
      <c r="AK113" s="6">
        <v>93</v>
      </c>
      <c r="AL113" s="6">
        <v>93</v>
      </c>
      <c r="AM113" s="138">
        <f t="shared" si="63"/>
        <v>2169</v>
      </c>
      <c r="AN113" s="160">
        <f t="shared" si="64"/>
        <v>9.3797276853252648E-2</v>
      </c>
      <c r="AO113" s="170">
        <f t="shared" si="74"/>
        <v>146</v>
      </c>
      <c r="AP113" s="6">
        <v>74</v>
      </c>
      <c r="AQ113" s="6">
        <v>72</v>
      </c>
      <c r="AR113" s="138">
        <f t="shared" si="65"/>
        <v>2315</v>
      </c>
      <c r="AS113" s="160">
        <f t="shared" si="66"/>
        <v>6.7312125403411707E-2</v>
      </c>
      <c r="AT113" s="164">
        <f t="shared" si="67"/>
        <v>762</v>
      </c>
      <c r="AU113" s="165">
        <f t="shared" si="68"/>
        <v>8.9006046547723372E-2</v>
      </c>
    </row>
    <row r="114" spans="2:47" outlineLevel="1" x14ac:dyDescent="0.35">
      <c r="B114" s="48" t="s">
        <v>112</v>
      </c>
      <c r="C114" s="62" t="s">
        <v>141</v>
      </c>
      <c r="D114" s="70">
        <v>188</v>
      </c>
      <c r="E114" s="71">
        <v>1638</v>
      </c>
      <c r="F114" s="70">
        <v>203</v>
      </c>
      <c r="G114" s="4">
        <v>1841</v>
      </c>
      <c r="H114" s="167">
        <f t="shared" si="52"/>
        <v>0.12393162393162394</v>
      </c>
      <c r="I114" s="70">
        <v>238</v>
      </c>
      <c r="J114" s="4">
        <v>2079</v>
      </c>
      <c r="K114" s="167">
        <f t="shared" si="53"/>
        <v>0.12927756653992395</v>
      </c>
      <c r="L114" s="70">
        <v>143</v>
      </c>
      <c r="M114" s="4">
        <v>2222</v>
      </c>
      <c r="N114" s="167">
        <f t="shared" si="75"/>
        <v>6.8783068783068779E-2</v>
      </c>
      <c r="O114" s="70">
        <v>73</v>
      </c>
      <c r="P114" s="4">
        <v>2295</v>
      </c>
      <c r="Q114" s="167">
        <f t="shared" si="76"/>
        <v>3.2853285328532857E-2</v>
      </c>
      <c r="R114" s="164">
        <f t="shared" si="69"/>
        <v>845</v>
      </c>
      <c r="S114" s="165">
        <f t="shared" si="77"/>
        <v>8.7970696296916007E-2</v>
      </c>
      <c r="U114" s="170">
        <f t="shared" si="70"/>
        <v>164</v>
      </c>
      <c r="V114" s="6">
        <v>150</v>
      </c>
      <c r="W114" s="6">
        <v>14</v>
      </c>
      <c r="X114" s="138">
        <f t="shared" si="78"/>
        <v>2459</v>
      </c>
      <c r="Y114" s="167">
        <f t="shared" si="79"/>
        <v>7.1459694989106759E-2</v>
      </c>
      <c r="Z114" s="170">
        <f t="shared" si="71"/>
        <v>245</v>
      </c>
      <c r="AA114" s="6">
        <v>167</v>
      </c>
      <c r="AB114" s="6">
        <v>78</v>
      </c>
      <c r="AC114" s="138">
        <f t="shared" si="59"/>
        <v>2704</v>
      </c>
      <c r="AD114" s="160">
        <f t="shared" si="60"/>
        <v>9.9633997559983728E-2</v>
      </c>
      <c r="AE114" s="170">
        <f t="shared" si="72"/>
        <v>315</v>
      </c>
      <c r="AF114" s="6">
        <v>176</v>
      </c>
      <c r="AG114" s="6">
        <v>139</v>
      </c>
      <c r="AH114" s="138">
        <f t="shared" si="61"/>
        <v>3019</v>
      </c>
      <c r="AI114" s="160">
        <f t="shared" si="62"/>
        <v>0.11649408284023668</v>
      </c>
      <c r="AJ114" s="170">
        <f t="shared" si="73"/>
        <v>315</v>
      </c>
      <c r="AK114" s="6">
        <v>154</v>
      </c>
      <c r="AL114" s="6">
        <v>161</v>
      </c>
      <c r="AM114" s="138">
        <f t="shared" si="63"/>
        <v>3334</v>
      </c>
      <c r="AN114" s="160">
        <f t="shared" si="64"/>
        <v>0.10433918516064922</v>
      </c>
      <c r="AO114" s="170">
        <f t="shared" si="74"/>
        <v>318</v>
      </c>
      <c r="AP114" s="6">
        <v>122</v>
      </c>
      <c r="AQ114" s="6">
        <v>196</v>
      </c>
      <c r="AR114" s="138">
        <f t="shared" si="65"/>
        <v>3652</v>
      </c>
      <c r="AS114" s="160">
        <f t="shared" si="66"/>
        <v>9.5380923815236954E-2</v>
      </c>
      <c r="AT114" s="164">
        <f t="shared" si="67"/>
        <v>1357</v>
      </c>
      <c r="AU114" s="165">
        <f t="shared" si="68"/>
        <v>0.10393387461022674</v>
      </c>
    </row>
    <row r="115" spans="2:47" outlineLevel="1" x14ac:dyDescent="0.35">
      <c r="B115" s="48" t="s">
        <v>113</v>
      </c>
      <c r="C115" s="62" t="s">
        <v>141</v>
      </c>
      <c r="D115" s="70">
        <v>0</v>
      </c>
      <c r="E115" s="71">
        <v>0</v>
      </c>
      <c r="F115" s="70">
        <v>0</v>
      </c>
      <c r="G115" s="4">
        <v>0</v>
      </c>
      <c r="H115" s="167">
        <f t="shared" si="52"/>
        <v>0</v>
      </c>
      <c r="I115" s="70">
        <v>0</v>
      </c>
      <c r="J115" s="4">
        <v>0</v>
      </c>
      <c r="K115" s="167">
        <f t="shared" si="53"/>
        <v>0</v>
      </c>
      <c r="L115" s="70">
        <v>0</v>
      </c>
      <c r="M115" s="4">
        <v>0</v>
      </c>
      <c r="N115" s="167">
        <f t="shared" si="75"/>
        <v>0</v>
      </c>
      <c r="O115" s="70">
        <v>0</v>
      </c>
      <c r="P115" s="4">
        <v>0</v>
      </c>
      <c r="Q115" s="167">
        <f t="shared" si="76"/>
        <v>0</v>
      </c>
      <c r="R115" s="164">
        <f t="shared" si="69"/>
        <v>0</v>
      </c>
      <c r="S115" s="165">
        <f t="shared" si="77"/>
        <v>0</v>
      </c>
      <c r="U115" s="170">
        <f t="shared" si="70"/>
        <v>0</v>
      </c>
      <c r="V115" s="6">
        <v>0</v>
      </c>
      <c r="W115" s="6">
        <v>0</v>
      </c>
      <c r="X115" s="138">
        <f t="shared" si="78"/>
        <v>0</v>
      </c>
      <c r="Y115" s="167">
        <f t="shared" si="79"/>
        <v>0</v>
      </c>
      <c r="Z115" s="170">
        <f t="shared" si="71"/>
        <v>0</v>
      </c>
      <c r="AA115" s="6">
        <v>0</v>
      </c>
      <c r="AB115" s="6">
        <v>0</v>
      </c>
      <c r="AC115" s="138">
        <f t="shared" si="59"/>
        <v>0</v>
      </c>
      <c r="AD115" s="160">
        <f t="shared" si="60"/>
        <v>0</v>
      </c>
      <c r="AE115" s="170">
        <f t="shared" si="72"/>
        <v>0</v>
      </c>
      <c r="AF115" s="6">
        <v>0</v>
      </c>
      <c r="AG115" s="6">
        <v>0</v>
      </c>
      <c r="AH115" s="138">
        <f t="shared" si="61"/>
        <v>0</v>
      </c>
      <c r="AI115" s="160">
        <f t="shared" si="62"/>
        <v>0</v>
      </c>
      <c r="AJ115" s="170">
        <f t="shared" si="73"/>
        <v>0</v>
      </c>
      <c r="AK115" s="6">
        <v>0</v>
      </c>
      <c r="AL115" s="6">
        <v>0</v>
      </c>
      <c r="AM115" s="138">
        <f t="shared" si="63"/>
        <v>0</v>
      </c>
      <c r="AN115" s="160">
        <f t="shared" si="64"/>
        <v>0</v>
      </c>
      <c r="AO115" s="170">
        <f t="shared" si="74"/>
        <v>0</v>
      </c>
      <c r="AP115" s="6">
        <v>0</v>
      </c>
      <c r="AQ115" s="6">
        <v>0</v>
      </c>
      <c r="AR115" s="138">
        <f t="shared" si="65"/>
        <v>0</v>
      </c>
      <c r="AS115" s="160">
        <f t="shared" si="66"/>
        <v>0</v>
      </c>
      <c r="AT115" s="164">
        <f t="shared" si="67"/>
        <v>0</v>
      </c>
      <c r="AU115" s="165">
        <f t="shared" si="68"/>
        <v>0</v>
      </c>
    </row>
    <row r="116" spans="2:47" outlineLevel="1" x14ac:dyDescent="0.35">
      <c r="B116" s="48" t="s">
        <v>114</v>
      </c>
      <c r="C116" s="62" t="s">
        <v>141</v>
      </c>
      <c r="D116" s="70">
        <v>414</v>
      </c>
      <c r="E116" s="71">
        <v>4702</v>
      </c>
      <c r="F116" s="70">
        <v>665</v>
      </c>
      <c r="G116" s="4">
        <v>5367</v>
      </c>
      <c r="H116" s="167">
        <f t="shared" si="52"/>
        <v>0.141429179072735</v>
      </c>
      <c r="I116" s="70">
        <v>572</v>
      </c>
      <c r="J116" s="4">
        <v>5939</v>
      </c>
      <c r="K116" s="167">
        <f t="shared" si="53"/>
        <v>0.10657723122787405</v>
      </c>
      <c r="L116" s="70">
        <v>320</v>
      </c>
      <c r="M116" s="4">
        <v>6259</v>
      </c>
      <c r="N116" s="167">
        <f t="shared" si="75"/>
        <v>5.3881124768479539E-2</v>
      </c>
      <c r="O116" s="70">
        <v>275</v>
      </c>
      <c r="P116" s="4">
        <v>6534</v>
      </c>
      <c r="Q116" s="167">
        <f t="shared" si="76"/>
        <v>4.3936731107205626E-2</v>
      </c>
      <c r="R116" s="164">
        <f t="shared" si="69"/>
        <v>2246</v>
      </c>
      <c r="S116" s="165">
        <f t="shared" si="77"/>
        <v>8.5735720670862658E-2</v>
      </c>
      <c r="U116" s="170">
        <f t="shared" si="70"/>
        <v>576</v>
      </c>
      <c r="V116" s="6">
        <v>576</v>
      </c>
      <c r="W116" s="6">
        <v>0</v>
      </c>
      <c r="X116" s="138">
        <f t="shared" si="78"/>
        <v>7110</v>
      </c>
      <c r="Y116" s="167">
        <f t="shared" si="79"/>
        <v>8.8154269972451793E-2</v>
      </c>
      <c r="Z116" s="170">
        <f t="shared" si="71"/>
        <v>640</v>
      </c>
      <c r="AA116" s="6">
        <v>640</v>
      </c>
      <c r="AB116" s="6">
        <v>0</v>
      </c>
      <c r="AC116" s="138">
        <f t="shared" si="59"/>
        <v>7750</v>
      </c>
      <c r="AD116" s="160">
        <f t="shared" si="60"/>
        <v>9.0014064697609003E-2</v>
      </c>
      <c r="AE116" s="170">
        <f t="shared" si="72"/>
        <v>674</v>
      </c>
      <c r="AF116" s="6">
        <v>674</v>
      </c>
      <c r="AG116" s="6">
        <v>0</v>
      </c>
      <c r="AH116" s="138">
        <f t="shared" si="61"/>
        <v>8424</v>
      </c>
      <c r="AI116" s="160">
        <f t="shared" si="62"/>
        <v>8.6967741935483872E-2</v>
      </c>
      <c r="AJ116" s="170">
        <f t="shared" si="73"/>
        <v>591</v>
      </c>
      <c r="AK116" s="6">
        <v>591</v>
      </c>
      <c r="AL116" s="6">
        <v>0</v>
      </c>
      <c r="AM116" s="138">
        <f t="shared" si="63"/>
        <v>9015</v>
      </c>
      <c r="AN116" s="160">
        <f t="shared" si="64"/>
        <v>7.0156695156695162E-2</v>
      </c>
      <c r="AO116" s="170">
        <f t="shared" si="74"/>
        <v>466</v>
      </c>
      <c r="AP116" s="6">
        <v>466</v>
      </c>
      <c r="AQ116" s="6">
        <v>0</v>
      </c>
      <c r="AR116" s="138">
        <f t="shared" si="65"/>
        <v>9481</v>
      </c>
      <c r="AS116" s="160">
        <f t="shared" si="66"/>
        <v>5.1691625069328895E-2</v>
      </c>
      <c r="AT116" s="164">
        <f t="shared" si="67"/>
        <v>2947</v>
      </c>
      <c r="AU116" s="165">
        <f t="shared" si="68"/>
        <v>7.4598268517310773E-2</v>
      </c>
    </row>
    <row r="117" spans="2:47" outlineLevel="1" x14ac:dyDescent="0.35">
      <c r="B117" s="48" t="s">
        <v>115</v>
      </c>
      <c r="C117" s="62" t="s">
        <v>141</v>
      </c>
      <c r="D117" s="70">
        <v>349</v>
      </c>
      <c r="E117" s="71">
        <v>544</v>
      </c>
      <c r="F117" s="70">
        <v>762</v>
      </c>
      <c r="G117" s="4">
        <v>1306</v>
      </c>
      <c r="H117" s="167">
        <f t="shared" si="52"/>
        <v>1.400735294117647</v>
      </c>
      <c r="I117" s="70">
        <v>518</v>
      </c>
      <c r="J117" s="4">
        <v>1824</v>
      </c>
      <c r="K117" s="167">
        <f t="shared" si="53"/>
        <v>0.39663093415007655</v>
      </c>
      <c r="L117" s="70">
        <v>244</v>
      </c>
      <c r="M117" s="4">
        <v>2068</v>
      </c>
      <c r="N117" s="167">
        <f t="shared" si="75"/>
        <v>0.1337719298245614</v>
      </c>
      <c r="O117" s="70">
        <v>133</v>
      </c>
      <c r="P117" s="4">
        <v>2201</v>
      </c>
      <c r="Q117" s="167">
        <f t="shared" si="76"/>
        <v>6.4313346228239851E-2</v>
      </c>
      <c r="R117" s="164">
        <f t="shared" si="69"/>
        <v>2006</v>
      </c>
      <c r="S117" s="165">
        <f t="shared" si="77"/>
        <v>0.41825814282503848</v>
      </c>
      <c r="U117" s="170">
        <f t="shared" si="70"/>
        <v>215</v>
      </c>
      <c r="V117" s="6">
        <v>211</v>
      </c>
      <c r="W117" s="6">
        <v>4</v>
      </c>
      <c r="X117" s="138">
        <f t="shared" si="78"/>
        <v>2416</v>
      </c>
      <c r="Y117" s="167">
        <f t="shared" si="79"/>
        <v>9.7682871422080875E-2</v>
      </c>
      <c r="Z117" s="170">
        <f t="shared" si="71"/>
        <v>284</v>
      </c>
      <c r="AA117" s="6">
        <v>232</v>
      </c>
      <c r="AB117" s="6">
        <v>52</v>
      </c>
      <c r="AC117" s="138">
        <f t="shared" si="59"/>
        <v>2700</v>
      </c>
      <c r="AD117" s="160">
        <f t="shared" si="60"/>
        <v>0.11754966887417219</v>
      </c>
      <c r="AE117" s="170">
        <f t="shared" si="72"/>
        <v>326</v>
      </c>
      <c r="AF117" s="6">
        <v>243</v>
      </c>
      <c r="AG117" s="6">
        <v>83</v>
      </c>
      <c r="AH117" s="138">
        <f t="shared" si="61"/>
        <v>3026</v>
      </c>
      <c r="AI117" s="160">
        <f t="shared" si="62"/>
        <v>0.12074074074074075</v>
      </c>
      <c r="AJ117" s="170">
        <f t="shared" si="73"/>
        <v>318</v>
      </c>
      <c r="AK117" s="6">
        <v>213</v>
      </c>
      <c r="AL117" s="6">
        <v>105</v>
      </c>
      <c r="AM117" s="138">
        <f t="shared" si="63"/>
        <v>3344</v>
      </c>
      <c r="AN117" s="160">
        <f t="shared" si="64"/>
        <v>0.10508922670191673</v>
      </c>
      <c r="AO117" s="170">
        <f t="shared" si="74"/>
        <v>289</v>
      </c>
      <c r="AP117" s="6">
        <v>167</v>
      </c>
      <c r="AQ117" s="6">
        <v>122</v>
      </c>
      <c r="AR117" s="138">
        <f t="shared" si="65"/>
        <v>3633</v>
      </c>
      <c r="AS117" s="160">
        <f t="shared" si="66"/>
        <v>8.6423444976076555E-2</v>
      </c>
      <c r="AT117" s="164">
        <f t="shared" si="67"/>
        <v>1432</v>
      </c>
      <c r="AU117" s="165">
        <f t="shared" si="68"/>
        <v>0.10736837630227503</v>
      </c>
    </row>
    <row r="118" spans="2:47" outlineLevel="1" x14ac:dyDescent="0.35">
      <c r="B118" s="48" t="s">
        <v>116</v>
      </c>
      <c r="C118" s="62" t="s">
        <v>141</v>
      </c>
      <c r="D118" s="70">
        <v>509</v>
      </c>
      <c r="E118" s="71">
        <v>5435</v>
      </c>
      <c r="F118" s="70">
        <v>644</v>
      </c>
      <c r="G118" s="4">
        <v>6079</v>
      </c>
      <c r="H118" s="167">
        <f t="shared" si="52"/>
        <v>0.11849126034958601</v>
      </c>
      <c r="I118" s="70">
        <v>524</v>
      </c>
      <c r="J118" s="4">
        <v>6603</v>
      </c>
      <c r="K118" s="167">
        <f t="shared" si="53"/>
        <v>8.6198387892745518E-2</v>
      </c>
      <c r="L118" s="70">
        <v>284</v>
      </c>
      <c r="M118" s="4">
        <v>6887</v>
      </c>
      <c r="N118" s="167">
        <f t="shared" si="75"/>
        <v>4.3010752688172046E-2</v>
      </c>
      <c r="O118" s="70">
        <v>321</v>
      </c>
      <c r="P118" s="4">
        <v>7208</v>
      </c>
      <c r="Q118" s="167">
        <f t="shared" si="76"/>
        <v>4.660955423261217E-2</v>
      </c>
      <c r="R118" s="164">
        <f t="shared" si="69"/>
        <v>2282</v>
      </c>
      <c r="S118" s="165">
        <f t="shared" si="77"/>
        <v>7.3133635754511817E-2</v>
      </c>
      <c r="U118" s="170">
        <f t="shared" si="70"/>
        <v>423</v>
      </c>
      <c r="V118" s="6">
        <v>423</v>
      </c>
      <c r="W118" s="6">
        <v>0</v>
      </c>
      <c r="X118" s="138">
        <f t="shared" si="78"/>
        <v>7631</v>
      </c>
      <c r="Y118" s="167">
        <f t="shared" si="79"/>
        <v>5.8684794672586013E-2</v>
      </c>
      <c r="Z118" s="170">
        <f t="shared" si="71"/>
        <v>470</v>
      </c>
      <c r="AA118" s="6">
        <v>470</v>
      </c>
      <c r="AB118" s="6">
        <v>0</v>
      </c>
      <c r="AC118" s="138">
        <f t="shared" si="59"/>
        <v>8101</v>
      </c>
      <c r="AD118" s="160">
        <f t="shared" si="60"/>
        <v>6.159087930808544E-2</v>
      </c>
      <c r="AE118" s="170">
        <f t="shared" si="72"/>
        <v>495</v>
      </c>
      <c r="AF118" s="6">
        <v>495</v>
      </c>
      <c r="AG118" s="6">
        <v>0</v>
      </c>
      <c r="AH118" s="138">
        <f t="shared" si="61"/>
        <v>8596</v>
      </c>
      <c r="AI118" s="160">
        <f t="shared" si="62"/>
        <v>6.1103567460807306E-2</v>
      </c>
      <c r="AJ118" s="170">
        <f t="shared" si="73"/>
        <v>434</v>
      </c>
      <c r="AK118" s="6">
        <v>434</v>
      </c>
      <c r="AL118" s="6">
        <v>0</v>
      </c>
      <c r="AM118" s="138">
        <f t="shared" si="63"/>
        <v>9030</v>
      </c>
      <c r="AN118" s="160">
        <f t="shared" si="64"/>
        <v>5.0488599348534204E-2</v>
      </c>
      <c r="AO118" s="170">
        <f t="shared" si="74"/>
        <v>342</v>
      </c>
      <c r="AP118" s="6">
        <v>342</v>
      </c>
      <c r="AQ118" s="6">
        <v>0</v>
      </c>
      <c r="AR118" s="138">
        <f t="shared" si="65"/>
        <v>9372</v>
      </c>
      <c r="AS118" s="160">
        <f t="shared" si="66"/>
        <v>3.7873754152823923E-2</v>
      </c>
      <c r="AT118" s="164">
        <f t="shared" si="67"/>
        <v>2164</v>
      </c>
      <c r="AU118" s="165">
        <f t="shared" si="68"/>
        <v>5.2719594413132898E-2</v>
      </c>
    </row>
    <row r="119" spans="2:47" outlineLevel="1" x14ac:dyDescent="0.35">
      <c r="B119" s="48" t="s">
        <v>117</v>
      </c>
      <c r="C119" s="62" t="s">
        <v>141</v>
      </c>
      <c r="D119" s="70">
        <v>341</v>
      </c>
      <c r="E119" s="71">
        <v>3160</v>
      </c>
      <c r="F119" s="70">
        <v>432</v>
      </c>
      <c r="G119" s="4">
        <v>3592</v>
      </c>
      <c r="H119" s="167">
        <f t="shared" si="52"/>
        <v>0.13670886075949368</v>
      </c>
      <c r="I119" s="70">
        <v>464</v>
      </c>
      <c r="J119" s="4">
        <v>4056</v>
      </c>
      <c r="K119" s="167">
        <f t="shared" si="53"/>
        <v>0.1291759465478842</v>
      </c>
      <c r="L119" s="70">
        <v>315</v>
      </c>
      <c r="M119" s="4">
        <v>4371</v>
      </c>
      <c r="N119" s="167">
        <f t="shared" si="75"/>
        <v>7.7662721893491118E-2</v>
      </c>
      <c r="O119" s="70">
        <v>238</v>
      </c>
      <c r="P119" s="4">
        <v>4609</v>
      </c>
      <c r="Q119" s="167">
        <f t="shared" si="76"/>
        <v>5.4449782658430562E-2</v>
      </c>
      <c r="R119" s="164">
        <f t="shared" si="69"/>
        <v>1790</v>
      </c>
      <c r="S119" s="165">
        <f t="shared" si="77"/>
        <v>9.8954992600250424E-2</v>
      </c>
      <c r="U119" s="170">
        <f t="shared" si="70"/>
        <v>481</v>
      </c>
      <c r="V119" s="6">
        <v>416</v>
      </c>
      <c r="W119" s="6">
        <v>65</v>
      </c>
      <c r="X119" s="138">
        <f t="shared" si="78"/>
        <v>5090</v>
      </c>
      <c r="Y119" s="167">
        <f t="shared" si="79"/>
        <v>0.10436103276198741</v>
      </c>
      <c r="Z119" s="170">
        <f t="shared" si="71"/>
        <v>740</v>
      </c>
      <c r="AA119" s="6">
        <v>462</v>
      </c>
      <c r="AB119" s="6">
        <v>278</v>
      </c>
      <c r="AC119" s="138">
        <f t="shared" si="59"/>
        <v>5830</v>
      </c>
      <c r="AD119" s="160">
        <f t="shared" si="60"/>
        <v>0.14538310412573674</v>
      </c>
      <c r="AE119" s="170">
        <f t="shared" si="72"/>
        <v>911</v>
      </c>
      <c r="AF119" s="6">
        <v>486</v>
      </c>
      <c r="AG119" s="6">
        <v>425</v>
      </c>
      <c r="AH119" s="138">
        <f t="shared" si="61"/>
        <v>6741</v>
      </c>
      <c r="AI119" s="160">
        <f t="shared" si="62"/>
        <v>0.15626072041166381</v>
      </c>
      <c r="AJ119" s="170">
        <f t="shared" si="73"/>
        <v>1013</v>
      </c>
      <c r="AK119" s="6">
        <v>427</v>
      </c>
      <c r="AL119" s="6">
        <v>586</v>
      </c>
      <c r="AM119" s="138">
        <f t="shared" si="63"/>
        <v>7754</v>
      </c>
      <c r="AN119" s="160">
        <f t="shared" si="64"/>
        <v>0.15027443999406617</v>
      </c>
      <c r="AO119" s="170">
        <f t="shared" si="74"/>
        <v>936</v>
      </c>
      <c r="AP119" s="6">
        <v>336</v>
      </c>
      <c r="AQ119" s="6">
        <v>600</v>
      </c>
      <c r="AR119" s="138">
        <f t="shared" si="65"/>
        <v>8690</v>
      </c>
      <c r="AS119" s="160">
        <f t="shared" si="66"/>
        <v>0.12071189063709054</v>
      </c>
      <c r="AT119" s="164">
        <f t="shared" si="67"/>
        <v>4081</v>
      </c>
      <c r="AU119" s="165">
        <f t="shared" si="68"/>
        <v>0.14307703207004563</v>
      </c>
    </row>
    <row r="120" spans="2:47" outlineLevel="1" x14ac:dyDescent="0.35">
      <c r="B120" s="48" t="s">
        <v>118</v>
      </c>
      <c r="C120" s="62" t="s">
        <v>141</v>
      </c>
      <c r="D120" s="70">
        <v>351</v>
      </c>
      <c r="E120" s="71">
        <v>1956</v>
      </c>
      <c r="F120" s="70">
        <v>692</v>
      </c>
      <c r="G120" s="4">
        <v>2648</v>
      </c>
      <c r="H120" s="167">
        <f t="shared" si="52"/>
        <v>0.35378323108384457</v>
      </c>
      <c r="I120" s="70">
        <v>451</v>
      </c>
      <c r="J120" s="4">
        <v>3099</v>
      </c>
      <c r="K120" s="167">
        <f t="shared" si="53"/>
        <v>0.17031722054380666</v>
      </c>
      <c r="L120" s="70">
        <v>187</v>
      </c>
      <c r="M120" s="4">
        <v>3286</v>
      </c>
      <c r="N120" s="167">
        <f t="shared" si="75"/>
        <v>6.0342045821232655E-2</v>
      </c>
      <c r="O120" s="70">
        <v>179</v>
      </c>
      <c r="P120" s="4">
        <v>3465</v>
      </c>
      <c r="Q120" s="167">
        <f t="shared" si="76"/>
        <v>5.4473524041387708E-2</v>
      </c>
      <c r="R120" s="164">
        <f t="shared" si="69"/>
        <v>1860</v>
      </c>
      <c r="S120" s="165">
        <f t="shared" si="77"/>
        <v>0.15367530682273034</v>
      </c>
      <c r="U120" s="170">
        <f t="shared" si="70"/>
        <v>194</v>
      </c>
      <c r="V120" s="6">
        <v>194</v>
      </c>
      <c r="W120" s="6">
        <v>0</v>
      </c>
      <c r="X120" s="138">
        <f t="shared" si="78"/>
        <v>3659</v>
      </c>
      <c r="Y120" s="167">
        <f t="shared" si="79"/>
        <v>5.598845598845599E-2</v>
      </c>
      <c r="Z120" s="170">
        <f t="shared" si="71"/>
        <v>214</v>
      </c>
      <c r="AA120" s="6">
        <v>214</v>
      </c>
      <c r="AB120" s="6">
        <v>0</v>
      </c>
      <c r="AC120" s="138">
        <f t="shared" si="59"/>
        <v>3873</v>
      </c>
      <c r="AD120" s="160">
        <f t="shared" si="60"/>
        <v>5.8485925116151957E-2</v>
      </c>
      <c r="AE120" s="170">
        <f t="shared" si="72"/>
        <v>225</v>
      </c>
      <c r="AF120" s="6">
        <v>225</v>
      </c>
      <c r="AG120" s="6">
        <v>0</v>
      </c>
      <c r="AH120" s="138">
        <f t="shared" si="61"/>
        <v>4098</v>
      </c>
      <c r="AI120" s="160">
        <f t="shared" si="62"/>
        <v>5.8094500387296667E-2</v>
      </c>
      <c r="AJ120" s="170">
        <f t="shared" si="73"/>
        <v>197</v>
      </c>
      <c r="AK120" s="6">
        <v>197</v>
      </c>
      <c r="AL120" s="6">
        <v>0</v>
      </c>
      <c r="AM120" s="138">
        <f t="shared" si="63"/>
        <v>4295</v>
      </c>
      <c r="AN120" s="160">
        <f t="shared" si="64"/>
        <v>4.8072230356271353E-2</v>
      </c>
      <c r="AO120" s="170">
        <f t="shared" si="74"/>
        <v>171</v>
      </c>
      <c r="AP120" s="6">
        <v>155</v>
      </c>
      <c r="AQ120" s="6">
        <v>16</v>
      </c>
      <c r="AR120" s="138">
        <f t="shared" si="65"/>
        <v>4466</v>
      </c>
      <c r="AS120" s="160">
        <f t="shared" si="66"/>
        <v>3.9813736903376015E-2</v>
      </c>
      <c r="AT120" s="164">
        <f t="shared" si="67"/>
        <v>1001</v>
      </c>
      <c r="AU120" s="165">
        <f t="shared" si="68"/>
        <v>5.1087998606669016E-2</v>
      </c>
    </row>
    <row r="121" spans="2:47" outlineLevel="1" x14ac:dyDescent="0.35">
      <c r="B121" s="48" t="s">
        <v>119</v>
      </c>
      <c r="C121" s="62" t="s">
        <v>141</v>
      </c>
      <c r="D121" s="70">
        <v>0</v>
      </c>
      <c r="E121" s="71">
        <v>0</v>
      </c>
      <c r="F121" s="70">
        <v>0</v>
      </c>
      <c r="G121" s="4">
        <v>0</v>
      </c>
      <c r="H121" s="167">
        <f t="shared" si="52"/>
        <v>0</v>
      </c>
      <c r="I121" s="70">
        <v>0</v>
      </c>
      <c r="J121" s="4">
        <v>0</v>
      </c>
      <c r="K121" s="167">
        <f t="shared" si="53"/>
        <v>0</v>
      </c>
      <c r="L121" s="70">
        <v>0</v>
      </c>
      <c r="M121" s="4">
        <v>0</v>
      </c>
      <c r="N121" s="167">
        <f t="shared" si="75"/>
        <v>0</v>
      </c>
      <c r="O121" s="70">
        <v>0</v>
      </c>
      <c r="P121" s="4">
        <v>0</v>
      </c>
      <c r="Q121" s="167">
        <f t="shared" si="76"/>
        <v>0</v>
      </c>
      <c r="R121" s="164">
        <f t="shared" si="69"/>
        <v>0</v>
      </c>
      <c r="S121" s="165">
        <f t="shared" si="77"/>
        <v>0</v>
      </c>
      <c r="U121" s="170">
        <f t="shared" si="70"/>
        <v>0</v>
      </c>
      <c r="V121" s="6">
        <v>0</v>
      </c>
      <c r="W121" s="6">
        <v>0</v>
      </c>
      <c r="X121" s="138">
        <f t="shared" si="78"/>
        <v>0</v>
      </c>
      <c r="Y121" s="167">
        <f t="shared" si="79"/>
        <v>0</v>
      </c>
      <c r="Z121" s="170">
        <f t="shared" si="71"/>
        <v>0</v>
      </c>
      <c r="AA121" s="6">
        <v>0</v>
      </c>
      <c r="AB121" s="6">
        <v>0</v>
      </c>
      <c r="AC121" s="138">
        <f t="shared" si="59"/>
        <v>0</v>
      </c>
      <c r="AD121" s="160">
        <f t="shared" si="60"/>
        <v>0</v>
      </c>
      <c r="AE121" s="170">
        <f t="shared" si="72"/>
        <v>0</v>
      </c>
      <c r="AF121" s="6">
        <v>0</v>
      </c>
      <c r="AG121" s="6">
        <v>0</v>
      </c>
      <c r="AH121" s="138">
        <f t="shared" si="61"/>
        <v>0</v>
      </c>
      <c r="AI121" s="160">
        <f t="shared" si="62"/>
        <v>0</v>
      </c>
      <c r="AJ121" s="170">
        <f t="shared" si="73"/>
        <v>0</v>
      </c>
      <c r="AK121" s="6">
        <v>0</v>
      </c>
      <c r="AL121" s="6">
        <v>0</v>
      </c>
      <c r="AM121" s="138">
        <f t="shared" si="63"/>
        <v>0</v>
      </c>
      <c r="AN121" s="160">
        <f t="shared" si="64"/>
        <v>0</v>
      </c>
      <c r="AO121" s="170">
        <f t="shared" si="74"/>
        <v>0</v>
      </c>
      <c r="AP121" s="6">
        <v>0</v>
      </c>
      <c r="AQ121" s="6">
        <v>0</v>
      </c>
      <c r="AR121" s="138">
        <f t="shared" si="65"/>
        <v>0</v>
      </c>
      <c r="AS121" s="160">
        <f t="shared" si="66"/>
        <v>0</v>
      </c>
      <c r="AT121" s="164">
        <f t="shared" si="67"/>
        <v>0</v>
      </c>
      <c r="AU121" s="165">
        <f t="shared" si="68"/>
        <v>0</v>
      </c>
    </row>
    <row r="122" spans="2:47" outlineLevel="1" x14ac:dyDescent="0.35">
      <c r="B122" s="48" t="s">
        <v>120</v>
      </c>
      <c r="C122" s="62" t="s">
        <v>141</v>
      </c>
      <c r="D122" s="70">
        <v>499</v>
      </c>
      <c r="E122" s="71">
        <v>4677</v>
      </c>
      <c r="F122" s="70">
        <v>578</v>
      </c>
      <c r="G122" s="4">
        <v>5255</v>
      </c>
      <c r="H122" s="167">
        <f t="shared" si="52"/>
        <v>0.12358349369253795</v>
      </c>
      <c r="I122" s="70">
        <v>638</v>
      </c>
      <c r="J122" s="4">
        <v>5893</v>
      </c>
      <c r="K122" s="167">
        <f t="shared" si="53"/>
        <v>0.12140818268315889</v>
      </c>
      <c r="L122" s="70">
        <v>393</v>
      </c>
      <c r="M122" s="4">
        <v>6286</v>
      </c>
      <c r="N122" s="167">
        <f t="shared" si="75"/>
        <v>6.6689292380790771E-2</v>
      </c>
      <c r="O122" s="70">
        <v>330</v>
      </c>
      <c r="P122" s="4">
        <v>6616</v>
      </c>
      <c r="Q122" s="167">
        <f t="shared" si="76"/>
        <v>5.249761374482978E-2</v>
      </c>
      <c r="R122" s="164">
        <f t="shared" si="69"/>
        <v>2438</v>
      </c>
      <c r="S122" s="165">
        <f t="shared" si="77"/>
        <v>9.0578751212443409E-2</v>
      </c>
      <c r="U122" s="170">
        <f t="shared" si="70"/>
        <v>490</v>
      </c>
      <c r="V122" s="6">
        <v>486</v>
      </c>
      <c r="W122" s="6">
        <v>4</v>
      </c>
      <c r="X122" s="138">
        <f t="shared" si="78"/>
        <v>7106</v>
      </c>
      <c r="Y122" s="167">
        <f t="shared" si="79"/>
        <v>7.4062877871825875E-2</v>
      </c>
      <c r="Z122" s="170">
        <f t="shared" si="71"/>
        <v>589</v>
      </c>
      <c r="AA122" s="6">
        <v>540</v>
      </c>
      <c r="AB122" s="6">
        <v>49</v>
      </c>
      <c r="AC122" s="138">
        <f t="shared" si="59"/>
        <v>7695</v>
      </c>
      <c r="AD122" s="160">
        <f t="shared" si="60"/>
        <v>8.2887700534759357E-2</v>
      </c>
      <c r="AE122" s="170">
        <f t="shared" si="72"/>
        <v>677</v>
      </c>
      <c r="AF122" s="6">
        <v>568</v>
      </c>
      <c r="AG122" s="6">
        <v>109</v>
      </c>
      <c r="AH122" s="138">
        <f t="shared" si="61"/>
        <v>8372</v>
      </c>
      <c r="AI122" s="160">
        <f t="shared" si="62"/>
        <v>8.7979207277452898E-2</v>
      </c>
      <c r="AJ122" s="170">
        <f t="shared" si="73"/>
        <v>620</v>
      </c>
      <c r="AK122" s="6">
        <v>498</v>
      </c>
      <c r="AL122" s="6">
        <v>122</v>
      </c>
      <c r="AM122" s="138">
        <f t="shared" si="63"/>
        <v>8992</v>
      </c>
      <c r="AN122" s="160">
        <f t="shared" si="64"/>
        <v>7.4056378404204495E-2</v>
      </c>
      <c r="AO122" s="170">
        <f t="shared" si="74"/>
        <v>541</v>
      </c>
      <c r="AP122" s="6">
        <v>393</v>
      </c>
      <c r="AQ122" s="6">
        <v>148</v>
      </c>
      <c r="AR122" s="138">
        <f t="shared" si="65"/>
        <v>9533</v>
      </c>
      <c r="AS122" s="160">
        <f t="shared" si="66"/>
        <v>6.0164590747330958E-2</v>
      </c>
      <c r="AT122" s="164">
        <f t="shared" si="67"/>
        <v>2917</v>
      </c>
      <c r="AU122" s="165">
        <f t="shared" si="68"/>
        <v>7.6220096506062429E-2</v>
      </c>
    </row>
    <row r="123" spans="2:47" outlineLevel="1" x14ac:dyDescent="0.35">
      <c r="B123" s="48" t="s">
        <v>121</v>
      </c>
      <c r="C123" s="62" t="s">
        <v>141</v>
      </c>
      <c r="D123" s="70">
        <v>107</v>
      </c>
      <c r="E123" s="71">
        <v>468</v>
      </c>
      <c r="F123" s="70">
        <v>180</v>
      </c>
      <c r="G123" s="4">
        <v>648</v>
      </c>
      <c r="H123" s="167">
        <f t="shared" si="52"/>
        <v>0.38461538461538464</v>
      </c>
      <c r="I123" s="70">
        <v>309</v>
      </c>
      <c r="J123" s="4">
        <v>957</v>
      </c>
      <c r="K123" s="167">
        <f t="shared" si="53"/>
        <v>0.47685185185185186</v>
      </c>
      <c r="L123" s="70">
        <v>224</v>
      </c>
      <c r="M123" s="4">
        <v>1181</v>
      </c>
      <c r="N123" s="167">
        <f t="shared" si="75"/>
        <v>0.23406478578892373</v>
      </c>
      <c r="O123" s="70">
        <v>91</v>
      </c>
      <c r="P123" s="4">
        <v>1272</v>
      </c>
      <c r="Q123" s="167">
        <f t="shared" si="76"/>
        <v>7.7053344623200681E-2</v>
      </c>
      <c r="R123" s="164">
        <f t="shared" si="69"/>
        <v>911</v>
      </c>
      <c r="S123" s="165">
        <f t="shared" si="77"/>
        <v>0.28398607731402503</v>
      </c>
      <c r="U123" s="170">
        <f t="shared" si="70"/>
        <v>159</v>
      </c>
      <c r="V123" s="6">
        <v>150</v>
      </c>
      <c r="W123" s="6">
        <v>9</v>
      </c>
      <c r="X123" s="138">
        <f t="shared" si="78"/>
        <v>1431</v>
      </c>
      <c r="Y123" s="167">
        <f t="shared" si="79"/>
        <v>0.125</v>
      </c>
      <c r="Z123" s="170">
        <f t="shared" si="71"/>
        <v>214</v>
      </c>
      <c r="AA123" s="6">
        <v>166</v>
      </c>
      <c r="AB123" s="6">
        <v>48</v>
      </c>
      <c r="AC123" s="138">
        <f t="shared" si="59"/>
        <v>1645</v>
      </c>
      <c r="AD123" s="160">
        <f t="shared" si="60"/>
        <v>0.14954577218728163</v>
      </c>
      <c r="AE123" s="170">
        <f t="shared" si="72"/>
        <v>277</v>
      </c>
      <c r="AF123" s="6">
        <v>175</v>
      </c>
      <c r="AG123" s="6">
        <v>102</v>
      </c>
      <c r="AH123" s="138">
        <f t="shared" si="61"/>
        <v>1922</v>
      </c>
      <c r="AI123" s="160">
        <f t="shared" si="62"/>
        <v>0.16838905775075988</v>
      </c>
      <c r="AJ123" s="170">
        <f t="shared" si="73"/>
        <v>277</v>
      </c>
      <c r="AK123" s="6">
        <v>153</v>
      </c>
      <c r="AL123" s="6">
        <v>124</v>
      </c>
      <c r="AM123" s="138">
        <f t="shared" si="63"/>
        <v>2199</v>
      </c>
      <c r="AN123" s="160">
        <f t="shared" si="64"/>
        <v>0.14412070759625389</v>
      </c>
      <c r="AO123" s="170">
        <f t="shared" si="74"/>
        <v>301</v>
      </c>
      <c r="AP123" s="6">
        <v>121</v>
      </c>
      <c r="AQ123" s="6">
        <v>180</v>
      </c>
      <c r="AR123" s="138">
        <f t="shared" si="65"/>
        <v>2500</v>
      </c>
      <c r="AS123" s="160">
        <f t="shared" si="66"/>
        <v>0.13688040018190087</v>
      </c>
      <c r="AT123" s="164">
        <f t="shared" si="67"/>
        <v>1228</v>
      </c>
      <c r="AU123" s="165">
        <f t="shared" si="68"/>
        <v>0.14967501619526091</v>
      </c>
    </row>
    <row r="124" spans="2:47" outlineLevel="1" x14ac:dyDescent="0.35">
      <c r="B124" s="48" t="s">
        <v>137</v>
      </c>
      <c r="C124" s="62" t="s">
        <v>141</v>
      </c>
      <c r="D124" s="70">
        <v>0</v>
      </c>
      <c r="E124" s="71">
        <v>0</v>
      </c>
      <c r="F124" s="70">
        <v>0</v>
      </c>
      <c r="G124" s="4">
        <v>0</v>
      </c>
      <c r="H124" s="167">
        <f t="shared" si="52"/>
        <v>0</v>
      </c>
      <c r="I124" s="70">
        <v>0</v>
      </c>
      <c r="J124" s="4">
        <v>0</v>
      </c>
      <c r="K124" s="167">
        <f t="shared" si="53"/>
        <v>0</v>
      </c>
      <c r="L124" s="70">
        <v>0</v>
      </c>
      <c r="M124" s="4">
        <v>0</v>
      </c>
      <c r="N124" s="167">
        <f t="shared" si="75"/>
        <v>0</v>
      </c>
      <c r="O124" s="70">
        <v>0</v>
      </c>
      <c r="P124" s="4">
        <v>0</v>
      </c>
      <c r="Q124" s="167">
        <f t="shared" si="76"/>
        <v>0</v>
      </c>
      <c r="R124" s="164">
        <f t="shared" si="69"/>
        <v>0</v>
      </c>
      <c r="S124" s="165">
        <f t="shared" si="77"/>
        <v>0</v>
      </c>
      <c r="U124" s="170">
        <f t="shared" si="70"/>
        <v>0</v>
      </c>
      <c r="V124" s="6">
        <v>0</v>
      </c>
      <c r="W124" s="6">
        <v>0</v>
      </c>
      <c r="X124" s="138">
        <f t="shared" si="78"/>
        <v>0</v>
      </c>
      <c r="Y124" s="167">
        <f t="shared" si="79"/>
        <v>0</v>
      </c>
      <c r="Z124" s="170">
        <f t="shared" si="71"/>
        <v>0</v>
      </c>
      <c r="AA124" s="6">
        <v>0</v>
      </c>
      <c r="AB124" s="6">
        <v>0</v>
      </c>
      <c r="AC124" s="138">
        <f t="shared" si="59"/>
        <v>0</v>
      </c>
      <c r="AD124" s="160">
        <f t="shared" si="60"/>
        <v>0</v>
      </c>
      <c r="AE124" s="170">
        <f t="shared" si="72"/>
        <v>0</v>
      </c>
      <c r="AF124" s="6">
        <v>0</v>
      </c>
      <c r="AG124" s="6">
        <v>0</v>
      </c>
      <c r="AH124" s="138">
        <f t="shared" si="61"/>
        <v>0</v>
      </c>
      <c r="AI124" s="160">
        <f t="shared" si="62"/>
        <v>0</v>
      </c>
      <c r="AJ124" s="170">
        <f t="shared" si="73"/>
        <v>0</v>
      </c>
      <c r="AK124" s="6">
        <v>0</v>
      </c>
      <c r="AL124" s="6">
        <v>0</v>
      </c>
      <c r="AM124" s="138">
        <f t="shared" si="63"/>
        <v>0</v>
      </c>
      <c r="AN124" s="160">
        <f t="shared" si="64"/>
        <v>0</v>
      </c>
      <c r="AO124" s="170">
        <f t="shared" si="74"/>
        <v>0</v>
      </c>
      <c r="AP124" s="6">
        <v>0</v>
      </c>
      <c r="AQ124" s="6">
        <v>0</v>
      </c>
      <c r="AR124" s="138">
        <f t="shared" si="65"/>
        <v>0</v>
      </c>
      <c r="AS124" s="160">
        <f t="shared" si="66"/>
        <v>0</v>
      </c>
      <c r="AT124" s="164">
        <f t="shared" si="67"/>
        <v>0</v>
      </c>
      <c r="AU124" s="165">
        <f t="shared" si="68"/>
        <v>0</v>
      </c>
    </row>
    <row r="125" spans="2:47" outlineLevel="1" x14ac:dyDescent="0.35">
      <c r="B125" s="48" t="s">
        <v>123</v>
      </c>
      <c r="C125" s="62" t="s">
        <v>141</v>
      </c>
      <c r="D125" s="70">
        <v>262</v>
      </c>
      <c r="E125" s="71">
        <v>3007</v>
      </c>
      <c r="F125" s="70">
        <v>413</v>
      </c>
      <c r="G125" s="4">
        <v>3420</v>
      </c>
      <c r="H125" s="167">
        <f t="shared" si="52"/>
        <v>0.13734619221815764</v>
      </c>
      <c r="I125" s="70">
        <v>351</v>
      </c>
      <c r="J125" s="4">
        <v>3771</v>
      </c>
      <c r="K125" s="167">
        <f t="shared" si="53"/>
        <v>0.10263157894736842</v>
      </c>
      <c r="L125" s="70">
        <v>287</v>
      </c>
      <c r="M125" s="4">
        <v>4058</v>
      </c>
      <c r="N125" s="167">
        <f t="shared" si="75"/>
        <v>7.6107133386369666E-2</v>
      </c>
      <c r="O125" s="70">
        <v>145</v>
      </c>
      <c r="P125" s="4">
        <v>4203</v>
      </c>
      <c r="Q125" s="167">
        <f t="shared" si="76"/>
        <v>3.5731887629374078E-2</v>
      </c>
      <c r="R125" s="164">
        <f t="shared" si="69"/>
        <v>1458</v>
      </c>
      <c r="S125" s="165">
        <f t="shared" si="77"/>
        <v>8.7317781830660968E-2</v>
      </c>
      <c r="U125" s="170">
        <f t="shared" si="70"/>
        <v>233</v>
      </c>
      <c r="V125" s="6">
        <v>232</v>
      </c>
      <c r="W125" s="6">
        <v>1</v>
      </c>
      <c r="X125" s="138">
        <f t="shared" si="78"/>
        <v>4436</v>
      </c>
      <c r="Y125" s="167">
        <f t="shared" si="79"/>
        <v>5.5436592909826311E-2</v>
      </c>
      <c r="Z125" s="170">
        <f t="shared" si="71"/>
        <v>274</v>
      </c>
      <c r="AA125" s="6">
        <v>258</v>
      </c>
      <c r="AB125" s="6">
        <v>16</v>
      </c>
      <c r="AC125" s="138">
        <f t="shared" si="59"/>
        <v>4710</v>
      </c>
      <c r="AD125" s="160">
        <f t="shared" si="60"/>
        <v>6.1767357980162307E-2</v>
      </c>
      <c r="AE125" s="170">
        <f t="shared" si="72"/>
        <v>327</v>
      </c>
      <c r="AF125" s="6">
        <v>271</v>
      </c>
      <c r="AG125" s="6">
        <v>56</v>
      </c>
      <c r="AH125" s="138">
        <f t="shared" si="61"/>
        <v>5037</v>
      </c>
      <c r="AI125" s="160">
        <f t="shared" si="62"/>
        <v>6.9426751592356686E-2</v>
      </c>
      <c r="AJ125" s="170">
        <f t="shared" si="73"/>
        <v>297</v>
      </c>
      <c r="AK125" s="6">
        <v>238</v>
      </c>
      <c r="AL125" s="6">
        <v>59</v>
      </c>
      <c r="AM125" s="138">
        <f t="shared" si="63"/>
        <v>5334</v>
      </c>
      <c r="AN125" s="160">
        <f t="shared" si="64"/>
        <v>5.8963668850506253E-2</v>
      </c>
      <c r="AO125" s="170">
        <f t="shared" si="74"/>
        <v>257</v>
      </c>
      <c r="AP125" s="6">
        <v>187</v>
      </c>
      <c r="AQ125" s="6">
        <v>70</v>
      </c>
      <c r="AR125" s="138">
        <f t="shared" si="65"/>
        <v>5591</v>
      </c>
      <c r="AS125" s="160">
        <f t="shared" si="66"/>
        <v>4.8181477315335584E-2</v>
      </c>
      <c r="AT125" s="164">
        <f t="shared" si="67"/>
        <v>1388</v>
      </c>
      <c r="AU125" s="165">
        <f t="shared" si="68"/>
        <v>5.955739934522053E-2</v>
      </c>
    </row>
    <row r="126" spans="2:47" outlineLevel="1" x14ac:dyDescent="0.35">
      <c r="B126" s="48" t="s">
        <v>124</v>
      </c>
      <c r="C126" s="62" t="s">
        <v>141</v>
      </c>
      <c r="D126" s="70">
        <v>29</v>
      </c>
      <c r="E126" s="71">
        <v>33</v>
      </c>
      <c r="F126" s="70">
        <v>46</v>
      </c>
      <c r="G126" s="4">
        <v>79</v>
      </c>
      <c r="H126" s="167">
        <f t="shared" si="52"/>
        <v>1.393939393939394</v>
      </c>
      <c r="I126" s="70">
        <v>26</v>
      </c>
      <c r="J126" s="4">
        <v>105</v>
      </c>
      <c r="K126" s="167">
        <f t="shared" si="53"/>
        <v>0.32911392405063289</v>
      </c>
      <c r="L126" s="70">
        <v>19</v>
      </c>
      <c r="M126" s="4">
        <v>124</v>
      </c>
      <c r="N126" s="167">
        <f t="shared" si="75"/>
        <v>0.18095238095238095</v>
      </c>
      <c r="O126" s="70">
        <v>5</v>
      </c>
      <c r="P126" s="4">
        <v>129</v>
      </c>
      <c r="Q126" s="167">
        <f t="shared" si="76"/>
        <v>4.0322580645161289E-2</v>
      </c>
      <c r="R126" s="164">
        <f t="shared" si="69"/>
        <v>125</v>
      </c>
      <c r="S126" s="165">
        <f t="shared" si="77"/>
        <v>0.40610885298696653</v>
      </c>
      <c r="U126" s="170">
        <f t="shared" si="70"/>
        <v>7</v>
      </c>
      <c r="V126" s="6">
        <v>7</v>
      </c>
      <c r="W126" s="6">
        <v>0</v>
      </c>
      <c r="X126" s="138">
        <f t="shared" si="78"/>
        <v>136</v>
      </c>
      <c r="Y126" s="167">
        <f t="shared" si="79"/>
        <v>5.4263565891472867E-2</v>
      </c>
      <c r="Z126" s="170">
        <f t="shared" si="71"/>
        <v>7</v>
      </c>
      <c r="AA126" s="6">
        <v>7</v>
      </c>
      <c r="AB126" s="6">
        <v>0</v>
      </c>
      <c r="AC126" s="138">
        <f t="shared" si="59"/>
        <v>143</v>
      </c>
      <c r="AD126" s="160">
        <f t="shared" si="60"/>
        <v>5.1470588235294115E-2</v>
      </c>
      <c r="AE126" s="170">
        <f t="shared" si="72"/>
        <v>8</v>
      </c>
      <c r="AF126" s="6">
        <v>8</v>
      </c>
      <c r="AG126" s="6">
        <v>0</v>
      </c>
      <c r="AH126" s="138">
        <f t="shared" si="61"/>
        <v>151</v>
      </c>
      <c r="AI126" s="160">
        <f t="shared" si="62"/>
        <v>5.5944055944055944E-2</v>
      </c>
      <c r="AJ126" s="170">
        <f t="shared" si="73"/>
        <v>7</v>
      </c>
      <c r="AK126" s="6">
        <v>7</v>
      </c>
      <c r="AL126" s="6">
        <v>0</v>
      </c>
      <c r="AM126" s="138">
        <f t="shared" si="63"/>
        <v>158</v>
      </c>
      <c r="AN126" s="160">
        <f t="shared" si="64"/>
        <v>4.6357615894039736E-2</v>
      </c>
      <c r="AO126" s="170">
        <f t="shared" si="74"/>
        <v>5</v>
      </c>
      <c r="AP126" s="6">
        <v>5</v>
      </c>
      <c r="AQ126" s="6">
        <v>0</v>
      </c>
      <c r="AR126" s="138">
        <f t="shared" si="65"/>
        <v>163</v>
      </c>
      <c r="AS126" s="160">
        <f t="shared" si="66"/>
        <v>3.1645569620253167E-2</v>
      </c>
      <c r="AT126" s="164">
        <f t="shared" si="67"/>
        <v>34</v>
      </c>
      <c r="AU126" s="165">
        <f t="shared" si="68"/>
        <v>4.6314331648863893E-2</v>
      </c>
    </row>
    <row r="127" spans="2:47" outlineLevel="1" x14ac:dyDescent="0.35">
      <c r="B127" s="48" t="s">
        <v>125</v>
      </c>
      <c r="C127" s="62" t="s">
        <v>141</v>
      </c>
      <c r="D127" s="70">
        <v>122</v>
      </c>
      <c r="E127" s="71">
        <v>761</v>
      </c>
      <c r="F127" s="70">
        <v>141</v>
      </c>
      <c r="G127" s="4">
        <v>902</v>
      </c>
      <c r="H127" s="167">
        <f t="shared" si="52"/>
        <v>0.18528252299605782</v>
      </c>
      <c r="I127" s="70">
        <v>188</v>
      </c>
      <c r="J127" s="4">
        <v>1090</v>
      </c>
      <c r="K127" s="167">
        <f t="shared" si="53"/>
        <v>0.20842572062084258</v>
      </c>
      <c r="L127" s="70">
        <v>80</v>
      </c>
      <c r="M127" s="4">
        <v>1170</v>
      </c>
      <c r="N127" s="167">
        <f t="shared" si="75"/>
        <v>7.3394495412844041E-2</v>
      </c>
      <c r="O127" s="70">
        <v>62</v>
      </c>
      <c r="P127" s="4">
        <v>1232</v>
      </c>
      <c r="Q127" s="167">
        <f t="shared" si="76"/>
        <v>5.2991452991452991E-2</v>
      </c>
      <c r="R127" s="164">
        <f t="shared" si="69"/>
        <v>593</v>
      </c>
      <c r="S127" s="165">
        <f t="shared" si="77"/>
        <v>0.1279932810677944</v>
      </c>
      <c r="U127" s="170">
        <f t="shared" si="70"/>
        <v>98</v>
      </c>
      <c r="V127" s="6">
        <v>96</v>
      </c>
      <c r="W127" s="6">
        <v>2</v>
      </c>
      <c r="X127" s="138">
        <f t="shared" si="78"/>
        <v>1330</v>
      </c>
      <c r="Y127" s="167">
        <f t="shared" si="79"/>
        <v>7.9545454545454544E-2</v>
      </c>
      <c r="Z127" s="170">
        <f t="shared" si="71"/>
        <v>113</v>
      </c>
      <c r="AA127" s="6">
        <v>106</v>
      </c>
      <c r="AB127" s="6">
        <v>7</v>
      </c>
      <c r="AC127" s="138">
        <f t="shared" si="59"/>
        <v>1443</v>
      </c>
      <c r="AD127" s="160">
        <f t="shared" si="60"/>
        <v>8.49624060150376E-2</v>
      </c>
      <c r="AE127" s="170">
        <f t="shared" si="72"/>
        <v>123</v>
      </c>
      <c r="AF127" s="6">
        <v>112</v>
      </c>
      <c r="AG127" s="6">
        <v>11</v>
      </c>
      <c r="AH127" s="138">
        <f t="shared" si="61"/>
        <v>1566</v>
      </c>
      <c r="AI127" s="160">
        <f t="shared" si="62"/>
        <v>8.5239085239085244E-2</v>
      </c>
      <c r="AJ127" s="170">
        <f t="shared" si="73"/>
        <v>111</v>
      </c>
      <c r="AK127" s="6">
        <v>98</v>
      </c>
      <c r="AL127" s="6">
        <v>13</v>
      </c>
      <c r="AM127" s="138">
        <f t="shared" si="63"/>
        <v>1677</v>
      </c>
      <c r="AN127" s="160">
        <f t="shared" si="64"/>
        <v>7.0881226053639848E-2</v>
      </c>
      <c r="AO127" s="170">
        <f t="shared" si="74"/>
        <v>87</v>
      </c>
      <c r="AP127" s="6">
        <v>77</v>
      </c>
      <c r="AQ127" s="6">
        <v>10</v>
      </c>
      <c r="AR127" s="138">
        <f t="shared" si="65"/>
        <v>1764</v>
      </c>
      <c r="AS127" s="160">
        <f t="shared" si="66"/>
        <v>5.1878354203935599E-2</v>
      </c>
      <c r="AT127" s="164">
        <f t="shared" si="67"/>
        <v>532</v>
      </c>
      <c r="AU127" s="165">
        <f t="shared" si="68"/>
        <v>7.3153224812222195E-2</v>
      </c>
    </row>
    <row r="128" spans="2:47" outlineLevel="1" x14ac:dyDescent="0.35">
      <c r="B128" s="48" t="s">
        <v>126</v>
      </c>
      <c r="C128" s="62" t="s">
        <v>141</v>
      </c>
      <c r="D128" s="70">
        <v>516</v>
      </c>
      <c r="E128" s="71">
        <v>3849</v>
      </c>
      <c r="F128" s="70">
        <v>840</v>
      </c>
      <c r="G128" s="4">
        <v>4689</v>
      </c>
      <c r="H128" s="167">
        <f t="shared" si="52"/>
        <v>0.21823850350740451</v>
      </c>
      <c r="I128" s="70">
        <v>1147</v>
      </c>
      <c r="J128" s="4">
        <v>5836</v>
      </c>
      <c r="K128" s="167">
        <f t="shared" si="53"/>
        <v>0.24461505651524845</v>
      </c>
      <c r="L128" s="70">
        <v>462</v>
      </c>
      <c r="M128" s="4">
        <v>6298</v>
      </c>
      <c r="N128" s="167">
        <f t="shared" si="75"/>
        <v>7.9163810829335157E-2</v>
      </c>
      <c r="O128" s="70">
        <v>406</v>
      </c>
      <c r="P128" s="4">
        <v>6704</v>
      </c>
      <c r="Q128" s="167">
        <f t="shared" si="76"/>
        <v>6.4464909495077799E-2</v>
      </c>
      <c r="R128" s="164">
        <f t="shared" si="69"/>
        <v>3371</v>
      </c>
      <c r="S128" s="165">
        <f t="shared" si="77"/>
        <v>0.14880554631377785</v>
      </c>
      <c r="U128" s="170">
        <f t="shared" si="70"/>
        <v>539</v>
      </c>
      <c r="V128" s="6">
        <v>523</v>
      </c>
      <c r="W128" s="6">
        <v>16</v>
      </c>
      <c r="X128" s="138">
        <f t="shared" si="78"/>
        <v>7243</v>
      </c>
      <c r="Y128" s="167">
        <f t="shared" si="79"/>
        <v>8.039976133651551E-2</v>
      </c>
      <c r="Z128" s="170">
        <f t="shared" si="71"/>
        <v>654</v>
      </c>
      <c r="AA128" s="6">
        <v>580</v>
      </c>
      <c r="AB128" s="6">
        <v>74</v>
      </c>
      <c r="AC128" s="138">
        <f t="shared" si="59"/>
        <v>7897</v>
      </c>
      <c r="AD128" s="160">
        <f t="shared" si="60"/>
        <v>9.0294077039900597E-2</v>
      </c>
      <c r="AE128" s="170">
        <f t="shared" si="72"/>
        <v>715</v>
      </c>
      <c r="AF128" s="6">
        <v>611</v>
      </c>
      <c r="AG128" s="6">
        <v>104</v>
      </c>
      <c r="AH128" s="138">
        <f t="shared" si="61"/>
        <v>8612</v>
      </c>
      <c r="AI128" s="160">
        <f t="shared" si="62"/>
        <v>9.0540711662656703E-2</v>
      </c>
      <c r="AJ128" s="170">
        <f t="shared" si="73"/>
        <v>618</v>
      </c>
      <c r="AK128" s="6">
        <v>536</v>
      </c>
      <c r="AL128" s="6">
        <v>82</v>
      </c>
      <c r="AM128" s="138">
        <f t="shared" si="63"/>
        <v>9230</v>
      </c>
      <c r="AN128" s="160">
        <f t="shared" si="64"/>
        <v>7.1760334417092425E-2</v>
      </c>
      <c r="AO128" s="170">
        <f t="shared" si="74"/>
        <v>530</v>
      </c>
      <c r="AP128" s="6">
        <v>422</v>
      </c>
      <c r="AQ128" s="6">
        <v>108</v>
      </c>
      <c r="AR128" s="138">
        <f t="shared" si="65"/>
        <v>9760</v>
      </c>
      <c r="AS128" s="160">
        <f t="shared" si="66"/>
        <v>5.7421451787648972E-2</v>
      </c>
      <c r="AT128" s="164">
        <f t="shared" si="67"/>
        <v>3056</v>
      </c>
      <c r="AU128" s="165">
        <f t="shared" si="68"/>
        <v>7.7414542346291526E-2</v>
      </c>
    </row>
    <row r="129" spans="2:49" outlineLevel="1" x14ac:dyDescent="0.35">
      <c r="B129" s="48" t="s">
        <v>127</v>
      </c>
      <c r="C129" s="62" t="s">
        <v>141</v>
      </c>
      <c r="D129" s="70">
        <v>0</v>
      </c>
      <c r="E129" s="71">
        <v>0</v>
      </c>
      <c r="F129" s="70">
        <v>0</v>
      </c>
      <c r="G129" s="4">
        <v>0</v>
      </c>
      <c r="H129" s="167">
        <f t="shared" si="52"/>
        <v>0</v>
      </c>
      <c r="I129" s="70">
        <v>0</v>
      </c>
      <c r="J129" s="4">
        <v>0</v>
      </c>
      <c r="K129" s="167">
        <f t="shared" si="53"/>
        <v>0</v>
      </c>
      <c r="L129" s="70">
        <v>0</v>
      </c>
      <c r="M129" s="4">
        <v>0</v>
      </c>
      <c r="N129" s="167">
        <f t="shared" si="75"/>
        <v>0</v>
      </c>
      <c r="O129" s="70">
        <v>0</v>
      </c>
      <c r="P129" s="4">
        <v>0</v>
      </c>
      <c r="Q129" s="167">
        <f t="shared" si="76"/>
        <v>0</v>
      </c>
      <c r="R129" s="164">
        <f t="shared" si="69"/>
        <v>0</v>
      </c>
      <c r="S129" s="165">
        <f t="shared" si="77"/>
        <v>0</v>
      </c>
      <c r="U129" s="170">
        <f t="shared" si="70"/>
        <v>0</v>
      </c>
      <c r="V129" s="6">
        <v>0</v>
      </c>
      <c r="W129" s="6">
        <v>0</v>
      </c>
      <c r="X129" s="138">
        <f t="shared" si="78"/>
        <v>0</v>
      </c>
      <c r="Y129" s="167">
        <f t="shared" si="79"/>
        <v>0</v>
      </c>
      <c r="Z129" s="170">
        <f t="shared" si="71"/>
        <v>0</v>
      </c>
      <c r="AA129" s="6">
        <v>0</v>
      </c>
      <c r="AB129" s="6">
        <v>0</v>
      </c>
      <c r="AC129" s="138">
        <f t="shared" si="59"/>
        <v>0</v>
      </c>
      <c r="AD129" s="160">
        <f t="shared" si="60"/>
        <v>0</v>
      </c>
      <c r="AE129" s="170">
        <f t="shared" si="72"/>
        <v>0</v>
      </c>
      <c r="AF129" s="6">
        <v>0</v>
      </c>
      <c r="AG129" s="6">
        <v>0</v>
      </c>
      <c r="AH129" s="138">
        <f t="shared" si="61"/>
        <v>0</v>
      </c>
      <c r="AI129" s="160">
        <f t="shared" si="62"/>
        <v>0</v>
      </c>
      <c r="AJ129" s="170">
        <f t="shared" si="73"/>
        <v>0</v>
      </c>
      <c r="AK129" s="6">
        <v>0</v>
      </c>
      <c r="AL129" s="6">
        <v>0</v>
      </c>
      <c r="AM129" s="138">
        <f t="shared" si="63"/>
        <v>0</v>
      </c>
      <c r="AN129" s="160">
        <f t="shared" si="64"/>
        <v>0</v>
      </c>
      <c r="AO129" s="170">
        <f t="shared" si="74"/>
        <v>0</v>
      </c>
      <c r="AP129" s="6">
        <v>0</v>
      </c>
      <c r="AQ129" s="6">
        <v>0</v>
      </c>
      <c r="AR129" s="138">
        <f t="shared" si="65"/>
        <v>0</v>
      </c>
      <c r="AS129" s="160">
        <f t="shared" si="66"/>
        <v>0</v>
      </c>
      <c r="AT129" s="164">
        <f t="shared" si="67"/>
        <v>0</v>
      </c>
      <c r="AU129" s="165">
        <f t="shared" si="68"/>
        <v>0</v>
      </c>
    </row>
    <row r="130" spans="2:49" s="245" customFormat="1" ht="15" customHeight="1" outlineLevel="1" x14ac:dyDescent="0.35">
      <c r="B130" s="246" t="s">
        <v>138</v>
      </c>
      <c r="C130" s="247" t="s">
        <v>141</v>
      </c>
      <c r="D130" s="253">
        <f>SUM(D76:D129)</f>
        <v>14489</v>
      </c>
      <c r="E130" s="253">
        <f>SUM(E76:E129)</f>
        <v>122863</v>
      </c>
      <c r="F130" s="254">
        <f>SUM(F76:F129)</f>
        <v>20177</v>
      </c>
      <c r="G130" s="248">
        <f>SUM(G76:G129)</f>
        <v>143040</v>
      </c>
      <c r="H130" s="255">
        <f>IFERROR((G130-E130)/E130,0)</f>
        <v>0.16422356608580288</v>
      </c>
      <c r="I130" s="248">
        <f>SUM(I76:I129)</f>
        <v>19858</v>
      </c>
      <c r="J130" s="248">
        <f>SUM(J76:J129)</f>
        <v>162898</v>
      </c>
      <c r="K130" s="250">
        <f t="shared" si="53"/>
        <v>0.13882829977628636</v>
      </c>
      <c r="L130" s="248">
        <f>SUM(L76:L129)</f>
        <v>10936</v>
      </c>
      <c r="M130" s="248">
        <f>SUM(M76:M129)</f>
        <v>173834</v>
      </c>
      <c r="N130" s="250">
        <f t="shared" ref="N130" si="80">IFERROR((M130-J130)/J130,0)</f>
        <v>6.7134034794779557E-2</v>
      </c>
      <c r="O130" s="248">
        <f>SUM(O76:O129)</f>
        <v>8277</v>
      </c>
      <c r="P130" s="248">
        <f>SUM(P76:P129)</f>
        <v>182111</v>
      </c>
      <c r="Q130" s="250">
        <f t="shared" si="76"/>
        <v>4.7614390740591601E-2</v>
      </c>
      <c r="R130" s="251">
        <f>D130+F130+I130+L130+O130</f>
        <v>73737</v>
      </c>
      <c r="S130" s="252">
        <f t="shared" si="77"/>
        <v>0.10338929441827682</v>
      </c>
      <c r="U130" s="248">
        <f t="shared" ref="U130:AR130" si="81">SUM(U76:U129)</f>
        <v>13530</v>
      </c>
      <c r="V130" s="248">
        <f t="shared" si="81"/>
        <v>13001</v>
      </c>
      <c r="W130" s="248">
        <f t="shared" si="81"/>
        <v>529</v>
      </c>
      <c r="X130" s="248">
        <f t="shared" si="81"/>
        <v>195641</v>
      </c>
      <c r="Y130" s="250">
        <f t="shared" si="79"/>
        <v>7.4295347343103932E-2</v>
      </c>
      <c r="Z130" s="248">
        <f t="shared" si="81"/>
        <v>17546</v>
      </c>
      <c r="AA130" s="248">
        <f t="shared" si="81"/>
        <v>14424</v>
      </c>
      <c r="AB130" s="248">
        <f t="shared" si="81"/>
        <v>3122</v>
      </c>
      <c r="AC130" s="248">
        <f t="shared" si="81"/>
        <v>213187</v>
      </c>
      <c r="AD130" s="250">
        <f t="shared" si="60"/>
        <v>8.9684677547139921E-2</v>
      </c>
      <c r="AE130" s="248">
        <f t="shared" si="81"/>
        <v>21120</v>
      </c>
      <c r="AF130" s="248">
        <f t="shared" si="81"/>
        <v>15183</v>
      </c>
      <c r="AG130" s="248">
        <f t="shared" si="81"/>
        <v>5937</v>
      </c>
      <c r="AH130" s="248">
        <f t="shared" si="81"/>
        <v>234307</v>
      </c>
      <c r="AI130" s="250">
        <f t="shared" si="62"/>
        <v>9.9067954424988391E-2</v>
      </c>
      <c r="AJ130" s="248">
        <f t="shared" si="81"/>
        <v>20253</v>
      </c>
      <c r="AK130" s="248">
        <f t="shared" si="81"/>
        <v>13318</v>
      </c>
      <c r="AL130" s="248">
        <f t="shared" si="81"/>
        <v>6935</v>
      </c>
      <c r="AM130" s="248">
        <f t="shared" si="81"/>
        <v>254560</v>
      </c>
      <c r="AN130" s="250">
        <f t="shared" si="64"/>
        <v>8.6437878509818322E-2</v>
      </c>
      <c r="AO130" s="248">
        <f t="shared" si="81"/>
        <v>18005</v>
      </c>
      <c r="AP130" s="248">
        <f t="shared" si="81"/>
        <v>10487</v>
      </c>
      <c r="AQ130" s="248">
        <f t="shared" si="81"/>
        <v>7518</v>
      </c>
      <c r="AR130" s="248">
        <f t="shared" si="81"/>
        <v>272565</v>
      </c>
      <c r="AS130" s="250">
        <f t="shared" si="66"/>
        <v>7.0729886863607788E-2</v>
      </c>
      <c r="AT130" s="253">
        <f>SUM(AT76:AT129)</f>
        <v>90454</v>
      </c>
      <c r="AU130" s="252">
        <f t="shared" si="68"/>
        <v>8.6432011082656635E-2</v>
      </c>
      <c r="AW130"/>
    </row>
    <row r="131" spans="2:49" ht="15" customHeight="1" x14ac:dyDescent="0.35"/>
    <row r="132" spans="2:49" ht="15.5" x14ac:dyDescent="0.35">
      <c r="B132" s="419" t="s">
        <v>139</v>
      </c>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c r="AJ132" s="419"/>
      <c r="AK132" s="419"/>
      <c r="AL132" s="419"/>
      <c r="AM132" s="419"/>
      <c r="AN132" s="419"/>
      <c r="AO132" s="419"/>
      <c r="AP132" s="419"/>
      <c r="AQ132" s="419"/>
      <c r="AR132" s="419"/>
      <c r="AS132" s="419"/>
      <c r="AT132" s="419"/>
      <c r="AU132" s="419"/>
    </row>
    <row r="133" spans="2:49" ht="5.9" customHeight="1" outlineLevel="1" x14ac:dyDescent="0.35">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row>
    <row r="134" spans="2:49" outlineLevel="1" x14ac:dyDescent="0.35">
      <c r="B134" s="462"/>
      <c r="C134" s="465" t="s">
        <v>134</v>
      </c>
      <c r="D134" s="435" t="s">
        <v>169</v>
      </c>
      <c r="E134" s="436"/>
      <c r="F134" s="436"/>
      <c r="G134" s="436"/>
      <c r="H134" s="436"/>
      <c r="I134" s="436"/>
      <c r="J134" s="436"/>
      <c r="K134" s="436"/>
      <c r="L134" s="436"/>
      <c r="M134" s="436"/>
      <c r="N134" s="436"/>
      <c r="O134" s="436"/>
      <c r="P134" s="436"/>
      <c r="Q134" s="437"/>
      <c r="R134" s="431" t="str">
        <f xml:space="preserve"> D135&amp;" - "&amp;O135</f>
        <v>2019 - 2023</v>
      </c>
      <c r="S134" s="456"/>
      <c r="U134" s="435" t="s">
        <v>170</v>
      </c>
      <c r="V134" s="436"/>
      <c r="W134" s="436"/>
      <c r="X134" s="436"/>
      <c r="Y134" s="436"/>
      <c r="Z134" s="436"/>
      <c r="AA134" s="436"/>
      <c r="AB134" s="436"/>
      <c r="AC134" s="436"/>
      <c r="AD134" s="436"/>
      <c r="AE134" s="436"/>
      <c r="AF134" s="436"/>
      <c r="AG134" s="436"/>
      <c r="AH134" s="436"/>
      <c r="AI134" s="436"/>
      <c r="AJ134" s="436"/>
      <c r="AK134" s="436"/>
      <c r="AL134" s="436"/>
      <c r="AM134" s="436"/>
      <c r="AN134" s="436"/>
      <c r="AO134" s="436"/>
      <c r="AP134" s="436"/>
      <c r="AQ134" s="436"/>
      <c r="AR134" s="436"/>
      <c r="AS134" s="436"/>
      <c r="AT134" s="436"/>
      <c r="AU134" s="437"/>
    </row>
    <row r="135" spans="2:49" outlineLevel="1" x14ac:dyDescent="0.35">
      <c r="B135" s="463"/>
      <c r="C135" s="465"/>
      <c r="D135" s="435">
        <f>$C$3-5</f>
        <v>2019</v>
      </c>
      <c r="E135" s="437"/>
      <c r="F135" s="435">
        <f>$C$3-4</f>
        <v>2020</v>
      </c>
      <c r="G135" s="437"/>
      <c r="H135" s="295"/>
      <c r="I135" s="435">
        <f>$C$3-3</f>
        <v>2021</v>
      </c>
      <c r="J135" s="436"/>
      <c r="K135" s="437"/>
      <c r="L135" s="435">
        <f>$C$3-2</f>
        <v>2022</v>
      </c>
      <c r="M135" s="436"/>
      <c r="N135" s="437"/>
      <c r="O135" s="435">
        <f>$C$3-1</f>
        <v>2023</v>
      </c>
      <c r="P135" s="436"/>
      <c r="Q135" s="437"/>
      <c r="R135" s="433"/>
      <c r="S135" s="457"/>
      <c r="U135" s="435">
        <f>$C$3</f>
        <v>2024</v>
      </c>
      <c r="V135" s="436"/>
      <c r="W135" s="436"/>
      <c r="X135" s="436"/>
      <c r="Y135" s="437"/>
      <c r="Z135" s="435">
        <f>$C$3+1</f>
        <v>2025</v>
      </c>
      <c r="AA135" s="436"/>
      <c r="AB135" s="436"/>
      <c r="AC135" s="436"/>
      <c r="AD135" s="437"/>
      <c r="AE135" s="435">
        <f>$C$3+2</f>
        <v>2026</v>
      </c>
      <c r="AF135" s="436"/>
      <c r="AG135" s="436"/>
      <c r="AH135" s="436"/>
      <c r="AI135" s="437"/>
      <c r="AJ135" s="435">
        <f>$C$3+3</f>
        <v>2027</v>
      </c>
      <c r="AK135" s="436"/>
      <c r="AL135" s="436"/>
      <c r="AM135" s="436"/>
      <c r="AN135" s="437"/>
      <c r="AO135" s="435">
        <f>$C$3+4</f>
        <v>2028</v>
      </c>
      <c r="AP135" s="436"/>
      <c r="AQ135" s="436"/>
      <c r="AR135" s="436"/>
      <c r="AS135" s="437"/>
      <c r="AT135" s="439" t="str">
        <f>U135&amp;" - "&amp;AO135</f>
        <v>2024 - 2028</v>
      </c>
      <c r="AU135" s="458"/>
    </row>
    <row r="136" spans="2:49" ht="43.5" outlineLevel="1" x14ac:dyDescent="0.35">
      <c r="B136" s="464"/>
      <c r="C136" s="465"/>
      <c r="D136" s="66" t="s">
        <v>192</v>
      </c>
      <c r="E136" s="67" t="s">
        <v>193</v>
      </c>
      <c r="F136" s="66" t="s">
        <v>192</v>
      </c>
      <c r="G136" s="9" t="s">
        <v>193</v>
      </c>
      <c r="H136" s="67" t="s">
        <v>173</v>
      </c>
      <c r="I136" s="66" t="s">
        <v>192</v>
      </c>
      <c r="J136" s="9" t="s">
        <v>193</v>
      </c>
      <c r="K136" s="67" t="s">
        <v>173</v>
      </c>
      <c r="L136" s="66" t="s">
        <v>192</v>
      </c>
      <c r="M136" s="9" t="s">
        <v>193</v>
      </c>
      <c r="N136" s="67" t="s">
        <v>173</v>
      </c>
      <c r="O136" s="66" t="s">
        <v>192</v>
      </c>
      <c r="P136" s="9" t="s">
        <v>193</v>
      </c>
      <c r="Q136" s="67" t="s">
        <v>173</v>
      </c>
      <c r="R136" s="66" t="s">
        <v>164</v>
      </c>
      <c r="S136" s="134" t="s">
        <v>174</v>
      </c>
      <c r="U136" s="66" t="s">
        <v>192</v>
      </c>
      <c r="V136" s="105" t="s">
        <v>202</v>
      </c>
      <c r="W136" s="105" t="s">
        <v>203</v>
      </c>
      <c r="X136" s="9" t="s">
        <v>193</v>
      </c>
      <c r="Y136" s="67" t="s">
        <v>173</v>
      </c>
      <c r="Z136" s="66" t="s">
        <v>192</v>
      </c>
      <c r="AA136" s="105" t="s">
        <v>202</v>
      </c>
      <c r="AB136" s="105" t="s">
        <v>203</v>
      </c>
      <c r="AC136" s="9" t="s">
        <v>193</v>
      </c>
      <c r="AD136" s="67" t="s">
        <v>173</v>
      </c>
      <c r="AE136" s="66" t="s">
        <v>192</v>
      </c>
      <c r="AF136" s="105" t="s">
        <v>202</v>
      </c>
      <c r="AG136" s="105" t="s">
        <v>203</v>
      </c>
      <c r="AH136" s="9" t="s">
        <v>193</v>
      </c>
      <c r="AI136" s="67" t="s">
        <v>173</v>
      </c>
      <c r="AJ136" s="66" t="s">
        <v>192</v>
      </c>
      <c r="AK136" s="105" t="s">
        <v>202</v>
      </c>
      <c r="AL136" s="105" t="s">
        <v>203</v>
      </c>
      <c r="AM136" s="9" t="s">
        <v>193</v>
      </c>
      <c r="AN136" s="67" t="s">
        <v>173</v>
      </c>
      <c r="AO136" s="66" t="s">
        <v>192</v>
      </c>
      <c r="AP136" s="105" t="s">
        <v>202</v>
      </c>
      <c r="AQ136" s="105" t="s">
        <v>203</v>
      </c>
      <c r="AR136" s="9" t="s">
        <v>193</v>
      </c>
      <c r="AS136" s="67" t="s">
        <v>173</v>
      </c>
      <c r="AT136" s="66" t="s">
        <v>164</v>
      </c>
      <c r="AU136" s="134" t="s">
        <v>174</v>
      </c>
    </row>
    <row r="137" spans="2:49" outlineLevel="1" x14ac:dyDescent="0.35">
      <c r="B137" s="48" t="s">
        <v>74</v>
      </c>
      <c r="C137" s="62" t="s">
        <v>141</v>
      </c>
      <c r="D137" s="70">
        <v>0</v>
      </c>
      <c r="E137" s="71">
        <v>24</v>
      </c>
      <c r="F137" s="81">
        <v>0</v>
      </c>
      <c r="G137" s="4">
        <v>24</v>
      </c>
      <c r="H137" s="185">
        <f t="shared" ref="H137:H191" si="82">IFERROR((G137-E137)/E137,0)</f>
        <v>0</v>
      </c>
      <c r="I137" s="81">
        <v>-2</v>
      </c>
      <c r="J137" s="4">
        <v>22</v>
      </c>
      <c r="K137" s="185">
        <f t="shared" ref="K137:K191" si="83">IFERROR((J137-G137)/G137,0)</f>
        <v>-8.3333333333333329E-2</v>
      </c>
      <c r="L137" s="81">
        <v>0</v>
      </c>
      <c r="M137" s="4">
        <v>22</v>
      </c>
      <c r="N137" s="167">
        <f t="shared" ref="N137:N191" si="84">IFERROR((M137-J137)/J137,0)</f>
        <v>0</v>
      </c>
      <c r="O137" s="81">
        <v>0</v>
      </c>
      <c r="P137" s="4">
        <v>22</v>
      </c>
      <c r="Q137" s="167">
        <f>IFERROR((P137-M137)/M137,0)</f>
        <v>0</v>
      </c>
      <c r="R137" s="164">
        <f>D137+F137+I137+L137+O137</f>
        <v>-2</v>
      </c>
      <c r="S137" s="165">
        <f>IFERROR((P137/E137)^(1/4)-1,0)</f>
        <v>-2.1517957366443019E-2</v>
      </c>
      <c r="U137" s="170">
        <f>V137+W137</f>
        <v>0</v>
      </c>
      <c r="V137" s="6">
        <v>0</v>
      </c>
      <c r="W137" s="6">
        <v>0</v>
      </c>
      <c r="X137" s="138">
        <f t="shared" ref="X137:X190" si="85">P137+U137</f>
        <v>22</v>
      </c>
      <c r="Y137" s="167">
        <f t="shared" ref="Y137:Y190" si="86">IFERROR((X137-P137)/P137,0)</f>
        <v>0</v>
      </c>
      <c r="Z137" s="170">
        <f>AA137+AB137</f>
        <v>0</v>
      </c>
      <c r="AA137" s="6">
        <v>0</v>
      </c>
      <c r="AB137" s="6">
        <v>0</v>
      </c>
      <c r="AC137" s="138">
        <f t="shared" ref="AC137:AC190" si="87">X137+Z137</f>
        <v>22</v>
      </c>
      <c r="AD137" s="160">
        <f t="shared" ref="AD137:AD191" si="88">IFERROR((AC137-X137)/X137,0)</f>
        <v>0</v>
      </c>
      <c r="AE137" s="170">
        <f>AF137+AG137</f>
        <v>1</v>
      </c>
      <c r="AF137" s="6">
        <v>0</v>
      </c>
      <c r="AG137" s="6">
        <v>1</v>
      </c>
      <c r="AH137" s="138">
        <f t="shared" ref="AH137:AH190" si="89">AC137+AE137</f>
        <v>23</v>
      </c>
      <c r="AI137" s="160">
        <f t="shared" ref="AI137:AI191" si="90">IFERROR((AH137-AC137)/AC137,0)</f>
        <v>4.5454545454545456E-2</v>
      </c>
      <c r="AJ137" s="170">
        <f>AK137+AL137</f>
        <v>1</v>
      </c>
      <c r="AK137" s="6">
        <v>0</v>
      </c>
      <c r="AL137" s="6">
        <v>1</v>
      </c>
      <c r="AM137" s="138">
        <f t="shared" ref="AM137:AM190" si="91">AH137+AJ137</f>
        <v>24</v>
      </c>
      <c r="AN137" s="160">
        <f t="shared" ref="AN137:AN191" si="92">IFERROR((AM137-AH137)/AH137,0)</f>
        <v>4.3478260869565216E-2</v>
      </c>
      <c r="AO137" s="170">
        <f>AP137+AQ137</f>
        <v>0</v>
      </c>
      <c r="AP137" s="6">
        <v>0</v>
      </c>
      <c r="AQ137" s="6">
        <v>0</v>
      </c>
      <c r="AR137" s="138">
        <f t="shared" ref="AR137:AR190" si="93">AM137+AO137</f>
        <v>24</v>
      </c>
      <c r="AS137" s="160">
        <f t="shared" ref="AS137:AS191" si="94">IFERROR((AR137-AM137)/AM137,0)</f>
        <v>0</v>
      </c>
      <c r="AT137" s="164">
        <f t="shared" ref="AT137:AT190" si="95">U137+Z137+AE137+AJ137+AO137</f>
        <v>2</v>
      </c>
      <c r="AU137" s="165">
        <f>IFERROR((AR137/X137)^(1/4)-1,0)</f>
        <v>2.1991162258356844E-2</v>
      </c>
    </row>
    <row r="138" spans="2:49" outlineLevel="1" x14ac:dyDescent="0.35">
      <c r="B138" s="48" t="s">
        <v>75</v>
      </c>
      <c r="C138" s="62" t="s">
        <v>141</v>
      </c>
      <c r="D138" s="70">
        <v>1</v>
      </c>
      <c r="E138" s="71">
        <v>79</v>
      </c>
      <c r="F138" s="81">
        <v>1</v>
      </c>
      <c r="G138" s="4">
        <v>80</v>
      </c>
      <c r="H138" s="185">
        <f t="shared" si="82"/>
        <v>1.2658227848101266E-2</v>
      </c>
      <c r="I138" s="81">
        <v>0</v>
      </c>
      <c r="J138" s="4">
        <v>80</v>
      </c>
      <c r="K138" s="185">
        <f t="shared" si="83"/>
        <v>0</v>
      </c>
      <c r="L138" s="81">
        <v>1</v>
      </c>
      <c r="M138" s="4">
        <v>81</v>
      </c>
      <c r="N138" s="167">
        <f t="shared" si="84"/>
        <v>1.2500000000000001E-2</v>
      </c>
      <c r="O138" s="81">
        <v>2</v>
      </c>
      <c r="P138" s="4">
        <v>83</v>
      </c>
      <c r="Q138" s="167">
        <f t="shared" ref="Q138:Q190" si="96">IFERROR((P138-M138)/M138,0)</f>
        <v>2.4691358024691357E-2</v>
      </c>
      <c r="R138" s="164">
        <f t="shared" ref="R138:R190" si="97">D138+F138+I138+L138+O138</f>
        <v>5</v>
      </c>
      <c r="S138" s="165">
        <f t="shared" ref="S138:S190" si="98">IFERROR((P138/E138)^(1/4)-1,0)</f>
        <v>1.242474249128378E-2</v>
      </c>
      <c r="U138" s="170">
        <f t="shared" ref="U138:U190" si="99">V138+W138</f>
        <v>1</v>
      </c>
      <c r="V138" s="6">
        <v>1</v>
      </c>
      <c r="W138" s="6">
        <v>0</v>
      </c>
      <c r="X138" s="138">
        <f t="shared" si="85"/>
        <v>84</v>
      </c>
      <c r="Y138" s="167">
        <f t="shared" si="86"/>
        <v>1.2048192771084338E-2</v>
      </c>
      <c r="Z138" s="170">
        <f t="shared" ref="Z138:Z186" si="100">AA138+AB138</f>
        <v>2</v>
      </c>
      <c r="AA138" s="6">
        <v>1</v>
      </c>
      <c r="AB138" s="6">
        <v>1</v>
      </c>
      <c r="AC138" s="138">
        <f t="shared" si="87"/>
        <v>86</v>
      </c>
      <c r="AD138" s="160">
        <f t="shared" si="88"/>
        <v>2.3809523809523808E-2</v>
      </c>
      <c r="AE138" s="170">
        <f t="shared" ref="AE138:AE186" si="101">AF138+AG138</f>
        <v>2</v>
      </c>
      <c r="AF138" s="6">
        <v>1</v>
      </c>
      <c r="AG138" s="6">
        <v>1</v>
      </c>
      <c r="AH138" s="138">
        <f t="shared" si="89"/>
        <v>88</v>
      </c>
      <c r="AI138" s="160">
        <f t="shared" si="90"/>
        <v>2.3255813953488372E-2</v>
      </c>
      <c r="AJ138" s="170">
        <f t="shared" ref="AJ138:AJ190" si="102">AK138+AL138</f>
        <v>2</v>
      </c>
      <c r="AK138" s="6">
        <v>1</v>
      </c>
      <c r="AL138" s="6">
        <v>1</v>
      </c>
      <c r="AM138" s="138">
        <f t="shared" si="91"/>
        <v>90</v>
      </c>
      <c r="AN138" s="160">
        <f t="shared" si="92"/>
        <v>2.2727272727272728E-2</v>
      </c>
      <c r="AO138" s="170">
        <f t="shared" ref="AO138:AO186" si="103">AP138+AQ138</f>
        <v>2</v>
      </c>
      <c r="AP138" s="6">
        <v>1</v>
      </c>
      <c r="AQ138" s="6">
        <v>1</v>
      </c>
      <c r="AR138" s="138">
        <f t="shared" si="93"/>
        <v>92</v>
      </c>
      <c r="AS138" s="160">
        <f t="shared" si="94"/>
        <v>2.2222222222222223E-2</v>
      </c>
      <c r="AT138" s="164">
        <f t="shared" si="95"/>
        <v>9</v>
      </c>
      <c r="AU138" s="165">
        <f t="shared" ref="AU138:AU191" si="104">IFERROR((AR138/X138)^(1/4)-1,0)</f>
        <v>2.3003537112441963E-2</v>
      </c>
    </row>
    <row r="139" spans="2:49" outlineLevel="1" x14ac:dyDescent="0.35">
      <c r="B139" s="48" t="s">
        <v>76</v>
      </c>
      <c r="C139" s="62" t="s">
        <v>141</v>
      </c>
      <c r="D139" s="70">
        <v>0</v>
      </c>
      <c r="E139" s="71">
        <v>55</v>
      </c>
      <c r="F139" s="81">
        <v>0</v>
      </c>
      <c r="G139" s="4">
        <v>55</v>
      </c>
      <c r="H139" s="185">
        <f t="shared" si="82"/>
        <v>0</v>
      </c>
      <c r="I139" s="81">
        <v>2</v>
      </c>
      <c r="J139" s="4">
        <v>57</v>
      </c>
      <c r="K139" s="185">
        <f t="shared" si="83"/>
        <v>3.6363636363636362E-2</v>
      </c>
      <c r="L139" s="81">
        <v>-1</v>
      </c>
      <c r="M139" s="4">
        <v>56</v>
      </c>
      <c r="N139" s="167">
        <f t="shared" si="84"/>
        <v>-1.7543859649122806E-2</v>
      </c>
      <c r="O139" s="81">
        <v>1</v>
      </c>
      <c r="P139" s="4">
        <v>57</v>
      </c>
      <c r="Q139" s="167">
        <f t="shared" si="96"/>
        <v>1.7857142857142856E-2</v>
      </c>
      <c r="R139" s="164">
        <f t="shared" si="97"/>
        <v>2</v>
      </c>
      <c r="S139" s="165">
        <f t="shared" si="98"/>
        <v>8.9695077533105128E-3</v>
      </c>
      <c r="U139" s="170">
        <f t="shared" si="99"/>
        <v>2</v>
      </c>
      <c r="V139" s="6">
        <v>2</v>
      </c>
      <c r="W139" s="6">
        <v>0</v>
      </c>
      <c r="X139" s="138">
        <f t="shared" si="85"/>
        <v>59</v>
      </c>
      <c r="Y139" s="167">
        <f t="shared" si="86"/>
        <v>3.5087719298245612E-2</v>
      </c>
      <c r="Z139" s="170">
        <f t="shared" si="100"/>
        <v>3</v>
      </c>
      <c r="AA139" s="6">
        <v>3</v>
      </c>
      <c r="AB139" s="6">
        <v>0</v>
      </c>
      <c r="AC139" s="138">
        <f t="shared" si="87"/>
        <v>62</v>
      </c>
      <c r="AD139" s="160">
        <f t="shared" si="88"/>
        <v>5.0847457627118647E-2</v>
      </c>
      <c r="AE139" s="170">
        <f t="shared" si="101"/>
        <v>3</v>
      </c>
      <c r="AF139" s="6">
        <v>2</v>
      </c>
      <c r="AG139" s="6">
        <v>1</v>
      </c>
      <c r="AH139" s="138">
        <f t="shared" si="89"/>
        <v>65</v>
      </c>
      <c r="AI139" s="160">
        <f t="shared" si="90"/>
        <v>4.8387096774193547E-2</v>
      </c>
      <c r="AJ139" s="170">
        <f t="shared" si="102"/>
        <v>3</v>
      </c>
      <c r="AK139" s="6">
        <v>2</v>
      </c>
      <c r="AL139" s="6">
        <v>1</v>
      </c>
      <c r="AM139" s="138">
        <f t="shared" si="91"/>
        <v>68</v>
      </c>
      <c r="AN139" s="160">
        <f t="shared" si="92"/>
        <v>4.6153846153846156E-2</v>
      </c>
      <c r="AO139" s="170">
        <f t="shared" si="103"/>
        <v>3</v>
      </c>
      <c r="AP139" s="6">
        <v>2</v>
      </c>
      <c r="AQ139" s="6">
        <v>1</v>
      </c>
      <c r="AR139" s="138">
        <f t="shared" si="93"/>
        <v>71</v>
      </c>
      <c r="AS139" s="160">
        <f t="shared" si="94"/>
        <v>4.4117647058823532E-2</v>
      </c>
      <c r="AT139" s="164">
        <f t="shared" si="95"/>
        <v>14</v>
      </c>
      <c r="AU139" s="165">
        <f t="shared" si="104"/>
        <v>4.7373506792656173E-2</v>
      </c>
    </row>
    <row r="140" spans="2:49" outlineLevel="1" x14ac:dyDescent="0.35">
      <c r="B140" s="48" t="s">
        <v>77</v>
      </c>
      <c r="C140" s="62" t="s">
        <v>141</v>
      </c>
      <c r="D140" s="70">
        <v>0</v>
      </c>
      <c r="E140" s="71">
        <v>12</v>
      </c>
      <c r="F140" s="81">
        <v>0</v>
      </c>
      <c r="G140" s="4">
        <v>12</v>
      </c>
      <c r="H140" s="185">
        <f t="shared" si="82"/>
        <v>0</v>
      </c>
      <c r="I140" s="81">
        <v>2</v>
      </c>
      <c r="J140" s="4">
        <v>14</v>
      </c>
      <c r="K140" s="185">
        <f t="shared" si="83"/>
        <v>0.16666666666666666</v>
      </c>
      <c r="L140" s="81">
        <v>0</v>
      </c>
      <c r="M140" s="4">
        <v>14</v>
      </c>
      <c r="N140" s="167">
        <f t="shared" si="84"/>
        <v>0</v>
      </c>
      <c r="O140" s="81">
        <v>0</v>
      </c>
      <c r="P140" s="4">
        <v>14</v>
      </c>
      <c r="Q140" s="167">
        <f t="shared" si="96"/>
        <v>0</v>
      </c>
      <c r="R140" s="164">
        <f t="shared" si="97"/>
        <v>2</v>
      </c>
      <c r="S140" s="165">
        <f t="shared" si="98"/>
        <v>3.9289877625411807E-2</v>
      </c>
      <c r="U140" s="170">
        <f t="shared" si="99"/>
        <v>0</v>
      </c>
      <c r="V140" s="6">
        <v>0</v>
      </c>
      <c r="W140" s="6">
        <v>0</v>
      </c>
      <c r="X140" s="138">
        <f t="shared" si="85"/>
        <v>14</v>
      </c>
      <c r="Y140" s="167">
        <f t="shared" si="86"/>
        <v>0</v>
      </c>
      <c r="Z140" s="170">
        <f t="shared" si="100"/>
        <v>0</v>
      </c>
      <c r="AA140" s="6">
        <v>0</v>
      </c>
      <c r="AB140" s="6">
        <v>0</v>
      </c>
      <c r="AC140" s="138">
        <f t="shared" si="87"/>
        <v>14</v>
      </c>
      <c r="AD140" s="160">
        <f t="shared" si="88"/>
        <v>0</v>
      </c>
      <c r="AE140" s="170">
        <f t="shared" si="101"/>
        <v>0</v>
      </c>
      <c r="AF140" s="6">
        <v>0</v>
      </c>
      <c r="AG140" s="6">
        <v>0</v>
      </c>
      <c r="AH140" s="138">
        <f t="shared" si="89"/>
        <v>14</v>
      </c>
      <c r="AI140" s="160">
        <f t="shared" si="90"/>
        <v>0</v>
      </c>
      <c r="AJ140" s="170">
        <f t="shared" si="102"/>
        <v>0</v>
      </c>
      <c r="AK140" s="6">
        <v>0</v>
      </c>
      <c r="AL140" s="6">
        <v>0</v>
      </c>
      <c r="AM140" s="138">
        <f t="shared" si="91"/>
        <v>14</v>
      </c>
      <c r="AN140" s="160">
        <f t="shared" si="92"/>
        <v>0</v>
      </c>
      <c r="AO140" s="170">
        <f t="shared" si="103"/>
        <v>0</v>
      </c>
      <c r="AP140" s="6">
        <v>0</v>
      </c>
      <c r="AQ140" s="6">
        <v>0</v>
      </c>
      <c r="AR140" s="138">
        <f t="shared" si="93"/>
        <v>14</v>
      </c>
      <c r="AS140" s="160">
        <f t="shared" si="94"/>
        <v>0</v>
      </c>
      <c r="AT140" s="164">
        <f t="shared" si="95"/>
        <v>0</v>
      </c>
      <c r="AU140" s="165">
        <f t="shared" si="104"/>
        <v>0</v>
      </c>
    </row>
    <row r="141" spans="2:49" outlineLevel="1" x14ac:dyDescent="0.35">
      <c r="B141" s="48" t="s">
        <v>78</v>
      </c>
      <c r="C141" s="62" t="s">
        <v>141</v>
      </c>
      <c r="D141" s="70">
        <v>-5</v>
      </c>
      <c r="E141" s="71">
        <v>1596</v>
      </c>
      <c r="F141" s="81">
        <v>-2</v>
      </c>
      <c r="G141" s="4">
        <v>1594</v>
      </c>
      <c r="H141" s="185">
        <f t="shared" si="82"/>
        <v>-1.2531328320802004E-3</v>
      </c>
      <c r="I141" s="81">
        <v>-14</v>
      </c>
      <c r="J141" s="4">
        <v>1580</v>
      </c>
      <c r="K141" s="185">
        <f t="shared" si="83"/>
        <v>-8.7829360100376407E-3</v>
      </c>
      <c r="L141" s="81">
        <v>-10</v>
      </c>
      <c r="M141" s="4">
        <v>1570</v>
      </c>
      <c r="N141" s="167">
        <f t="shared" si="84"/>
        <v>-6.3291139240506328E-3</v>
      </c>
      <c r="O141" s="81">
        <v>-31</v>
      </c>
      <c r="P141" s="4">
        <v>1539</v>
      </c>
      <c r="Q141" s="167">
        <f t="shared" si="96"/>
        <v>-1.9745222929936305E-2</v>
      </c>
      <c r="R141" s="164">
        <f t="shared" si="97"/>
        <v>-62</v>
      </c>
      <c r="S141" s="165">
        <f t="shared" si="98"/>
        <v>-9.0507045958578836E-3</v>
      </c>
      <c r="U141" s="170">
        <f t="shared" si="99"/>
        <v>12</v>
      </c>
      <c r="V141" s="6">
        <v>11</v>
      </c>
      <c r="W141" s="6">
        <v>1</v>
      </c>
      <c r="X141" s="138">
        <f t="shared" si="85"/>
        <v>1551</v>
      </c>
      <c r="Y141" s="167">
        <f t="shared" si="86"/>
        <v>7.7972709551656916E-3</v>
      </c>
      <c r="Z141" s="170">
        <f t="shared" si="100"/>
        <v>15</v>
      </c>
      <c r="AA141" s="6">
        <v>12</v>
      </c>
      <c r="AB141" s="6">
        <v>3</v>
      </c>
      <c r="AC141" s="138">
        <f t="shared" si="87"/>
        <v>1566</v>
      </c>
      <c r="AD141" s="160">
        <f t="shared" si="88"/>
        <v>9.6711798839458421E-3</v>
      </c>
      <c r="AE141" s="170">
        <f t="shared" si="101"/>
        <v>15</v>
      </c>
      <c r="AF141" s="6">
        <v>11</v>
      </c>
      <c r="AG141" s="6">
        <v>4</v>
      </c>
      <c r="AH141" s="138">
        <f t="shared" si="89"/>
        <v>1581</v>
      </c>
      <c r="AI141" s="160">
        <f t="shared" si="90"/>
        <v>9.5785440613026813E-3</v>
      </c>
      <c r="AJ141" s="170">
        <f t="shared" si="102"/>
        <v>15</v>
      </c>
      <c r="AK141" s="6">
        <v>9</v>
      </c>
      <c r="AL141" s="6">
        <v>6</v>
      </c>
      <c r="AM141" s="138">
        <f t="shared" si="91"/>
        <v>1596</v>
      </c>
      <c r="AN141" s="160">
        <f t="shared" si="92"/>
        <v>9.4876660341555973E-3</v>
      </c>
      <c r="AO141" s="170">
        <f t="shared" si="103"/>
        <v>14</v>
      </c>
      <c r="AP141" s="6">
        <v>8</v>
      </c>
      <c r="AQ141" s="6">
        <v>6</v>
      </c>
      <c r="AR141" s="138">
        <f t="shared" si="93"/>
        <v>1610</v>
      </c>
      <c r="AS141" s="160">
        <f t="shared" si="94"/>
        <v>8.771929824561403E-3</v>
      </c>
      <c r="AT141" s="164">
        <f t="shared" si="95"/>
        <v>71</v>
      </c>
      <c r="AU141" s="165">
        <f t="shared" si="104"/>
        <v>9.3772673329510781E-3</v>
      </c>
    </row>
    <row r="142" spans="2:49" outlineLevel="1" x14ac:dyDescent="0.35">
      <c r="B142" s="48" t="s">
        <v>79</v>
      </c>
      <c r="C142" s="62" t="s">
        <v>141</v>
      </c>
      <c r="D142" s="70">
        <v>3</v>
      </c>
      <c r="E142" s="71">
        <v>62</v>
      </c>
      <c r="F142" s="81">
        <v>1</v>
      </c>
      <c r="G142" s="4">
        <v>63</v>
      </c>
      <c r="H142" s="185">
        <f t="shared" si="82"/>
        <v>1.6129032258064516E-2</v>
      </c>
      <c r="I142" s="81">
        <v>2</v>
      </c>
      <c r="J142" s="4">
        <v>65</v>
      </c>
      <c r="K142" s="185">
        <f t="shared" si="83"/>
        <v>3.1746031746031744E-2</v>
      </c>
      <c r="L142" s="81">
        <v>-2</v>
      </c>
      <c r="M142" s="4">
        <v>63</v>
      </c>
      <c r="N142" s="167">
        <f t="shared" si="84"/>
        <v>-3.0769230769230771E-2</v>
      </c>
      <c r="O142" s="81">
        <v>-1</v>
      </c>
      <c r="P142" s="4">
        <v>62</v>
      </c>
      <c r="Q142" s="167">
        <f t="shared" si="96"/>
        <v>-1.5873015873015872E-2</v>
      </c>
      <c r="R142" s="164">
        <f t="shared" si="97"/>
        <v>3</v>
      </c>
      <c r="S142" s="165">
        <f t="shared" si="98"/>
        <v>0</v>
      </c>
      <c r="U142" s="170">
        <f t="shared" si="99"/>
        <v>1</v>
      </c>
      <c r="V142" s="6">
        <v>1</v>
      </c>
      <c r="W142" s="6">
        <v>0</v>
      </c>
      <c r="X142" s="138">
        <f t="shared" si="85"/>
        <v>63</v>
      </c>
      <c r="Y142" s="167">
        <f t="shared" si="86"/>
        <v>1.6129032258064516E-2</v>
      </c>
      <c r="Z142" s="170">
        <f t="shared" si="100"/>
        <v>1</v>
      </c>
      <c r="AA142" s="6">
        <v>1</v>
      </c>
      <c r="AB142" s="6">
        <v>0</v>
      </c>
      <c r="AC142" s="138">
        <f t="shared" si="87"/>
        <v>64</v>
      </c>
      <c r="AD142" s="160">
        <f t="shared" si="88"/>
        <v>1.5873015873015872E-2</v>
      </c>
      <c r="AE142" s="170">
        <f t="shared" si="101"/>
        <v>1</v>
      </c>
      <c r="AF142" s="6">
        <v>1</v>
      </c>
      <c r="AG142" s="6">
        <v>0</v>
      </c>
      <c r="AH142" s="138">
        <f t="shared" si="89"/>
        <v>65</v>
      </c>
      <c r="AI142" s="160">
        <f t="shared" si="90"/>
        <v>1.5625E-2</v>
      </c>
      <c r="AJ142" s="170">
        <f t="shared" si="102"/>
        <v>1</v>
      </c>
      <c r="AK142" s="6">
        <v>1</v>
      </c>
      <c r="AL142" s="6">
        <v>0</v>
      </c>
      <c r="AM142" s="138">
        <f t="shared" si="91"/>
        <v>66</v>
      </c>
      <c r="AN142" s="160">
        <f t="shared" si="92"/>
        <v>1.5384615384615385E-2</v>
      </c>
      <c r="AO142" s="170">
        <f t="shared" si="103"/>
        <v>1</v>
      </c>
      <c r="AP142" s="6">
        <v>1</v>
      </c>
      <c r="AQ142" s="6">
        <v>0</v>
      </c>
      <c r="AR142" s="138">
        <f t="shared" si="93"/>
        <v>67</v>
      </c>
      <c r="AS142" s="160">
        <f t="shared" si="94"/>
        <v>1.5151515151515152E-2</v>
      </c>
      <c r="AT142" s="164">
        <f t="shared" si="95"/>
        <v>5</v>
      </c>
      <c r="AU142" s="165">
        <f t="shared" si="104"/>
        <v>1.550850100091683E-2</v>
      </c>
    </row>
    <row r="143" spans="2:49" outlineLevel="1" x14ac:dyDescent="0.35">
      <c r="B143" s="48" t="s">
        <v>80</v>
      </c>
      <c r="C143" s="62" t="s">
        <v>141</v>
      </c>
      <c r="D143" s="70">
        <v>1</v>
      </c>
      <c r="E143" s="71">
        <v>54</v>
      </c>
      <c r="F143" s="81">
        <v>0</v>
      </c>
      <c r="G143" s="4">
        <v>54</v>
      </c>
      <c r="H143" s="185">
        <f t="shared" si="82"/>
        <v>0</v>
      </c>
      <c r="I143" s="81">
        <v>0</v>
      </c>
      <c r="J143" s="4">
        <v>54</v>
      </c>
      <c r="K143" s="185">
        <f t="shared" si="83"/>
        <v>0</v>
      </c>
      <c r="L143" s="81">
        <v>3</v>
      </c>
      <c r="M143" s="4">
        <v>57</v>
      </c>
      <c r="N143" s="167">
        <f t="shared" si="84"/>
        <v>5.5555555555555552E-2</v>
      </c>
      <c r="O143" s="81">
        <v>7</v>
      </c>
      <c r="P143" s="4">
        <v>64</v>
      </c>
      <c r="Q143" s="167">
        <f t="shared" si="96"/>
        <v>0.12280701754385964</v>
      </c>
      <c r="R143" s="164">
        <f t="shared" si="97"/>
        <v>11</v>
      </c>
      <c r="S143" s="165">
        <f t="shared" si="98"/>
        <v>4.3389720048858216E-2</v>
      </c>
      <c r="U143" s="170">
        <f t="shared" si="99"/>
        <v>6</v>
      </c>
      <c r="V143" s="6">
        <v>6</v>
      </c>
      <c r="W143" s="6">
        <v>0</v>
      </c>
      <c r="X143" s="138">
        <f t="shared" si="85"/>
        <v>70</v>
      </c>
      <c r="Y143" s="167">
        <f t="shared" si="86"/>
        <v>9.375E-2</v>
      </c>
      <c r="Z143" s="170">
        <f t="shared" si="100"/>
        <v>7</v>
      </c>
      <c r="AA143" s="6">
        <v>7</v>
      </c>
      <c r="AB143" s="6">
        <v>0</v>
      </c>
      <c r="AC143" s="138">
        <f t="shared" si="87"/>
        <v>77</v>
      </c>
      <c r="AD143" s="160">
        <f t="shared" si="88"/>
        <v>0.1</v>
      </c>
      <c r="AE143" s="170">
        <f t="shared" si="101"/>
        <v>6</v>
      </c>
      <c r="AF143" s="6">
        <v>6</v>
      </c>
      <c r="AG143" s="6">
        <v>0</v>
      </c>
      <c r="AH143" s="138">
        <f t="shared" si="89"/>
        <v>83</v>
      </c>
      <c r="AI143" s="160">
        <f t="shared" si="90"/>
        <v>7.792207792207792E-2</v>
      </c>
      <c r="AJ143" s="170">
        <f t="shared" si="102"/>
        <v>5</v>
      </c>
      <c r="AK143" s="6">
        <v>5</v>
      </c>
      <c r="AL143" s="6">
        <v>0</v>
      </c>
      <c r="AM143" s="138">
        <f t="shared" si="91"/>
        <v>88</v>
      </c>
      <c r="AN143" s="160">
        <f t="shared" si="92"/>
        <v>6.0240963855421686E-2</v>
      </c>
      <c r="AO143" s="170">
        <f t="shared" si="103"/>
        <v>4</v>
      </c>
      <c r="AP143" s="6">
        <v>4</v>
      </c>
      <c r="AQ143" s="6">
        <v>0</v>
      </c>
      <c r="AR143" s="138">
        <f t="shared" si="93"/>
        <v>92</v>
      </c>
      <c r="AS143" s="160">
        <f t="shared" si="94"/>
        <v>4.5454545454545456E-2</v>
      </c>
      <c r="AT143" s="164">
        <f t="shared" si="95"/>
        <v>28</v>
      </c>
      <c r="AU143" s="165">
        <f t="shared" si="104"/>
        <v>7.0711449664297543E-2</v>
      </c>
    </row>
    <row r="144" spans="2:49" outlineLevel="1" x14ac:dyDescent="0.35">
      <c r="B144" s="48" t="s">
        <v>81</v>
      </c>
      <c r="C144" s="62" t="s">
        <v>141</v>
      </c>
      <c r="D144" s="70">
        <v>-1</v>
      </c>
      <c r="E144" s="71">
        <v>293</v>
      </c>
      <c r="F144" s="81">
        <v>-1</v>
      </c>
      <c r="G144" s="4">
        <v>292</v>
      </c>
      <c r="H144" s="185">
        <f t="shared" si="82"/>
        <v>-3.4129692832764505E-3</v>
      </c>
      <c r="I144" s="81">
        <v>4</v>
      </c>
      <c r="J144" s="4">
        <v>296</v>
      </c>
      <c r="K144" s="185">
        <f t="shared" si="83"/>
        <v>1.3698630136986301E-2</v>
      </c>
      <c r="L144" s="81">
        <v>-1</v>
      </c>
      <c r="M144" s="4">
        <v>295</v>
      </c>
      <c r="N144" s="167">
        <f t="shared" si="84"/>
        <v>-3.3783783783783786E-3</v>
      </c>
      <c r="O144" s="81">
        <v>-1</v>
      </c>
      <c r="P144" s="4">
        <v>294</v>
      </c>
      <c r="Q144" s="167">
        <f t="shared" si="96"/>
        <v>-3.3898305084745762E-3</v>
      </c>
      <c r="R144" s="164">
        <f t="shared" si="97"/>
        <v>0</v>
      </c>
      <c r="S144" s="165">
        <f t="shared" si="98"/>
        <v>8.5215245617220603E-4</v>
      </c>
      <c r="U144" s="170">
        <f t="shared" si="99"/>
        <v>2</v>
      </c>
      <c r="V144" s="6">
        <v>2</v>
      </c>
      <c r="W144" s="6">
        <v>0</v>
      </c>
      <c r="X144" s="138">
        <f t="shared" si="85"/>
        <v>296</v>
      </c>
      <c r="Y144" s="167">
        <f t="shared" si="86"/>
        <v>6.8027210884353739E-3</v>
      </c>
      <c r="Z144" s="170">
        <f t="shared" si="100"/>
        <v>2</v>
      </c>
      <c r="AA144" s="6">
        <v>2</v>
      </c>
      <c r="AB144" s="6">
        <v>0</v>
      </c>
      <c r="AC144" s="138">
        <f t="shared" si="87"/>
        <v>298</v>
      </c>
      <c r="AD144" s="160">
        <f t="shared" si="88"/>
        <v>6.7567567567567571E-3</v>
      </c>
      <c r="AE144" s="170">
        <f t="shared" si="101"/>
        <v>2</v>
      </c>
      <c r="AF144" s="6">
        <v>2</v>
      </c>
      <c r="AG144" s="6">
        <v>0</v>
      </c>
      <c r="AH144" s="138">
        <f t="shared" si="89"/>
        <v>300</v>
      </c>
      <c r="AI144" s="160">
        <f t="shared" si="90"/>
        <v>6.7114093959731542E-3</v>
      </c>
      <c r="AJ144" s="170">
        <f t="shared" si="102"/>
        <v>1</v>
      </c>
      <c r="AK144" s="6">
        <v>1</v>
      </c>
      <c r="AL144" s="6">
        <v>0</v>
      </c>
      <c r="AM144" s="138">
        <f t="shared" si="91"/>
        <v>301</v>
      </c>
      <c r="AN144" s="160">
        <f t="shared" si="92"/>
        <v>3.3333333333333335E-3</v>
      </c>
      <c r="AO144" s="170">
        <f t="shared" si="103"/>
        <v>1</v>
      </c>
      <c r="AP144" s="6">
        <v>1</v>
      </c>
      <c r="AQ144" s="6">
        <v>0</v>
      </c>
      <c r="AR144" s="138">
        <f t="shared" si="93"/>
        <v>302</v>
      </c>
      <c r="AS144" s="160">
        <f t="shared" si="94"/>
        <v>3.3222591362126247E-3</v>
      </c>
      <c r="AT144" s="164">
        <f t="shared" si="95"/>
        <v>8</v>
      </c>
      <c r="AU144" s="165">
        <f t="shared" si="104"/>
        <v>5.0294964307684431E-3</v>
      </c>
    </row>
    <row r="145" spans="2:47" outlineLevel="1" x14ac:dyDescent="0.35">
      <c r="B145" s="48" t="s">
        <v>82</v>
      </c>
      <c r="C145" s="62" t="s">
        <v>141</v>
      </c>
      <c r="D145" s="70">
        <v>0</v>
      </c>
      <c r="E145" s="71">
        <v>0</v>
      </c>
      <c r="F145" s="81">
        <v>0</v>
      </c>
      <c r="G145" s="4">
        <v>0</v>
      </c>
      <c r="H145" s="185">
        <f t="shared" si="82"/>
        <v>0</v>
      </c>
      <c r="I145" s="81">
        <v>0</v>
      </c>
      <c r="J145" s="4">
        <v>0</v>
      </c>
      <c r="K145" s="185">
        <f t="shared" si="83"/>
        <v>0</v>
      </c>
      <c r="L145" s="81">
        <v>0</v>
      </c>
      <c r="M145" s="4"/>
      <c r="N145" s="167">
        <f t="shared" si="84"/>
        <v>0</v>
      </c>
      <c r="O145" s="81">
        <v>0</v>
      </c>
      <c r="P145" s="4"/>
      <c r="Q145" s="167">
        <f t="shared" si="96"/>
        <v>0</v>
      </c>
      <c r="R145" s="164">
        <f t="shared" si="97"/>
        <v>0</v>
      </c>
      <c r="S145" s="165">
        <f t="shared" si="98"/>
        <v>0</v>
      </c>
      <c r="U145" s="170">
        <f t="shared" si="99"/>
        <v>0</v>
      </c>
      <c r="V145" s="6">
        <v>0</v>
      </c>
      <c r="W145" s="6">
        <v>0</v>
      </c>
      <c r="X145" s="138">
        <f t="shared" si="85"/>
        <v>0</v>
      </c>
      <c r="Y145" s="167">
        <f t="shared" si="86"/>
        <v>0</v>
      </c>
      <c r="Z145" s="170">
        <f t="shared" si="100"/>
        <v>0</v>
      </c>
      <c r="AA145" s="6">
        <v>0</v>
      </c>
      <c r="AB145" s="6">
        <v>0</v>
      </c>
      <c r="AC145" s="138">
        <f t="shared" si="87"/>
        <v>0</v>
      </c>
      <c r="AD145" s="160">
        <f t="shared" si="88"/>
        <v>0</v>
      </c>
      <c r="AE145" s="170">
        <f t="shared" si="101"/>
        <v>0</v>
      </c>
      <c r="AF145" s="6">
        <v>0</v>
      </c>
      <c r="AG145" s="6">
        <v>0</v>
      </c>
      <c r="AH145" s="138">
        <f t="shared" si="89"/>
        <v>0</v>
      </c>
      <c r="AI145" s="160">
        <f t="shared" si="90"/>
        <v>0</v>
      </c>
      <c r="AJ145" s="170">
        <f t="shared" si="102"/>
        <v>0</v>
      </c>
      <c r="AK145" s="6">
        <v>0</v>
      </c>
      <c r="AL145" s="6">
        <v>0</v>
      </c>
      <c r="AM145" s="138">
        <f t="shared" si="91"/>
        <v>0</v>
      </c>
      <c r="AN145" s="160">
        <f t="shared" si="92"/>
        <v>0</v>
      </c>
      <c r="AO145" s="170">
        <f t="shared" si="103"/>
        <v>0</v>
      </c>
      <c r="AP145" s="6">
        <v>0</v>
      </c>
      <c r="AQ145" s="6">
        <v>0</v>
      </c>
      <c r="AR145" s="138">
        <f t="shared" si="93"/>
        <v>0</v>
      </c>
      <c r="AS145" s="160">
        <f t="shared" si="94"/>
        <v>0</v>
      </c>
      <c r="AT145" s="164">
        <f t="shared" si="95"/>
        <v>0</v>
      </c>
      <c r="AU145" s="165">
        <f t="shared" si="104"/>
        <v>0</v>
      </c>
    </row>
    <row r="146" spans="2:47" outlineLevel="1" x14ac:dyDescent="0.35">
      <c r="B146" s="48" t="s">
        <v>83</v>
      </c>
      <c r="C146" s="62" t="s">
        <v>141</v>
      </c>
      <c r="D146" s="70">
        <v>1</v>
      </c>
      <c r="E146" s="71">
        <v>211</v>
      </c>
      <c r="F146" s="81">
        <v>2</v>
      </c>
      <c r="G146" s="4">
        <v>213</v>
      </c>
      <c r="H146" s="185">
        <f t="shared" si="82"/>
        <v>9.4786729857819912E-3</v>
      </c>
      <c r="I146" s="81">
        <v>-1</v>
      </c>
      <c r="J146" s="4">
        <v>212</v>
      </c>
      <c r="K146" s="185">
        <f t="shared" si="83"/>
        <v>-4.6948356807511738E-3</v>
      </c>
      <c r="L146" s="81">
        <v>1</v>
      </c>
      <c r="M146" s="4">
        <v>213</v>
      </c>
      <c r="N146" s="167">
        <f t="shared" si="84"/>
        <v>4.7169811320754715E-3</v>
      </c>
      <c r="O146" s="81">
        <v>-1</v>
      </c>
      <c r="P146" s="4">
        <v>212</v>
      </c>
      <c r="Q146" s="167">
        <f t="shared" si="96"/>
        <v>-4.6948356807511738E-3</v>
      </c>
      <c r="R146" s="164">
        <f t="shared" si="97"/>
        <v>2</v>
      </c>
      <c r="S146" s="165">
        <f t="shared" si="98"/>
        <v>1.1827341780499268E-3</v>
      </c>
      <c r="U146" s="170">
        <f t="shared" si="99"/>
        <v>0</v>
      </c>
      <c r="V146" s="6">
        <v>0</v>
      </c>
      <c r="W146" s="6">
        <v>0</v>
      </c>
      <c r="X146" s="138">
        <f t="shared" si="85"/>
        <v>212</v>
      </c>
      <c r="Y146" s="167">
        <f t="shared" si="86"/>
        <v>0</v>
      </c>
      <c r="Z146" s="170">
        <f t="shared" si="100"/>
        <v>0</v>
      </c>
      <c r="AA146" s="6">
        <v>0</v>
      </c>
      <c r="AB146" s="6">
        <v>0</v>
      </c>
      <c r="AC146" s="138">
        <f t="shared" si="87"/>
        <v>212</v>
      </c>
      <c r="AD146" s="160">
        <f t="shared" si="88"/>
        <v>0</v>
      </c>
      <c r="AE146" s="170">
        <f t="shared" si="101"/>
        <v>0</v>
      </c>
      <c r="AF146" s="6">
        <v>0</v>
      </c>
      <c r="AG146" s="6">
        <v>0</v>
      </c>
      <c r="AH146" s="138">
        <f t="shared" si="89"/>
        <v>212</v>
      </c>
      <c r="AI146" s="160">
        <f t="shared" si="90"/>
        <v>0</v>
      </c>
      <c r="AJ146" s="170">
        <f t="shared" si="102"/>
        <v>0</v>
      </c>
      <c r="AK146" s="6">
        <v>0</v>
      </c>
      <c r="AL146" s="6">
        <v>0</v>
      </c>
      <c r="AM146" s="138">
        <f t="shared" si="91"/>
        <v>212</v>
      </c>
      <c r="AN146" s="160">
        <f t="shared" si="92"/>
        <v>0</v>
      </c>
      <c r="AO146" s="170">
        <f t="shared" si="103"/>
        <v>0</v>
      </c>
      <c r="AP146" s="6">
        <v>0</v>
      </c>
      <c r="AQ146" s="6">
        <v>0</v>
      </c>
      <c r="AR146" s="138">
        <f t="shared" si="93"/>
        <v>212</v>
      </c>
      <c r="AS146" s="160">
        <f t="shared" si="94"/>
        <v>0</v>
      </c>
      <c r="AT146" s="164">
        <f t="shared" si="95"/>
        <v>0</v>
      </c>
      <c r="AU146" s="165">
        <f t="shared" si="104"/>
        <v>0</v>
      </c>
    </row>
    <row r="147" spans="2:47" outlineLevel="1" x14ac:dyDescent="0.35">
      <c r="B147" s="48" t="s">
        <v>84</v>
      </c>
      <c r="C147" s="62" t="s">
        <v>141</v>
      </c>
      <c r="D147" s="70">
        <v>1</v>
      </c>
      <c r="E147" s="71">
        <v>53</v>
      </c>
      <c r="F147" s="81">
        <v>0</v>
      </c>
      <c r="G147" s="4">
        <v>53</v>
      </c>
      <c r="H147" s="185">
        <f t="shared" si="82"/>
        <v>0</v>
      </c>
      <c r="I147" s="81">
        <v>0</v>
      </c>
      <c r="J147" s="4">
        <v>53</v>
      </c>
      <c r="K147" s="185">
        <f t="shared" si="83"/>
        <v>0</v>
      </c>
      <c r="L147" s="81">
        <v>2</v>
      </c>
      <c r="M147" s="4">
        <v>55</v>
      </c>
      <c r="N147" s="167">
        <f t="shared" si="84"/>
        <v>3.7735849056603772E-2</v>
      </c>
      <c r="O147" s="81">
        <v>0</v>
      </c>
      <c r="P147" s="4">
        <v>55</v>
      </c>
      <c r="Q147" s="167">
        <f t="shared" si="96"/>
        <v>0</v>
      </c>
      <c r="R147" s="164">
        <f t="shared" si="97"/>
        <v>3</v>
      </c>
      <c r="S147" s="165">
        <f t="shared" si="98"/>
        <v>9.3033273218088297E-3</v>
      </c>
      <c r="U147" s="170">
        <f t="shared" si="99"/>
        <v>2</v>
      </c>
      <c r="V147" s="6">
        <v>2</v>
      </c>
      <c r="W147" s="6">
        <v>0</v>
      </c>
      <c r="X147" s="138">
        <f t="shared" si="85"/>
        <v>57</v>
      </c>
      <c r="Y147" s="167">
        <f t="shared" si="86"/>
        <v>3.6363636363636362E-2</v>
      </c>
      <c r="Z147" s="170">
        <f t="shared" si="100"/>
        <v>2</v>
      </c>
      <c r="AA147" s="6">
        <v>2</v>
      </c>
      <c r="AB147" s="6">
        <v>0</v>
      </c>
      <c r="AC147" s="138">
        <f t="shared" si="87"/>
        <v>59</v>
      </c>
      <c r="AD147" s="160">
        <f t="shared" si="88"/>
        <v>3.5087719298245612E-2</v>
      </c>
      <c r="AE147" s="170">
        <f t="shared" si="101"/>
        <v>3</v>
      </c>
      <c r="AF147" s="6">
        <v>2</v>
      </c>
      <c r="AG147" s="6">
        <v>1</v>
      </c>
      <c r="AH147" s="138">
        <f t="shared" si="89"/>
        <v>62</v>
      </c>
      <c r="AI147" s="160">
        <f t="shared" si="90"/>
        <v>5.0847457627118647E-2</v>
      </c>
      <c r="AJ147" s="170">
        <f t="shared" si="102"/>
        <v>2</v>
      </c>
      <c r="AK147" s="6">
        <v>1</v>
      </c>
      <c r="AL147" s="6">
        <v>1</v>
      </c>
      <c r="AM147" s="138">
        <f t="shared" si="91"/>
        <v>64</v>
      </c>
      <c r="AN147" s="160">
        <f t="shared" si="92"/>
        <v>3.2258064516129031E-2</v>
      </c>
      <c r="AO147" s="170">
        <f t="shared" si="103"/>
        <v>2</v>
      </c>
      <c r="AP147" s="6">
        <v>1</v>
      </c>
      <c r="AQ147" s="6">
        <v>1</v>
      </c>
      <c r="AR147" s="138">
        <f t="shared" si="93"/>
        <v>66</v>
      </c>
      <c r="AS147" s="160">
        <f t="shared" si="94"/>
        <v>3.125E-2</v>
      </c>
      <c r="AT147" s="164">
        <f t="shared" si="95"/>
        <v>11</v>
      </c>
      <c r="AU147" s="165">
        <f t="shared" si="104"/>
        <v>3.7330792803308643E-2</v>
      </c>
    </row>
    <row r="148" spans="2:47" outlineLevel="1" x14ac:dyDescent="0.35">
      <c r="B148" s="48" t="s">
        <v>85</v>
      </c>
      <c r="C148" s="62" t="s">
        <v>141</v>
      </c>
      <c r="D148" s="70">
        <v>2</v>
      </c>
      <c r="E148" s="71">
        <v>18</v>
      </c>
      <c r="F148" s="81">
        <v>2</v>
      </c>
      <c r="G148" s="4">
        <v>20</v>
      </c>
      <c r="H148" s="185">
        <f t="shared" si="82"/>
        <v>0.1111111111111111</v>
      </c>
      <c r="I148" s="81">
        <v>0</v>
      </c>
      <c r="J148" s="4">
        <v>20</v>
      </c>
      <c r="K148" s="185">
        <f t="shared" si="83"/>
        <v>0</v>
      </c>
      <c r="L148" s="81">
        <v>0</v>
      </c>
      <c r="M148" s="4">
        <v>20</v>
      </c>
      <c r="N148" s="167">
        <f t="shared" si="84"/>
        <v>0</v>
      </c>
      <c r="O148" s="81">
        <v>1</v>
      </c>
      <c r="P148" s="4">
        <v>21</v>
      </c>
      <c r="Q148" s="167">
        <f t="shared" si="96"/>
        <v>0.05</v>
      </c>
      <c r="R148" s="164">
        <f t="shared" si="97"/>
        <v>5</v>
      </c>
      <c r="S148" s="165">
        <f t="shared" si="98"/>
        <v>3.9289877625411807E-2</v>
      </c>
      <c r="U148" s="170">
        <f t="shared" si="99"/>
        <v>1</v>
      </c>
      <c r="V148" s="6">
        <v>1</v>
      </c>
      <c r="W148" s="6">
        <v>0</v>
      </c>
      <c r="X148" s="138">
        <f t="shared" si="85"/>
        <v>22</v>
      </c>
      <c r="Y148" s="167">
        <f t="shared" si="86"/>
        <v>4.7619047619047616E-2</v>
      </c>
      <c r="Z148" s="170">
        <f t="shared" si="100"/>
        <v>2</v>
      </c>
      <c r="AA148" s="6">
        <v>2</v>
      </c>
      <c r="AB148" s="6">
        <v>0</v>
      </c>
      <c r="AC148" s="138">
        <f t="shared" si="87"/>
        <v>24</v>
      </c>
      <c r="AD148" s="160">
        <f t="shared" si="88"/>
        <v>9.0909090909090912E-2</v>
      </c>
      <c r="AE148" s="170">
        <f t="shared" si="101"/>
        <v>2</v>
      </c>
      <c r="AF148" s="6">
        <v>2</v>
      </c>
      <c r="AG148" s="6">
        <v>0</v>
      </c>
      <c r="AH148" s="138">
        <f t="shared" si="89"/>
        <v>26</v>
      </c>
      <c r="AI148" s="160">
        <f t="shared" si="90"/>
        <v>8.3333333333333329E-2</v>
      </c>
      <c r="AJ148" s="170">
        <f t="shared" si="102"/>
        <v>1</v>
      </c>
      <c r="AK148" s="6">
        <v>1</v>
      </c>
      <c r="AL148" s="6">
        <v>0</v>
      </c>
      <c r="AM148" s="138">
        <f t="shared" si="91"/>
        <v>27</v>
      </c>
      <c r="AN148" s="160">
        <f t="shared" si="92"/>
        <v>3.8461538461538464E-2</v>
      </c>
      <c r="AO148" s="170">
        <f t="shared" si="103"/>
        <v>1</v>
      </c>
      <c r="AP148" s="6">
        <v>1</v>
      </c>
      <c r="AQ148" s="6">
        <v>0</v>
      </c>
      <c r="AR148" s="138">
        <f t="shared" si="93"/>
        <v>28</v>
      </c>
      <c r="AS148" s="160">
        <f t="shared" si="94"/>
        <v>3.7037037037037035E-2</v>
      </c>
      <c r="AT148" s="164">
        <f t="shared" si="95"/>
        <v>7</v>
      </c>
      <c r="AU148" s="165">
        <f t="shared" si="104"/>
        <v>6.214506995773994E-2</v>
      </c>
    </row>
    <row r="149" spans="2:47" outlineLevel="1" x14ac:dyDescent="0.35">
      <c r="B149" s="48" t="s">
        <v>86</v>
      </c>
      <c r="C149" s="62" t="s">
        <v>141</v>
      </c>
      <c r="D149" s="70">
        <v>0</v>
      </c>
      <c r="E149" s="71">
        <v>22</v>
      </c>
      <c r="F149" s="81">
        <v>0</v>
      </c>
      <c r="G149" s="4">
        <v>22</v>
      </c>
      <c r="H149" s="185">
        <f t="shared" si="82"/>
        <v>0</v>
      </c>
      <c r="I149" s="81">
        <v>0</v>
      </c>
      <c r="J149" s="4">
        <v>22</v>
      </c>
      <c r="K149" s="185">
        <f t="shared" si="83"/>
        <v>0</v>
      </c>
      <c r="L149" s="81">
        <v>0</v>
      </c>
      <c r="M149" s="4">
        <v>22</v>
      </c>
      <c r="N149" s="167">
        <f t="shared" si="84"/>
        <v>0</v>
      </c>
      <c r="O149" s="81">
        <v>-2</v>
      </c>
      <c r="P149" s="4">
        <v>20</v>
      </c>
      <c r="Q149" s="167">
        <f t="shared" si="96"/>
        <v>-9.0909090909090912E-2</v>
      </c>
      <c r="R149" s="164">
        <f t="shared" si="97"/>
        <v>-2</v>
      </c>
      <c r="S149" s="165">
        <f t="shared" si="98"/>
        <v>-2.3545910323689467E-2</v>
      </c>
      <c r="U149" s="170">
        <f t="shared" si="99"/>
        <v>1</v>
      </c>
      <c r="V149" s="6">
        <v>1</v>
      </c>
      <c r="W149" s="6">
        <v>0</v>
      </c>
      <c r="X149" s="138">
        <f t="shared" si="85"/>
        <v>21</v>
      </c>
      <c r="Y149" s="167">
        <f t="shared" si="86"/>
        <v>0.05</v>
      </c>
      <c r="Z149" s="170">
        <f t="shared" si="100"/>
        <v>2</v>
      </c>
      <c r="AA149" s="6">
        <v>1</v>
      </c>
      <c r="AB149" s="6">
        <v>1</v>
      </c>
      <c r="AC149" s="138">
        <f t="shared" si="87"/>
        <v>23</v>
      </c>
      <c r="AD149" s="160">
        <f t="shared" si="88"/>
        <v>9.5238095238095233E-2</v>
      </c>
      <c r="AE149" s="170">
        <f t="shared" si="101"/>
        <v>2</v>
      </c>
      <c r="AF149" s="6">
        <v>0</v>
      </c>
      <c r="AG149" s="6">
        <v>2</v>
      </c>
      <c r="AH149" s="138">
        <f t="shared" si="89"/>
        <v>25</v>
      </c>
      <c r="AI149" s="160">
        <f t="shared" si="90"/>
        <v>8.6956521739130432E-2</v>
      </c>
      <c r="AJ149" s="170">
        <f t="shared" si="102"/>
        <v>3</v>
      </c>
      <c r="AK149" s="6">
        <v>1</v>
      </c>
      <c r="AL149" s="6">
        <v>2</v>
      </c>
      <c r="AM149" s="138">
        <f t="shared" si="91"/>
        <v>28</v>
      </c>
      <c r="AN149" s="160">
        <f t="shared" si="92"/>
        <v>0.12</v>
      </c>
      <c r="AO149" s="170">
        <f t="shared" si="103"/>
        <v>2</v>
      </c>
      <c r="AP149" s="6">
        <v>0</v>
      </c>
      <c r="AQ149" s="6">
        <v>2</v>
      </c>
      <c r="AR149" s="138">
        <f t="shared" si="93"/>
        <v>30</v>
      </c>
      <c r="AS149" s="160">
        <f t="shared" si="94"/>
        <v>7.1428571428571425E-2</v>
      </c>
      <c r="AT149" s="164">
        <f t="shared" si="95"/>
        <v>10</v>
      </c>
      <c r="AU149" s="165">
        <f t="shared" si="104"/>
        <v>9.3265113929093424E-2</v>
      </c>
    </row>
    <row r="150" spans="2:47" outlineLevel="1" x14ac:dyDescent="0.35">
      <c r="B150" s="48" t="s">
        <v>87</v>
      </c>
      <c r="C150" s="62" t="s">
        <v>141</v>
      </c>
      <c r="D150" s="70">
        <v>2</v>
      </c>
      <c r="E150" s="71">
        <v>37</v>
      </c>
      <c r="F150" s="81">
        <v>-1</v>
      </c>
      <c r="G150" s="4">
        <v>36</v>
      </c>
      <c r="H150" s="185">
        <f t="shared" si="82"/>
        <v>-2.7027027027027029E-2</v>
      </c>
      <c r="I150" s="81">
        <v>1</v>
      </c>
      <c r="J150" s="4">
        <v>37</v>
      </c>
      <c r="K150" s="185">
        <f t="shared" si="83"/>
        <v>2.7777777777777776E-2</v>
      </c>
      <c r="L150" s="81">
        <v>0</v>
      </c>
      <c r="M150" s="4">
        <v>37</v>
      </c>
      <c r="N150" s="167">
        <f t="shared" si="84"/>
        <v>0</v>
      </c>
      <c r="O150" s="81">
        <v>1</v>
      </c>
      <c r="P150" s="4">
        <v>38</v>
      </c>
      <c r="Q150" s="167">
        <f t="shared" si="96"/>
        <v>2.7027027027027029E-2</v>
      </c>
      <c r="R150" s="164">
        <f t="shared" si="97"/>
        <v>3</v>
      </c>
      <c r="S150" s="165">
        <f t="shared" si="98"/>
        <v>6.6893361007969165E-3</v>
      </c>
      <c r="U150" s="170">
        <f t="shared" si="99"/>
        <v>2</v>
      </c>
      <c r="V150" s="6">
        <v>2</v>
      </c>
      <c r="W150" s="6">
        <v>0</v>
      </c>
      <c r="X150" s="138">
        <f t="shared" si="85"/>
        <v>40</v>
      </c>
      <c r="Y150" s="167">
        <f t="shared" si="86"/>
        <v>5.2631578947368418E-2</v>
      </c>
      <c r="Z150" s="170">
        <f t="shared" si="100"/>
        <v>3</v>
      </c>
      <c r="AA150" s="6">
        <v>2</v>
      </c>
      <c r="AB150" s="6">
        <v>1</v>
      </c>
      <c r="AC150" s="138">
        <f t="shared" si="87"/>
        <v>43</v>
      </c>
      <c r="AD150" s="160">
        <f t="shared" si="88"/>
        <v>7.4999999999999997E-2</v>
      </c>
      <c r="AE150" s="170">
        <f t="shared" si="101"/>
        <v>3</v>
      </c>
      <c r="AF150" s="6">
        <v>2</v>
      </c>
      <c r="AG150" s="6">
        <v>1</v>
      </c>
      <c r="AH150" s="138">
        <f t="shared" si="89"/>
        <v>46</v>
      </c>
      <c r="AI150" s="160">
        <f t="shared" si="90"/>
        <v>6.9767441860465115E-2</v>
      </c>
      <c r="AJ150" s="170">
        <f t="shared" si="102"/>
        <v>2</v>
      </c>
      <c r="AK150" s="6">
        <v>1</v>
      </c>
      <c r="AL150" s="6">
        <v>1</v>
      </c>
      <c r="AM150" s="138">
        <f t="shared" si="91"/>
        <v>48</v>
      </c>
      <c r="AN150" s="160">
        <f t="shared" si="92"/>
        <v>4.3478260869565216E-2</v>
      </c>
      <c r="AO150" s="170">
        <f t="shared" si="103"/>
        <v>2</v>
      </c>
      <c r="AP150" s="6">
        <v>1</v>
      </c>
      <c r="AQ150" s="6">
        <v>1</v>
      </c>
      <c r="AR150" s="138">
        <f t="shared" si="93"/>
        <v>50</v>
      </c>
      <c r="AS150" s="160">
        <f t="shared" si="94"/>
        <v>4.1666666666666664E-2</v>
      </c>
      <c r="AT150" s="164">
        <f t="shared" si="95"/>
        <v>12</v>
      </c>
      <c r="AU150" s="165">
        <f t="shared" si="104"/>
        <v>5.7371263440564091E-2</v>
      </c>
    </row>
    <row r="151" spans="2:47" outlineLevel="1" x14ac:dyDescent="0.35">
      <c r="B151" s="48" t="s">
        <v>88</v>
      </c>
      <c r="C151" s="62" t="s">
        <v>141</v>
      </c>
      <c r="D151" s="70">
        <v>7</v>
      </c>
      <c r="E151" s="71">
        <v>115</v>
      </c>
      <c r="F151" s="81">
        <v>3</v>
      </c>
      <c r="G151" s="4">
        <v>118</v>
      </c>
      <c r="H151" s="185">
        <f t="shared" si="82"/>
        <v>2.6086956521739129E-2</v>
      </c>
      <c r="I151" s="81">
        <v>5</v>
      </c>
      <c r="J151" s="4">
        <v>123</v>
      </c>
      <c r="K151" s="185">
        <f t="shared" si="83"/>
        <v>4.2372881355932202E-2</v>
      </c>
      <c r="L151" s="81">
        <v>9</v>
      </c>
      <c r="M151" s="4">
        <v>132</v>
      </c>
      <c r="N151" s="167">
        <f t="shared" si="84"/>
        <v>7.3170731707317069E-2</v>
      </c>
      <c r="O151" s="81">
        <v>6</v>
      </c>
      <c r="P151" s="4">
        <v>138</v>
      </c>
      <c r="Q151" s="167">
        <f t="shared" si="96"/>
        <v>4.5454545454545456E-2</v>
      </c>
      <c r="R151" s="164">
        <f t="shared" si="97"/>
        <v>30</v>
      </c>
      <c r="S151" s="165">
        <f t="shared" si="98"/>
        <v>4.6635139392105618E-2</v>
      </c>
      <c r="U151" s="170">
        <f t="shared" si="99"/>
        <v>19</v>
      </c>
      <c r="V151" s="6">
        <v>19</v>
      </c>
      <c r="W151" s="6">
        <v>0</v>
      </c>
      <c r="X151" s="138">
        <f t="shared" si="85"/>
        <v>157</v>
      </c>
      <c r="Y151" s="167">
        <f t="shared" si="86"/>
        <v>0.13768115942028986</v>
      </c>
      <c r="Z151" s="170">
        <f t="shared" si="100"/>
        <v>22</v>
      </c>
      <c r="AA151" s="6">
        <v>21</v>
      </c>
      <c r="AB151" s="6">
        <v>1</v>
      </c>
      <c r="AC151" s="138">
        <f t="shared" si="87"/>
        <v>179</v>
      </c>
      <c r="AD151" s="160">
        <f t="shared" si="88"/>
        <v>0.14012738853503184</v>
      </c>
      <c r="AE151" s="170">
        <f t="shared" si="101"/>
        <v>19</v>
      </c>
      <c r="AF151" s="6">
        <v>18</v>
      </c>
      <c r="AG151" s="6">
        <v>1</v>
      </c>
      <c r="AH151" s="138">
        <f t="shared" si="89"/>
        <v>198</v>
      </c>
      <c r="AI151" s="160">
        <f t="shared" si="90"/>
        <v>0.10614525139664804</v>
      </c>
      <c r="AJ151" s="170">
        <f t="shared" si="102"/>
        <v>16</v>
      </c>
      <c r="AK151" s="6">
        <v>15</v>
      </c>
      <c r="AL151" s="6">
        <v>1</v>
      </c>
      <c r="AM151" s="138">
        <f t="shared" si="91"/>
        <v>214</v>
      </c>
      <c r="AN151" s="160">
        <f t="shared" si="92"/>
        <v>8.0808080808080815E-2</v>
      </c>
      <c r="AO151" s="170">
        <f t="shared" si="103"/>
        <v>14</v>
      </c>
      <c r="AP151" s="6">
        <v>13</v>
      </c>
      <c r="AQ151" s="6">
        <v>1</v>
      </c>
      <c r="AR151" s="138">
        <f t="shared" si="93"/>
        <v>228</v>
      </c>
      <c r="AS151" s="160">
        <f t="shared" si="94"/>
        <v>6.5420560747663545E-2</v>
      </c>
      <c r="AT151" s="164">
        <f t="shared" si="95"/>
        <v>90</v>
      </c>
      <c r="AU151" s="165">
        <f t="shared" si="104"/>
        <v>9.7763530337167115E-2</v>
      </c>
    </row>
    <row r="152" spans="2:47" outlineLevel="1" x14ac:dyDescent="0.35">
      <c r="B152" s="48" t="s">
        <v>89</v>
      </c>
      <c r="C152" s="62" t="s">
        <v>141</v>
      </c>
      <c r="D152" s="70">
        <v>1</v>
      </c>
      <c r="E152" s="71">
        <v>61</v>
      </c>
      <c r="F152" s="81">
        <v>0</v>
      </c>
      <c r="G152" s="4">
        <v>61</v>
      </c>
      <c r="H152" s="185">
        <f t="shared" si="82"/>
        <v>0</v>
      </c>
      <c r="I152" s="81">
        <v>1</v>
      </c>
      <c r="J152" s="4">
        <v>62</v>
      </c>
      <c r="K152" s="185">
        <f t="shared" si="83"/>
        <v>1.6393442622950821E-2</v>
      </c>
      <c r="L152" s="81">
        <v>-1</v>
      </c>
      <c r="M152" s="4">
        <v>61</v>
      </c>
      <c r="N152" s="167">
        <f t="shared" si="84"/>
        <v>-1.6129032258064516E-2</v>
      </c>
      <c r="O152" s="81">
        <v>0</v>
      </c>
      <c r="P152" s="4">
        <v>61</v>
      </c>
      <c r="Q152" s="167">
        <f t="shared" si="96"/>
        <v>0</v>
      </c>
      <c r="R152" s="164">
        <f t="shared" si="97"/>
        <v>1</v>
      </c>
      <c r="S152" s="165">
        <f t="shared" si="98"/>
        <v>0</v>
      </c>
      <c r="U152" s="170">
        <f t="shared" si="99"/>
        <v>0</v>
      </c>
      <c r="V152" s="6">
        <v>0</v>
      </c>
      <c r="W152" s="6">
        <v>0</v>
      </c>
      <c r="X152" s="138">
        <f t="shared" si="85"/>
        <v>61</v>
      </c>
      <c r="Y152" s="167">
        <f t="shared" si="86"/>
        <v>0</v>
      </c>
      <c r="Z152" s="170">
        <f t="shared" si="100"/>
        <v>0</v>
      </c>
      <c r="AA152" s="6">
        <v>0</v>
      </c>
      <c r="AB152" s="6">
        <v>0</v>
      </c>
      <c r="AC152" s="138">
        <f t="shared" si="87"/>
        <v>61</v>
      </c>
      <c r="AD152" s="160">
        <f t="shared" si="88"/>
        <v>0</v>
      </c>
      <c r="AE152" s="170">
        <f t="shared" si="101"/>
        <v>0</v>
      </c>
      <c r="AF152" s="6">
        <v>0</v>
      </c>
      <c r="AG152" s="6">
        <v>0</v>
      </c>
      <c r="AH152" s="138">
        <f t="shared" si="89"/>
        <v>61</v>
      </c>
      <c r="AI152" s="160">
        <f t="shared" si="90"/>
        <v>0</v>
      </c>
      <c r="AJ152" s="170">
        <f t="shared" si="102"/>
        <v>1</v>
      </c>
      <c r="AK152" s="6">
        <v>0</v>
      </c>
      <c r="AL152" s="6">
        <v>1</v>
      </c>
      <c r="AM152" s="138">
        <f t="shared" si="91"/>
        <v>62</v>
      </c>
      <c r="AN152" s="160">
        <f t="shared" si="92"/>
        <v>1.6393442622950821E-2</v>
      </c>
      <c r="AO152" s="170">
        <f t="shared" si="103"/>
        <v>1</v>
      </c>
      <c r="AP152" s="6">
        <v>0</v>
      </c>
      <c r="AQ152" s="6">
        <v>1</v>
      </c>
      <c r="AR152" s="138">
        <f t="shared" si="93"/>
        <v>63</v>
      </c>
      <c r="AS152" s="160">
        <f t="shared" si="94"/>
        <v>1.6129032258064516E-2</v>
      </c>
      <c r="AT152" s="164">
        <f t="shared" si="95"/>
        <v>2</v>
      </c>
      <c r="AU152" s="165">
        <f t="shared" si="104"/>
        <v>8.0978270194005386E-3</v>
      </c>
    </row>
    <row r="153" spans="2:47" outlineLevel="1" x14ac:dyDescent="0.35">
      <c r="B153" s="48" t="s">
        <v>90</v>
      </c>
      <c r="C153" s="62" t="s">
        <v>141</v>
      </c>
      <c r="D153" s="70">
        <v>0</v>
      </c>
      <c r="E153" s="71">
        <v>0</v>
      </c>
      <c r="F153" s="81">
        <v>0</v>
      </c>
      <c r="G153" s="4">
        <v>0</v>
      </c>
      <c r="H153" s="185">
        <f t="shared" si="82"/>
        <v>0</v>
      </c>
      <c r="I153" s="81">
        <v>0</v>
      </c>
      <c r="J153" s="4">
        <v>0</v>
      </c>
      <c r="K153" s="185">
        <f t="shared" si="83"/>
        <v>0</v>
      </c>
      <c r="L153" s="81">
        <v>0</v>
      </c>
      <c r="M153" s="4"/>
      <c r="N153" s="167">
        <f t="shared" si="84"/>
        <v>0</v>
      </c>
      <c r="O153" s="81">
        <v>0</v>
      </c>
      <c r="P153" s="4"/>
      <c r="Q153" s="167">
        <f t="shared" si="96"/>
        <v>0</v>
      </c>
      <c r="R153" s="164">
        <f t="shared" si="97"/>
        <v>0</v>
      </c>
      <c r="S153" s="165">
        <f t="shared" si="98"/>
        <v>0</v>
      </c>
      <c r="U153" s="170">
        <f t="shared" si="99"/>
        <v>0</v>
      </c>
      <c r="V153" s="6">
        <v>0</v>
      </c>
      <c r="W153" s="6">
        <v>0</v>
      </c>
      <c r="X153" s="138">
        <f t="shared" si="85"/>
        <v>0</v>
      </c>
      <c r="Y153" s="167">
        <f t="shared" si="86"/>
        <v>0</v>
      </c>
      <c r="Z153" s="170">
        <f t="shared" si="100"/>
        <v>0</v>
      </c>
      <c r="AA153" s="6">
        <v>0</v>
      </c>
      <c r="AB153" s="6">
        <v>0</v>
      </c>
      <c r="AC153" s="138">
        <f t="shared" si="87"/>
        <v>0</v>
      </c>
      <c r="AD153" s="160">
        <f t="shared" si="88"/>
        <v>0</v>
      </c>
      <c r="AE153" s="170">
        <f t="shared" si="101"/>
        <v>0</v>
      </c>
      <c r="AF153" s="6">
        <v>0</v>
      </c>
      <c r="AG153" s="6">
        <v>0</v>
      </c>
      <c r="AH153" s="138">
        <f t="shared" si="89"/>
        <v>0</v>
      </c>
      <c r="AI153" s="160">
        <f t="shared" si="90"/>
        <v>0</v>
      </c>
      <c r="AJ153" s="170">
        <f t="shared" si="102"/>
        <v>0</v>
      </c>
      <c r="AK153" s="6">
        <v>0</v>
      </c>
      <c r="AL153" s="6">
        <v>0</v>
      </c>
      <c r="AM153" s="138">
        <f t="shared" si="91"/>
        <v>0</v>
      </c>
      <c r="AN153" s="160">
        <f t="shared" si="92"/>
        <v>0</v>
      </c>
      <c r="AO153" s="170">
        <f t="shared" si="103"/>
        <v>0</v>
      </c>
      <c r="AP153" s="6">
        <v>0</v>
      </c>
      <c r="AQ153" s="6">
        <v>0</v>
      </c>
      <c r="AR153" s="138">
        <f t="shared" si="93"/>
        <v>0</v>
      </c>
      <c r="AS153" s="160">
        <f t="shared" si="94"/>
        <v>0</v>
      </c>
      <c r="AT153" s="164">
        <f t="shared" si="95"/>
        <v>0</v>
      </c>
      <c r="AU153" s="165">
        <f t="shared" si="104"/>
        <v>0</v>
      </c>
    </row>
    <row r="154" spans="2:47" outlineLevel="1" x14ac:dyDescent="0.35">
      <c r="B154" s="48" t="s">
        <v>91</v>
      </c>
      <c r="C154" s="62" t="s">
        <v>141</v>
      </c>
      <c r="D154" s="70">
        <v>1</v>
      </c>
      <c r="E154" s="71">
        <v>1</v>
      </c>
      <c r="F154" s="81">
        <v>0</v>
      </c>
      <c r="G154" s="4">
        <v>1</v>
      </c>
      <c r="H154" s="185">
        <f t="shared" si="82"/>
        <v>0</v>
      </c>
      <c r="I154" s="81">
        <v>2</v>
      </c>
      <c r="J154" s="4">
        <v>3</v>
      </c>
      <c r="K154" s="185">
        <f t="shared" si="83"/>
        <v>2</v>
      </c>
      <c r="L154" s="81">
        <v>0</v>
      </c>
      <c r="M154" s="4">
        <v>3</v>
      </c>
      <c r="N154" s="167">
        <f t="shared" si="84"/>
        <v>0</v>
      </c>
      <c r="O154" s="81">
        <v>0</v>
      </c>
      <c r="P154" s="4">
        <v>3</v>
      </c>
      <c r="Q154" s="167">
        <f t="shared" si="96"/>
        <v>0</v>
      </c>
      <c r="R154" s="164">
        <f t="shared" si="97"/>
        <v>3</v>
      </c>
      <c r="S154" s="165">
        <f t="shared" si="98"/>
        <v>0.3160740129524926</v>
      </c>
      <c r="U154" s="170">
        <f t="shared" si="99"/>
        <v>0</v>
      </c>
      <c r="V154" s="6">
        <v>0</v>
      </c>
      <c r="W154" s="6">
        <v>0</v>
      </c>
      <c r="X154" s="138">
        <f t="shared" si="85"/>
        <v>3</v>
      </c>
      <c r="Y154" s="167">
        <f t="shared" si="86"/>
        <v>0</v>
      </c>
      <c r="Z154" s="170">
        <f t="shared" si="100"/>
        <v>0</v>
      </c>
      <c r="AA154" s="6">
        <v>0</v>
      </c>
      <c r="AB154" s="6">
        <v>0</v>
      </c>
      <c r="AC154" s="138">
        <f t="shared" si="87"/>
        <v>3</v>
      </c>
      <c r="AD154" s="160">
        <f t="shared" si="88"/>
        <v>0</v>
      </c>
      <c r="AE154" s="170">
        <f t="shared" si="101"/>
        <v>0</v>
      </c>
      <c r="AF154" s="6">
        <v>0</v>
      </c>
      <c r="AG154" s="6">
        <v>0</v>
      </c>
      <c r="AH154" s="138">
        <f t="shared" si="89"/>
        <v>3</v>
      </c>
      <c r="AI154" s="160">
        <f t="shared" si="90"/>
        <v>0</v>
      </c>
      <c r="AJ154" s="170">
        <f t="shared" si="102"/>
        <v>0</v>
      </c>
      <c r="AK154" s="6">
        <v>0</v>
      </c>
      <c r="AL154" s="6">
        <v>0</v>
      </c>
      <c r="AM154" s="138">
        <f t="shared" si="91"/>
        <v>3</v>
      </c>
      <c r="AN154" s="160">
        <f t="shared" si="92"/>
        <v>0</v>
      </c>
      <c r="AO154" s="170">
        <f t="shared" si="103"/>
        <v>0</v>
      </c>
      <c r="AP154" s="6">
        <v>0</v>
      </c>
      <c r="AQ154" s="6">
        <v>0</v>
      </c>
      <c r="AR154" s="138">
        <f t="shared" si="93"/>
        <v>3</v>
      </c>
      <c r="AS154" s="160">
        <f t="shared" si="94"/>
        <v>0</v>
      </c>
      <c r="AT154" s="164">
        <f t="shared" si="95"/>
        <v>0</v>
      </c>
      <c r="AU154" s="165">
        <f t="shared" si="104"/>
        <v>0</v>
      </c>
    </row>
    <row r="155" spans="2:47" outlineLevel="1" x14ac:dyDescent="0.35">
      <c r="B155" s="48" t="s">
        <v>92</v>
      </c>
      <c r="C155" s="62" t="s">
        <v>141</v>
      </c>
      <c r="D155" s="70">
        <v>1</v>
      </c>
      <c r="E155" s="71">
        <v>30</v>
      </c>
      <c r="F155" s="81">
        <v>-1</v>
      </c>
      <c r="G155" s="4">
        <v>29</v>
      </c>
      <c r="H155" s="185">
        <f t="shared" si="82"/>
        <v>-3.3333333333333333E-2</v>
      </c>
      <c r="I155" s="81">
        <v>1</v>
      </c>
      <c r="J155" s="4">
        <v>30</v>
      </c>
      <c r="K155" s="185">
        <f t="shared" si="83"/>
        <v>3.4482758620689655E-2</v>
      </c>
      <c r="L155" s="81">
        <v>-1</v>
      </c>
      <c r="M155" s="4">
        <v>29</v>
      </c>
      <c r="N155" s="167">
        <f t="shared" si="84"/>
        <v>-3.3333333333333333E-2</v>
      </c>
      <c r="O155" s="81">
        <v>1</v>
      </c>
      <c r="P155" s="4">
        <v>30</v>
      </c>
      <c r="Q155" s="167">
        <f t="shared" si="96"/>
        <v>3.4482758620689655E-2</v>
      </c>
      <c r="R155" s="164">
        <f t="shared" si="97"/>
        <v>1</v>
      </c>
      <c r="S155" s="165">
        <f t="shared" si="98"/>
        <v>0</v>
      </c>
      <c r="U155" s="170">
        <f t="shared" si="99"/>
        <v>0</v>
      </c>
      <c r="V155" s="6">
        <v>0</v>
      </c>
      <c r="W155" s="6">
        <v>0</v>
      </c>
      <c r="X155" s="138">
        <f t="shared" si="85"/>
        <v>30</v>
      </c>
      <c r="Y155" s="167">
        <f t="shared" si="86"/>
        <v>0</v>
      </c>
      <c r="Z155" s="170">
        <f t="shared" si="100"/>
        <v>1</v>
      </c>
      <c r="AA155" s="6">
        <v>1</v>
      </c>
      <c r="AB155" s="6">
        <v>0</v>
      </c>
      <c r="AC155" s="138">
        <f t="shared" si="87"/>
        <v>31</v>
      </c>
      <c r="AD155" s="160">
        <f t="shared" si="88"/>
        <v>3.3333333333333333E-2</v>
      </c>
      <c r="AE155" s="170">
        <f t="shared" si="101"/>
        <v>1</v>
      </c>
      <c r="AF155" s="6">
        <v>0</v>
      </c>
      <c r="AG155" s="6">
        <v>1</v>
      </c>
      <c r="AH155" s="138">
        <f t="shared" si="89"/>
        <v>32</v>
      </c>
      <c r="AI155" s="160">
        <f t="shared" si="90"/>
        <v>3.2258064516129031E-2</v>
      </c>
      <c r="AJ155" s="170">
        <f t="shared" si="102"/>
        <v>1</v>
      </c>
      <c r="AK155" s="6">
        <v>0</v>
      </c>
      <c r="AL155" s="6">
        <v>1</v>
      </c>
      <c r="AM155" s="138">
        <f t="shared" si="91"/>
        <v>33</v>
      </c>
      <c r="AN155" s="160">
        <f t="shared" si="92"/>
        <v>3.125E-2</v>
      </c>
      <c r="AO155" s="170">
        <f t="shared" si="103"/>
        <v>1</v>
      </c>
      <c r="AP155" s="6">
        <v>1</v>
      </c>
      <c r="AQ155" s="6">
        <v>0</v>
      </c>
      <c r="AR155" s="138">
        <f t="shared" si="93"/>
        <v>34</v>
      </c>
      <c r="AS155" s="160">
        <f t="shared" si="94"/>
        <v>3.0303030303030304E-2</v>
      </c>
      <c r="AT155" s="164">
        <f t="shared" si="95"/>
        <v>4</v>
      </c>
      <c r="AU155" s="165">
        <f t="shared" si="104"/>
        <v>3.1785488774073611E-2</v>
      </c>
    </row>
    <row r="156" spans="2:47" outlineLevel="1" x14ac:dyDescent="0.35">
      <c r="B156" s="48" t="s">
        <v>93</v>
      </c>
      <c r="C156" s="62" t="s">
        <v>141</v>
      </c>
      <c r="D156" s="70">
        <v>0</v>
      </c>
      <c r="E156" s="71">
        <v>10</v>
      </c>
      <c r="F156" s="81">
        <v>1</v>
      </c>
      <c r="G156" s="4">
        <v>11</v>
      </c>
      <c r="H156" s="185">
        <f t="shared" si="82"/>
        <v>0.1</v>
      </c>
      <c r="I156" s="81">
        <v>2</v>
      </c>
      <c r="J156" s="4">
        <v>13</v>
      </c>
      <c r="K156" s="185">
        <f t="shared" si="83"/>
        <v>0.18181818181818182</v>
      </c>
      <c r="L156" s="81">
        <v>0</v>
      </c>
      <c r="M156" s="4">
        <v>13</v>
      </c>
      <c r="N156" s="167">
        <f t="shared" si="84"/>
        <v>0</v>
      </c>
      <c r="O156" s="81">
        <v>-1</v>
      </c>
      <c r="P156" s="4">
        <v>12</v>
      </c>
      <c r="Q156" s="167">
        <f t="shared" si="96"/>
        <v>-7.6923076923076927E-2</v>
      </c>
      <c r="R156" s="164">
        <f t="shared" si="97"/>
        <v>2</v>
      </c>
      <c r="S156" s="165">
        <f t="shared" si="98"/>
        <v>4.6635139392105618E-2</v>
      </c>
      <c r="U156" s="170">
        <f t="shared" si="99"/>
        <v>1</v>
      </c>
      <c r="V156" s="6">
        <v>0</v>
      </c>
      <c r="W156" s="6">
        <v>1</v>
      </c>
      <c r="X156" s="138">
        <f t="shared" si="85"/>
        <v>13</v>
      </c>
      <c r="Y156" s="167">
        <f t="shared" si="86"/>
        <v>8.3333333333333329E-2</v>
      </c>
      <c r="Z156" s="170">
        <f t="shared" si="100"/>
        <v>1</v>
      </c>
      <c r="AA156" s="6">
        <v>0</v>
      </c>
      <c r="AB156" s="6">
        <v>1</v>
      </c>
      <c r="AC156" s="138">
        <f t="shared" si="87"/>
        <v>14</v>
      </c>
      <c r="AD156" s="160">
        <f t="shared" si="88"/>
        <v>7.6923076923076927E-2</v>
      </c>
      <c r="AE156" s="170">
        <f t="shared" si="101"/>
        <v>3</v>
      </c>
      <c r="AF156" s="6">
        <v>0</v>
      </c>
      <c r="AG156" s="6">
        <v>3</v>
      </c>
      <c r="AH156" s="138">
        <f t="shared" si="89"/>
        <v>17</v>
      </c>
      <c r="AI156" s="160">
        <f t="shared" si="90"/>
        <v>0.21428571428571427</v>
      </c>
      <c r="AJ156" s="170">
        <f t="shared" si="102"/>
        <v>3</v>
      </c>
      <c r="AK156" s="6">
        <v>0</v>
      </c>
      <c r="AL156" s="6">
        <v>3</v>
      </c>
      <c r="AM156" s="138">
        <f t="shared" si="91"/>
        <v>20</v>
      </c>
      <c r="AN156" s="160">
        <f t="shared" si="92"/>
        <v>0.17647058823529413</v>
      </c>
      <c r="AO156" s="170">
        <f t="shared" si="103"/>
        <v>3</v>
      </c>
      <c r="AP156" s="6">
        <v>0</v>
      </c>
      <c r="AQ156" s="6">
        <v>3</v>
      </c>
      <c r="AR156" s="138">
        <f t="shared" si="93"/>
        <v>23</v>
      </c>
      <c r="AS156" s="160">
        <f t="shared" si="94"/>
        <v>0.15</v>
      </c>
      <c r="AT156" s="164">
        <f t="shared" si="95"/>
        <v>11</v>
      </c>
      <c r="AU156" s="165">
        <f t="shared" si="104"/>
        <v>0.15331016796105312</v>
      </c>
    </row>
    <row r="157" spans="2:47" outlineLevel="1" x14ac:dyDescent="0.35">
      <c r="B157" s="48" t="s">
        <v>94</v>
      </c>
      <c r="C157" s="62" t="s">
        <v>141</v>
      </c>
      <c r="D157" s="70">
        <v>1</v>
      </c>
      <c r="E157" s="71">
        <v>74</v>
      </c>
      <c r="F157" s="81">
        <v>-2</v>
      </c>
      <c r="G157" s="4">
        <v>72</v>
      </c>
      <c r="H157" s="185">
        <f t="shared" si="82"/>
        <v>-2.7027027027027029E-2</v>
      </c>
      <c r="I157" s="81">
        <v>0</v>
      </c>
      <c r="J157" s="4">
        <v>72</v>
      </c>
      <c r="K157" s="185">
        <f t="shared" si="83"/>
        <v>0</v>
      </c>
      <c r="L157" s="81">
        <v>-1</v>
      </c>
      <c r="M157" s="4">
        <v>71</v>
      </c>
      <c r="N157" s="167">
        <f t="shared" si="84"/>
        <v>-1.3888888888888888E-2</v>
      </c>
      <c r="O157" s="81">
        <v>-2</v>
      </c>
      <c r="P157" s="4">
        <v>69</v>
      </c>
      <c r="Q157" s="167">
        <f t="shared" si="96"/>
        <v>-2.8169014084507043E-2</v>
      </c>
      <c r="R157" s="164">
        <f t="shared" si="97"/>
        <v>-4</v>
      </c>
      <c r="S157" s="165">
        <f t="shared" si="98"/>
        <v>-1.7337591032765221E-2</v>
      </c>
      <c r="U157" s="170">
        <f t="shared" si="99"/>
        <v>0</v>
      </c>
      <c r="V157" s="6">
        <v>0</v>
      </c>
      <c r="W157" s="6">
        <v>0</v>
      </c>
      <c r="X157" s="138">
        <f t="shared" si="85"/>
        <v>69</v>
      </c>
      <c r="Y157" s="167">
        <f t="shared" si="86"/>
        <v>0</v>
      </c>
      <c r="Z157" s="170">
        <f t="shared" si="100"/>
        <v>1</v>
      </c>
      <c r="AA157" s="6">
        <v>0</v>
      </c>
      <c r="AB157" s="6">
        <v>1</v>
      </c>
      <c r="AC157" s="138">
        <f t="shared" si="87"/>
        <v>70</v>
      </c>
      <c r="AD157" s="160">
        <f t="shared" si="88"/>
        <v>1.4492753623188406E-2</v>
      </c>
      <c r="AE157" s="170">
        <f t="shared" si="101"/>
        <v>1</v>
      </c>
      <c r="AF157" s="6">
        <v>0</v>
      </c>
      <c r="AG157" s="6">
        <v>1</v>
      </c>
      <c r="AH157" s="138">
        <f t="shared" si="89"/>
        <v>71</v>
      </c>
      <c r="AI157" s="160">
        <f t="shared" si="90"/>
        <v>1.4285714285714285E-2</v>
      </c>
      <c r="AJ157" s="170">
        <f t="shared" si="102"/>
        <v>1</v>
      </c>
      <c r="AK157" s="6">
        <v>0</v>
      </c>
      <c r="AL157" s="6">
        <v>1</v>
      </c>
      <c r="AM157" s="138">
        <f t="shared" si="91"/>
        <v>72</v>
      </c>
      <c r="AN157" s="160">
        <f t="shared" si="92"/>
        <v>1.4084507042253521E-2</v>
      </c>
      <c r="AO157" s="170">
        <f t="shared" si="103"/>
        <v>1</v>
      </c>
      <c r="AP157" s="6">
        <v>0</v>
      </c>
      <c r="AQ157" s="6">
        <v>1</v>
      </c>
      <c r="AR157" s="138">
        <f t="shared" si="93"/>
        <v>73</v>
      </c>
      <c r="AS157" s="160">
        <f t="shared" si="94"/>
        <v>1.3888888888888888E-2</v>
      </c>
      <c r="AT157" s="164">
        <f t="shared" si="95"/>
        <v>4</v>
      </c>
      <c r="AU157" s="165">
        <f t="shared" si="104"/>
        <v>1.4187940989271564E-2</v>
      </c>
    </row>
    <row r="158" spans="2:47" outlineLevel="1" x14ac:dyDescent="0.35">
      <c r="B158" s="48" t="s">
        <v>95</v>
      </c>
      <c r="C158" s="62" t="s">
        <v>141</v>
      </c>
      <c r="D158" s="70">
        <v>0</v>
      </c>
      <c r="E158" s="71">
        <v>59</v>
      </c>
      <c r="F158" s="81">
        <v>2</v>
      </c>
      <c r="G158" s="4">
        <v>61</v>
      </c>
      <c r="H158" s="185">
        <f t="shared" si="82"/>
        <v>3.3898305084745763E-2</v>
      </c>
      <c r="I158" s="81">
        <v>0</v>
      </c>
      <c r="J158" s="4">
        <v>61</v>
      </c>
      <c r="K158" s="185">
        <f t="shared" si="83"/>
        <v>0</v>
      </c>
      <c r="L158" s="81">
        <v>0</v>
      </c>
      <c r="M158" s="4">
        <v>61</v>
      </c>
      <c r="N158" s="167">
        <f t="shared" si="84"/>
        <v>0</v>
      </c>
      <c r="O158" s="81">
        <v>0</v>
      </c>
      <c r="P158" s="4">
        <v>61</v>
      </c>
      <c r="Q158" s="167">
        <f t="shared" si="96"/>
        <v>0</v>
      </c>
      <c r="R158" s="164">
        <f t="shared" si="97"/>
        <v>2</v>
      </c>
      <c r="S158" s="165">
        <f t="shared" si="98"/>
        <v>8.3689303992957598E-3</v>
      </c>
      <c r="U158" s="170">
        <f t="shared" si="99"/>
        <v>0</v>
      </c>
      <c r="V158" s="6">
        <v>0</v>
      </c>
      <c r="W158" s="6">
        <v>0</v>
      </c>
      <c r="X158" s="138">
        <f t="shared" si="85"/>
        <v>61</v>
      </c>
      <c r="Y158" s="167">
        <f t="shared" si="86"/>
        <v>0</v>
      </c>
      <c r="Z158" s="170">
        <f t="shared" si="100"/>
        <v>1</v>
      </c>
      <c r="AA158" s="6">
        <v>1</v>
      </c>
      <c r="AB158" s="6">
        <v>0</v>
      </c>
      <c r="AC158" s="138">
        <f t="shared" si="87"/>
        <v>62</v>
      </c>
      <c r="AD158" s="160">
        <f t="shared" si="88"/>
        <v>1.6393442622950821E-2</v>
      </c>
      <c r="AE158" s="170">
        <f t="shared" si="101"/>
        <v>1</v>
      </c>
      <c r="AF158" s="6">
        <v>1</v>
      </c>
      <c r="AG158" s="6">
        <v>0</v>
      </c>
      <c r="AH158" s="138">
        <f t="shared" si="89"/>
        <v>63</v>
      </c>
      <c r="AI158" s="160">
        <f t="shared" si="90"/>
        <v>1.6129032258064516E-2</v>
      </c>
      <c r="AJ158" s="170">
        <f t="shared" si="102"/>
        <v>1</v>
      </c>
      <c r="AK158" s="6">
        <v>0</v>
      </c>
      <c r="AL158" s="6">
        <v>1</v>
      </c>
      <c r="AM158" s="138">
        <f t="shared" si="91"/>
        <v>64</v>
      </c>
      <c r="AN158" s="160">
        <f t="shared" si="92"/>
        <v>1.5873015873015872E-2</v>
      </c>
      <c r="AO158" s="170">
        <f t="shared" si="103"/>
        <v>1</v>
      </c>
      <c r="AP158" s="6">
        <v>0</v>
      </c>
      <c r="AQ158" s="6">
        <v>1</v>
      </c>
      <c r="AR158" s="138">
        <f t="shared" si="93"/>
        <v>65</v>
      </c>
      <c r="AS158" s="160">
        <f t="shared" si="94"/>
        <v>1.5625E-2</v>
      </c>
      <c r="AT158" s="164">
        <f t="shared" si="95"/>
        <v>4</v>
      </c>
      <c r="AU158" s="165">
        <f t="shared" si="104"/>
        <v>1.6005082323391484E-2</v>
      </c>
    </row>
    <row r="159" spans="2:47" outlineLevel="1" x14ac:dyDescent="0.35">
      <c r="B159" s="48" t="s">
        <v>96</v>
      </c>
      <c r="C159" s="62" t="s">
        <v>141</v>
      </c>
      <c r="D159" s="70">
        <v>0</v>
      </c>
      <c r="E159" s="71">
        <v>59</v>
      </c>
      <c r="F159" s="81">
        <v>0</v>
      </c>
      <c r="G159" s="4">
        <v>59</v>
      </c>
      <c r="H159" s="185">
        <f t="shared" si="82"/>
        <v>0</v>
      </c>
      <c r="I159" s="81">
        <v>0</v>
      </c>
      <c r="J159" s="4">
        <v>59</v>
      </c>
      <c r="K159" s="185">
        <f t="shared" si="83"/>
        <v>0</v>
      </c>
      <c r="L159" s="81">
        <v>-2</v>
      </c>
      <c r="M159" s="4">
        <v>57</v>
      </c>
      <c r="N159" s="167">
        <f t="shared" si="84"/>
        <v>-3.3898305084745763E-2</v>
      </c>
      <c r="O159" s="81">
        <v>-3</v>
      </c>
      <c r="P159" s="4">
        <v>54</v>
      </c>
      <c r="Q159" s="167">
        <f t="shared" si="96"/>
        <v>-5.2631578947368418E-2</v>
      </c>
      <c r="R159" s="164">
        <f t="shared" si="97"/>
        <v>-5</v>
      </c>
      <c r="S159" s="165">
        <f t="shared" si="98"/>
        <v>-2.1895094473542209E-2</v>
      </c>
      <c r="U159" s="170">
        <f t="shared" si="99"/>
        <v>0</v>
      </c>
      <c r="V159" s="6">
        <v>0</v>
      </c>
      <c r="W159" s="6">
        <v>0</v>
      </c>
      <c r="X159" s="138">
        <f t="shared" si="85"/>
        <v>54</v>
      </c>
      <c r="Y159" s="167">
        <f t="shared" si="86"/>
        <v>0</v>
      </c>
      <c r="Z159" s="170">
        <f t="shared" si="100"/>
        <v>0</v>
      </c>
      <c r="AA159" s="6">
        <v>0</v>
      </c>
      <c r="AB159" s="6">
        <v>0</v>
      </c>
      <c r="AC159" s="138">
        <f t="shared" si="87"/>
        <v>54</v>
      </c>
      <c r="AD159" s="160">
        <f t="shared" si="88"/>
        <v>0</v>
      </c>
      <c r="AE159" s="170">
        <f t="shared" si="101"/>
        <v>1</v>
      </c>
      <c r="AF159" s="6">
        <v>0</v>
      </c>
      <c r="AG159" s="6">
        <v>1</v>
      </c>
      <c r="AH159" s="138">
        <f t="shared" si="89"/>
        <v>55</v>
      </c>
      <c r="AI159" s="160">
        <f t="shared" si="90"/>
        <v>1.8518518518518517E-2</v>
      </c>
      <c r="AJ159" s="170">
        <f t="shared" si="102"/>
        <v>1</v>
      </c>
      <c r="AK159" s="6">
        <v>0</v>
      </c>
      <c r="AL159" s="6">
        <v>1</v>
      </c>
      <c r="AM159" s="138">
        <f t="shared" si="91"/>
        <v>56</v>
      </c>
      <c r="AN159" s="160">
        <f t="shared" si="92"/>
        <v>1.8181818181818181E-2</v>
      </c>
      <c r="AO159" s="170">
        <f t="shared" si="103"/>
        <v>1</v>
      </c>
      <c r="AP159" s="6">
        <v>0</v>
      </c>
      <c r="AQ159" s="6">
        <v>1</v>
      </c>
      <c r="AR159" s="138">
        <f t="shared" si="93"/>
        <v>57</v>
      </c>
      <c r="AS159" s="160">
        <f t="shared" si="94"/>
        <v>1.7857142857142856E-2</v>
      </c>
      <c r="AT159" s="164">
        <f t="shared" si="95"/>
        <v>3</v>
      </c>
      <c r="AU159" s="165">
        <f t="shared" si="104"/>
        <v>1.3608570320990721E-2</v>
      </c>
    </row>
    <row r="160" spans="2:47" outlineLevel="1" x14ac:dyDescent="0.35">
      <c r="B160" s="48" t="s">
        <v>97</v>
      </c>
      <c r="C160" s="62" t="s">
        <v>141</v>
      </c>
      <c r="D160" s="70">
        <v>0</v>
      </c>
      <c r="E160" s="71">
        <v>143</v>
      </c>
      <c r="F160" s="81">
        <v>0</v>
      </c>
      <c r="G160" s="4">
        <v>143</v>
      </c>
      <c r="H160" s="185">
        <f t="shared" si="82"/>
        <v>0</v>
      </c>
      <c r="I160" s="81">
        <v>-5</v>
      </c>
      <c r="J160" s="4">
        <v>138</v>
      </c>
      <c r="K160" s="185">
        <f t="shared" si="83"/>
        <v>-3.4965034965034968E-2</v>
      </c>
      <c r="L160" s="81">
        <v>0</v>
      </c>
      <c r="M160" s="4">
        <v>138</v>
      </c>
      <c r="N160" s="167">
        <f t="shared" si="84"/>
        <v>0</v>
      </c>
      <c r="O160" s="81">
        <v>0</v>
      </c>
      <c r="P160" s="4">
        <v>138</v>
      </c>
      <c r="Q160" s="167">
        <f t="shared" si="96"/>
        <v>0</v>
      </c>
      <c r="R160" s="164">
        <f t="shared" si="97"/>
        <v>-5</v>
      </c>
      <c r="S160" s="165">
        <f t="shared" si="98"/>
        <v>-8.8582685647652371E-3</v>
      </c>
      <c r="U160" s="170">
        <f t="shared" si="99"/>
        <v>2</v>
      </c>
      <c r="V160" s="6">
        <v>2</v>
      </c>
      <c r="W160" s="6">
        <v>0</v>
      </c>
      <c r="X160" s="138">
        <f t="shared" si="85"/>
        <v>140</v>
      </c>
      <c r="Y160" s="167">
        <f t="shared" si="86"/>
        <v>1.4492753623188406E-2</v>
      </c>
      <c r="Z160" s="170">
        <f t="shared" si="100"/>
        <v>3</v>
      </c>
      <c r="AA160" s="6">
        <v>2</v>
      </c>
      <c r="AB160" s="6">
        <v>1</v>
      </c>
      <c r="AC160" s="138">
        <f t="shared" si="87"/>
        <v>143</v>
      </c>
      <c r="AD160" s="160">
        <f t="shared" si="88"/>
        <v>2.1428571428571429E-2</v>
      </c>
      <c r="AE160" s="170">
        <f t="shared" si="101"/>
        <v>3</v>
      </c>
      <c r="AF160" s="6">
        <v>1</v>
      </c>
      <c r="AG160" s="6">
        <v>2</v>
      </c>
      <c r="AH160" s="138">
        <f t="shared" si="89"/>
        <v>146</v>
      </c>
      <c r="AI160" s="160">
        <f t="shared" si="90"/>
        <v>2.097902097902098E-2</v>
      </c>
      <c r="AJ160" s="170">
        <f t="shared" si="102"/>
        <v>3</v>
      </c>
      <c r="AK160" s="6">
        <v>2</v>
      </c>
      <c r="AL160" s="6">
        <v>1</v>
      </c>
      <c r="AM160" s="138">
        <f t="shared" si="91"/>
        <v>149</v>
      </c>
      <c r="AN160" s="160">
        <f t="shared" si="92"/>
        <v>2.0547945205479451E-2</v>
      </c>
      <c r="AO160" s="170">
        <f t="shared" si="103"/>
        <v>3</v>
      </c>
      <c r="AP160" s="6">
        <v>1</v>
      </c>
      <c r="AQ160" s="6">
        <v>2</v>
      </c>
      <c r="AR160" s="138">
        <f t="shared" si="93"/>
        <v>152</v>
      </c>
      <c r="AS160" s="160">
        <f t="shared" si="94"/>
        <v>2.0134228187919462E-2</v>
      </c>
      <c r="AT160" s="164">
        <f t="shared" si="95"/>
        <v>14</v>
      </c>
      <c r="AU160" s="165">
        <f t="shared" si="104"/>
        <v>2.0772327457722284E-2</v>
      </c>
    </row>
    <row r="161" spans="2:47" outlineLevel="1" x14ac:dyDescent="0.35">
      <c r="B161" s="48" t="s">
        <v>98</v>
      </c>
      <c r="C161" s="62" t="s">
        <v>141</v>
      </c>
      <c r="D161" s="70">
        <v>0</v>
      </c>
      <c r="E161" s="71">
        <v>38</v>
      </c>
      <c r="F161" s="81">
        <v>0</v>
      </c>
      <c r="G161" s="4">
        <v>38</v>
      </c>
      <c r="H161" s="185">
        <f t="shared" si="82"/>
        <v>0</v>
      </c>
      <c r="I161" s="81">
        <v>0</v>
      </c>
      <c r="J161" s="4">
        <v>38</v>
      </c>
      <c r="K161" s="185">
        <f t="shared" si="83"/>
        <v>0</v>
      </c>
      <c r="L161" s="81">
        <v>-1</v>
      </c>
      <c r="M161" s="4">
        <v>37</v>
      </c>
      <c r="N161" s="167">
        <f t="shared" si="84"/>
        <v>-2.6315789473684209E-2</v>
      </c>
      <c r="O161" s="81">
        <v>-1</v>
      </c>
      <c r="P161" s="4">
        <v>36</v>
      </c>
      <c r="Q161" s="167">
        <f t="shared" si="96"/>
        <v>-2.7027027027027029E-2</v>
      </c>
      <c r="R161" s="164">
        <f t="shared" si="97"/>
        <v>-2</v>
      </c>
      <c r="S161" s="165">
        <f t="shared" si="98"/>
        <v>-1.3425863513250591E-2</v>
      </c>
      <c r="U161" s="170">
        <f t="shared" si="99"/>
        <v>0</v>
      </c>
      <c r="V161" s="6">
        <v>0</v>
      </c>
      <c r="W161" s="6">
        <v>0</v>
      </c>
      <c r="X161" s="138">
        <f t="shared" si="85"/>
        <v>36</v>
      </c>
      <c r="Y161" s="167">
        <f t="shared" si="86"/>
        <v>0</v>
      </c>
      <c r="Z161" s="170">
        <f t="shared" si="100"/>
        <v>1</v>
      </c>
      <c r="AA161" s="6">
        <v>1</v>
      </c>
      <c r="AB161" s="6">
        <v>0</v>
      </c>
      <c r="AC161" s="138">
        <f t="shared" si="87"/>
        <v>37</v>
      </c>
      <c r="AD161" s="160">
        <f t="shared" si="88"/>
        <v>2.7777777777777776E-2</v>
      </c>
      <c r="AE161" s="170">
        <f t="shared" si="101"/>
        <v>2</v>
      </c>
      <c r="AF161" s="6">
        <v>1</v>
      </c>
      <c r="AG161" s="6">
        <v>1</v>
      </c>
      <c r="AH161" s="138">
        <f t="shared" si="89"/>
        <v>39</v>
      </c>
      <c r="AI161" s="160">
        <f t="shared" si="90"/>
        <v>5.4054054054054057E-2</v>
      </c>
      <c r="AJ161" s="170">
        <f t="shared" si="102"/>
        <v>1</v>
      </c>
      <c r="AK161" s="6">
        <v>0</v>
      </c>
      <c r="AL161" s="6">
        <v>1</v>
      </c>
      <c r="AM161" s="138">
        <f t="shared" si="91"/>
        <v>40</v>
      </c>
      <c r="AN161" s="160">
        <f t="shared" si="92"/>
        <v>2.564102564102564E-2</v>
      </c>
      <c r="AO161" s="170">
        <f t="shared" si="103"/>
        <v>1</v>
      </c>
      <c r="AP161" s="6">
        <v>0</v>
      </c>
      <c r="AQ161" s="6">
        <v>1</v>
      </c>
      <c r="AR161" s="138">
        <f t="shared" si="93"/>
        <v>41</v>
      </c>
      <c r="AS161" s="160">
        <f t="shared" si="94"/>
        <v>2.5000000000000001E-2</v>
      </c>
      <c r="AT161" s="164">
        <f t="shared" si="95"/>
        <v>5</v>
      </c>
      <c r="AU161" s="165">
        <f t="shared" si="104"/>
        <v>3.3047614055361274E-2</v>
      </c>
    </row>
    <row r="162" spans="2:47" outlineLevel="1" x14ac:dyDescent="0.35">
      <c r="B162" s="48" t="s">
        <v>99</v>
      </c>
      <c r="C162" s="62" t="s">
        <v>141</v>
      </c>
      <c r="D162" s="70">
        <v>0</v>
      </c>
      <c r="E162" s="71">
        <v>192</v>
      </c>
      <c r="F162" s="81">
        <v>4</v>
      </c>
      <c r="G162" s="4">
        <v>196</v>
      </c>
      <c r="H162" s="185">
        <f t="shared" si="82"/>
        <v>2.0833333333333332E-2</v>
      </c>
      <c r="I162" s="81">
        <v>12</v>
      </c>
      <c r="J162" s="4">
        <v>208</v>
      </c>
      <c r="K162" s="185">
        <f t="shared" si="83"/>
        <v>6.1224489795918366E-2</v>
      </c>
      <c r="L162" s="81">
        <v>7</v>
      </c>
      <c r="M162" s="4">
        <v>215</v>
      </c>
      <c r="N162" s="167">
        <f t="shared" si="84"/>
        <v>3.3653846153846152E-2</v>
      </c>
      <c r="O162" s="81">
        <v>4</v>
      </c>
      <c r="P162" s="4">
        <v>219</v>
      </c>
      <c r="Q162" s="167">
        <f t="shared" si="96"/>
        <v>1.8604651162790697E-2</v>
      </c>
      <c r="R162" s="164">
        <f t="shared" si="97"/>
        <v>27</v>
      </c>
      <c r="S162" s="165">
        <f t="shared" si="98"/>
        <v>3.3441081128813721E-2</v>
      </c>
      <c r="U162" s="170">
        <f t="shared" si="99"/>
        <v>10</v>
      </c>
      <c r="V162" s="6">
        <v>10</v>
      </c>
      <c r="W162" s="6">
        <v>0</v>
      </c>
      <c r="X162" s="138">
        <f t="shared" si="85"/>
        <v>229</v>
      </c>
      <c r="Y162" s="167">
        <f t="shared" si="86"/>
        <v>4.5662100456621002E-2</v>
      </c>
      <c r="Z162" s="170">
        <f t="shared" si="100"/>
        <v>11</v>
      </c>
      <c r="AA162" s="6">
        <v>11</v>
      </c>
      <c r="AB162" s="6">
        <v>0</v>
      </c>
      <c r="AC162" s="138">
        <f t="shared" si="87"/>
        <v>240</v>
      </c>
      <c r="AD162" s="160">
        <f t="shared" si="88"/>
        <v>4.8034934497816595E-2</v>
      </c>
      <c r="AE162" s="170">
        <f t="shared" si="101"/>
        <v>9</v>
      </c>
      <c r="AF162" s="6">
        <v>9</v>
      </c>
      <c r="AG162" s="6">
        <v>0</v>
      </c>
      <c r="AH162" s="138">
        <f t="shared" si="89"/>
        <v>249</v>
      </c>
      <c r="AI162" s="160">
        <f t="shared" si="90"/>
        <v>3.7499999999999999E-2</v>
      </c>
      <c r="AJ162" s="170">
        <f t="shared" si="102"/>
        <v>9</v>
      </c>
      <c r="AK162" s="6">
        <v>8</v>
      </c>
      <c r="AL162" s="6">
        <v>1</v>
      </c>
      <c r="AM162" s="138">
        <f t="shared" si="91"/>
        <v>258</v>
      </c>
      <c r="AN162" s="160">
        <f t="shared" si="92"/>
        <v>3.614457831325301E-2</v>
      </c>
      <c r="AO162" s="170">
        <f t="shared" si="103"/>
        <v>8</v>
      </c>
      <c r="AP162" s="6">
        <v>7</v>
      </c>
      <c r="AQ162" s="6">
        <v>1</v>
      </c>
      <c r="AR162" s="138">
        <f t="shared" si="93"/>
        <v>266</v>
      </c>
      <c r="AS162" s="160">
        <f t="shared" si="94"/>
        <v>3.1007751937984496E-2</v>
      </c>
      <c r="AT162" s="164">
        <f t="shared" si="95"/>
        <v>47</v>
      </c>
      <c r="AU162" s="165">
        <f t="shared" si="104"/>
        <v>3.8153418979304465E-2</v>
      </c>
    </row>
    <row r="163" spans="2:47" outlineLevel="1" x14ac:dyDescent="0.35">
      <c r="B163" s="48" t="s">
        <v>100</v>
      </c>
      <c r="C163" s="62" t="s">
        <v>141</v>
      </c>
      <c r="D163" s="70">
        <v>1</v>
      </c>
      <c r="E163" s="71">
        <v>21</v>
      </c>
      <c r="F163" s="81">
        <v>-1</v>
      </c>
      <c r="G163" s="4">
        <v>20</v>
      </c>
      <c r="H163" s="185">
        <f t="shared" si="82"/>
        <v>-4.7619047619047616E-2</v>
      </c>
      <c r="I163" s="81">
        <v>0</v>
      </c>
      <c r="J163" s="4">
        <v>20</v>
      </c>
      <c r="K163" s="185">
        <f t="shared" si="83"/>
        <v>0</v>
      </c>
      <c r="L163" s="81">
        <v>-1</v>
      </c>
      <c r="M163" s="4">
        <v>19</v>
      </c>
      <c r="N163" s="167">
        <f t="shared" si="84"/>
        <v>-0.05</v>
      </c>
      <c r="O163" s="81">
        <v>-1</v>
      </c>
      <c r="P163" s="4">
        <v>18</v>
      </c>
      <c r="Q163" s="167">
        <f t="shared" si="96"/>
        <v>-5.2631578947368418E-2</v>
      </c>
      <c r="R163" s="164">
        <f t="shared" si="97"/>
        <v>-2</v>
      </c>
      <c r="S163" s="165">
        <f t="shared" si="98"/>
        <v>-3.7804541804238534E-2</v>
      </c>
      <c r="U163" s="170">
        <f t="shared" si="99"/>
        <v>0</v>
      </c>
      <c r="V163" s="6">
        <v>0</v>
      </c>
      <c r="W163" s="6">
        <v>0</v>
      </c>
      <c r="X163" s="138">
        <f t="shared" si="85"/>
        <v>18</v>
      </c>
      <c r="Y163" s="167">
        <f t="shared" si="86"/>
        <v>0</v>
      </c>
      <c r="Z163" s="170">
        <f t="shared" si="100"/>
        <v>1</v>
      </c>
      <c r="AA163" s="6">
        <v>0</v>
      </c>
      <c r="AB163" s="6">
        <v>1</v>
      </c>
      <c r="AC163" s="138">
        <f t="shared" si="87"/>
        <v>19</v>
      </c>
      <c r="AD163" s="160">
        <f t="shared" si="88"/>
        <v>5.5555555555555552E-2</v>
      </c>
      <c r="AE163" s="170">
        <f t="shared" si="101"/>
        <v>1</v>
      </c>
      <c r="AF163" s="6">
        <v>0</v>
      </c>
      <c r="AG163" s="6">
        <v>1</v>
      </c>
      <c r="AH163" s="138">
        <f t="shared" si="89"/>
        <v>20</v>
      </c>
      <c r="AI163" s="160">
        <f t="shared" si="90"/>
        <v>5.2631578947368418E-2</v>
      </c>
      <c r="AJ163" s="170">
        <f t="shared" si="102"/>
        <v>1</v>
      </c>
      <c r="AK163" s="6">
        <v>0</v>
      </c>
      <c r="AL163" s="6">
        <v>1</v>
      </c>
      <c r="AM163" s="138">
        <f t="shared" si="91"/>
        <v>21</v>
      </c>
      <c r="AN163" s="160">
        <f t="shared" si="92"/>
        <v>0.05</v>
      </c>
      <c r="AO163" s="170">
        <f t="shared" si="103"/>
        <v>2</v>
      </c>
      <c r="AP163" s="6">
        <v>0</v>
      </c>
      <c r="AQ163" s="6">
        <v>2</v>
      </c>
      <c r="AR163" s="138">
        <f t="shared" si="93"/>
        <v>23</v>
      </c>
      <c r="AS163" s="160">
        <f t="shared" si="94"/>
        <v>9.5238095238095233E-2</v>
      </c>
      <c r="AT163" s="164">
        <f t="shared" si="95"/>
        <v>5</v>
      </c>
      <c r="AU163" s="165">
        <f t="shared" si="104"/>
        <v>6.3197220895953032E-2</v>
      </c>
    </row>
    <row r="164" spans="2:47" outlineLevel="1" x14ac:dyDescent="0.35">
      <c r="B164" s="48" t="s">
        <v>101</v>
      </c>
      <c r="C164" s="62" t="s">
        <v>141</v>
      </c>
      <c r="D164" s="70">
        <v>0</v>
      </c>
      <c r="E164" s="71">
        <v>0</v>
      </c>
      <c r="F164" s="81">
        <v>0</v>
      </c>
      <c r="G164" s="4">
        <v>0</v>
      </c>
      <c r="H164" s="185">
        <f t="shared" si="82"/>
        <v>0</v>
      </c>
      <c r="I164" s="81">
        <v>0</v>
      </c>
      <c r="J164" s="4">
        <v>0</v>
      </c>
      <c r="K164" s="185">
        <f t="shared" si="83"/>
        <v>0</v>
      </c>
      <c r="L164" s="81">
        <v>0</v>
      </c>
      <c r="M164" s="4"/>
      <c r="N164" s="167">
        <f t="shared" si="84"/>
        <v>0</v>
      </c>
      <c r="O164" s="81">
        <v>0</v>
      </c>
      <c r="P164" s="4"/>
      <c r="Q164" s="167">
        <f t="shared" si="96"/>
        <v>0</v>
      </c>
      <c r="R164" s="164">
        <f t="shared" si="97"/>
        <v>0</v>
      </c>
      <c r="S164" s="165">
        <f t="shared" si="98"/>
        <v>0</v>
      </c>
      <c r="U164" s="170">
        <f t="shared" si="99"/>
        <v>0</v>
      </c>
      <c r="V164" s="6">
        <v>0</v>
      </c>
      <c r="W164" s="6">
        <v>0</v>
      </c>
      <c r="X164" s="138">
        <f t="shared" si="85"/>
        <v>0</v>
      </c>
      <c r="Y164" s="167">
        <f t="shared" si="86"/>
        <v>0</v>
      </c>
      <c r="Z164" s="170">
        <f t="shared" si="100"/>
        <v>0</v>
      </c>
      <c r="AA164" s="6">
        <v>0</v>
      </c>
      <c r="AB164" s="6">
        <v>0</v>
      </c>
      <c r="AC164" s="138">
        <f t="shared" si="87"/>
        <v>0</v>
      </c>
      <c r="AD164" s="160">
        <f t="shared" si="88"/>
        <v>0</v>
      </c>
      <c r="AE164" s="170">
        <f t="shared" si="101"/>
        <v>0</v>
      </c>
      <c r="AF164" s="6">
        <v>0</v>
      </c>
      <c r="AG164" s="6">
        <v>0</v>
      </c>
      <c r="AH164" s="138">
        <f t="shared" si="89"/>
        <v>0</v>
      </c>
      <c r="AI164" s="160">
        <f t="shared" si="90"/>
        <v>0</v>
      </c>
      <c r="AJ164" s="170">
        <f t="shared" si="102"/>
        <v>0</v>
      </c>
      <c r="AK164" s="6">
        <v>0</v>
      </c>
      <c r="AL164" s="6">
        <v>0</v>
      </c>
      <c r="AM164" s="138">
        <f t="shared" si="91"/>
        <v>0</v>
      </c>
      <c r="AN164" s="160">
        <f t="shared" si="92"/>
        <v>0</v>
      </c>
      <c r="AO164" s="170">
        <f t="shared" si="103"/>
        <v>0</v>
      </c>
      <c r="AP164" s="6">
        <v>0</v>
      </c>
      <c r="AQ164" s="6">
        <v>0</v>
      </c>
      <c r="AR164" s="138">
        <f t="shared" si="93"/>
        <v>0</v>
      </c>
      <c r="AS164" s="160">
        <f t="shared" si="94"/>
        <v>0</v>
      </c>
      <c r="AT164" s="164">
        <f t="shared" si="95"/>
        <v>0</v>
      </c>
      <c r="AU164" s="165">
        <f t="shared" si="104"/>
        <v>0</v>
      </c>
    </row>
    <row r="165" spans="2:47" outlineLevel="1" x14ac:dyDescent="0.35">
      <c r="B165" s="48" t="s">
        <v>102</v>
      </c>
      <c r="C165" s="62" t="s">
        <v>141</v>
      </c>
      <c r="D165" s="70">
        <v>2</v>
      </c>
      <c r="E165" s="71">
        <v>82</v>
      </c>
      <c r="F165" s="81">
        <v>-1</v>
      </c>
      <c r="G165" s="4">
        <v>81</v>
      </c>
      <c r="H165" s="185">
        <f t="shared" si="82"/>
        <v>-1.2195121951219513E-2</v>
      </c>
      <c r="I165" s="81">
        <v>1</v>
      </c>
      <c r="J165" s="4">
        <v>82</v>
      </c>
      <c r="K165" s="185">
        <f t="shared" si="83"/>
        <v>1.2345679012345678E-2</v>
      </c>
      <c r="L165" s="81">
        <v>1</v>
      </c>
      <c r="M165" s="4">
        <v>83</v>
      </c>
      <c r="N165" s="167">
        <f t="shared" si="84"/>
        <v>1.2195121951219513E-2</v>
      </c>
      <c r="O165" s="81">
        <v>-4</v>
      </c>
      <c r="P165" s="4">
        <v>79</v>
      </c>
      <c r="Q165" s="167">
        <f t="shared" si="96"/>
        <v>-4.8192771084337352E-2</v>
      </c>
      <c r="R165" s="164">
        <f t="shared" si="97"/>
        <v>-1</v>
      </c>
      <c r="S165" s="165">
        <f t="shared" si="98"/>
        <v>-9.2745720664620945E-3</v>
      </c>
      <c r="U165" s="170">
        <f t="shared" si="99"/>
        <v>0</v>
      </c>
      <c r="V165" s="6">
        <v>0</v>
      </c>
      <c r="W165" s="6">
        <v>0</v>
      </c>
      <c r="X165" s="138">
        <f t="shared" si="85"/>
        <v>79</v>
      </c>
      <c r="Y165" s="167">
        <f t="shared" si="86"/>
        <v>0</v>
      </c>
      <c r="Z165" s="170">
        <f t="shared" si="100"/>
        <v>0</v>
      </c>
      <c r="AA165" s="6">
        <v>0</v>
      </c>
      <c r="AB165" s="6">
        <v>0</v>
      </c>
      <c r="AC165" s="138">
        <f t="shared" si="87"/>
        <v>79</v>
      </c>
      <c r="AD165" s="160">
        <f t="shared" si="88"/>
        <v>0</v>
      </c>
      <c r="AE165" s="170">
        <f t="shared" si="101"/>
        <v>0</v>
      </c>
      <c r="AF165" s="6">
        <v>0</v>
      </c>
      <c r="AG165" s="6">
        <v>0</v>
      </c>
      <c r="AH165" s="138">
        <f t="shared" si="89"/>
        <v>79</v>
      </c>
      <c r="AI165" s="160">
        <f t="shared" si="90"/>
        <v>0</v>
      </c>
      <c r="AJ165" s="170">
        <f t="shared" si="102"/>
        <v>0</v>
      </c>
      <c r="AK165" s="6">
        <v>0</v>
      </c>
      <c r="AL165" s="6">
        <v>0</v>
      </c>
      <c r="AM165" s="138">
        <f t="shared" si="91"/>
        <v>79</v>
      </c>
      <c r="AN165" s="160">
        <f t="shared" si="92"/>
        <v>0</v>
      </c>
      <c r="AO165" s="170">
        <f t="shared" si="103"/>
        <v>0</v>
      </c>
      <c r="AP165" s="6">
        <v>0</v>
      </c>
      <c r="AQ165" s="6">
        <v>0</v>
      </c>
      <c r="AR165" s="138">
        <f t="shared" si="93"/>
        <v>79</v>
      </c>
      <c r="AS165" s="160">
        <f t="shared" si="94"/>
        <v>0</v>
      </c>
      <c r="AT165" s="164">
        <f t="shared" si="95"/>
        <v>0</v>
      </c>
      <c r="AU165" s="165">
        <f t="shared" si="104"/>
        <v>0</v>
      </c>
    </row>
    <row r="166" spans="2:47" outlineLevel="1" x14ac:dyDescent="0.35">
      <c r="B166" s="48" t="s">
        <v>103</v>
      </c>
      <c r="C166" s="62" t="s">
        <v>141</v>
      </c>
      <c r="D166" s="70">
        <v>0</v>
      </c>
      <c r="E166" s="71">
        <v>0</v>
      </c>
      <c r="F166" s="81">
        <v>0</v>
      </c>
      <c r="G166" s="4">
        <v>0</v>
      </c>
      <c r="H166" s="185">
        <f t="shared" si="82"/>
        <v>0</v>
      </c>
      <c r="I166" s="81">
        <v>0</v>
      </c>
      <c r="J166" s="4">
        <v>0</v>
      </c>
      <c r="K166" s="185">
        <f t="shared" si="83"/>
        <v>0</v>
      </c>
      <c r="L166" s="81">
        <v>0</v>
      </c>
      <c r="M166" s="4"/>
      <c r="N166" s="167">
        <f t="shared" si="84"/>
        <v>0</v>
      </c>
      <c r="O166" s="81">
        <v>0</v>
      </c>
      <c r="P166" s="4"/>
      <c r="Q166" s="167">
        <f t="shared" si="96"/>
        <v>0</v>
      </c>
      <c r="R166" s="164">
        <f t="shared" si="97"/>
        <v>0</v>
      </c>
      <c r="S166" s="165">
        <f t="shared" si="98"/>
        <v>0</v>
      </c>
      <c r="U166" s="170">
        <f t="shared" si="99"/>
        <v>0</v>
      </c>
      <c r="V166" s="6">
        <v>0</v>
      </c>
      <c r="W166" s="6">
        <v>0</v>
      </c>
      <c r="X166" s="138">
        <f t="shared" si="85"/>
        <v>0</v>
      </c>
      <c r="Y166" s="167">
        <f t="shared" si="86"/>
        <v>0</v>
      </c>
      <c r="Z166" s="170">
        <f t="shared" si="100"/>
        <v>0</v>
      </c>
      <c r="AA166" s="6">
        <v>0</v>
      </c>
      <c r="AB166" s="6">
        <v>0</v>
      </c>
      <c r="AC166" s="138">
        <f t="shared" si="87"/>
        <v>0</v>
      </c>
      <c r="AD166" s="160">
        <f t="shared" si="88"/>
        <v>0</v>
      </c>
      <c r="AE166" s="170">
        <f t="shared" si="101"/>
        <v>0</v>
      </c>
      <c r="AF166" s="6">
        <v>0</v>
      </c>
      <c r="AG166" s="6">
        <v>0</v>
      </c>
      <c r="AH166" s="138">
        <f t="shared" si="89"/>
        <v>0</v>
      </c>
      <c r="AI166" s="160">
        <f t="shared" si="90"/>
        <v>0</v>
      </c>
      <c r="AJ166" s="170">
        <f t="shared" si="102"/>
        <v>0</v>
      </c>
      <c r="AK166" s="6">
        <v>0</v>
      </c>
      <c r="AL166" s="6">
        <v>0</v>
      </c>
      <c r="AM166" s="138">
        <f t="shared" si="91"/>
        <v>0</v>
      </c>
      <c r="AN166" s="160">
        <f t="shared" si="92"/>
        <v>0</v>
      </c>
      <c r="AO166" s="170">
        <f t="shared" si="103"/>
        <v>0</v>
      </c>
      <c r="AP166" s="6">
        <v>0</v>
      </c>
      <c r="AQ166" s="6">
        <v>0</v>
      </c>
      <c r="AR166" s="138">
        <f t="shared" si="93"/>
        <v>0</v>
      </c>
      <c r="AS166" s="160">
        <f t="shared" si="94"/>
        <v>0</v>
      </c>
      <c r="AT166" s="164">
        <f t="shared" si="95"/>
        <v>0</v>
      </c>
      <c r="AU166" s="165">
        <f t="shared" si="104"/>
        <v>0</v>
      </c>
    </row>
    <row r="167" spans="2:47" outlineLevel="1" x14ac:dyDescent="0.35">
      <c r="B167" s="48" t="s">
        <v>104</v>
      </c>
      <c r="C167" s="62" t="s">
        <v>141</v>
      </c>
      <c r="D167" s="70">
        <v>0</v>
      </c>
      <c r="E167" s="71">
        <v>0</v>
      </c>
      <c r="F167" s="81">
        <v>0</v>
      </c>
      <c r="G167" s="4">
        <v>0</v>
      </c>
      <c r="H167" s="185">
        <f t="shared" si="82"/>
        <v>0</v>
      </c>
      <c r="I167" s="81">
        <v>0</v>
      </c>
      <c r="J167" s="4">
        <v>0</v>
      </c>
      <c r="K167" s="185">
        <f t="shared" si="83"/>
        <v>0</v>
      </c>
      <c r="L167" s="81">
        <v>0</v>
      </c>
      <c r="M167" s="4"/>
      <c r="N167" s="167">
        <f t="shared" si="84"/>
        <v>0</v>
      </c>
      <c r="O167" s="81">
        <v>0</v>
      </c>
      <c r="P167" s="4"/>
      <c r="Q167" s="167">
        <f t="shared" si="96"/>
        <v>0</v>
      </c>
      <c r="R167" s="164">
        <f t="shared" si="97"/>
        <v>0</v>
      </c>
      <c r="S167" s="165">
        <f t="shared" si="98"/>
        <v>0</v>
      </c>
      <c r="U167" s="170">
        <f t="shared" si="99"/>
        <v>0</v>
      </c>
      <c r="V167" s="6"/>
      <c r="W167" s="6"/>
      <c r="X167" s="138">
        <f t="shared" si="85"/>
        <v>0</v>
      </c>
      <c r="Y167" s="167">
        <f t="shared" si="86"/>
        <v>0</v>
      </c>
      <c r="Z167" s="170">
        <f t="shared" si="100"/>
        <v>0</v>
      </c>
      <c r="AA167" s="6">
        <v>0</v>
      </c>
      <c r="AB167" s="6">
        <v>0</v>
      </c>
      <c r="AC167" s="138">
        <f t="shared" si="87"/>
        <v>0</v>
      </c>
      <c r="AD167" s="160">
        <f t="shared" si="88"/>
        <v>0</v>
      </c>
      <c r="AE167" s="170">
        <f t="shared" si="101"/>
        <v>0</v>
      </c>
      <c r="AF167" s="6">
        <v>0</v>
      </c>
      <c r="AG167" s="6">
        <v>0</v>
      </c>
      <c r="AH167" s="138">
        <f t="shared" si="89"/>
        <v>0</v>
      </c>
      <c r="AI167" s="160">
        <f t="shared" si="90"/>
        <v>0</v>
      </c>
      <c r="AJ167" s="170">
        <f t="shared" si="102"/>
        <v>0</v>
      </c>
      <c r="AK167" s="6">
        <v>0</v>
      </c>
      <c r="AL167" s="6">
        <v>0</v>
      </c>
      <c r="AM167" s="138">
        <f t="shared" si="91"/>
        <v>0</v>
      </c>
      <c r="AN167" s="160">
        <f t="shared" si="92"/>
        <v>0</v>
      </c>
      <c r="AO167" s="170">
        <f t="shared" si="103"/>
        <v>1</v>
      </c>
      <c r="AP167" s="6">
        <v>0</v>
      </c>
      <c r="AQ167" s="6">
        <v>1</v>
      </c>
      <c r="AR167" s="138">
        <f t="shared" si="93"/>
        <v>1</v>
      </c>
      <c r="AS167" s="160">
        <f t="shared" si="94"/>
        <v>0</v>
      </c>
      <c r="AT167" s="164">
        <f t="shared" si="95"/>
        <v>1</v>
      </c>
      <c r="AU167" s="165">
        <f t="shared" si="104"/>
        <v>0</v>
      </c>
    </row>
    <row r="168" spans="2:47" outlineLevel="1" x14ac:dyDescent="0.35">
      <c r="B168" s="48" t="s">
        <v>136</v>
      </c>
      <c r="C168" s="62" t="s">
        <v>141</v>
      </c>
      <c r="D168" s="70">
        <v>0</v>
      </c>
      <c r="E168" s="71">
        <v>0</v>
      </c>
      <c r="F168" s="81">
        <v>0</v>
      </c>
      <c r="G168" s="4">
        <v>0</v>
      </c>
      <c r="H168" s="185">
        <f t="shared" si="82"/>
        <v>0</v>
      </c>
      <c r="I168" s="81">
        <v>0</v>
      </c>
      <c r="J168" s="4">
        <v>0</v>
      </c>
      <c r="K168" s="185">
        <f t="shared" si="83"/>
        <v>0</v>
      </c>
      <c r="L168" s="81">
        <v>0</v>
      </c>
      <c r="M168" s="4"/>
      <c r="N168" s="167">
        <f t="shared" si="84"/>
        <v>0</v>
      </c>
      <c r="O168" s="81">
        <v>0</v>
      </c>
      <c r="P168" s="4"/>
      <c r="Q168" s="167">
        <f t="shared" si="96"/>
        <v>0</v>
      </c>
      <c r="R168" s="164">
        <f t="shared" si="97"/>
        <v>0</v>
      </c>
      <c r="S168" s="165">
        <f t="shared" si="98"/>
        <v>0</v>
      </c>
      <c r="U168" s="170"/>
      <c r="V168" s="6">
        <v>0</v>
      </c>
      <c r="W168" s="6">
        <v>0</v>
      </c>
      <c r="X168" s="138"/>
      <c r="Y168" s="167"/>
      <c r="Z168" s="170">
        <f t="shared" si="100"/>
        <v>0</v>
      </c>
      <c r="AA168" s="6">
        <v>0</v>
      </c>
      <c r="AB168" s="6">
        <v>0</v>
      </c>
      <c r="AC168" s="138">
        <f t="shared" si="87"/>
        <v>0</v>
      </c>
      <c r="AD168" s="160">
        <f t="shared" si="88"/>
        <v>0</v>
      </c>
      <c r="AE168" s="170">
        <f t="shared" si="101"/>
        <v>0</v>
      </c>
      <c r="AF168" s="6">
        <v>0</v>
      </c>
      <c r="AG168" s="6">
        <v>0</v>
      </c>
      <c r="AH168" s="138">
        <f t="shared" si="89"/>
        <v>0</v>
      </c>
      <c r="AI168" s="160">
        <f t="shared" si="90"/>
        <v>0</v>
      </c>
      <c r="AJ168" s="170">
        <f t="shared" si="102"/>
        <v>0</v>
      </c>
      <c r="AK168" s="6">
        <v>0</v>
      </c>
      <c r="AL168" s="6">
        <v>0</v>
      </c>
      <c r="AM168" s="138">
        <f t="shared" si="91"/>
        <v>0</v>
      </c>
      <c r="AN168" s="160">
        <f t="shared" si="92"/>
        <v>0</v>
      </c>
      <c r="AO168" s="170">
        <f t="shared" si="103"/>
        <v>0</v>
      </c>
      <c r="AP168" s="6">
        <v>0</v>
      </c>
      <c r="AQ168" s="6">
        <v>0</v>
      </c>
      <c r="AR168" s="138">
        <f t="shared" si="93"/>
        <v>0</v>
      </c>
      <c r="AS168" s="160">
        <f t="shared" si="94"/>
        <v>0</v>
      </c>
      <c r="AT168" s="164">
        <f t="shared" si="95"/>
        <v>0</v>
      </c>
      <c r="AU168" s="165">
        <f t="shared" si="104"/>
        <v>0</v>
      </c>
    </row>
    <row r="169" spans="2:47" outlineLevel="1" x14ac:dyDescent="0.35">
      <c r="B169" s="48" t="s">
        <v>106</v>
      </c>
      <c r="C169" s="62" t="s">
        <v>141</v>
      </c>
      <c r="D169" s="70">
        <v>0</v>
      </c>
      <c r="E169" s="71">
        <v>19</v>
      </c>
      <c r="F169" s="81">
        <v>0</v>
      </c>
      <c r="G169" s="4">
        <v>19</v>
      </c>
      <c r="H169" s="185">
        <f t="shared" si="82"/>
        <v>0</v>
      </c>
      <c r="I169" s="81">
        <v>0</v>
      </c>
      <c r="J169" s="4">
        <v>19</v>
      </c>
      <c r="K169" s="185">
        <f t="shared" si="83"/>
        <v>0</v>
      </c>
      <c r="L169" s="81">
        <v>0</v>
      </c>
      <c r="M169" s="4">
        <v>19</v>
      </c>
      <c r="N169" s="167">
        <f t="shared" si="84"/>
        <v>0</v>
      </c>
      <c r="O169" s="81">
        <v>1</v>
      </c>
      <c r="P169" s="4">
        <v>20</v>
      </c>
      <c r="Q169" s="167">
        <f t="shared" si="96"/>
        <v>5.2631578947368418E-2</v>
      </c>
      <c r="R169" s="164">
        <f t="shared" si="97"/>
        <v>1</v>
      </c>
      <c r="S169" s="165">
        <f t="shared" si="98"/>
        <v>1.2905894979960086E-2</v>
      </c>
      <c r="U169" s="170">
        <f t="shared" si="99"/>
        <v>0</v>
      </c>
      <c r="V169" s="6">
        <v>0</v>
      </c>
      <c r="W169" s="6">
        <v>0</v>
      </c>
      <c r="X169" s="138">
        <f t="shared" si="85"/>
        <v>20</v>
      </c>
      <c r="Y169" s="167">
        <f t="shared" si="86"/>
        <v>0</v>
      </c>
      <c r="Z169" s="170">
        <f t="shared" si="100"/>
        <v>1</v>
      </c>
      <c r="AA169" s="6">
        <v>1</v>
      </c>
      <c r="AB169" s="6">
        <v>0</v>
      </c>
      <c r="AC169" s="138">
        <f t="shared" si="87"/>
        <v>21</v>
      </c>
      <c r="AD169" s="160">
        <f t="shared" si="88"/>
        <v>0.05</v>
      </c>
      <c r="AE169" s="170">
        <f t="shared" si="101"/>
        <v>1</v>
      </c>
      <c r="AF169" s="6">
        <v>1</v>
      </c>
      <c r="AG169" s="6">
        <v>0</v>
      </c>
      <c r="AH169" s="138">
        <f t="shared" si="89"/>
        <v>22</v>
      </c>
      <c r="AI169" s="160">
        <f t="shared" si="90"/>
        <v>4.7619047619047616E-2</v>
      </c>
      <c r="AJ169" s="170">
        <f t="shared" si="102"/>
        <v>0</v>
      </c>
      <c r="AK169" s="6">
        <v>0</v>
      </c>
      <c r="AL169" s="6">
        <v>0</v>
      </c>
      <c r="AM169" s="138">
        <f t="shared" si="91"/>
        <v>22</v>
      </c>
      <c r="AN169" s="160">
        <f t="shared" si="92"/>
        <v>0</v>
      </c>
      <c r="AO169" s="170">
        <f t="shared" si="103"/>
        <v>1</v>
      </c>
      <c r="AP169" s="6">
        <v>1</v>
      </c>
      <c r="AQ169" s="6">
        <v>0</v>
      </c>
      <c r="AR169" s="138">
        <f t="shared" si="93"/>
        <v>23</v>
      </c>
      <c r="AS169" s="160">
        <f t="shared" si="94"/>
        <v>4.5454545454545456E-2</v>
      </c>
      <c r="AT169" s="164">
        <f t="shared" si="95"/>
        <v>3</v>
      </c>
      <c r="AU169" s="165">
        <f t="shared" si="104"/>
        <v>3.5558076341622114E-2</v>
      </c>
    </row>
    <row r="170" spans="2:47" outlineLevel="1" x14ac:dyDescent="0.35">
      <c r="B170" s="48" t="s">
        <v>107</v>
      </c>
      <c r="C170" s="62" t="s">
        <v>141</v>
      </c>
      <c r="D170" s="70">
        <v>0</v>
      </c>
      <c r="E170" s="71">
        <v>51</v>
      </c>
      <c r="F170" s="81">
        <v>0</v>
      </c>
      <c r="G170" s="4">
        <v>51</v>
      </c>
      <c r="H170" s="185">
        <f t="shared" si="82"/>
        <v>0</v>
      </c>
      <c r="I170" s="81">
        <v>2</v>
      </c>
      <c r="J170" s="4">
        <v>53</v>
      </c>
      <c r="K170" s="185">
        <f t="shared" si="83"/>
        <v>3.9215686274509803E-2</v>
      </c>
      <c r="L170" s="81">
        <v>3</v>
      </c>
      <c r="M170" s="4">
        <v>56</v>
      </c>
      <c r="N170" s="167">
        <f t="shared" si="84"/>
        <v>5.6603773584905662E-2</v>
      </c>
      <c r="O170" s="81">
        <v>1</v>
      </c>
      <c r="P170" s="4">
        <v>57</v>
      </c>
      <c r="Q170" s="167">
        <f t="shared" si="96"/>
        <v>1.7857142857142856E-2</v>
      </c>
      <c r="R170" s="164">
        <f t="shared" si="97"/>
        <v>6</v>
      </c>
      <c r="S170" s="165">
        <f t="shared" si="98"/>
        <v>2.8196615313359485E-2</v>
      </c>
      <c r="U170" s="170">
        <f t="shared" si="99"/>
        <v>2</v>
      </c>
      <c r="V170" s="6">
        <v>2</v>
      </c>
      <c r="W170" s="6">
        <v>0</v>
      </c>
      <c r="X170" s="138">
        <f t="shared" si="85"/>
        <v>59</v>
      </c>
      <c r="Y170" s="167">
        <f t="shared" si="86"/>
        <v>3.5087719298245612E-2</v>
      </c>
      <c r="Z170" s="170">
        <f t="shared" si="100"/>
        <v>3</v>
      </c>
      <c r="AA170" s="6">
        <v>3</v>
      </c>
      <c r="AB170" s="6">
        <v>0</v>
      </c>
      <c r="AC170" s="138">
        <f t="shared" si="87"/>
        <v>62</v>
      </c>
      <c r="AD170" s="160">
        <f t="shared" si="88"/>
        <v>5.0847457627118647E-2</v>
      </c>
      <c r="AE170" s="170">
        <f t="shared" si="101"/>
        <v>2</v>
      </c>
      <c r="AF170" s="6">
        <v>2</v>
      </c>
      <c r="AG170" s="6">
        <v>0</v>
      </c>
      <c r="AH170" s="138">
        <f t="shared" si="89"/>
        <v>64</v>
      </c>
      <c r="AI170" s="160">
        <f t="shared" si="90"/>
        <v>3.2258064516129031E-2</v>
      </c>
      <c r="AJ170" s="170">
        <f t="shared" si="102"/>
        <v>2</v>
      </c>
      <c r="AK170" s="6">
        <v>2</v>
      </c>
      <c r="AL170" s="6">
        <v>0</v>
      </c>
      <c r="AM170" s="138">
        <f t="shared" si="91"/>
        <v>66</v>
      </c>
      <c r="AN170" s="160">
        <f t="shared" si="92"/>
        <v>3.125E-2</v>
      </c>
      <c r="AO170" s="170">
        <f t="shared" si="103"/>
        <v>2</v>
      </c>
      <c r="AP170" s="6">
        <v>2</v>
      </c>
      <c r="AQ170" s="6">
        <v>0</v>
      </c>
      <c r="AR170" s="138">
        <f t="shared" si="93"/>
        <v>68</v>
      </c>
      <c r="AS170" s="160">
        <f t="shared" si="94"/>
        <v>3.0303030303030304E-2</v>
      </c>
      <c r="AT170" s="164">
        <f t="shared" si="95"/>
        <v>11</v>
      </c>
      <c r="AU170" s="165">
        <f t="shared" si="104"/>
        <v>3.6129944802360869E-2</v>
      </c>
    </row>
    <row r="171" spans="2:47" outlineLevel="1" x14ac:dyDescent="0.35">
      <c r="B171" s="48" t="s">
        <v>108</v>
      </c>
      <c r="C171" s="62" t="s">
        <v>141</v>
      </c>
      <c r="D171" s="70">
        <v>0</v>
      </c>
      <c r="E171" s="71">
        <v>55</v>
      </c>
      <c r="F171" s="81">
        <v>0</v>
      </c>
      <c r="G171" s="4">
        <v>55</v>
      </c>
      <c r="H171" s="185">
        <f t="shared" si="82"/>
        <v>0</v>
      </c>
      <c r="I171" s="81">
        <v>0</v>
      </c>
      <c r="J171" s="4">
        <v>55</v>
      </c>
      <c r="K171" s="185">
        <f t="shared" si="83"/>
        <v>0</v>
      </c>
      <c r="L171" s="81">
        <v>0</v>
      </c>
      <c r="M171" s="4">
        <v>55</v>
      </c>
      <c r="N171" s="167">
        <f t="shared" si="84"/>
        <v>0</v>
      </c>
      <c r="O171" s="81">
        <v>-1</v>
      </c>
      <c r="P171" s="4">
        <v>54</v>
      </c>
      <c r="Q171" s="167">
        <f t="shared" si="96"/>
        <v>-1.8181818181818181E-2</v>
      </c>
      <c r="R171" s="164">
        <f t="shared" si="97"/>
        <v>-1</v>
      </c>
      <c r="S171" s="165">
        <f t="shared" si="98"/>
        <v>-4.5767791468170893E-3</v>
      </c>
      <c r="U171" s="170">
        <f t="shared" si="99"/>
        <v>1</v>
      </c>
      <c r="V171" s="6">
        <v>0</v>
      </c>
      <c r="W171" s="6">
        <v>1</v>
      </c>
      <c r="X171" s="138">
        <f t="shared" si="85"/>
        <v>55</v>
      </c>
      <c r="Y171" s="167">
        <f t="shared" si="86"/>
        <v>1.8518518518518517E-2</v>
      </c>
      <c r="Z171" s="170">
        <f t="shared" si="100"/>
        <v>1</v>
      </c>
      <c r="AA171" s="6">
        <v>0</v>
      </c>
      <c r="AB171" s="6">
        <v>1</v>
      </c>
      <c r="AC171" s="138">
        <f t="shared" si="87"/>
        <v>56</v>
      </c>
      <c r="AD171" s="160">
        <f t="shared" si="88"/>
        <v>1.8181818181818181E-2</v>
      </c>
      <c r="AE171" s="170">
        <f t="shared" si="101"/>
        <v>1</v>
      </c>
      <c r="AF171" s="6">
        <v>0</v>
      </c>
      <c r="AG171" s="6">
        <v>1</v>
      </c>
      <c r="AH171" s="138">
        <f t="shared" si="89"/>
        <v>57</v>
      </c>
      <c r="AI171" s="160">
        <f t="shared" si="90"/>
        <v>1.7857142857142856E-2</v>
      </c>
      <c r="AJ171" s="170">
        <f t="shared" si="102"/>
        <v>2</v>
      </c>
      <c r="AK171" s="6">
        <v>0</v>
      </c>
      <c r="AL171" s="6">
        <v>2</v>
      </c>
      <c r="AM171" s="138">
        <f t="shared" si="91"/>
        <v>59</v>
      </c>
      <c r="AN171" s="160">
        <f t="shared" si="92"/>
        <v>3.5087719298245612E-2</v>
      </c>
      <c r="AO171" s="170">
        <f t="shared" si="103"/>
        <v>2</v>
      </c>
      <c r="AP171" s="6">
        <v>0</v>
      </c>
      <c r="AQ171" s="6">
        <v>2</v>
      </c>
      <c r="AR171" s="138">
        <f t="shared" si="93"/>
        <v>61</v>
      </c>
      <c r="AS171" s="160">
        <f t="shared" si="94"/>
        <v>3.3898305084745763E-2</v>
      </c>
      <c r="AT171" s="164">
        <f t="shared" si="95"/>
        <v>7</v>
      </c>
      <c r="AU171" s="165">
        <f t="shared" si="104"/>
        <v>2.6223100236965724E-2</v>
      </c>
    </row>
    <row r="172" spans="2:47" outlineLevel="1" x14ac:dyDescent="0.35">
      <c r="B172" s="48" t="s">
        <v>109</v>
      </c>
      <c r="C172" s="62" t="s">
        <v>141</v>
      </c>
      <c r="D172" s="70">
        <v>-2</v>
      </c>
      <c r="E172" s="71">
        <v>233</v>
      </c>
      <c r="F172" s="81">
        <v>1</v>
      </c>
      <c r="G172" s="4">
        <v>234</v>
      </c>
      <c r="H172" s="185">
        <f t="shared" si="82"/>
        <v>4.2918454935622317E-3</v>
      </c>
      <c r="I172" s="81">
        <v>0</v>
      </c>
      <c r="J172" s="4">
        <v>234</v>
      </c>
      <c r="K172" s="185">
        <f t="shared" si="83"/>
        <v>0</v>
      </c>
      <c r="L172" s="81">
        <v>2</v>
      </c>
      <c r="M172" s="4">
        <v>236</v>
      </c>
      <c r="N172" s="167">
        <f t="shared" si="84"/>
        <v>8.5470085470085479E-3</v>
      </c>
      <c r="O172" s="81">
        <v>-1</v>
      </c>
      <c r="P172" s="4">
        <v>235</v>
      </c>
      <c r="Q172" s="167">
        <f t="shared" si="96"/>
        <v>-4.2372881355932203E-3</v>
      </c>
      <c r="R172" s="164">
        <f t="shared" si="97"/>
        <v>0</v>
      </c>
      <c r="S172" s="165">
        <f t="shared" si="98"/>
        <v>2.1390496541198178E-3</v>
      </c>
      <c r="U172" s="170">
        <f t="shared" si="99"/>
        <v>2</v>
      </c>
      <c r="V172" s="6">
        <v>2</v>
      </c>
      <c r="W172" s="6">
        <v>0</v>
      </c>
      <c r="X172" s="138">
        <f t="shared" si="85"/>
        <v>237</v>
      </c>
      <c r="Y172" s="167">
        <f t="shared" si="86"/>
        <v>8.5106382978723406E-3</v>
      </c>
      <c r="Z172" s="170">
        <f t="shared" si="100"/>
        <v>2</v>
      </c>
      <c r="AA172" s="6">
        <v>2</v>
      </c>
      <c r="AB172" s="6">
        <v>0</v>
      </c>
      <c r="AC172" s="138">
        <f t="shared" si="87"/>
        <v>239</v>
      </c>
      <c r="AD172" s="160">
        <f t="shared" si="88"/>
        <v>8.4388185654008432E-3</v>
      </c>
      <c r="AE172" s="170">
        <f t="shared" si="101"/>
        <v>1</v>
      </c>
      <c r="AF172" s="6">
        <v>1</v>
      </c>
      <c r="AG172" s="6">
        <v>0</v>
      </c>
      <c r="AH172" s="138">
        <f t="shared" si="89"/>
        <v>240</v>
      </c>
      <c r="AI172" s="160">
        <f t="shared" si="90"/>
        <v>4.1841004184100415E-3</v>
      </c>
      <c r="AJ172" s="170">
        <f t="shared" si="102"/>
        <v>1</v>
      </c>
      <c r="AK172" s="6">
        <v>1</v>
      </c>
      <c r="AL172" s="6">
        <v>0</v>
      </c>
      <c r="AM172" s="138">
        <f t="shared" si="91"/>
        <v>241</v>
      </c>
      <c r="AN172" s="160">
        <f t="shared" si="92"/>
        <v>4.1666666666666666E-3</v>
      </c>
      <c r="AO172" s="170">
        <f t="shared" si="103"/>
        <v>1</v>
      </c>
      <c r="AP172" s="6">
        <v>1</v>
      </c>
      <c r="AQ172" s="6">
        <v>0</v>
      </c>
      <c r="AR172" s="138">
        <f t="shared" si="93"/>
        <v>242</v>
      </c>
      <c r="AS172" s="160">
        <f t="shared" si="94"/>
        <v>4.1493775933609959E-3</v>
      </c>
      <c r="AT172" s="164">
        <f t="shared" si="95"/>
        <v>7</v>
      </c>
      <c r="AU172" s="165">
        <f t="shared" si="104"/>
        <v>5.2330410328620403E-3</v>
      </c>
    </row>
    <row r="173" spans="2:47" outlineLevel="1" x14ac:dyDescent="0.35">
      <c r="B173" s="48" t="s">
        <v>110</v>
      </c>
      <c r="C173" s="62" t="s">
        <v>141</v>
      </c>
      <c r="D173" s="70">
        <v>0</v>
      </c>
      <c r="E173" s="71">
        <v>31</v>
      </c>
      <c r="F173" s="81">
        <v>0</v>
      </c>
      <c r="G173" s="4">
        <v>31</v>
      </c>
      <c r="H173" s="185">
        <f t="shared" si="82"/>
        <v>0</v>
      </c>
      <c r="I173" s="81">
        <v>0</v>
      </c>
      <c r="J173" s="4">
        <v>31</v>
      </c>
      <c r="K173" s="185">
        <f t="shared" si="83"/>
        <v>0</v>
      </c>
      <c r="L173" s="81">
        <v>0</v>
      </c>
      <c r="M173" s="4">
        <v>31</v>
      </c>
      <c r="N173" s="167">
        <f t="shared" si="84"/>
        <v>0</v>
      </c>
      <c r="O173" s="81">
        <v>0</v>
      </c>
      <c r="P173" s="4">
        <v>31</v>
      </c>
      <c r="Q173" s="167">
        <f t="shared" si="96"/>
        <v>0</v>
      </c>
      <c r="R173" s="164">
        <f t="shared" si="97"/>
        <v>0</v>
      </c>
      <c r="S173" s="165">
        <f t="shared" si="98"/>
        <v>0</v>
      </c>
      <c r="U173" s="170">
        <f t="shared" si="99"/>
        <v>0</v>
      </c>
      <c r="V173" s="6">
        <v>0</v>
      </c>
      <c r="W173" s="6">
        <v>0</v>
      </c>
      <c r="X173" s="138">
        <f t="shared" si="85"/>
        <v>31</v>
      </c>
      <c r="Y173" s="167">
        <f t="shared" si="86"/>
        <v>0</v>
      </c>
      <c r="Z173" s="170">
        <f t="shared" si="100"/>
        <v>0</v>
      </c>
      <c r="AA173" s="6">
        <v>0</v>
      </c>
      <c r="AB173" s="6">
        <v>0</v>
      </c>
      <c r="AC173" s="138">
        <f t="shared" si="87"/>
        <v>31</v>
      </c>
      <c r="AD173" s="160">
        <f t="shared" si="88"/>
        <v>0</v>
      </c>
      <c r="AE173" s="170">
        <f t="shared" si="101"/>
        <v>0</v>
      </c>
      <c r="AF173" s="6">
        <v>0</v>
      </c>
      <c r="AG173" s="6">
        <v>0</v>
      </c>
      <c r="AH173" s="138">
        <f t="shared" si="89"/>
        <v>31</v>
      </c>
      <c r="AI173" s="160">
        <f t="shared" si="90"/>
        <v>0</v>
      </c>
      <c r="AJ173" s="170">
        <f t="shared" si="102"/>
        <v>0</v>
      </c>
      <c r="AK173" s="6">
        <v>0</v>
      </c>
      <c r="AL173" s="6">
        <v>0</v>
      </c>
      <c r="AM173" s="138">
        <f t="shared" si="91"/>
        <v>31</v>
      </c>
      <c r="AN173" s="160">
        <f t="shared" si="92"/>
        <v>0</v>
      </c>
      <c r="AO173" s="170">
        <f t="shared" si="103"/>
        <v>0</v>
      </c>
      <c r="AP173" s="6">
        <v>0</v>
      </c>
      <c r="AQ173" s="6">
        <v>0</v>
      </c>
      <c r="AR173" s="138">
        <f t="shared" si="93"/>
        <v>31</v>
      </c>
      <c r="AS173" s="160">
        <f t="shared" si="94"/>
        <v>0</v>
      </c>
      <c r="AT173" s="164">
        <f t="shared" si="95"/>
        <v>0</v>
      </c>
      <c r="AU173" s="165">
        <f t="shared" si="104"/>
        <v>0</v>
      </c>
    </row>
    <row r="174" spans="2:47" outlineLevel="1" x14ac:dyDescent="0.35">
      <c r="B174" s="48" t="s">
        <v>111</v>
      </c>
      <c r="C174" s="62" t="s">
        <v>141</v>
      </c>
      <c r="D174" s="70">
        <v>0</v>
      </c>
      <c r="E174" s="71">
        <v>33</v>
      </c>
      <c r="F174" s="81">
        <v>2</v>
      </c>
      <c r="G174" s="4">
        <v>35</v>
      </c>
      <c r="H174" s="185">
        <f t="shared" si="82"/>
        <v>6.0606060606060608E-2</v>
      </c>
      <c r="I174" s="81">
        <v>-1</v>
      </c>
      <c r="J174" s="4">
        <v>34</v>
      </c>
      <c r="K174" s="185">
        <f t="shared" si="83"/>
        <v>-2.8571428571428571E-2</v>
      </c>
      <c r="L174" s="81">
        <v>-1</v>
      </c>
      <c r="M174" s="4">
        <v>33</v>
      </c>
      <c r="N174" s="167">
        <f t="shared" si="84"/>
        <v>-2.9411764705882353E-2</v>
      </c>
      <c r="O174" s="81">
        <v>1</v>
      </c>
      <c r="P174" s="4">
        <v>34</v>
      </c>
      <c r="Q174" s="167">
        <f t="shared" si="96"/>
        <v>3.0303030303030304E-2</v>
      </c>
      <c r="R174" s="164">
        <f t="shared" si="97"/>
        <v>1</v>
      </c>
      <c r="S174" s="165">
        <f t="shared" si="98"/>
        <v>7.491160182115264E-3</v>
      </c>
      <c r="U174" s="170">
        <f t="shared" si="99"/>
        <v>1</v>
      </c>
      <c r="V174" s="6">
        <v>1</v>
      </c>
      <c r="W174" s="6">
        <v>0</v>
      </c>
      <c r="X174" s="138">
        <f t="shared" si="85"/>
        <v>35</v>
      </c>
      <c r="Y174" s="167">
        <f t="shared" si="86"/>
        <v>2.9411764705882353E-2</v>
      </c>
      <c r="Z174" s="170">
        <f t="shared" si="100"/>
        <v>1</v>
      </c>
      <c r="AA174" s="6">
        <v>1</v>
      </c>
      <c r="AB174" s="6">
        <v>0</v>
      </c>
      <c r="AC174" s="138">
        <f t="shared" si="87"/>
        <v>36</v>
      </c>
      <c r="AD174" s="160">
        <f t="shared" si="88"/>
        <v>2.8571428571428571E-2</v>
      </c>
      <c r="AE174" s="170">
        <f t="shared" si="101"/>
        <v>1</v>
      </c>
      <c r="AF174" s="6">
        <v>1</v>
      </c>
      <c r="AG174" s="6">
        <v>0</v>
      </c>
      <c r="AH174" s="138">
        <f t="shared" si="89"/>
        <v>37</v>
      </c>
      <c r="AI174" s="160">
        <f t="shared" si="90"/>
        <v>2.7777777777777776E-2</v>
      </c>
      <c r="AJ174" s="170">
        <f t="shared" si="102"/>
        <v>1</v>
      </c>
      <c r="AK174" s="6">
        <v>1</v>
      </c>
      <c r="AL174" s="6">
        <v>0</v>
      </c>
      <c r="AM174" s="138">
        <f t="shared" si="91"/>
        <v>38</v>
      </c>
      <c r="AN174" s="160">
        <f t="shared" si="92"/>
        <v>2.7027027027027029E-2</v>
      </c>
      <c r="AO174" s="170">
        <f t="shared" si="103"/>
        <v>1</v>
      </c>
      <c r="AP174" s="6">
        <v>1</v>
      </c>
      <c r="AQ174" s="6">
        <v>0</v>
      </c>
      <c r="AR174" s="138">
        <f t="shared" si="93"/>
        <v>39</v>
      </c>
      <c r="AS174" s="160">
        <f t="shared" si="94"/>
        <v>2.6315789473684209E-2</v>
      </c>
      <c r="AT174" s="164">
        <f t="shared" si="95"/>
        <v>5</v>
      </c>
      <c r="AU174" s="165">
        <f t="shared" si="104"/>
        <v>2.7422661723740305E-2</v>
      </c>
    </row>
    <row r="175" spans="2:47" outlineLevel="1" x14ac:dyDescent="0.35">
      <c r="B175" s="48" t="s">
        <v>112</v>
      </c>
      <c r="C175" s="62" t="s">
        <v>141</v>
      </c>
      <c r="D175" s="70">
        <v>2</v>
      </c>
      <c r="E175" s="71">
        <v>49</v>
      </c>
      <c r="F175" s="81">
        <v>1</v>
      </c>
      <c r="G175" s="4">
        <v>50</v>
      </c>
      <c r="H175" s="185">
        <f t="shared" si="82"/>
        <v>2.0408163265306121E-2</v>
      </c>
      <c r="I175" s="81">
        <v>0</v>
      </c>
      <c r="J175" s="4">
        <v>50</v>
      </c>
      <c r="K175" s="185">
        <f t="shared" si="83"/>
        <v>0</v>
      </c>
      <c r="L175" s="81">
        <v>0</v>
      </c>
      <c r="M175" s="4">
        <v>50</v>
      </c>
      <c r="N175" s="167">
        <f t="shared" si="84"/>
        <v>0</v>
      </c>
      <c r="O175" s="81">
        <v>0</v>
      </c>
      <c r="P175" s="4">
        <v>50</v>
      </c>
      <c r="Q175" s="167">
        <f t="shared" si="96"/>
        <v>0</v>
      </c>
      <c r="R175" s="164">
        <f t="shared" si="97"/>
        <v>3</v>
      </c>
      <c r="S175" s="165">
        <f t="shared" si="98"/>
        <v>5.0634529979740606E-3</v>
      </c>
      <c r="U175" s="170">
        <f t="shared" si="99"/>
        <v>0</v>
      </c>
      <c r="V175" s="6">
        <v>0</v>
      </c>
      <c r="W175" s="6">
        <v>0</v>
      </c>
      <c r="X175" s="138">
        <f t="shared" si="85"/>
        <v>50</v>
      </c>
      <c r="Y175" s="167">
        <f t="shared" si="86"/>
        <v>0</v>
      </c>
      <c r="Z175" s="170">
        <f t="shared" si="100"/>
        <v>1</v>
      </c>
      <c r="AA175" s="6">
        <v>0</v>
      </c>
      <c r="AB175" s="6">
        <v>1</v>
      </c>
      <c r="AC175" s="138">
        <f t="shared" si="87"/>
        <v>51</v>
      </c>
      <c r="AD175" s="160">
        <f t="shared" si="88"/>
        <v>0.02</v>
      </c>
      <c r="AE175" s="170">
        <f t="shared" si="101"/>
        <v>1</v>
      </c>
      <c r="AF175" s="6">
        <v>0</v>
      </c>
      <c r="AG175" s="6">
        <v>1</v>
      </c>
      <c r="AH175" s="138">
        <f t="shared" si="89"/>
        <v>52</v>
      </c>
      <c r="AI175" s="160">
        <f t="shared" si="90"/>
        <v>1.9607843137254902E-2</v>
      </c>
      <c r="AJ175" s="170">
        <f t="shared" si="102"/>
        <v>1</v>
      </c>
      <c r="AK175" s="6">
        <v>0</v>
      </c>
      <c r="AL175" s="6">
        <v>1</v>
      </c>
      <c r="AM175" s="138">
        <f t="shared" si="91"/>
        <v>53</v>
      </c>
      <c r="AN175" s="160">
        <f t="shared" si="92"/>
        <v>1.9230769230769232E-2</v>
      </c>
      <c r="AO175" s="170">
        <f t="shared" si="103"/>
        <v>1</v>
      </c>
      <c r="AP175" s="6">
        <v>0</v>
      </c>
      <c r="AQ175" s="6">
        <v>1</v>
      </c>
      <c r="AR175" s="138">
        <f t="shared" si="93"/>
        <v>54</v>
      </c>
      <c r="AS175" s="160">
        <f t="shared" si="94"/>
        <v>1.8867924528301886E-2</v>
      </c>
      <c r="AT175" s="164">
        <f t="shared" si="95"/>
        <v>4</v>
      </c>
      <c r="AU175" s="165">
        <f t="shared" si="104"/>
        <v>1.9426546908273501E-2</v>
      </c>
    </row>
    <row r="176" spans="2:47" outlineLevel="1" x14ac:dyDescent="0.35">
      <c r="B176" s="48" t="s">
        <v>113</v>
      </c>
      <c r="C176" s="62" t="s">
        <v>141</v>
      </c>
      <c r="D176" s="70">
        <v>0</v>
      </c>
      <c r="E176" s="71">
        <v>0</v>
      </c>
      <c r="F176" s="81">
        <v>0</v>
      </c>
      <c r="G176" s="4">
        <v>0</v>
      </c>
      <c r="H176" s="185">
        <f t="shared" si="82"/>
        <v>0</v>
      </c>
      <c r="I176" s="81">
        <v>0</v>
      </c>
      <c r="J176" s="4">
        <v>0</v>
      </c>
      <c r="K176" s="185">
        <f t="shared" si="83"/>
        <v>0</v>
      </c>
      <c r="L176" s="81">
        <v>0</v>
      </c>
      <c r="M176" s="4"/>
      <c r="N176" s="167">
        <f t="shared" si="84"/>
        <v>0</v>
      </c>
      <c r="O176" s="81">
        <v>0</v>
      </c>
      <c r="P176" s="4"/>
      <c r="Q176" s="167">
        <f t="shared" si="96"/>
        <v>0</v>
      </c>
      <c r="R176" s="164">
        <f t="shared" si="97"/>
        <v>0</v>
      </c>
      <c r="S176" s="165">
        <f t="shared" si="98"/>
        <v>0</v>
      </c>
      <c r="U176" s="170">
        <f t="shared" si="99"/>
        <v>0</v>
      </c>
      <c r="V176" s="6">
        <v>0</v>
      </c>
      <c r="W176" s="6">
        <v>0</v>
      </c>
      <c r="X176" s="138">
        <f t="shared" si="85"/>
        <v>0</v>
      </c>
      <c r="Y176" s="167">
        <f t="shared" si="86"/>
        <v>0</v>
      </c>
      <c r="Z176" s="170">
        <f t="shared" si="100"/>
        <v>0</v>
      </c>
      <c r="AA176" s="6">
        <v>0</v>
      </c>
      <c r="AB176" s="6">
        <v>0</v>
      </c>
      <c r="AC176" s="138">
        <f t="shared" si="87"/>
        <v>0</v>
      </c>
      <c r="AD176" s="160">
        <f t="shared" si="88"/>
        <v>0</v>
      </c>
      <c r="AE176" s="170">
        <f t="shared" si="101"/>
        <v>0</v>
      </c>
      <c r="AF176" s="6">
        <v>0</v>
      </c>
      <c r="AG176" s="6">
        <v>0</v>
      </c>
      <c r="AH176" s="138">
        <f t="shared" si="89"/>
        <v>0</v>
      </c>
      <c r="AI176" s="160">
        <f t="shared" si="90"/>
        <v>0</v>
      </c>
      <c r="AJ176" s="170">
        <f t="shared" si="102"/>
        <v>0</v>
      </c>
      <c r="AK176" s="6">
        <v>0</v>
      </c>
      <c r="AL176" s="6">
        <v>0</v>
      </c>
      <c r="AM176" s="138">
        <f t="shared" si="91"/>
        <v>0</v>
      </c>
      <c r="AN176" s="160">
        <f t="shared" si="92"/>
        <v>0</v>
      </c>
      <c r="AO176" s="170">
        <f t="shared" si="103"/>
        <v>0</v>
      </c>
      <c r="AP176" s="6">
        <v>0</v>
      </c>
      <c r="AQ176" s="6">
        <v>0</v>
      </c>
      <c r="AR176" s="138">
        <f t="shared" si="93"/>
        <v>0</v>
      </c>
      <c r="AS176" s="160">
        <f t="shared" si="94"/>
        <v>0</v>
      </c>
      <c r="AT176" s="164">
        <f t="shared" si="95"/>
        <v>0</v>
      </c>
      <c r="AU176" s="165">
        <f t="shared" si="104"/>
        <v>0</v>
      </c>
    </row>
    <row r="177" spans="2:47" outlineLevel="1" x14ac:dyDescent="0.35">
      <c r="B177" s="48" t="s">
        <v>114</v>
      </c>
      <c r="C177" s="62" t="s">
        <v>141</v>
      </c>
      <c r="D177" s="70">
        <v>4</v>
      </c>
      <c r="E177" s="71">
        <v>234</v>
      </c>
      <c r="F177" s="81">
        <v>-1</v>
      </c>
      <c r="G177" s="4">
        <v>233</v>
      </c>
      <c r="H177" s="185">
        <f t="shared" si="82"/>
        <v>-4.2735042735042739E-3</v>
      </c>
      <c r="I177" s="81">
        <v>0</v>
      </c>
      <c r="J177" s="4">
        <v>233</v>
      </c>
      <c r="K177" s="185">
        <f t="shared" si="83"/>
        <v>0</v>
      </c>
      <c r="L177" s="81">
        <v>-3</v>
      </c>
      <c r="M177" s="4">
        <v>230</v>
      </c>
      <c r="N177" s="167">
        <f t="shared" si="84"/>
        <v>-1.2875536480686695E-2</v>
      </c>
      <c r="O177" s="81">
        <v>2</v>
      </c>
      <c r="P177" s="4">
        <v>232</v>
      </c>
      <c r="Q177" s="167">
        <f t="shared" si="96"/>
        <v>8.6956521739130436E-3</v>
      </c>
      <c r="R177" s="164">
        <f t="shared" si="97"/>
        <v>2</v>
      </c>
      <c r="S177" s="165">
        <f t="shared" si="98"/>
        <v>-2.1436350484926869E-3</v>
      </c>
      <c r="U177" s="170">
        <f t="shared" si="99"/>
        <v>2</v>
      </c>
      <c r="V177" s="6">
        <v>2</v>
      </c>
      <c r="W177" s="6">
        <v>0</v>
      </c>
      <c r="X177" s="138">
        <f t="shared" si="85"/>
        <v>234</v>
      </c>
      <c r="Y177" s="167">
        <f t="shared" si="86"/>
        <v>8.6206896551724137E-3</v>
      </c>
      <c r="Z177" s="170">
        <f t="shared" si="100"/>
        <v>2</v>
      </c>
      <c r="AA177" s="6">
        <v>2</v>
      </c>
      <c r="AB177" s="6">
        <v>0</v>
      </c>
      <c r="AC177" s="138">
        <f t="shared" si="87"/>
        <v>236</v>
      </c>
      <c r="AD177" s="160">
        <f t="shared" si="88"/>
        <v>8.5470085470085479E-3</v>
      </c>
      <c r="AE177" s="170">
        <f t="shared" si="101"/>
        <v>2</v>
      </c>
      <c r="AF177" s="6">
        <v>2</v>
      </c>
      <c r="AG177" s="6">
        <v>0</v>
      </c>
      <c r="AH177" s="138">
        <f t="shared" si="89"/>
        <v>238</v>
      </c>
      <c r="AI177" s="160">
        <f t="shared" si="90"/>
        <v>8.4745762711864406E-3</v>
      </c>
      <c r="AJ177" s="170">
        <f t="shared" si="102"/>
        <v>2</v>
      </c>
      <c r="AK177" s="6">
        <v>2</v>
      </c>
      <c r="AL177" s="6">
        <v>0</v>
      </c>
      <c r="AM177" s="138">
        <f t="shared" si="91"/>
        <v>240</v>
      </c>
      <c r="AN177" s="160">
        <f t="shared" si="92"/>
        <v>8.4033613445378148E-3</v>
      </c>
      <c r="AO177" s="170">
        <f t="shared" si="103"/>
        <v>1</v>
      </c>
      <c r="AP177" s="6">
        <v>1</v>
      </c>
      <c r="AQ177" s="6">
        <v>0</v>
      </c>
      <c r="AR177" s="138">
        <f t="shared" si="93"/>
        <v>241</v>
      </c>
      <c r="AS177" s="160">
        <f t="shared" si="94"/>
        <v>4.1666666666666666E-3</v>
      </c>
      <c r="AT177" s="164">
        <f t="shared" si="95"/>
        <v>9</v>
      </c>
      <c r="AU177" s="165">
        <f t="shared" si="104"/>
        <v>7.3961720926061236E-3</v>
      </c>
    </row>
    <row r="178" spans="2:47" outlineLevel="1" x14ac:dyDescent="0.35">
      <c r="B178" s="48" t="s">
        <v>115</v>
      </c>
      <c r="C178" s="62" t="s">
        <v>141</v>
      </c>
      <c r="D178" s="70">
        <v>0</v>
      </c>
      <c r="E178" s="71">
        <v>12</v>
      </c>
      <c r="F178" s="81">
        <v>1</v>
      </c>
      <c r="G178" s="4">
        <v>13</v>
      </c>
      <c r="H178" s="185">
        <f t="shared" si="82"/>
        <v>8.3333333333333329E-2</v>
      </c>
      <c r="I178" s="81">
        <v>2</v>
      </c>
      <c r="J178" s="4">
        <v>15</v>
      </c>
      <c r="K178" s="185">
        <f t="shared" si="83"/>
        <v>0.15384615384615385</v>
      </c>
      <c r="L178" s="81">
        <v>1</v>
      </c>
      <c r="M178" s="4">
        <v>16</v>
      </c>
      <c r="N178" s="167">
        <f t="shared" si="84"/>
        <v>6.6666666666666666E-2</v>
      </c>
      <c r="O178" s="81">
        <v>0</v>
      </c>
      <c r="P178" s="4">
        <v>16</v>
      </c>
      <c r="Q178" s="167">
        <f t="shared" si="96"/>
        <v>0</v>
      </c>
      <c r="R178" s="164">
        <f t="shared" si="97"/>
        <v>4</v>
      </c>
      <c r="S178" s="165">
        <f t="shared" si="98"/>
        <v>7.4569931823541991E-2</v>
      </c>
      <c r="U178" s="170">
        <f t="shared" si="99"/>
        <v>1</v>
      </c>
      <c r="V178" s="6">
        <v>1</v>
      </c>
      <c r="W178" s="6">
        <v>0</v>
      </c>
      <c r="X178" s="138">
        <f t="shared" si="85"/>
        <v>17</v>
      </c>
      <c r="Y178" s="167">
        <f t="shared" si="86"/>
        <v>6.25E-2</v>
      </c>
      <c r="Z178" s="170">
        <f t="shared" si="100"/>
        <v>1</v>
      </c>
      <c r="AA178" s="6">
        <v>1</v>
      </c>
      <c r="AB178" s="6">
        <v>0</v>
      </c>
      <c r="AC178" s="138">
        <f t="shared" si="87"/>
        <v>18</v>
      </c>
      <c r="AD178" s="160">
        <f t="shared" si="88"/>
        <v>5.8823529411764705E-2</v>
      </c>
      <c r="AE178" s="170">
        <f t="shared" si="101"/>
        <v>1</v>
      </c>
      <c r="AF178" s="6">
        <v>1</v>
      </c>
      <c r="AG178" s="6">
        <v>0</v>
      </c>
      <c r="AH178" s="138">
        <f t="shared" si="89"/>
        <v>19</v>
      </c>
      <c r="AI178" s="160">
        <f t="shared" si="90"/>
        <v>5.5555555555555552E-2</v>
      </c>
      <c r="AJ178" s="170">
        <f t="shared" si="102"/>
        <v>1</v>
      </c>
      <c r="AK178" s="6">
        <v>0</v>
      </c>
      <c r="AL178" s="6">
        <v>1</v>
      </c>
      <c r="AM178" s="138">
        <f t="shared" si="91"/>
        <v>20</v>
      </c>
      <c r="AN178" s="160">
        <f t="shared" si="92"/>
        <v>5.2631578947368418E-2</v>
      </c>
      <c r="AO178" s="170">
        <f t="shared" si="103"/>
        <v>1</v>
      </c>
      <c r="AP178" s="6">
        <v>0</v>
      </c>
      <c r="AQ178" s="6">
        <v>1</v>
      </c>
      <c r="AR178" s="138">
        <f t="shared" si="93"/>
        <v>21</v>
      </c>
      <c r="AS178" s="160">
        <f t="shared" si="94"/>
        <v>0.05</v>
      </c>
      <c r="AT178" s="164">
        <f t="shared" si="95"/>
        <v>5</v>
      </c>
      <c r="AU178" s="165">
        <f t="shared" si="104"/>
        <v>5.4247532817802036E-2</v>
      </c>
    </row>
    <row r="179" spans="2:47" outlineLevel="1" x14ac:dyDescent="0.35">
      <c r="B179" s="48" t="s">
        <v>116</v>
      </c>
      <c r="C179" s="62" t="s">
        <v>141</v>
      </c>
      <c r="D179" s="70">
        <v>-1</v>
      </c>
      <c r="E179" s="71">
        <v>209</v>
      </c>
      <c r="F179" s="81">
        <v>1</v>
      </c>
      <c r="G179" s="4">
        <v>210</v>
      </c>
      <c r="H179" s="185">
        <f t="shared" si="82"/>
        <v>4.7846889952153108E-3</v>
      </c>
      <c r="I179" s="81">
        <v>-2</v>
      </c>
      <c r="J179" s="4">
        <v>208</v>
      </c>
      <c r="K179" s="185">
        <f t="shared" si="83"/>
        <v>-9.5238095238095247E-3</v>
      </c>
      <c r="L179" s="81">
        <v>2</v>
      </c>
      <c r="M179" s="4">
        <v>210</v>
      </c>
      <c r="N179" s="167">
        <f t="shared" si="84"/>
        <v>9.6153846153846159E-3</v>
      </c>
      <c r="O179" s="81">
        <v>-4</v>
      </c>
      <c r="P179" s="4">
        <v>206</v>
      </c>
      <c r="Q179" s="167">
        <f t="shared" si="96"/>
        <v>-1.9047619047619049E-2</v>
      </c>
      <c r="R179" s="164">
        <f t="shared" si="97"/>
        <v>-4</v>
      </c>
      <c r="S179" s="165">
        <f t="shared" si="98"/>
        <v>-3.6079962768910123E-3</v>
      </c>
      <c r="U179" s="170">
        <f t="shared" si="99"/>
        <v>2</v>
      </c>
      <c r="V179" s="6">
        <v>2</v>
      </c>
      <c r="W179" s="6">
        <v>0</v>
      </c>
      <c r="X179" s="138">
        <f t="shared" si="85"/>
        <v>208</v>
      </c>
      <c r="Y179" s="167">
        <f t="shared" si="86"/>
        <v>9.7087378640776691E-3</v>
      </c>
      <c r="Z179" s="170">
        <f t="shared" si="100"/>
        <v>2</v>
      </c>
      <c r="AA179" s="6">
        <v>2</v>
      </c>
      <c r="AB179" s="6">
        <v>0</v>
      </c>
      <c r="AC179" s="138">
        <f t="shared" si="87"/>
        <v>210</v>
      </c>
      <c r="AD179" s="160">
        <f t="shared" si="88"/>
        <v>9.6153846153846159E-3</v>
      </c>
      <c r="AE179" s="170">
        <f t="shared" si="101"/>
        <v>2</v>
      </c>
      <c r="AF179" s="6">
        <v>2</v>
      </c>
      <c r="AG179" s="6">
        <v>0</v>
      </c>
      <c r="AH179" s="138">
        <f t="shared" si="89"/>
        <v>212</v>
      </c>
      <c r="AI179" s="160">
        <f t="shared" si="90"/>
        <v>9.5238095238095247E-3</v>
      </c>
      <c r="AJ179" s="170">
        <f t="shared" si="102"/>
        <v>2</v>
      </c>
      <c r="AK179" s="6">
        <v>2</v>
      </c>
      <c r="AL179" s="6">
        <v>0</v>
      </c>
      <c r="AM179" s="138">
        <f t="shared" si="91"/>
        <v>214</v>
      </c>
      <c r="AN179" s="160">
        <f t="shared" si="92"/>
        <v>9.433962264150943E-3</v>
      </c>
      <c r="AO179" s="170">
        <f t="shared" si="103"/>
        <v>1</v>
      </c>
      <c r="AP179" s="6">
        <v>1</v>
      </c>
      <c r="AQ179" s="6">
        <v>0</v>
      </c>
      <c r="AR179" s="138">
        <f t="shared" si="93"/>
        <v>215</v>
      </c>
      <c r="AS179" s="160">
        <f t="shared" si="94"/>
        <v>4.6728971962616819E-3</v>
      </c>
      <c r="AT179" s="164">
        <f t="shared" si="95"/>
        <v>9</v>
      </c>
      <c r="AU179" s="165">
        <f t="shared" si="104"/>
        <v>8.3093194469452403E-3</v>
      </c>
    </row>
    <row r="180" spans="2:47" outlineLevel="1" x14ac:dyDescent="0.35">
      <c r="B180" s="48" t="s">
        <v>117</v>
      </c>
      <c r="C180" s="62" t="s">
        <v>141</v>
      </c>
      <c r="D180" s="70">
        <v>2</v>
      </c>
      <c r="E180" s="71">
        <v>122</v>
      </c>
      <c r="F180" s="81">
        <v>6</v>
      </c>
      <c r="G180" s="4">
        <v>128</v>
      </c>
      <c r="H180" s="185">
        <f t="shared" si="82"/>
        <v>4.9180327868852458E-2</v>
      </c>
      <c r="I180" s="81">
        <v>1</v>
      </c>
      <c r="J180" s="4">
        <v>129</v>
      </c>
      <c r="K180" s="185">
        <f t="shared" si="83"/>
        <v>7.8125E-3</v>
      </c>
      <c r="L180" s="81">
        <v>-1</v>
      </c>
      <c r="M180" s="4">
        <v>128</v>
      </c>
      <c r="N180" s="167">
        <f t="shared" si="84"/>
        <v>-7.7519379844961239E-3</v>
      </c>
      <c r="O180" s="81">
        <v>0</v>
      </c>
      <c r="P180" s="4">
        <v>128</v>
      </c>
      <c r="Q180" s="167">
        <f t="shared" si="96"/>
        <v>0</v>
      </c>
      <c r="R180" s="164">
        <f t="shared" si="97"/>
        <v>8</v>
      </c>
      <c r="S180" s="165">
        <f t="shared" si="98"/>
        <v>1.2074621489526205E-2</v>
      </c>
      <c r="U180" s="170">
        <f t="shared" si="99"/>
        <v>3</v>
      </c>
      <c r="V180" s="6">
        <v>2</v>
      </c>
      <c r="W180" s="6">
        <v>1</v>
      </c>
      <c r="X180" s="138">
        <f t="shared" si="85"/>
        <v>131</v>
      </c>
      <c r="Y180" s="167">
        <f t="shared" si="86"/>
        <v>2.34375E-2</v>
      </c>
      <c r="Z180" s="170">
        <f t="shared" si="100"/>
        <v>4</v>
      </c>
      <c r="AA180" s="6">
        <v>2</v>
      </c>
      <c r="AB180" s="6">
        <v>2</v>
      </c>
      <c r="AC180" s="138">
        <f t="shared" si="87"/>
        <v>135</v>
      </c>
      <c r="AD180" s="160">
        <f t="shared" si="88"/>
        <v>3.0534351145038167E-2</v>
      </c>
      <c r="AE180" s="170">
        <f t="shared" si="101"/>
        <v>4</v>
      </c>
      <c r="AF180" s="6">
        <v>2</v>
      </c>
      <c r="AG180" s="6">
        <v>2</v>
      </c>
      <c r="AH180" s="138">
        <f t="shared" si="89"/>
        <v>139</v>
      </c>
      <c r="AI180" s="160">
        <f t="shared" si="90"/>
        <v>2.9629629629629631E-2</v>
      </c>
      <c r="AJ180" s="170">
        <f t="shared" si="102"/>
        <v>5</v>
      </c>
      <c r="AK180" s="6">
        <v>2</v>
      </c>
      <c r="AL180" s="6">
        <v>3</v>
      </c>
      <c r="AM180" s="138">
        <f t="shared" si="91"/>
        <v>144</v>
      </c>
      <c r="AN180" s="160">
        <f t="shared" si="92"/>
        <v>3.5971223021582732E-2</v>
      </c>
      <c r="AO180" s="170">
        <f t="shared" si="103"/>
        <v>4</v>
      </c>
      <c r="AP180" s="6">
        <v>1</v>
      </c>
      <c r="AQ180" s="6">
        <v>3</v>
      </c>
      <c r="AR180" s="138">
        <f t="shared" si="93"/>
        <v>148</v>
      </c>
      <c r="AS180" s="160">
        <f t="shared" si="94"/>
        <v>2.7777777777777776E-2</v>
      </c>
      <c r="AT180" s="164">
        <f t="shared" si="95"/>
        <v>20</v>
      </c>
      <c r="AU180" s="165">
        <f t="shared" si="104"/>
        <v>3.0973743451045754E-2</v>
      </c>
    </row>
    <row r="181" spans="2:47" outlineLevel="1" x14ac:dyDescent="0.35">
      <c r="B181" s="48" t="s">
        <v>118</v>
      </c>
      <c r="C181" s="62" t="s">
        <v>141</v>
      </c>
      <c r="D181" s="70">
        <v>2</v>
      </c>
      <c r="E181" s="71">
        <v>70</v>
      </c>
      <c r="F181" s="81">
        <v>3</v>
      </c>
      <c r="G181" s="4">
        <v>73</v>
      </c>
      <c r="H181" s="185">
        <f t="shared" si="82"/>
        <v>4.2857142857142858E-2</v>
      </c>
      <c r="I181" s="81">
        <v>0</v>
      </c>
      <c r="J181" s="4">
        <v>73</v>
      </c>
      <c r="K181" s="185">
        <f t="shared" si="83"/>
        <v>0</v>
      </c>
      <c r="L181" s="81">
        <v>2</v>
      </c>
      <c r="M181" s="4">
        <v>75</v>
      </c>
      <c r="N181" s="167">
        <f t="shared" si="84"/>
        <v>2.7397260273972601E-2</v>
      </c>
      <c r="O181" s="81">
        <v>1</v>
      </c>
      <c r="P181" s="4">
        <v>76</v>
      </c>
      <c r="Q181" s="167">
        <f t="shared" si="96"/>
        <v>1.3333333333333334E-2</v>
      </c>
      <c r="R181" s="164">
        <f t="shared" si="97"/>
        <v>8</v>
      </c>
      <c r="S181" s="165">
        <f t="shared" si="98"/>
        <v>2.0772327457722284E-2</v>
      </c>
      <c r="U181" s="170">
        <f t="shared" si="99"/>
        <v>0</v>
      </c>
      <c r="V181" s="6">
        <v>0</v>
      </c>
      <c r="W181" s="6">
        <v>0</v>
      </c>
      <c r="X181" s="138">
        <f t="shared" si="85"/>
        <v>76</v>
      </c>
      <c r="Y181" s="167">
        <f t="shared" si="86"/>
        <v>0</v>
      </c>
      <c r="Z181" s="170">
        <f t="shared" si="100"/>
        <v>1</v>
      </c>
      <c r="AA181" s="6">
        <v>1</v>
      </c>
      <c r="AB181" s="6">
        <v>0</v>
      </c>
      <c r="AC181" s="138">
        <f t="shared" si="87"/>
        <v>77</v>
      </c>
      <c r="AD181" s="160">
        <f t="shared" si="88"/>
        <v>1.3157894736842105E-2</v>
      </c>
      <c r="AE181" s="170">
        <f t="shared" si="101"/>
        <v>1</v>
      </c>
      <c r="AF181" s="6">
        <v>1</v>
      </c>
      <c r="AG181" s="6">
        <v>0</v>
      </c>
      <c r="AH181" s="138">
        <f t="shared" si="89"/>
        <v>78</v>
      </c>
      <c r="AI181" s="160">
        <f t="shared" si="90"/>
        <v>1.2987012987012988E-2</v>
      </c>
      <c r="AJ181" s="170">
        <f t="shared" si="102"/>
        <v>0</v>
      </c>
      <c r="AK181" s="6">
        <v>0</v>
      </c>
      <c r="AL181" s="6">
        <v>0</v>
      </c>
      <c r="AM181" s="138">
        <f t="shared" si="91"/>
        <v>78</v>
      </c>
      <c r="AN181" s="160">
        <f t="shared" si="92"/>
        <v>0</v>
      </c>
      <c r="AO181" s="170">
        <f t="shared" si="103"/>
        <v>0</v>
      </c>
      <c r="AP181" s="6">
        <v>0</v>
      </c>
      <c r="AQ181" s="6">
        <v>0</v>
      </c>
      <c r="AR181" s="138">
        <f t="shared" si="93"/>
        <v>78</v>
      </c>
      <c r="AS181" s="160">
        <f t="shared" si="94"/>
        <v>0</v>
      </c>
      <c r="AT181" s="164">
        <f t="shared" si="95"/>
        <v>2</v>
      </c>
      <c r="AU181" s="165">
        <f t="shared" si="104"/>
        <v>6.5150025006859291E-3</v>
      </c>
    </row>
    <row r="182" spans="2:47" outlineLevel="1" x14ac:dyDescent="0.35">
      <c r="B182" s="48" t="s">
        <v>119</v>
      </c>
      <c r="C182" s="62" t="s">
        <v>141</v>
      </c>
      <c r="D182" s="70">
        <v>0</v>
      </c>
      <c r="E182" s="71">
        <v>0</v>
      </c>
      <c r="F182" s="81">
        <v>0</v>
      </c>
      <c r="G182" s="4">
        <v>0</v>
      </c>
      <c r="H182" s="185">
        <f t="shared" si="82"/>
        <v>0</v>
      </c>
      <c r="I182" s="81">
        <v>0</v>
      </c>
      <c r="J182" s="4">
        <v>0</v>
      </c>
      <c r="K182" s="185">
        <f t="shared" si="83"/>
        <v>0</v>
      </c>
      <c r="L182" s="81">
        <v>0</v>
      </c>
      <c r="M182" s="4"/>
      <c r="N182" s="167">
        <f t="shared" si="84"/>
        <v>0</v>
      </c>
      <c r="O182" s="81">
        <v>0</v>
      </c>
      <c r="P182" s="4"/>
      <c r="Q182" s="167">
        <f t="shared" si="96"/>
        <v>0</v>
      </c>
      <c r="R182" s="164">
        <f t="shared" si="97"/>
        <v>0</v>
      </c>
      <c r="S182" s="165">
        <f t="shared" si="98"/>
        <v>0</v>
      </c>
      <c r="U182" s="170">
        <f t="shared" si="99"/>
        <v>0</v>
      </c>
      <c r="V182" s="6">
        <v>0</v>
      </c>
      <c r="W182" s="6">
        <v>0</v>
      </c>
      <c r="X182" s="138">
        <f t="shared" si="85"/>
        <v>0</v>
      </c>
      <c r="Y182" s="167">
        <f t="shared" si="86"/>
        <v>0</v>
      </c>
      <c r="Z182" s="170">
        <f t="shared" si="100"/>
        <v>0</v>
      </c>
      <c r="AA182" s="6">
        <v>0</v>
      </c>
      <c r="AB182" s="6">
        <v>0</v>
      </c>
      <c r="AC182" s="138">
        <f t="shared" si="87"/>
        <v>0</v>
      </c>
      <c r="AD182" s="160">
        <f t="shared" si="88"/>
        <v>0</v>
      </c>
      <c r="AE182" s="170">
        <f t="shared" si="101"/>
        <v>0</v>
      </c>
      <c r="AF182" s="6">
        <v>0</v>
      </c>
      <c r="AG182" s="6">
        <v>0</v>
      </c>
      <c r="AH182" s="138">
        <f t="shared" si="89"/>
        <v>0</v>
      </c>
      <c r="AI182" s="160">
        <f t="shared" si="90"/>
        <v>0</v>
      </c>
      <c r="AJ182" s="170">
        <f t="shared" si="102"/>
        <v>0</v>
      </c>
      <c r="AK182" s="6">
        <v>0</v>
      </c>
      <c r="AL182" s="6">
        <v>0</v>
      </c>
      <c r="AM182" s="138">
        <f t="shared" si="91"/>
        <v>0</v>
      </c>
      <c r="AN182" s="160">
        <f t="shared" si="92"/>
        <v>0</v>
      </c>
      <c r="AO182" s="170">
        <f t="shared" si="103"/>
        <v>0</v>
      </c>
      <c r="AP182" s="6">
        <v>0</v>
      </c>
      <c r="AQ182" s="6">
        <v>0</v>
      </c>
      <c r="AR182" s="138">
        <f t="shared" si="93"/>
        <v>0</v>
      </c>
      <c r="AS182" s="160">
        <f t="shared" si="94"/>
        <v>0</v>
      </c>
      <c r="AT182" s="164">
        <f t="shared" si="95"/>
        <v>0</v>
      </c>
      <c r="AU182" s="165">
        <f t="shared" si="104"/>
        <v>0</v>
      </c>
    </row>
    <row r="183" spans="2:47" outlineLevel="1" x14ac:dyDescent="0.35">
      <c r="B183" s="48" t="s">
        <v>120</v>
      </c>
      <c r="C183" s="62" t="s">
        <v>141</v>
      </c>
      <c r="D183" s="70">
        <v>2</v>
      </c>
      <c r="E183" s="71">
        <v>110</v>
      </c>
      <c r="F183" s="81">
        <v>0</v>
      </c>
      <c r="G183" s="4">
        <v>110</v>
      </c>
      <c r="H183" s="185">
        <f t="shared" si="82"/>
        <v>0</v>
      </c>
      <c r="I183" s="81">
        <v>0</v>
      </c>
      <c r="J183" s="4">
        <v>110</v>
      </c>
      <c r="K183" s="185">
        <f t="shared" si="83"/>
        <v>0</v>
      </c>
      <c r="L183" s="81">
        <v>-2</v>
      </c>
      <c r="M183" s="4">
        <v>108</v>
      </c>
      <c r="N183" s="167">
        <f t="shared" si="84"/>
        <v>-1.8181818181818181E-2</v>
      </c>
      <c r="O183" s="81">
        <v>-1</v>
      </c>
      <c r="P183" s="4">
        <v>107</v>
      </c>
      <c r="Q183" s="167">
        <f t="shared" si="96"/>
        <v>-9.2592592592592587E-3</v>
      </c>
      <c r="R183" s="164">
        <f t="shared" si="97"/>
        <v>-1</v>
      </c>
      <c r="S183" s="165">
        <f t="shared" si="98"/>
        <v>-6.8890438218252026E-3</v>
      </c>
      <c r="U183" s="170">
        <f t="shared" si="99"/>
        <v>0</v>
      </c>
      <c r="V183" s="6">
        <v>0</v>
      </c>
      <c r="W183" s="6">
        <v>0</v>
      </c>
      <c r="X183" s="138">
        <f t="shared" si="85"/>
        <v>107</v>
      </c>
      <c r="Y183" s="167">
        <f t="shared" si="86"/>
        <v>0</v>
      </c>
      <c r="Z183" s="170">
        <f t="shared" si="100"/>
        <v>0</v>
      </c>
      <c r="AA183" s="6">
        <v>0</v>
      </c>
      <c r="AB183" s="6">
        <v>0</v>
      </c>
      <c r="AC183" s="138">
        <f t="shared" si="87"/>
        <v>107</v>
      </c>
      <c r="AD183" s="160">
        <f t="shared" si="88"/>
        <v>0</v>
      </c>
      <c r="AE183" s="170">
        <f t="shared" si="101"/>
        <v>1</v>
      </c>
      <c r="AF183" s="6">
        <v>0</v>
      </c>
      <c r="AG183" s="6">
        <v>1</v>
      </c>
      <c r="AH183" s="138">
        <f t="shared" si="89"/>
        <v>108</v>
      </c>
      <c r="AI183" s="160">
        <f t="shared" si="90"/>
        <v>9.3457943925233638E-3</v>
      </c>
      <c r="AJ183" s="170">
        <f t="shared" si="102"/>
        <v>0</v>
      </c>
      <c r="AK183" s="6">
        <v>0</v>
      </c>
      <c r="AL183" s="6">
        <v>0</v>
      </c>
      <c r="AM183" s="138">
        <f t="shared" si="91"/>
        <v>108</v>
      </c>
      <c r="AN183" s="160">
        <f t="shared" si="92"/>
        <v>0</v>
      </c>
      <c r="AO183" s="170">
        <f t="shared" si="103"/>
        <v>1</v>
      </c>
      <c r="AP183" s="6">
        <v>0</v>
      </c>
      <c r="AQ183" s="6">
        <v>1</v>
      </c>
      <c r="AR183" s="138">
        <f t="shared" si="93"/>
        <v>109</v>
      </c>
      <c r="AS183" s="160">
        <f t="shared" si="94"/>
        <v>9.2592592592592587E-3</v>
      </c>
      <c r="AT183" s="164">
        <f t="shared" si="95"/>
        <v>2</v>
      </c>
      <c r="AU183" s="165">
        <f t="shared" si="104"/>
        <v>4.6404958483792225E-3</v>
      </c>
    </row>
    <row r="184" spans="2:47" outlineLevel="1" x14ac:dyDescent="0.35">
      <c r="B184" s="48" t="s">
        <v>121</v>
      </c>
      <c r="C184" s="62" t="s">
        <v>141</v>
      </c>
      <c r="D184" s="70">
        <v>0</v>
      </c>
      <c r="E184" s="71">
        <v>8</v>
      </c>
      <c r="F184" s="81">
        <v>0</v>
      </c>
      <c r="G184" s="4">
        <v>8</v>
      </c>
      <c r="H184" s="185">
        <f t="shared" si="82"/>
        <v>0</v>
      </c>
      <c r="I184" s="81">
        <v>1</v>
      </c>
      <c r="J184" s="4">
        <v>9</v>
      </c>
      <c r="K184" s="185">
        <f t="shared" si="83"/>
        <v>0.125</v>
      </c>
      <c r="L184" s="81">
        <v>0</v>
      </c>
      <c r="M184" s="4">
        <v>9</v>
      </c>
      <c r="N184" s="167">
        <f t="shared" si="84"/>
        <v>0</v>
      </c>
      <c r="O184" s="81">
        <v>0</v>
      </c>
      <c r="P184" s="4">
        <v>9</v>
      </c>
      <c r="Q184" s="167">
        <f t="shared" si="96"/>
        <v>0</v>
      </c>
      <c r="R184" s="164">
        <f t="shared" si="97"/>
        <v>1</v>
      </c>
      <c r="S184" s="165">
        <f t="shared" si="98"/>
        <v>2.9883571953558841E-2</v>
      </c>
      <c r="U184" s="170">
        <f t="shared" si="99"/>
        <v>0</v>
      </c>
      <c r="V184" s="6">
        <v>0</v>
      </c>
      <c r="W184" s="6">
        <v>0</v>
      </c>
      <c r="X184" s="138">
        <f t="shared" si="85"/>
        <v>9</v>
      </c>
      <c r="Y184" s="167">
        <f t="shared" si="86"/>
        <v>0</v>
      </c>
      <c r="Z184" s="170">
        <f t="shared" si="100"/>
        <v>0</v>
      </c>
      <c r="AA184" s="6">
        <v>0</v>
      </c>
      <c r="AB184" s="6">
        <v>0</v>
      </c>
      <c r="AC184" s="138">
        <f t="shared" si="87"/>
        <v>9</v>
      </c>
      <c r="AD184" s="160">
        <f t="shared" si="88"/>
        <v>0</v>
      </c>
      <c r="AE184" s="170">
        <f t="shared" si="101"/>
        <v>1</v>
      </c>
      <c r="AF184" s="6">
        <v>0</v>
      </c>
      <c r="AG184" s="6">
        <v>1</v>
      </c>
      <c r="AH184" s="138">
        <f t="shared" si="89"/>
        <v>10</v>
      </c>
      <c r="AI184" s="160">
        <f t="shared" si="90"/>
        <v>0.1111111111111111</v>
      </c>
      <c r="AJ184" s="170">
        <f t="shared" si="102"/>
        <v>1</v>
      </c>
      <c r="AK184" s="6">
        <v>0</v>
      </c>
      <c r="AL184" s="6">
        <v>1</v>
      </c>
      <c r="AM184" s="138">
        <f t="shared" si="91"/>
        <v>11</v>
      </c>
      <c r="AN184" s="160">
        <f t="shared" si="92"/>
        <v>0.1</v>
      </c>
      <c r="AO184" s="170">
        <f t="shared" si="103"/>
        <v>1</v>
      </c>
      <c r="AP184" s="6">
        <v>0</v>
      </c>
      <c r="AQ184" s="6">
        <v>1</v>
      </c>
      <c r="AR184" s="138">
        <f t="shared" si="93"/>
        <v>12</v>
      </c>
      <c r="AS184" s="160">
        <f t="shared" si="94"/>
        <v>9.0909090909090912E-2</v>
      </c>
      <c r="AT184" s="164">
        <f t="shared" si="95"/>
        <v>3</v>
      </c>
      <c r="AU184" s="165">
        <f t="shared" si="104"/>
        <v>7.4569931823541991E-2</v>
      </c>
    </row>
    <row r="185" spans="2:47" outlineLevel="1" x14ac:dyDescent="0.35">
      <c r="B185" s="48" t="s">
        <v>137</v>
      </c>
      <c r="C185" s="62" t="s">
        <v>141</v>
      </c>
      <c r="D185" s="70">
        <v>0</v>
      </c>
      <c r="E185" s="71">
        <v>0</v>
      </c>
      <c r="F185" s="81">
        <v>0</v>
      </c>
      <c r="G185" s="4">
        <v>0</v>
      </c>
      <c r="H185" s="185">
        <f t="shared" si="82"/>
        <v>0</v>
      </c>
      <c r="I185" s="81">
        <v>0</v>
      </c>
      <c r="J185" s="4">
        <v>0</v>
      </c>
      <c r="K185" s="185">
        <f t="shared" si="83"/>
        <v>0</v>
      </c>
      <c r="L185" s="81">
        <v>0</v>
      </c>
      <c r="M185" s="4"/>
      <c r="N185" s="167">
        <f t="shared" si="84"/>
        <v>0</v>
      </c>
      <c r="O185" s="81">
        <v>0</v>
      </c>
      <c r="P185" s="4"/>
      <c r="Q185" s="167">
        <f t="shared" si="96"/>
        <v>0</v>
      </c>
      <c r="R185" s="164">
        <f t="shared" si="97"/>
        <v>0</v>
      </c>
      <c r="S185" s="165">
        <f t="shared" si="98"/>
        <v>0</v>
      </c>
      <c r="U185" s="170">
        <f t="shared" si="99"/>
        <v>0</v>
      </c>
      <c r="V185" s="6">
        <v>0</v>
      </c>
      <c r="W185" s="6">
        <v>0</v>
      </c>
      <c r="X185" s="138">
        <f t="shared" si="85"/>
        <v>0</v>
      </c>
      <c r="Y185" s="167">
        <f t="shared" si="86"/>
        <v>0</v>
      </c>
      <c r="Z185" s="170">
        <f t="shared" si="100"/>
        <v>0</v>
      </c>
      <c r="AA185" s="6">
        <v>0</v>
      </c>
      <c r="AB185" s="6">
        <v>0</v>
      </c>
      <c r="AC185" s="138">
        <f t="shared" si="87"/>
        <v>0</v>
      </c>
      <c r="AD185" s="160">
        <f t="shared" si="88"/>
        <v>0</v>
      </c>
      <c r="AE185" s="170">
        <f t="shared" si="101"/>
        <v>0</v>
      </c>
      <c r="AF185" s="6">
        <v>0</v>
      </c>
      <c r="AG185" s="6">
        <v>0</v>
      </c>
      <c r="AH185" s="138">
        <f t="shared" si="89"/>
        <v>0</v>
      </c>
      <c r="AI185" s="160">
        <f t="shared" si="90"/>
        <v>0</v>
      </c>
      <c r="AJ185" s="170">
        <f t="shared" si="102"/>
        <v>0</v>
      </c>
      <c r="AK185" s="6">
        <v>0</v>
      </c>
      <c r="AL185" s="6">
        <v>0</v>
      </c>
      <c r="AM185" s="138">
        <f t="shared" si="91"/>
        <v>0</v>
      </c>
      <c r="AN185" s="160">
        <f t="shared" si="92"/>
        <v>0</v>
      </c>
      <c r="AO185" s="170">
        <f t="shared" si="103"/>
        <v>0</v>
      </c>
      <c r="AP185" s="6">
        <v>0</v>
      </c>
      <c r="AQ185" s="6">
        <v>0</v>
      </c>
      <c r="AR185" s="138">
        <f t="shared" si="93"/>
        <v>0</v>
      </c>
      <c r="AS185" s="160">
        <f t="shared" si="94"/>
        <v>0</v>
      </c>
      <c r="AT185" s="164">
        <f t="shared" si="95"/>
        <v>0</v>
      </c>
      <c r="AU185" s="165">
        <f t="shared" si="104"/>
        <v>0</v>
      </c>
    </row>
    <row r="186" spans="2:47" outlineLevel="1" x14ac:dyDescent="0.35">
      <c r="B186" s="48" t="s">
        <v>123</v>
      </c>
      <c r="C186" s="62" t="s">
        <v>141</v>
      </c>
      <c r="D186" s="70">
        <v>1</v>
      </c>
      <c r="E186" s="71">
        <v>119</v>
      </c>
      <c r="F186" s="81">
        <v>0</v>
      </c>
      <c r="G186" s="4">
        <v>119</v>
      </c>
      <c r="H186" s="185">
        <f t="shared" si="82"/>
        <v>0</v>
      </c>
      <c r="I186" s="81">
        <v>1</v>
      </c>
      <c r="J186" s="4">
        <v>120</v>
      </c>
      <c r="K186" s="185">
        <f t="shared" si="83"/>
        <v>8.4033613445378148E-3</v>
      </c>
      <c r="L186" s="81">
        <v>1</v>
      </c>
      <c r="M186" s="4">
        <v>121</v>
      </c>
      <c r="N186" s="167">
        <f t="shared" si="84"/>
        <v>8.3333333333333332E-3</v>
      </c>
      <c r="O186" s="81">
        <v>2</v>
      </c>
      <c r="P186" s="4">
        <v>123</v>
      </c>
      <c r="Q186" s="167">
        <f t="shared" si="96"/>
        <v>1.6528925619834711E-2</v>
      </c>
      <c r="R186" s="164">
        <f t="shared" si="97"/>
        <v>5</v>
      </c>
      <c r="S186" s="165">
        <f t="shared" si="98"/>
        <v>8.2994667588605076E-3</v>
      </c>
      <c r="U186" s="170">
        <f t="shared" si="99"/>
        <v>2</v>
      </c>
      <c r="V186" s="6">
        <v>2</v>
      </c>
      <c r="W186" s="6">
        <v>0</v>
      </c>
      <c r="X186" s="138">
        <f t="shared" si="85"/>
        <v>125</v>
      </c>
      <c r="Y186" s="167">
        <f t="shared" si="86"/>
        <v>1.6260162601626018E-2</v>
      </c>
      <c r="Z186" s="170">
        <f t="shared" si="100"/>
        <v>3</v>
      </c>
      <c r="AA186" s="6">
        <v>3</v>
      </c>
      <c r="AB186" s="6">
        <v>0</v>
      </c>
      <c r="AC186" s="138">
        <f t="shared" si="87"/>
        <v>128</v>
      </c>
      <c r="AD186" s="160">
        <f t="shared" si="88"/>
        <v>2.4E-2</v>
      </c>
      <c r="AE186" s="170">
        <f t="shared" si="101"/>
        <v>3</v>
      </c>
      <c r="AF186" s="6">
        <v>3</v>
      </c>
      <c r="AG186" s="6">
        <v>0</v>
      </c>
      <c r="AH186" s="138">
        <f t="shared" si="89"/>
        <v>131</v>
      </c>
      <c r="AI186" s="160">
        <f t="shared" si="90"/>
        <v>2.34375E-2</v>
      </c>
      <c r="AJ186" s="170">
        <f t="shared" si="102"/>
        <v>2</v>
      </c>
      <c r="AK186" s="6">
        <v>2</v>
      </c>
      <c r="AL186" s="6">
        <v>0</v>
      </c>
      <c r="AM186" s="138">
        <f t="shared" si="91"/>
        <v>133</v>
      </c>
      <c r="AN186" s="160">
        <f t="shared" si="92"/>
        <v>1.5267175572519083E-2</v>
      </c>
      <c r="AO186" s="170">
        <f t="shared" si="103"/>
        <v>2</v>
      </c>
      <c r="AP186" s="6">
        <v>2</v>
      </c>
      <c r="AQ186" s="6">
        <v>0</v>
      </c>
      <c r="AR186" s="138">
        <f t="shared" si="93"/>
        <v>135</v>
      </c>
      <c r="AS186" s="160">
        <f t="shared" si="94"/>
        <v>1.5037593984962405E-2</v>
      </c>
      <c r="AT186" s="164">
        <f t="shared" si="95"/>
        <v>12</v>
      </c>
      <c r="AU186" s="165">
        <f t="shared" si="104"/>
        <v>1.9426546908273501E-2</v>
      </c>
    </row>
    <row r="187" spans="2:47" outlineLevel="1" x14ac:dyDescent="0.35">
      <c r="B187" s="48" t="s">
        <v>124</v>
      </c>
      <c r="C187" s="62" t="s">
        <v>141</v>
      </c>
      <c r="D187" s="70">
        <v>1</v>
      </c>
      <c r="E187" s="71">
        <v>1</v>
      </c>
      <c r="F187" s="81">
        <v>0</v>
      </c>
      <c r="G187" s="4">
        <v>1</v>
      </c>
      <c r="H187" s="185">
        <f t="shared" si="82"/>
        <v>0</v>
      </c>
      <c r="I187" s="81">
        <v>0</v>
      </c>
      <c r="J187" s="4">
        <v>1</v>
      </c>
      <c r="K187" s="185">
        <f t="shared" si="83"/>
        <v>0</v>
      </c>
      <c r="L187" s="81">
        <v>0</v>
      </c>
      <c r="M187" s="4">
        <v>1</v>
      </c>
      <c r="N187" s="167">
        <f t="shared" si="84"/>
        <v>0</v>
      </c>
      <c r="O187" s="81">
        <v>0</v>
      </c>
      <c r="P187" s="4">
        <v>1</v>
      </c>
      <c r="Q187" s="167">
        <f t="shared" si="96"/>
        <v>0</v>
      </c>
      <c r="R187" s="164">
        <f t="shared" si="97"/>
        <v>1</v>
      </c>
      <c r="S187" s="165">
        <f t="shared" si="98"/>
        <v>0</v>
      </c>
      <c r="U187" s="170">
        <f t="shared" si="99"/>
        <v>0</v>
      </c>
      <c r="V187" s="6">
        <v>0</v>
      </c>
      <c r="W187" s="6">
        <v>0</v>
      </c>
      <c r="X187" s="138">
        <f t="shared" si="85"/>
        <v>1</v>
      </c>
      <c r="Y187" s="167">
        <f t="shared" si="86"/>
        <v>0</v>
      </c>
      <c r="Z187" s="170">
        <f>AA187+AB187</f>
        <v>0</v>
      </c>
      <c r="AA187" s="6">
        <v>0</v>
      </c>
      <c r="AB187" s="6">
        <v>0</v>
      </c>
      <c r="AC187" s="138">
        <f t="shared" si="87"/>
        <v>1</v>
      </c>
      <c r="AD187" s="160">
        <f t="shared" si="88"/>
        <v>0</v>
      </c>
      <c r="AE187" s="170">
        <f>AF187+AG187</f>
        <v>0</v>
      </c>
      <c r="AF187" s="6">
        <v>0</v>
      </c>
      <c r="AG187" s="6">
        <v>0</v>
      </c>
      <c r="AH187" s="138">
        <f t="shared" si="89"/>
        <v>1</v>
      </c>
      <c r="AI187" s="160">
        <f t="shared" si="90"/>
        <v>0</v>
      </c>
      <c r="AJ187" s="170">
        <f t="shared" si="102"/>
        <v>0</v>
      </c>
      <c r="AK187" s="6">
        <v>0</v>
      </c>
      <c r="AL187" s="6">
        <v>0</v>
      </c>
      <c r="AM187" s="138">
        <f t="shared" si="91"/>
        <v>1</v>
      </c>
      <c r="AN187" s="160">
        <f t="shared" si="92"/>
        <v>0</v>
      </c>
      <c r="AO187" s="170">
        <f>AP187+AQ187</f>
        <v>0</v>
      </c>
      <c r="AP187" s="6">
        <v>0</v>
      </c>
      <c r="AQ187" s="6">
        <v>0</v>
      </c>
      <c r="AR187" s="138">
        <f t="shared" si="93"/>
        <v>1</v>
      </c>
      <c r="AS187" s="160">
        <f t="shared" si="94"/>
        <v>0</v>
      </c>
      <c r="AT187" s="164">
        <f t="shared" si="95"/>
        <v>0</v>
      </c>
      <c r="AU187" s="165">
        <f t="shared" si="104"/>
        <v>0</v>
      </c>
    </row>
    <row r="188" spans="2:47" outlineLevel="1" x14ac:dyDescent="0.35">
      <c r="B188" s="48" t="s">
        <v>125</v>
      </c>
      <c r="C188" s="62" t="s">
        <v>141</v>
      </c>
      <c r="D188" s="70">
        <v>1</v>
      </c>
      <c r="E188" s="71">
        <v>12</v>
      </c>
      <c r="F188" s="81">
        <v>0</v>
      </c>
      <c r="G188" s="4">
        <v>12</v>
      </c>
      <c r="H188" s="185">
        <f t="shared" si="82"/>
        <v>0</v>
      </c>
      <c r="I188" s="81">
        <v>0</v>
      </c>
      <c r="J188" s="4">
        <v>12</v>
      </c>
      <c r="K188" s="185">
        <f t="shared" si="83"/>
        <v>0</v>
      </c>
      <c r="L188" s="81">
        <v>2</v>
      </c>
      <c r="M188" s="4">
        <v>14</v>
      </c>
      <c r="N188" s="167">
        <f t="shared" si="84"/>
        <v>0.16666666666666666</v>
      </c>
      <c r="O188" s="81">
        <v>0</v>
      </c>
      <c r="P188" s="4">
        <v>14</v>
      </c>
      <c r="Q188" s="167">
        <f t="shared" si="96"/>
        <v>0</v>
      </c>
      <c r="R188" s="164">
        <f t="shared" si="97"/>
        <v>3</v>
      </c>
      <c r="S188" s="165">
        <f t="shared" si="98"/>
        <v>3.9289877625411807E-2</v>
      </c>
      <c r="U188" s="170">
        <f t="shared" si="99"/>
        <v>0</v>
      </c>
      <c r="V188" s="6">
        <v>0</v>
      </c>
      <c r="W188" s="6">
        <v>0</v>
      </c>
      <c r="X188" s="138">
        <f t="shared" si="85"/>
        <v>14</v>
      </c>
      <c r="Y188" s="167">
        <f t="shared" si="86"/>
        <v>0</v>
      </c>
      <c r="Z188" s="170">
        <f t="shared" ref="Z188:Z190" si="105">AA188+AB188</f>
        <v>0</v>
      </c>
      <c r="AA188" s="6">
        <v>0</v>
      </c>
      <c r="AB188" s="6">
        <v>0</v>
      </c>
      <c r="AC188" s="138">
        <f t="shared" si="87"/>
        <v>14</v>
      </c>
      <c r="AD188" s="160">
        <f t="shared" si="88"/>
        <v>0</v>
      </c>
      <c r="AE188" s="170">
        <f t="shared" ref="AE188:AE190" si="106">AF188+AG188</f>
        <v>0</v>
      </c>
      <c r="AF188" s="6">
        <v>0</v>
      </c>
      <c r="AG188" s="6">
        <v>0</v>
      </c>
      <c r="AH188" s="138">
        <f t="shared" si="89"/>
        <v>14</v>
      </c>
      <c r="AI188" s="160">
        <f t="shared" si="90"/>
        <v>0</v>
      </c>
      <c r="AJ188" s="170">
        <f t="shared" si="102"/>
        <v>0</v>
      </c>
      <c r="AK188" s="6">
        <v>0</v>
      </c>
      <c r="AL188" s="6">
        <v>0</v>
      </c>
      <c r="AM188" s="138">
        <f t="shared" si="91"/>
        <v>14</v>
      </c>
      <c r="AN188" s="160">
        <f t="shared" si="92"/>
        <v>0</v>
      </c>
      <c r="AO188" s="170">
        <f t="shared" ref="AO188:AO190" si="107">AP188+AQ188</f>
        <v>0</v>
      </c>
      <c r="AP188" s="6">
        <v>0</v>
      </c>
      <c r="AQ188" s="6">
        <v>0</v>
      </c>
      <c r="AR188" s="138">
        <f t="shared" si="93"/>
        <v>14</v>
      </c>
      <c r="AS188" s="160">
        <f t="shared" si="94"/>
        <v>0</v>
      </c>
      <c r="AT188" s="164">
        <f t="shared" si="95"/>
        <v>0</v>
      </c>
      <c r="AU188" s="165">
        <f t="shared" si="104"/>
        <v>0</v>
      </c>
    </row>
    <row r="189" spans="2:47" outlineLevel="1" x14ac:dyDescent="0.35">
      <c r="B189" s="48" t="s">
        <v>126</v>
      </c>
      <c r="C189" s="62" t="s">
        <v>141</v>
      </c>
      <c r="D189" s="70">
        <v>-3</v>
      </c>
      <c r="E189" s="71">
        <v>92</v>
      </c>
      <c r="F189" s="81">
        <v>2</v>
      </c>
      <c r="G189" s="4">
        <v>94</v>
      </c>
      <c r="H189" s="185">
        <f t="shared" si="82"/>
        <v>2.1739130434782608E-2</v>
      </c>
      <c r="I189" s="81">
        <v>5</v>
      </c>
      <c r="J189" s="4">
        <v>99</v>
      </c>
      <c r="K189" s="185">
        <f t="shared" si="83"/>
        <v>5.3191489361702128E-2</v>
      </c>
      <c r="L189" s="81">
        <v>2</v>
      </c>
      <c r="M189" s="4">
        <v>101</v>
      </c>
      <c r="N189" s="167">
        <f t="shared" si="84"/>
        <v>2.0202020202020204E-2</v>
      </c>
      <c r="O189" s="81">
        <v>0</v>
      </c>
      <c r="P189" s="4">
        <v>101</v>
      </c>
      <c r="Q189" s="167">
        <f t="shared" si="96"/>
        <v>0</v>
      </c>
      <c r="R189" s="164">
        <f t="shared" si="97"/>
        <v>6</v>
      </c>
      <c r="S189" s="165">
        <f t="shared" si="98"/>
        <v>2.3607328638404868E-2</v>
      </c>
      <c r="U189" s="170">
        <f t="shared" si="99"/>
        <v>2</v>
      </c>
      <c r="V189" s="6">
        <v>2</v>
      </c>
      <c r="W189" s="6">
        <v>0</v>
      </c>
      <c r="X189" s="138">
        <f t="shared" si="85"/>
        <v>103</v>
      </c>
      <c r="Y189" s="167">
        <f t="shared" si="86"/>
        <v>1.9801980198019802E-2</v>
      </c>
      <c r="Z189" s="170">
        <f t="shared" si="105"/>
        <v>2</v>
      </c>
      <c r="AA189" s="6">
        <v>2</v>
      </c>
      <c r="AB189" s="6">
        <v>0</v>
      </c>
      <c r="AC189" s="138">
        <f t="shared" si="87"/>
        <v>105</v>
      </c>
      <c r="AD189" s="160">
        <f t="shared" si="88"/>
        <v>1.9417475728155338E-2</v>
      </c>
      <c r="AE189" s="170">
        <f t="shared" si="106"/>
        <v>2</v>
      </c>
      <c r="AF189" s="6">
        <v>1</v>
      </c>
      <c r="AG189" s="6">
        <v>1</v>
      </c>
      <c r="AH189" s="138">
        <f t="shared" si="89"/>
        <v>107</v>
      </c>
      <c r="AI189" s="160">
        <f t="shared" si="90"/>
        <v>1.9047619047619049E-2</v>
      </c>
      <c r="AJ189" s="170">
        <f t="shared" si="102"/>
        <v>1</v>
      </c>
      <c r="AK189" s="6">
        <v>1</v>
      </c>
      <c r="AL189" s="6">
        <v>0</v>
      </c>
      <c r="AM189" s="138">
        <f t="shared" si="91"/>
        <v>108</v>
      </c>
      <c r="AN189" s="160">
        <f t="shared" si="92"/>
        <v>9.3457943925233638E-3</v>
      </c>
      <c r="AO189" s="170">
        <f t="shared" si="107"/>
        <v>2</v>
      </c>
      <c r="AP189" s="6">
        <v>1</v>
      </c>
      <c r="AQ189" s="6">
        <v>1</v>
      </c>
      <c r="AR189" s="138">
        <f t="shared" si="93"/>
        <v>110</v>
      </c>
      <c r="AS189" s="160">
        <f t="shared" si="94"/>
        <v>1.8518518518518517E-2</v>
      </c>
      <c r="AT189" s="164">
        <f t="shared" si="95"/>
        <v>9</v>
      </c>
      <c r="AU189" s="165">
        <f t="shared" si="104"/>
        <v>1.6573689065292996E-2</v>
      </c>
    </row>
    <row r="190" spans="2:47" outlineLevel="1" x14ac:dyDescent="0.35">
      <c r="B190" s="48" t="s">
        <v>127</v>
      </c>
      <c r="C190" s="62" t="s">
        <v>141</v>
      </c>
      <c r="D190" s="70">
        <v>0</v>
      </c>
      <c r="E190" s="71">
        <v>0</v>
      </c>
      <c r="F190" s="81">
        <v>0</v>
      </c>
      <c r="G190" s="4">
        <v>0</v>
      </c>
      <c r="H190" s="185">
        <f t="shared" si="82"/>
        <v>0</v>
      </c>
      <c r="I190" s="81">
        <v>0</v>
      </c>
      <c r="J190" s="4">
        <v>0</v>
      </c>
      <c r="K190" s="185">
        <f t="shared" si="83"/>
        <v>0</v>
      </c>
      <c r="L190" s="81">
        <v>0</v>
      </c>
      <c r="M190" s="4">
        <v>0</v>
      </c>
      <c r="N190" s="167">
        <f t="shared" si="84"/>
        <v>0</v>
      </c>
      <c r="O190" s="81">
        <v>0</v>
      </c>
      <c r="P190" s="4"/>
      <c r="Q190" s="167">
        <f t="shared" si="96"/>
        <v>0</v>
      </c>
      <c r="R190" s="164">
        <f t="shared" si="97"/>
        <v>0</v>
      </c>
      <c r="S190" s="165">
        <f t="shared" si="98"/>
        <v>0</v>
      </c>
      <c r="U190" s="170">
        <f t="shared" si="99"/>
        <v>0</v>
      </c>
      <c r="V190" s="6">
        <v>0</v>
      </c>
      <c r="W190" s="6">
        <v>0</v>
      </c>
      <c r="X190" s="138">
        <f t="shared" si="85"/>
        <v>0</v>
      </c>
      <c r="Y190" s="167">
        <f t="shared" si="86"/>
        <v>0</v>
      </c>
      <c r="Z190" s="170">
        <f t="shared" si="105"/>
        <v>0</v>
      </c>
      <c r="AA190" s="6">
        <v>0</v>
      </c>
      <c r="AB190" s="6">
        <v>0</v>
      </c>
      <c r="AC190" s="138">
        <f t="shared" si="87"/>
        <v>0</v>
      </c>
      <c r="AD190" s="160">
        <f t="shared" si="88"/>
        <v>0</v>
      </c>
      <c r="AE190" s="170">
        <f t="shared" si="106"/>
        <v>0</v>
      </c>
      <c r="AF190" s="6">
        <v>0</v>
      </c>
      <c r="AG190" s="6">
        <v>0</v>
      </c>
      <c r="AH190" s="138">
        <f t="shared" si="89"/>
        <v>0</v>
      </c>
      <c r="AI190" s="160">
        <f t="shared" si="90"/>
        <v>0</v>
      </c>
      <c r="AJ190" s="170">
        <f t="shared" si="102"/>
        <v>0</v>
      </c>
      <c r="AK190" s="6">
        <v>0</v>
      </c>
      <c r="AL190" s="6">
        <v>0</v>
      </c>
      <c r="AM190" s="138">
        <f t="shared" si="91"/>
        <v>0</v>
      </c>
      <c r="AN190" s="160">
        <f t="shared" si="92"/>
        <v>0</v>
      </c>
      <c r="AO190" s="170">
        <f t="shared" si="107"/>
        <v>0</v>
      </c>
      <c r="AP190" s="6">
        <v>0</v>
      </c>
      <c r="AQ190" s="6">
        <v>0</v>
      </c>
      <c r="AR190" s="138">
        <f t="shared" si="93"/>
        <v>0</v>
      </c>
      <c r="AS190" s="160">
        <f t="shared" si="94"/>
        <v>0</v>
      </c>
      <c r="AT190" s="164">
        <f t="shared" si="95"/>
        <v>0</v>
      </c>
      <c r="AU190" s="165">
        <f t="shared" si="104"/>
        <v>0</v>
      </c>
    </row>
    <row r="191" spans="2:47" s="245" customFormat="1" ht="15" customHeight="1" outlineLevel="1" x14ac:dyDescent="0.35">
      <c r="B191" s="246" t="s">
        <v>138</v>
      </c>
      <c r="C191" s="247" t="s">
        <v>141</v>
      </c>
      <c r="D191" s="248">
        <f>SUM(D137:D190)</f>
        <v>28</v>
      </c>
      <c r="E191" s="248">
        <f t="shared" ref="E191:G191" si="108">SUM(E137:E190)</f>
        <v>4861</v>
      </c>
      <c r="F191" s="256">
        <f t="shared" si="108"/>
        <v>23</v>
      </c>
      <c r="G191" s="248">
        <f t="shared" si="108"/>
        <v>4884</v>
      </c>
      <c r="H191" s="257">
        <f t="shared" si="82"/>
        <v>4.7315367208393333E-3</v>
      </c>
      <c r="I191" s="254">
        <f>SUM(I137:I190)</f>
        <v>22</v>
      </c>
      <c r="J191" s="248">
        <f t="shared" ref="J191" si="109">SUM(J137:J190)</f>
        <v>4906</v>
      </c>
      <c r="K191" s="249">
        <f t="shared" si="83"/>
        <v>4.5045045045045045E-3</v>
      </c>
      <c r="L191" s="254">
        <f>SUM(L137:L190)</f>
        <v>11</v>
      </c>
      <c r="M191" s="248">
        <f t="shared" ref="M191" si="110">SUM(M137:M190)</f>
        <v>4917</v>
      </c>
      <c r="N191" s="250">
        <f t="shared" si="84"/>
        <v>2.242152466367713E-3</v>
      </c>
      <c r="O191" s="254">
        <f>SUM(O137:O190)</f>
        <v>-24</v>
      </c>
      <c r="P191" s="248">
        <f t="shared" ref="P191" si="111">SUM(P137:P190)</f>
        <v>4893</v>
      </c>
      <c r="Q191" s="250">
        <f>IFERROR((P191-M191)/M191,0)</f>
        <v>-4.881025015253203E-3</v>
      </c>
      <c r="R191" s="251">
        <f>D191+F191+I191+L191+O191</f>
        <v>60</v>
      </c>
      <c r="S191" s="252">
        <f>IFERROR((P191/E191)^(1/4)-1,0)</f>
        <v>1.6417046849626082E-3</v>
      </c>
      <c r="U191" s="254">
        <f>SUM(U137:U190)</f>
        <v>80</v>
      </c>
      <c r="V191" s="248">
        <f t="shared" ref="V191:X191" si="112">SUM(V137:V190)</f>
        <v>76</v>
      </c>
      <c r="W191" s="248">
        <f t="shared" si="112"/>
        <v>4</v>
      </c>
      <c r="X191" s="248">
        <f t="shared" si="112"/>
        <v>4973</v>
      </c>
      <c r="Y191" s="250">
        <f>IFERROR((X191-P191)/P191,0)</f>
        <v>1.6349887594522789E-2</v>
      </c>
      <c r="Z191" s="254">
        <f>SUM(Z137:Z190)</f>
        <v>105</v>
      </c>
      <c r="AA191" s="248">
        <f t="shared" ref="AA191:AC191" si="113">SUM(AA137:AA190)</f>
        <v>90</v>
      </c>
      <c r="AB191" s="248">
        <f t="shared" si="113"/>
        <v>15</v>
      </c>
      <c r="AC191" s="248">
        <f t="shared" si="113"/>
        <v>5078</v>
      </c>
      <c r="AD191" s="250">
        <f t="shared" si="88"/>
        <v>2.1114015684697365E-2</v>
      </c>
      <c r="AE191" s="254">
        <f>SUM(AE137:AE190)</f>
        <v>105</v>
      </c>
      <c r="AF191" s="248">
        <f t="shared" ref="AF191:AH191" si="114">SUM(AF137:AF190)</f>
        <v>76</v>
      </c>
      <c r="AG191" s="248">
        <f t="shared" si="114"/>
        <v>29</v>
      </c>
      <c r="AH191" s="248">
        <f t="shared" si="114"/>
        <v>5183</v>
      </c>
      <c r="AI191" s="250">
        <f t="shared" si="90"/>
        <v>2.067743205986609E-2</v>
      </c>
      <c r="AJ191" s="254">
        <f>SUM(AJ137:AJ190)</f>
        <v>95</v>
      </c>
      <c r="AK191" s="248">
        <f t="shared" ref="AK191:AM191" si="115">SUM(AK137:AK190)</f>
        <v>61</v>
      </c>
      <c r="AL191" s="248">
        <f t="shared" si="115"/>
        <v>34</v>
      </c>
      <c r="AM191" s="248">
        <f t="shared" si="115"/>
        <v>5278</v>
      </c>
      <c r="AN191" s="250">
        <f t="shared" si="92"/>
        <v>1.8329153000192937E-2</v>
      </c>
      <c r="AO191" s="254">
        <f>SUM(AO137:AO190)</f>
        <v>90</v>
      </c>
      <c r="AP191" s="248">
        <f t="shared" ref="AP191:AR191" si="116">SUM(AP137:AP190)</f>
        <v>53</v>
      </c>
      <c r="AQ191" s="248">
        <f t="shared" si="116"/>
        <v>37</v>
      </c>
      <c r="AR191" s="248">
        <f t="shared" si="116"/>
        <v>5368</v>
      </c>
      <c r="AS191" s="250">
        <f t="shared" si="94"/>
        <v>1.7051913603637742E-2</v>
      </c>
      <c r="AT191" s="253">
        <f>SUM(AT137:AT190)</f>
        <v>475</v>
      </c>
      <c r="AU191" s="252">
        <f t="shared" si="104"/>
        <v>1.9291756742182198E-2</v>
      </c>
    </row>
    <row r="192" spans="2:47" ht="15" customHeight="1" x14ac:dyDescent="0.35"/>
    <row r="193" spans="2:47" ht="15.5" x14ac:dyDescent="0.35">
      <c r="B193" s="419" t="s">
        <v>52</v>
      </c>
      <c r="C193" s="419"/>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c r="AJ193" s="419"/>
      <c r="AK193" s="419"/>
      <c r="AL193" s="419"/>
      <c r="AM193" s="419"/>
      <c r="AN193" s="419"/>
      <c r="AO193" s="419"/>
      <c r="AP193" s="419"/>
      <c r="AQ193" s="419"/>
      <c r="AR193" s="419"/>
      <c r="AS193" s="419"/>
      <c r="AT193" s="419"/>
      <c r="AU193" s="419"/>
    </row>
    <row r="194" spans="2:47" ht="5.9" customHeight="1" outlineLevel="1" x14ac:dyDescent="0.35">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row>
    <row r="195" spans="2:47" outlineLevel="1" x14ac:dyDescent="0.35">
      <c r="B195" s="462"/>
      <c r="C195" s="465" t="s">
        <v>134</v>
      </c>
      <c r="D195" s="435" t="s">
        <v>169</v>
      </c>
      <c r="E195" s="436"/>
      <c r="F195" s="436"/>
      <c r="G195" s="436"/>
      <c r="H195" s="436"/>
      <c r="I195" s="436"/>
      <c r="J195" s="436"/>
      <c r="K195" s="436"/>
      <c r="L195" s="436"/>
      <c r="M195" s="436"/>
      <c r="N195" s="436"/>
      <c r="O195" s="436"/>
      <c r="P195" s="436"/>
      <c r="Q195" s="437"/>
      <c r="R195" s="431" t="str">
        <f xml:space="preserve"> D196&amp;" - "&amp;O196</f>
        <v>2019 - 2023</v>
      </c>
      <c r="S195" s="456"/>
      <c r="U195" s="435" t="s">
        <v>170</v>
      </c>
      <c r="V195" s="436"/>
      <c r="W195" s="436"/>
      <c r="X195" s="436"/>
      <c r="Y195" s="436"/>
      <c r="Z195" s="436"/>
      <c r="AA195" s="436"/>
      <c r="AB195" s="436"/>
      <c r="AC195" s="436"/>
      <c r="AD195" s="436"/>
      <c r="AE195" s="436"/>
      <c r="AF195" s="436"/>
      <c r="AG195" s="436"/>
      <c r="AH195" s="436"/>
      <c r="AI195" s="436"/>
      <c r="AJ195" s="436"/>
      <c r="AK195" s="436"/>
      <c r="AL195" s="436"/>
      <c r="AM195" s="436"/>
      <c r="AN195" s="436"/>
      <c r="AO195" s="436"/>
      <c r="AP195" s="436"/>
      <c r="AQ195" s="436"/>
      <c r="AR195" s="436"/>
      <c r="AS195" s="436"/>
      <c r="AT195" s="436"/>
      <c r="AU195" s="437"/>
    </row>
    <row r="196" spans="2:47" outlineLevel="1" x14ac:dyDescent="0.35">
      <c r="B196" s="463"/>
      <c r="C196" s="465"/>
      <c r="D196" s="435">
        <f>$C$3-5</f>
        <v>2019</v>
      </c>
      <c r="E196" s="437"/>
      <c r="F196" s="435">
        <f>$C$3-4</f>
        <v>2020</v>
      </c>
      <c r="G196" s="436"/>
      <c r="H196" s="437"/>
      <c r="I196" s="435">
        <f>$C$3-3</f>
        <v>2021</v>
      </c>
      <c r="J196" s="436"/>
      <c r="K196" s="437"/>
      <c r="L196" s="435">
        <f>$C$3-2</f>
        <v>2022</v>
      </c>
      <c r="M196" s="436"/>
      <c r="N196" s="437"/>
      <c r="O196" s="435">
        <f>$C$3-1</f>
        <v>2023</v>
      </c>
      <c r="P196" s="436"/>
      <c r="Q196" s="437"/>
      <c r="R196" s="433"/>
      <c r="S196" s="457"/>
      <c r="U196" s="435">
        <f>$C$3</f>
        <v>2024</v>
      </c>
      <c r="V196" s="436"/>
      <c r="W196" s="436"/>
      <c r="X196" s="436"/>
      <c r="Y196" s="437"/>
      <c r="Z196" s="435">
        <f>$C$3+1</f>
        <v>2025</v>
      </c>
      <c r="AA196" s="436"/>
      <c r="AB196" s="436"/>
      <c r="AC196" s="436"/>
      <c r="AD196" s="437"/>
      <c r="AE196" s="435">
        <f>$C$3+2</f>
        <v>2026</v>
      </c>
      <c r="AF196" s="436"/>
      <c r="AG196" s="436"/>
      <c r="AH196" s="436"/>
      <c r="AI196" s="437"/>
      <c r="AJ196" s="435">
        <f>$C$3+3</f>
        <v>2027</v>
      </c>
      <c r="AK196" s="436"/>
      <c r="AL196" s="436"/>
      <c r="AM196" s="436"/>
      <c r="AN196" s="437"/>
      <c r="AO196" s="435">
        <f>$C$3+4</f>
        <v>2028</v>
      </c>
      <c r="AP196" s="436"/>
      <c r="AQ196" s="436"/>
      <c r="AR196" s="436"/>
      <c r="AS196" s="437"/>
      <c r="AT196" s="439" t="str">
        <f>U196&amp;" - "&amp;AO196</f>
        <v>2024 - 2028</v>
      </c>
      <c r="AU196" s="458"/>
    </row>
    <row r="197" spans="2:47" ht="43.5" outlineLevel="1" x14ac:dyDescent="0.35">
      <c r="B197" s="464"/>
      <c r="C197" s="465"/>
      <c r="D197" s="66" t="s">
        <v>192</v>
      </c>
      <c r="E197" s="67" t="s">
        <v>193</v>
      </c>
      <c r="F197" s="66" t="s">
        <v>192</v>
      </c>
      <c r="G197" s="9" t="s">
        <v>193</v>
      </c>
      <c r="H197" s="67" t="s">
        <v>173</v>
      </c>
      <c r="I197" s="66" t="s">
        <v>192</v>
      </c>
      <c r="J197" s="9" t="s">
        <v>193</v>
      </c>
      <c r="K197" s="67" t="s">
        <v>173</v>
      </c>
      <c r="L197" s="66" t="s">
        <v>192</v>
      </c>
      <c r="M197" s="9" t="s">
        <v>193</v>
      </c>
      <c r="N197" s="67" t="s">
        <v>173</v>
      </c>
      <c r="O197" s="66" t="s">
        <v>192</v>
      </c>
      <c r="P197" s="9" t="s">
        <v>193</v>
      </c>
      <c r="Q197" s="67" t="s">
        <v>173</v>
      </c>
      <c r="R197" s="66" t="s">
        <v>164</v>
      </c>
      <c r="S197" s="134" t="s">
        <v>174</v>
      </c>
      <c r="U197" s="66" t="s">
        <v>192</v>
      </c>
      <c r="V197" s="105" t="s">
        <v>202</v>
      </c>
      <c r="W197" s="105" t="s">
        <v>203</v>
      </c>
      <c r="X197" s="9" t="s">
        <v>193</v>
      </c>
      <c r="Y197" s="67" t="s">
        <v>173</v>
      </c>
      <c r="Z197" s="66" t="s">
        <v>192</v>
      </c>
      <c r="AA197" s="105" t="s">
        <v>202</v>
      </c>
      <c r="AB197" s="105" t="s">
        <v>203</v>
      </c>
      <c r="AC197" s="9" t="s">
        <v>193</v>
      </c>
      <c r="AD197" s="67" t="s">
        <v>173</v>
      </c>
      <c r="AE197" s="66" t="s">
        <v>192</v>
      </c>
      <c r="AF197" s="105" t="s">
        <v>202</v>
      </c>
      <c r="AG197" s="105" t="s">
        <v>203</v>
      </c>
      <c r="AH197" s="9" t="s">
        <v>193</v>
      </c>
      <c r="AI197" s="67" t="s">
        <v>173</v>
      </c>
      <c r="AJ197" s="66" t="s">
        <v>192</v>
      </c>
      <c r="AK197" s="105" t="s">
        <v>202</v>
      </c>
      <c r="AL197" s="105" t="s">
        <v>203</v>
      </c>
      <c r="AM197" s="9" t="s">
        <v>193</v>
      </c>
      <c r="AN197" s="67" t="s">
        <v>173</v>
      </c>
      <c r="AO197" s="66" t="s">
        <v>192</v>
      </c>
      <c r="AP197" s="105" t="s">
        <v>202</v>
      </c>
      <c r="AQ197" s="105" t="s">
        <v>203</v>
      </c>
      <c r="AR197" s="9" t="s">
        <v>193</v>
      </c>
      <c r="AS197" s="67" t="s">
        <v>173</v>
      </c>
      <c r="AT197" s="66" t="s">
        <v>164</v>
      </c>
      <c r="AU197" s="134" t="s">
        <v>174</v>
      </c>
    </row>
    <row r="198" spans="2:47" outlineLevel="1" x14ac:dyDescent="0.35">
      <c r="B198" s="48" t="s">
        <v>74</v>
      </c>
      <c r="C198" s="62" t="s">
        <v>141</v>
      </c>
      <c r="D198" s="70">
        <v>2</v>
      </c>
      <c r="E198" s="4">
        <v>33</v>
      </c>
      <c r="F198" s="81">
        <v>1</v>
      </c>
      <c r="G198" s="4">
        <v>34</v>
      </c>
      <c r="H198" s="185">
        <f t="shared" ref="H198:H251" si="117">IFERROR((G198-E198)/E198,0)</f>
        <v>3.0303030303030304E-2</v>
      </c>
      <c r="I198" s="81">
        <v>-1</v>
      </c>
      <c r="J198" s="4">
        <v>33</v>
      </c>
      <c r="K198" s="167">
        <f t="shared" ref="K198:K252" si="118">IFERROR((J198-G198)/G198,0)</f>
        <v>-2.9411764705882353E-2</v>
      </c>
      <c r="L198" s="81">
        <v>-1</v>
      </c>
      <c r="M198" s="4">
        <v>32</v>
      </c>
      <c r="N198" s="167">
        <f t="shared" ref="N198:N252" si="119">IFERROR((M198-J198)/J198,0)</f>
        <v>-3.0303030303030304E-2</v>
      </c>
      <c r="O198" s="81">
        <v>0</v>
      </c>
      <c r="P198" s="4">
        <v>32</v>
      </c>
      <c r="Q198" s="167">
        <f>IFERROR((P198-M198)/M198,0)</f>
        <v>0</v>
      </c>
      <c r="R198" s="164">
        <f>D198+F198+I198+L198+O198</f>
        <v>1</v>
      </c>
      <c r="S198" s="165">
        <f>IFERROR((P198/E198)^(1/4)-1,0)</f>
        <v>-7.6633999319274393E-3</v>
      </c>
      <c r="U198" s="170">
        <f>V198+W198</f>
        <v>0</v>
      </c>
      <c r="V198" s="6">
        <v>0</v>
      </c>
      <c r="W198" s="6">
        <v>0</v>
      </c>
      <c r="X198" s="138">
        <f t="shared" ref="X198:X251" si="120">P198+U198</f>
        <v>32</v>
      </c>
      <c r="Y198" s="167">
        <f t="shared" ref="Y198:Y251" si="121">IFERROR((X198-P198)/P198,0)</f>
        <v>0</v>
      </c>
      <c r="Z198" s="170">
        <f>AA198+AB198</f>
        <v>1</v>
      </c>
      <c r="AA198" s="6">
        <v>0</v>
      </c>
      <c r="AB198" s="6">
        <v>1</v>
      </c>
      <c r="AC198" s="138">
        <f t="shared" ref="AC198:AC251" si="122">X198+Z198</f>
        <v>33</v>
      </c>
      <c r="AD198" s="160">
        <f t="shared" ref="AD198:AD252" si="123">IFERROR((AC198-X198)/X198,0)</f>
        <v>3.125E-2</v>
      </c>
      <c r="AE198" s="170">
        <f>AF198+AG198</f>
        <v>3</v>
      </c>
      <c r="AF198" s="6">
        <v>0</v>
      </c>
      <c r="AG198" s="6">
        <v>3</v>
      </c>
      <c r="AH198" s="138">
        <f t="shared" ref="AH198:AH251" si="124">AC198+AE198</f>
        <v>36</v>
      </c>
      <c r="AI198" s="160">
        <f t="shared" ref="AI198:AI252" si="125">IFERROR((AH198-AC198)/AC198,0)</f>
        <v>9.0909090909090912E-2</v>
      </c>
      <c r="AJ198" s="170">
        <f>AK198+AL198</f>
        <v>3</v>
      </c>
      <c r="AK198" s="6">
        <v>0</v>
      </c>
      <c r="AL198" s="6">
        <v>3</v>
      </c>
      <c r="AM198" s="138">
        <f t="shared" ref="AM198:AM251" si="126">AH198+AJ198</f>
        <v>39</v>
      </c>
      <c r="AN198" s="160">
        <f t="shared" ref="AN198:AN252" si="127">IFERROR((AM198-AH198)/AH198,0)</f>
        <v>8.3333333333333329E-2</v>
      </c>
      <c r="AO198" s="170">
        <f>AP198+AQ198</f>
        <v>3</v>
      </c>
      <c r="AP198" s="6">
        <v>0</v>
      </c>
      <c r="AQ198" s="6">
        <v>3</v>
      </c>
      <c r="AR198" s="138">
        <f t="shared" ref="AR198:AR251" si="128">AM198+AO198</f>
        <v>42</v>
      </c>
      <c r="AS198" s="160">
        <f t="shared" ref="AS198:AS252" si="129">IFERROR((AR198-AM198)/AM198,0)</f>
        <v>7.6923076923076927E-2</v>
      </c>
      <c r="AT198" s="164">
        <f t="shared" ref="AT198:AT251" si="130">U198+Z198+AE198+AJ198+AO198</f>
        <v>10</v>
      </c>
      <c r="AU198" s="165">
        <f t="shared" ref="AU198:AU252" si="131">IFERROR((AR198/X198)^(1/4)-1,0)</f>
        <v>7.0347571464036251E-2</v>
      </c>
    </row>
    <row r="199" spans="2:47" outlineLevel="1" x14ac:dyDescent="0.35">
      <c r="B199" s="48" t="s">
        <v>75</v>
      </c>
      <c r="C199" s="62" t="s">
        <v>141</v>
      </c>
      <c r="D199" s="70">
        <v>2</v>
      </c>
      <c r="E199" s="4">
        <v>112</v>
      </c>
      <c r="F199" s="81">
        <v>7</v>
      </c>
      <c r="G199" s="4">
        <v>119</v>
      </c>
      <c r="H199" s="185">
        <f t="shared" si="117"/>
        <v>6.25E-2</v>
      </c>
      <c r="I199" s="81">
        <v>3</v>
      </c>
      <c r="J199" s="4">
        <v>122</v>
      </c>
      <c r="K199" s="167">
        <f t="shared" si="118"/>
        <v>2.5210084033613446E-2</v>
      </c>
      <c r="L199" s="81">
        <v>2</v>
      </c>
      <c r="M199" s="4">
        <v>124</v>
      </c>
      <c r="N199" s="167">
        <f t="shared" si="119"/>
        <v>1.6393442622950821E-2</v>
      </c>
      <c r="O199" s="81">
        <v>-3</v>
      </c>
      <c r="P199" s="4">
        <v>121</v>
      </c>
      <c r="Q199" s="167">
        <f t="shared" ref="Q199:Q251" si="132">IFERROR((P199-M199)/M199,0)</f>
        <v>-2.4193548387096774E-2</v>
      </c>
      <c r="R199" s="164">
        <f t="shared" ref="R199:R251" si="133">D199+F199+I199+L199+O199</f>
        <v>11</v>
      </c>
      <c r="S199" s="165">
        <f t="shared" ref="S199:S251" si="134">IFERROR((P199/E199)^(1/4)-1,0)</f>
        <v>1.951081444748537E-2</v>
      </c>
      <c r="U199" s="170">
        <f t="shared" ref="U199:U251" si="135">V199+W199</f>
        <v>2</v>
      </c>
      <c r="V199" s="6">
        <v>2</v>
      </c>
      <c r="W199" s="6">
        <v>0</v>
      </c>
      <c r="X199" s="138">
        <f t="shared" si="120"/>
        <v>123</v>
      </c>
      <c r="Y199" s="167">
        <f t="shared" si="121"/>
        <v>1.6528925619834711E-2</v>
      </c>
      <c r="Z199" s="170">
        <f t="shared" ref="Z199:Z251" si="136">AA199+AB199</f>
        <v>3</v>
      </c>
      <c r="AA199" s="6">
        <v>2</v>
      </c>
      <c r="AB199" s="6">
        <v>1</v>
      </c>
      <c r="AC199" s="138">
        <f t="shared" si="122"/>
        <v>126</v>
      </c>
      <c r="AD199" s="160">
        <f t="shared" si="123"/>
        <v>2.4390243902439025E-2</v>
      </c>
      <c r="AE199" s="170">
        <f t="shared" ref="AE199:AE251" si="137">AF199+AG199</f>
        <v>3</v>
      </c>
      <c r="AF199" s="6">
        <v>1</v>
      </c>
      <c r="AG199" s="6">
        <v>2</v>
      </c>
      <c r="AH199" s="138">
        <f t="shared" si="124"/>
        <v>129</v>
      </c>
      <c r="AI199" s="160">
        <f t="shared" si="125"/>
        <v>2.3809523809523808E-2</v>
      </c>
      <c r="AJ199" s="170">
        <f t="shared" ref="AJ199:AJ251" si="138">AK199+AL199</f>
        <v>3</v>
      </c>
      <c r="AK199" s="6">
        <v>1</v>
      </c>
      <c r="AL199" s="6">
        <v>2</v>
      </c>
      <c r="AM199" s="138">
        <f t="shared" si="126"/>
        <v>132</v>
      </c>
      <c r="AN199" s="160">
        <f t="shared" si="127"/>
        <v>2.3255813953488372E-2</v>
      </c>
      <c r="AO199" s="170">
        <f t="shared" ref="AO199:AO251" si="139">AP199+AQ199</f>
        <v>3</v>
      </c>
      <c r="AP199" s="6">
        <v>1</v>
      </c>
      <c r="AQ199" s="6">
        <v>2</v>
      </c>
      <c r="AR199" s="138">
        <f t="shared" si="128"/>
        <v>135</v>
      </c>
      <c r="AS199" s="160">
        <f t="shared" si="129"/>
        <v>2.2727272727272728E-2</v>
      </c>
      <c r="AT199" s="164">
        <f t="shared" si="130"/>
        <v>14</v>
      </c>
      <c r="AU199" s="165">
        <f t="shared" si="131"/>
        <v>2.3545525931488509E-2</v>
      </c>
    </row>
    <row r="200" spans="2:47" outlineLevel="1" x14ac:dyDescent="0.35">
      <c r="B200" s="48" t="s">
        <v>76</v>
      </c>
      <c r="C200" s="62" t="s">
        <v>141</v>
      </c>
      <c r="D200" s="70">
        <v>3</v>
      </c>
      <c r="E200" s="4">
        <v>89</v>
      </c>
      <c r="F200" s="81">
        <v>5</v>
      </c>
      <c r="G200" s="4">
        <v>94</v>
      </c>
      <c r="H200" s="185">
        <f t="shared" si="117"/>
        <v>5.6179775280898875E-2</v>
      </c>
      <c r="I200" s="81">
        <v>5</v>
      </c>
      <c r="J200" s="4">
        <v>99</v>
      </c>
      <c r="K200" s="167">
        <f t="shared" si="118"/>
        <v>5.3191489361702128E-2</v>
      </c>
      <c r="L200" s="81">
        <v>-4</v>
      </c>
      <c r="M200" s="4">
        <v>95</v>
      </c>
      <c r="N200" s="167">
        <f t="shared" si="119"/>
        <v>-4.0404040404040407E-2</v>
      </c>
      <c r="O200" s="81">
        <v>-1</v>
      </c>
      <c r="P200" s="4">
        <v>94</v>
      </c>
      <c r="Q200" s="167">
        <f t="shared" si="132"/>
        <v>-1.0526315789473684E-2</v>
      </c>
      <c r="R200" s="164">
        <f t="shared" si="133"/>
        <v>8</v>
      </c>
      <c r="S200" s="165">
        <f t="shared" si="134"/>
        <v>1.3758390526149133E-2</v>
      </c>
      <c r="U200" s="170">
        <f t="shared" si="135"/>
        <v>4</v>
      </c>
      <c r="V200" s="6">
        <v>4</v>
      </c>
      <c r="W200" s="6">
        <v>0</v>
      </c>
      <c r="X200" s="138">
        <f t="shared" si="120"/>
        <v>98</v>
      </c>
      <c r="Y200" s="167">
        <f t="shared" si="121"/>
        <v>4.2553191489361701E-2</v>
      </c>
      <c r="Z200" s="170">
        <f t="shared" si="136"/>
        <v>4</v>
      </c>
      <c r="AA200" s="6">
        <v>3</v>
      </c>
      <c r="AB200" s="6">
        <v>1</v>
      </c>
      <c r="AC200" s="138">
        <f t="shared" si="122"/>
        <v>102</v>
      </c>
      <c r="AD200" s="160">
        <f t="shared" si="123"/>
        <v>4.0816326530612242E-2</v>
      </c>
      <c r="AE200" s="170">
        <f t="shared" si="137"/>
        <v>7</v>
      </c>
      <c r="AF200" s="6">
        <v>3</v>
      </c>
      <c r="AG200" s="6">
        <v>4</v>
      </c>
      <c r="AH200" s="138">
        <f t="shared" si="124"/>
        <v>109</v>
      </c>
      <c r="AI200" s="160">
        <f t="shared" si="125"/>
        <v>6.8627450980392163E-2</v>
      </c>
      <c r="AJ200" s="170">
        <f t="shared" si="138"/>
        <v>7</v>
      </c>
      <c r="AK200" s="6">
        <v>2</v>
      </c>
      <c r="AL200" s="6">
        <v>5</v>
      </c>
      <c r="AM200" s="138">
        <f t="shared" si="126"/>
        <v>116</v>
      </c>
      <c r="AN200" s="160">
        <f t="shared" si="127"/>
        <v>6.4220183486238536E-2</v>
      </c>
      <c r="AO200" s="170">
        <f t="shared" si="139"/>
        <v>8</v>
      </c>
      <c r="AP200" s="6">
        <v>2</v>
      </c>
      <c r="AQ200" s="6">
        <v>6</v>
      </c>
      <c r="AR200" s="138">
        <f t="shared" si="128"/>
        <v>124</v>
      </c>
      <c r="AS200" s="160">
        <f t="shared" si="129"/>
        <v>6.8965517241379309E-2</v>
      </c>
      <c r="AT200" s="164">
        <f t="shared" si="130"/>
        <v>30</v>
      </c>
      <c r="AU200" s="165">
        <f t="shared" si="131"/>
        <v>6.0593356435902468E-2</v>
      </c>
    </row>
    <row r="201" spans="2:47" outlineLevel="1" x14ac:dyDescent="0.35">
      <c r="B201" s="48" t="s">
        <v>77</v>
      </c>
      <c r="C201" s="62" t="s">
        <v>141</v>
      </c>
      <c r="D201" s="70">
        <v>0</v>
      </c>
      <c r="E201" s="4">
        <v>28</v>
      </c>
      <c r="F201" s="81">
        <v>1</v>
      </c>
      <c r="G201" s="4">
        <v>29</v>
      </c>
      <c r="H201" s="185">
        <f t="shared" si="117"/>
        <v>3.5714285714285712E-2</v>
      </c>
      <c r="I201" s="81">
        <v>3</v>
      </c>
      <c r="J201" s="4">
        <v>32</v>
      </c>
      <c r="K201" s="167">
        <f t="shared" si="118"/>
        <v>0.10344827586206896</v>
      </c>
      <c r="L201" s="81">
        <v>2</v>
      </c>
      <c r="M201" s="4">
        <v>34</v>
      </c>
      <c r="N201" s="167">
        <f t="shared" si="119"/>
        <v>6.25E-2</v>
      </c>
      <c r="O201" s="81">
        <v>-3</v>
      </c>
      <c r="P201" s="4">
        <v>31</v>
      </c>
      <c r="Q201" s="167">
        <f t="shared" si="132"/>
        <v>-8.8235294117647065E-2</v>
      </c>
      <c r="R201" s="164">
        <f t="shared" si="133"/>
        <v>3</v>
      </c>
      <c r="S201" s="165">
        <f t="shared" si="134"/>
        <v>2.5772178223947728E-2</v>
      </c>
      <c r="U201" s="170">
        <f t="shared" si="135"/>
        <v>1</v>
      </c>
      <c r="V201" s="6">
        <v>1</v>
      </c>
      <c r="W201" s="6">
        <v>0</v>
      </c>
      <c r="X201" s="138">
        <f t="shared" si="120"/>
        <v>32</v>
      </c>
      <c r="Y201" s="167">
        <f t="shared" si="121"/>
        <v>3.2258064516129031E-2</v>
      </c>
      <c r="Z201" s="170">
        <f t="shared" si="136"/>
        <v>1</v>
      </c>
      <c r="AA201" s="6">
        <v>1</v>
      </c>
      <c r="AB201" s="6">
        <v>0</v>
      </c>
      <c r="AC201" s="138">
        <f t="shared" si="122"/>
        <v>33</v>
      </c>
      <c r="AD201" s="160">
        <f t="shared" si="123"/>
        <v>3.125E-2</v>
      </c>
      <c r="AE201" s="170">
        <f t="shared" si="137"/>
        <v>1</v>
      </c>
      <c r="AF201" s="6">
        <v>1</v>
      </c>
      <c r="AG201" s="6">
        <v>0</v>
      </c>
      <c r="AH201" s="138">
        <f t="shared" si="124"/>
        <v>34</v>
      </c>
      <c r="AI201" s="160">
        <f t="shared" si="125"/>
        <v>3.0303030303030304E-2</v>
      </c>
      <c r="AJ201" s="170">
        <f t="shared" si="138"/>
        <v>2</v>
      </c>
      <c r="AK201" s="6">
        <v>1</v>
      </c>
      <c r="AL201" s="6">
        <v>1</v>
      </c>
      <c r="AM201" s="138">
        <f t="shared" si="126"/>
        <v>36</v>
      </c>
      <c r="AN201" s="160">
        <f t="shared" si="127"/>
        <v>5.8823529411764705E-2</v>
      </c>
      <c r="AO201" s="170">
        <f t="shared" si="139"/>
        <v>1</v>
      </c>
      <c r="AP201" s="6">
        <v>0</v>
      </c>
      <c r="AQ201" s="6">
        <v>1</v>
      </c>
      <c r="AR201" s="138">
        <f t="shared" si="128"/>
        <v>37</v>
      </c>
      <c r="AS201" s="160">
        <f t="shared" si="129"/>
        <v>2.7777777777777776E-2</v>
      </c>
      <c r="AT201" s="164">
        <f t="shared" si="130"/>
        <v>6</v>
      </c>
      <c r="AU201" s="165">
        <f t="shared" si="131"/>
        <v>3.6962226110637264E-2</v>
      </c>
    </row>
    <row r="202" spans="2:47" outlineLevel="1" x14ac:dyDescent="0.35">
      <c r="B202" s="48" t="s">
        <v>78</v>
      </c>
      <c r="C202" s="62" t="s">
        <v>141</v>
      </c>
      <c r="D202" s="70">
        <v>48</v>
      </c>
      <c r="E202" s="4">
        <v>3079</v>
      </c>
      <c r="F202" s="81">
        <v>50</v>
      </c>
      <c r="G202" s="4">
        <v>3129</v>
      </c>
      <c r="H202" s="185">
        <f t="shared" si="117"/>
        <v>1.6239038648911984E-2</v>
      </c>
      <c r="I202" s="81">
        <v>35</v>
      </c>
      <c r="J202" s="4">
        <v>3164</v>
      </c>
      <c r="K202" s="167">
        <f t="shared" si="118"/>
        <v>1.1185682326621925E-2</v>
      </c>
      <c r="L202" s="81">
        <v>-29</v>
      </c>
      <c r="M202" s="4">
        <v>3135</v>
      </c>
      <c r="N202" s="167">
        <f t="shared" si="119"/>
        <v>-9.165613147914033E-3</v>
      </c>
      <c r="O202" s="81">
        <v>-47</v>
      </c>
      <c r="P202" s="4">
        <v>3088</v>
      </c>
      <c r="Q202" s="167">
        <f t="shared" si="132"/>
        <v>-1.4992025518341308E-2</v>
      </c>
      <c r="R202" s="164">
        <f t="shared" si="133"/>
        <v>57</v>
      </c>
      <c r="S202" s="165">
        <f t="shared" si="134"/>
        <v>7.2995709414280796E-4</v>
      </c>
      <c r="U202" s="170">
        <f t="shared" si="135"/>
        <v>104</v>
      </c>
      <c r="V202" s="6">
        <v>101</v>
      </c>
      <c r="W202" s="6">
        <v>3</v>
      </c>
      <c r="X202" s="138">
        <f t="shared" si="120"/>
        <v>3192</v>
      </c>
      <c r="Y202" s="167">
        <f t="shared" si="121"/>
        <v>3.367875647668394E-2</v>
      </c>
      <c r="Z202" s="170">
        <f t="shared" si="136"/>
        <v>91</v>
      </c>
      <c r="AA202" s="6">
        <v>82</v>
      </c>
      <c r="AB202" s="6">
        <v>9</v>
      </c>
      <c r="AC202" s="138">
        <f t="shared" si="122"/>
        <v>3283</v>
      </c>
      <c r="AD202" s="160">
        <f t="shared" si="123"/>
        <v>2.850877192982456E-2</v>
      </c>
      <c r="AE202" s="170">
        <f t="shared" si="137"/>
        <v>85</v>
      </c>
      <c r="AF202" s="6">
        <v>70</v>
      </c>
      <c r="AG202" s="6">
        <v>15</v>
      </c>
      <c r="AH202" s="138">
        <f t="shared" si="124"/>
        <v>3368</v>
      </c>
      <c r="AI202" s="160">
        <f t="shared" si="125"/>
        <v>2.5890953396283885E-2</v>
      </c>
      <c r="AJ202" s="170">
        <f t="shared" si="138"/>
        <v>79</v>
      </c>
      <c r="AK202" s="6">
        <v>57</v>
      </c>
      <c r="AL202" s="6">
        <v>22</v>
      </c>
      <c r="AM202" s="138">
        <f t="shared" si="126"/>
        <v>3447</v>
      </c>
      <c r="AN202" s="160">
        <f t="shared" si="127"/>
        <v>2.3456057007125889E-2</v>
      </c>
      <c r="AO202" s="170">
        <f t="shared" si="139"/>
        <v>68</v>
      </c>
      <c r="AP202" s="6">
        <v>46</v>
      </c>
      <c r="AQ202" s="6">
        <v>22</v>
      </c>
      <c r="AR202" s="138">
        <f t="shared" si="128"/>
        <v>3515</v>
      </c>
      <c r="AS202" s="160">
        <f t="shared" si="129"/>
        <v>1.9727299100667246E-2</v>
      </c>
      <c r="AT202" s="164">
        <f t="shared" si="130"/>
        <v>427</v>
      </c>
      <c r="AU202" s="165">
        <f t="shared" si="131"/>
        <v>2.4390663738321328E-2</v>
      </c>
    </row>
    <row r="203" spans="2:47" outlineLevel="1" x14ac:dyDescent="0.35">
      <c r="B203" s="48" t="s">
        <v>79</v>
      </c>
      <c r="C203" s="62" t="s">
        <v>141</v>
      </c>
      <c r="D203" s="70">
        <v>5</v>
      </c>
      <c r="E203" s="4">
        <v>126</v>
      </c>
      <c r="F203" s="81">
        <v>3</v>
      </c>
      <c r="G203" s="4">
        <v>129</v>
      </c>
      <c r="H203" s="185">
        <f t="shared" si="117"/>
        <v>2.3809523809523808E-2</v>
      </c>
      <c r="I203" s="81">
        <v>-2</v>
      </c>
      <c r="J203" s="4">
        <v>127</v>
      </c>
      <c r="K203" s="167">
        <f t="shared" si="118"/>
        <v>-1.5503875968992248E-2</v>
      </c>
      <c r="L203" s="81">
        <v>-6</v>
      </c>
      <c r="M203" s="4">
        <v>121</v>
      </c>
      <c r="N203" s="167">
        <f t="shared" si="119"/>
        <v>-4.7244094488188976E-2</v>
      </c>
      <c r="O203" s="81">
        <v>-2</v>
      </c>
      <c r="P203" s="4">
        <v>119</v>
      </c>
      <c r="Q203" s="167">
        <f t="shared" si="132"/>
        <v>-1.6528925619834711E-2</v>
      </c>
      <c r="R203" s="164">
        <f t="shared" si="133"/>
        <v>-2</v>
      </c>
      <c r="S203" s="165">
        <f t="shared" si="134"/>
        <v>-1.4187991649751708E-2</v>
      </c>
      <c r="U203" s="170">
        <f t="shared" si="135"/>
        <v>1</v>
      </c>
      <c r="V203" s="6">
        <v>1</v>
      </c>
      <c r="W203" s="6">
        <v>0</v>
      </c>
      <c r="X203" s="138">
        <f t="shared" si="120"/>
        <v>120</v>
      </c>
      <c r="Y203" s="167">
        <f t="shared" si="121"/>
        <v>8.4033613445378148E-3</v>
      </c>
      <c r="Z203" s="170">
        <f t="shared" si="136"/>
        <v>1</v>
      </c>
      <c r="AA203" s="6">
        <v>1</v>
      </c>
      <c r="AB203" s="6">
        <v>0</v>
      </c>
      <c r="AC203" s="138">
        <f t="shared" si="122"/>
        <v>121</v>
      </c>
      <c r="AD203" s="160">
        <f t="shared" si="123"/>
        <v>8.3333333333333332E-3</v>
      </c>
      <c r="AE203" s="170">
        <f t="shared" si="137"/>
        <v>1</v>
      </c>
      <c r="AF203" s="6">
        <v>1</v>
      </c>
      <c r="AG203" s="6">
        <v>0</v>
      </c>
      <c r="AH203" s="138">
        <f t="shared" si="124"/>
        <v>122</v>
      </c>
      <c r="AI203" s="160">
        <f t="shared" si="125"/>
        <v>8.2644628099173556E-3</v>
      </c>
      <c r="AJ203" s="170">
        <f t="shared" si="138"/>
        <v>1</v>
      </c>
      <c r="AK203" s="6">
        <v>1</v>
      </c>
      <c r="AL203" s="6">
        <v>0</v>
      </c>
      <c r="AM203" s="138">
        <f t="shared" si="126"/>
        <v>123</v>
      </c>
      <c r="AN203" s="160">
        <f t="shared" si="127"/>
        <v>8.1967213114754103E-3</v>
      </c>
      <c r="AO203" s="170">
        <f t="shared" si="139"/>
        <v>2</v>
      </c>
      <c r="AP203" s="6">
        <v>1</v>
      </c>
      <c r="AQ203" s="6">
        <v>1</v>
      </c>
      <c r="AR203" s="138">
        <f t="shared" si="128"/>
        <v>125</v>
      </c>
      <c r="AS203" s="160">
        <f t="shared" si="129"/>
        <v>1.6260162601626018E-2</v>
      </c>
      <c r="AT203" s="164">
        <f t="shared" si="130"/>
        <v>6</v>
      </c>
      <c r="AU203" s="165">
        <f t="shared" si="131"/>
        <v>1.025775233831161E-2</v>
      </c>
    </row>
    <row r="204" spans="2:47" outlineLevel="1" x14ac:dyDescent="0.35">
      <c r="B204" s="48" t="s">
        <v>80</v>
      </c>
      <c r="C204" s="62" t="s">
        <v>141</v>
      </c>
      <c r="D204" s="70">
        <v>3</v>
      </c>
      <c r="E204" s="4">
        <v>42</v>
      </c>
      <c r="F204" s="81">
        <v>5</v>
      </c>
      <c r="G204" s="4">
        <v>47</v>
      </c>
      <c r="H204" s="185">
        <f t="shared" si="117"/>
        <v>0.11904761904761904</v>
      </c>
      <c r="I204" s="81">
        <v>1</v>
      </c>
      <c r="J204" s="4">
        <v>48</v>
      </c>
      <c r="K204" s="167">
        <f t="shared" si="118"/>
        <v>2.1276595744680851E-2</v>
      </c>
      <c r="L204" s="81">
        <v>-1</v>
      </c>
      <c r="M204" s="4">
        <v>47</v>
      </c>
      <c r="N204" s="167">
        <f t="shared" si="119"/>
        <v>-2.0833333333333332E-2</v>
      </c>
      <c r="O204" s="81">
        <v>2</v>
      </c>
      <c r="P204" s="4">
        <v>49</v>
      </c>
      <c r="Q204" s="167">
        <f t="shared" si="132"/>
        <v>4.2553191489361701E-2</v>
      </c>
      <c r="R204" s="164">
        <f t="shared" si="133"/>
        <v>10</v>
      </c>
      <c r="S204" s="165">
        <f t="shared" si="134"/>
        <v>3.9289877625411807E-2</v>
      </c>
      <c r="U204" s="170">
        <f t="shared" si="135"/>
        <v>5</v>
      </c>
      <c r="V204" s="6">
        <v>5</v>
      </c>
      <c r="W204" s="6">
        <v>0</v>
      </c>
      <c r="X204" s="138">
        <f t="shared" si="120"/>
        <v>54</v>
      </c>
      <c r="Y204" s="167">
        <f t="shared" si="121"/>
        <v>0.10204081632653061</v>
      </c>
      <c r="Z204" s="170">
        <f t="shared" si="136"/>
        <v>5</v>
      </c>
      <c r="AA204" s="6">
        <v>4</v>
      </c>
      <c r="AB204" s="6">
        <v>1</v>
      </c>
      <c r="AC204" s="138">
        <f t="shared" si="122"/>
        <v>59</v>
      </c>
      <c r="AD204" s="160">
        <f t="shared" si="123"/>
        <v>9.2592592592592587E-2</v>
      </c>
      <c r="AE204" s="170">
        <f t="shared" si="137"/>
        <v>4</v>
      </c>
      <c r="AF204" s="6">
        <v>3</v>
      </c>
      <c r="AG204" s="6">
        <v>1</v>
      </c>
      <c r="AH204" s="138">
        <f t="shared" si="124"/>
        <v>63</v>
      </c>
      <c r="AI204" s="160">
        <f t="shared" si="125"/>
        <v>6.7796610169491525E-2</v>
      </c>
      <c r="AJ204" s="170">
        <f t="shared" si="138"/>
        <v>4</v>
      </c>
      <c r="AK204" s="6">
        <v>3</v>
      </c>
      <c r="AL204" s="6">
        <v>1</v>
      </c>
      <c r="AM204" s="138">
        <f t="shared" si="126"/>
        <v>67</v>
      </c>
      <c r="AN204" s="160">
        <f t="shared" si="127"/>
        <v>6.3492063492063489E-2</v>
      </c>
      <c r="AO204" s="170">
        <f t="shared" si="139"/>
        <v>3</v>
      </c>
      <c r="AP204" s="6">
        <v>2</v>
      </c>
      <c r="AQ204" s="6">
        <v>1</v>
      </c>
      <c r="AR204" s="138">
        <f t="shared" si="128"/>
        <v>70</v>
      </c>
      <c r="AS204" s="160">
        <f t="shared" si="129"/>
        <v>4.4776119402985072E-2</v>
      </c>
      <c r="AT204" s="164">
        <f t="shared" si="130"/>
        <v>21</v>
      </c>
      <c r="AU204" s="165">
        <f t="shared" si="131"/>
        <v>6.7028624314559915E-2</v>
      </c>
    </row>
    <row r="205" spans="2:47" outlineLevel="1" x14ac:dyDescent="0.35">
      <c r="B205" s="48" t="s">
        <v>81</v>
      </c>
      <c r="C205" s="62" t="s">
        <v>141</v>
      </c>
      <c r="D205" s="70">
        <v>14</v>
      </c>
      <c r="E205" s="4">
        <v>238</v>
      </c>
      <c r="F205" s="81">
        <v>5</v>
      </c>
      <c r="G205" s="4">
        <v>243</v>
      </c>
      <c r="H205" s="185">
        <f t="shared" si="117"/>
        <v>2.100840336134454E-2</v>
      </c>
      <c r="I205" s="81">
        <v>2</v>
      </c>
      <c r="J205" s="4">
        <v>245</v>
      </c>
      <c r="K205" s="167">
        <f t="shared" si="118"/>
        <v>8.23045267489712E-3</v>
      </c>
      <c r="L205" s="81">
        <v>6</v>
      </c>
      <c r="M205" s="4">
        <v>251</v>
      </c>
      <c r="N205" s="167">
        <f t="shared" si="119"/>
        <v>2.4489795918367346E-2</v>
      </c>
      <c r="O205" s="81">
        <v>-6</v>
      </c>
      <c r="P205" s="4">
        <v>245</v>
      </c>
      <c r="Q205" s="167">
        <f t="shared" si="132"/>
        <v>-2.3904382470119521E-2</v>
      </c>
      <c r="R205" s="164">
        <f t="shared" si="133"/>
        <v>21</v>
      </c>
      <c r="S205" s="165">
        <f t="shared" si="134"/>
        <v>7.2732064300056187E-3</v>
      </c>
      <c r="U205" s="170">
        <f t="shared" si="135"/>
        <v>5</v>
      </c>
      <c r="V205" s="6">
        <v>4</v>
      </c>
      <c r="W205" s="6">
        <v>1</v>
      </c>
      <c r="X205" s="138">
        <f t="shared" si="120"/>
        <v>250</v>
      </c>
      <c r="Y205" s="167">
        <f t="shared" si="121"/>
        <v>2.0408163265306121E-2</v>
      </c>
      <c r="Z205" s="170">
        <f t="shared" si="136"/>
        <v>4</v>
      </c>
      <c r="AA205" s="6">
        <v>4</v>
      </c>
      <c r="AB205" s="6">
        <v>0</v>
      </c>
      <c r="AC205" s="138">
        <f t="shared" si="122"/>
        <v>254</v>
      </c>
      <c r="AD205" s="160">
        <f t="shared" si="123"/>
        <v>1.6E-2</v>
      </c>
      <c r="AE205" s="170">
        <f t="shared" si="137"/>
        <v>4</v>
      </c>
      <c r="AF205" s="6">
        <v>3</v>
      </c>
      <c r="AG205" s="6">
        <v>1</v>
      </c>
      <c r="AH205" s="138">
        <f t="shared" si="124"/>
        <v>258</v>
      </c>
      <c r="AI205" s="160">
        <f t="shared" si="125"/>
        <v>1.5748031496062992E-2</v>
      </c>
      <c r="AJ205" s="170">
        <f t="shared" si="138"/>
        <v>3</v>
      </c>
      <c r="AK205" s="6">
        <v>2</v>
      </c>
      <c r="AL205" s="6">
        <v>1</v>
      </c>
      <c r="AM205" s="138">
        <f t="shared" si="126"/>
        <v>261</v>
      </c>
      <c r="AN205" s="160">
        <f t="shared" si="127"/>
        <v>1.1627906976744186E-2</v>
      </c>
      <c r="AO205" s="170">
        <f t="shared" si="139"/>
        <v>2</v>
      </c>
      <c r="AP205" s="6">
        <v>2</v>
      </c>
      <c r="AQ205" s="6">
        <v>0</v>
      </c>
      <c r="AR205" s="138">
        <f t="shared" si="128"/>
        <v>263</v>
      </c>
      <c r="AS205" s="160">
        <f t="shared" si="129"/>
        <v>7.6628352490421452E-3</v>
      </c>
      <c r="AT205" s="164">
        <f t="shared" si="130"/>
        <v>18</v>
      </c>
      <c r="AU205" s="165">
        <f t="shared" si="131"/>
        <v>1.27539248981694E-2</v>
      </c>
    </row>
    <row r="206" spans="2:47" outlineLevel="1" x14ac:dyDescent="0.35">
      <c r="B206" s="48" t="s">
        <v>82</v>
      </c>
      <c r="C206" s="62" t="s">
        <v>141</v>
      </c>
      <c r="D206" s="70">
        <v>2</v>
      </c>
      <c r="E206" s="4">
        <v>11</v>
      </c>
      <c r="F206" s="81">
        <v>0</v>
      </c>
      <c r="G206" s="4">
        <v>11</v>
      </c>
      <c r="H206" s="185">
        <f t="shared" si="117"/>
        <v>0</v>
      </c>
      <c r="I206" s="81">
        <v>0</v>
      </c>
      <c r="J206" s="4">
        <v>11</v>
      </c>
      <c r="K206" s="167">
        <f t="shared" si="118"/>
        <v>0</v>
      </c>
      <c r="L206" s="81">
        <v>-1</v>
      </c>
      <c r="M206" s="4">
        <v>10</v>
      </c>
      <c r="N206" s="167">
        <f t="shared" si="119"/>
        <v>-9.0909090909090912E-2</v>
      </c>
      <c r="O206" s="81">
        <v>1</v>
      </c>
      <c r="P206" s="4">
        <v>11</v>
      </c>
      <c r="Q206" s="167">
        <f t="shared" si="132"/>
        <v>0.1</v>
      </c>
      <c r="R206" s="164">
        <f t="shared" si="133"/>
        <v>2</v>
      </c>
      <c r="S206" s="165">
        <f t="shared" si="134"/>
        <v>0</v>
      </c>
      <c r="U206" s="170">
        <f t="shared" si="135"/>
        <v>0</v>
      </c>
      <c r="V206" s="6">
        <v>0</v>
      </c>
      <c r="W206" s="6">
        <v>0</v>
      </c>
      <c r="X206" s="138">
        <f t="shared" si="120"/>
        <v>11</v>
      </c>
      <c r="Y206" s="167">
        <f t="shared" si="121"/>
        <v>0</v>
      </c>
      <c r="Z206" s="170">
        <f t="shared" si="136"/>
        <v>0</v>
      </c>
      <c r="AA206" s="6">
        <v>0</v>
      </c>
      <c r="AB206" s="6">
        <v>0</v>
      </c>
      <c r="AC206" s="138">
        <f t="shared" si="122"/>
        <v>11</v>
      </c>
      <c r="AD206" s="160">
        <f t="shared" si="123"/>
        <v>0</v>
      </c>
      <c r="AE206" s="170">
        <f t="shared" si="137"/>
        <v>0</v>
      </c>
      <c r="AF206" s="6">
        <v>0</v>
      </c>
      <c r="AG206" s="6">
        <v>0</v>
      </c>
      <c r="AH206" s="138">
        <f t="shared" si="124"/>
        <v>11</v>
      </c>
      <c r="AI206" s="160">
        <f t="shared" si="125"/>
        <v>0</v>
      </c>
      <c r="AJ206" s="170">
        <f t="shared" si="138"/>
        <v>0</v>
      </c>
      <c r="AK206" s="6">
        <v>0</v>
      </c>
      <c r="AL206" s="6">
        <v>0</v>
      </c>
      <c r="AM206" s="138">
        <f t="shared" si="126"/>
        <v>11</v>
      </c>
      <c r="AN206" s="160">
        <f t="shared" si="127"/>
        <v>0</v>
      </c>
      <c r="AO206" s="170">
        <f t="shared" si="139"/>
        <v>0</v>
      </c>
      <c r="AP206" s="6">
        <v>0</v>
      </c>
      <c r="AQ206" s="6">
        <v>0</v>
      </c>
      <c r="AR206" s="138">
        <f t="shared" si="128"/>
        <v>11</v>
      </c>
      <c r="AS206" s="160">
        <f t="shared" si="129"/>
        <v>0</v>
      </c>
      <c r="AT206" s="164">
        <f t="shared" si="130"/>
        <v>0</v>
      </c>
      <c r="AU206" s="165">
        <f t="shared" si="131"/>
        <v>0</v>
      </c>
    </row>
    <row r="207" spans="2:47" outlineLevel="1" x14ac:dyDescent="0.35">
      <c r="B207" s="48" t="s">
        <v>83</v>
      </c>
      <c r="C207" s="62" t="s">
        <v>141</v>
      </c>
      <c r="D207" s="70">
        <v>2</v>
      </c>
      <c r="E207" s="4">
        <v>46</v>
      </c>
      <c r="F207" s="81">
        <v>1</v>
      </c>
      <c r="G207" s="4">
        <v>47</v>
      </c>
      <c r="H207" s="185">
        <f t="shared" si="117"/>
        <v>2.1739130434782608E-2</v>
      </c>
      <c r="I207" s="81">
        <v>2</v>
      </c>
      <c r="J207" s="4">
        <v>49</v>
      </c>
      <c r="K207" s="167">
        <f t="shared" si="118"/>
        <v>4.2553191489361701E-2</v>
      </c>
      <c r="L207" s="81">
        <v>-1</v>
      </c>
      <c r="M207" s="4">
        <v>48</v>
      </c>
      <c r="N207" s="167">
        <f t="shared" si="119"/>
        <v>-2.0408163265306121E-2</v>
      </c>
      <c r="O207" s="81">
        <v>-2</v>
      </c>
      <c r="P207" s="4">
        <v>46</v>
      </c>
      <c r="Q207" s="167">
        <f t="shared" si="132"/>
        <v>-4.1666666666666664E-2</v>
      </c>
      <c r="R207" s="164">
        <f t="shared" si="133"/>
        <v>2</v>
      </c>
      <c r="S207" s="165">
        <f t="shared" si="134"/>
        <v>0</v>
      </c>
      <c r="U207" s="170">
        <f t="shared" si="135"/>
        <v>5</v>
      </c>
      <c r="V207" s="6">
        <v>5</v>
      </c>
      <c r="W207" s="6">
        <v>0</v>
      </c>
      <c r="X207" s="138">
        <f t="shared" si="120"/>
        <v>51</v>
      </c>
      <c r="Y207" s="167">
        <f t="shared" si="121"/>
        <v>0.10869565217391304</v>
      </c>
      <c r="Z207" s="170">
        <f t="shared" si="136"/>
        <v>4</v>
      </c>
      <c r="AA207" s="6">
        <v>3</v>
      </c>
      <c r="AB207" s="6">
        <v>1</v>
      </c>
      <c r="AC207" s="138">
        <f t="shared" si="122"/>
        <v>55</v>
      </c>
      <c r="AD207" s="160">
        <f t="shared" si="123"/>
        <v>7.8431372549019607E-2</v>
      </c>
      <c r="AE207" s="170">
        <f t="shared" si="137"/>
        <v>4</v>
      </c>
      <c r="AF207" s="6">
        <v>3</v>
      </c>
      <c r="AG207" s="6">
        <v>1</v>
      </c>
      <c r="AH207" s="138">
        <f t="shared" si="124"/>
        <v>59</v>
      </c>
      <c r="AI207" s="160">
        <f t="shared" si="125"/>
        <v>7.2727272727272724E-2</v>
      </c>
      <c r="AJ207" s="170">
        <f t="shared" si="138"/>
        <v>4</v>
      </c>
      <c r="AK207" s="6">
        <v>2</v>
      </c>
      <c r="AL207" s="6">
        <v>2</v>
      </c>
      <c r="AM207" s="138">
        <f t="shared" si="126"/>
        <v>63</v>
      </c>
      <c r="AN207" s="160">
        <f t="shared" si="127"/>
        <v>6.7796610169491525E-2</v>
      </c>
      <c r="AO207" s="170">
        <f t="shared" si="139"/>
        <v>3</v>
      </c>
      <c r="AP207" s="6">
        <v>1</v>
      </c>
      <c r="AQ207" s="6">
        <v>2</v>
      </c>
      <c r="AR207" s="138">
        <f t="shared" si="128"/>
        <v>66</v>
      </c>
      <c r="AS207" s="160">
        <f t="shared" si="129"/>
        <v>4.7619047619047616E-2</v>
      </c>
      <c r="AT207" s="164">
        <f t="shared" si="130"/>
        <v>20</v>
      </c>
      <c r="AU207" s="165">
        <f t="shared" si="131"/>
        <v>6.6580010120685706E-2</v>
      </c>
    </row>
    <row r="208" spans="2:47" outlineLevel="1" x14ac:dyDescent="0.35">
      <c r="B208" s="48" t="s">
        <v>84</v>
      </c>
      <c r="C208" s="62" t="s">
        <v>141</v>
      </c>
      <c r="D208" s="70">
        <v>-1</v>
      </c>
      <c r="E208" s="4">
        <v>35</v>
      </c>
      <c r="F208" s="81">
        <v>0</v>
      </c>
      <c r="G208" s="4">
        <v>35</v>
      </c>
      <c r="H208" s="185">
        <f t="shared" si="117"/>
        <v>0</v>
      </c>
      <c r="I208" s="81">
        <v>1</v>
      </c>
      <c r="J208" s="4">
        <v>36</v>
      </c>
      <c r="K208" s="167">
        <f t="shared" si="118"/>
        <v>2.8571428571428571E-2</v>
      </c>
      <c r="L208" s="81">
        <v>1</v>
      </c>
      <c r="M208" s="4">
        <v>37</v>
      </c>
      <c r="N208" s="167">
        <f t="shared" si="119"/>
        <v>2.7777777777777776E-2</v>
      </c>
      <c r="O208" s="81">
        <v>0</v>
      </c>
      <c r="P208" s="4">
        <v>37</v>
      </c>
      <c r="Q208" s="167">
        <f t="shared" si="132"/>
        <v>0</v>
      </c>
      <c r="R208" s="164">
        <f t="shared" si="133"/>
        <v>1</v>
      </c>
      <c r="S208" s="165">
        <f t="shared" si="134"/>
        <v>1.3989411481672098E-2</v>
      </c>
      <c r="U208" s="170">
        <f t="shared" si="135"/>
        <v>5</v>
      </c>
      <c r="V208" s="6">
        <v>5</v>
      </c>
      <c r="W208" s="6">
        <v>0</v>
      </c>
      <c r="X208" s="138">
        <f t="shared" si="120"/>
        <v>42</v>
      </c>
      <c r="Y208" s="167">
        <f t="shared" si="121"/>
        <v>0.13513513513513514</v>
      </c>
      <c r="Z208" s="170">
        <f t="shared" si="136"/>
        <v>3</v>
      </c>
      <c r="AA208" s="6">
        <v>2</v>
      </c>
      <c r="AB208" s="6">
        <v>1</v>
      </c>
      <c r="AC208" s="138">
        <f t="shared" si="122"/>
        <v>45</v>
      </c>
      <c r="AD208" s="160">
        <f t="shared" si="123"/>
        <v>7.1428571428571425E-2</v>
      </c>
      <c r="AE208" s="170">
        <f t="shared" si="137"/>
        <v>4</v>
      </c>
      <c r="AF208" s="6">
        <v>1</v>
      </c>
      <c r="AG208" s="6">
        <v>3</v>
      </c>
      <c r="AH208" s="138">
        <f t="shared" si="124"/>
        <v>49</v>
      </c>
      <c r="AI208" s="160">
        <f t="shared" si="125"/>
        <v>8.8888888888888892E-2</v>
      </c>
      <c r="AJ208" s="170">
        <f t="shared" si="138"/>
        <v>5</v>
      </c>
      <c r="AK208" s="6">
        <v>1</v>
      </c>
      <c r="AL208" s="6">
        <v>4</v>
      </c>
      <c r="AM208" s="138">
        <f t="shared" si="126"/>
        <v>54</v>
      </c>
      <c r="AN208" s="160">
        <f t="shared" si="127"/>
        <v>0.10204081632653061</v>
      </c>
      <c r="AO208" s="170">
        <f t="shared" si="139"/>
        <v>5</v>
      </c>
      <c r="AP208" s="6">
        <v>1</v>
      </c>
      <c r="AQ208" s="6">
        <v>4</v>
      </c>
      <c r="AR208" s="138">
        <f t="shared" si="128"/>
        <v>59</v>
      </c>
      <c r="AS208" s="160">
        <f t="shared" si="129"/>
        <v>9.2592592592592587E-2</v>
      </c>
      <c r="AT208" s="164">
        <f t="shared" si="130"/>
        <v>22</v>
      </c>
      <c r="AU208" s="165">
        <f t="shared" si="131"/>
        <v>8.8681092167584241E-2</v>
      </c>
    </row>
    <row r="209" spans="2:47" outlineLevel="1" x14ac:dyDescent="0.35">
      <c r="B209" s="48" t="s">
        <v>85</v>
      </c>
      <c r="C209" s="62" t="s">
        <v>141</v>
      </c>
      <c r="D209" s="70">
        <v>4</v>
      </c>
      <c r="E209" s="4">
        <v>25</v>
      </c>
      <c r="F209" s="81">
        <v>5</v>
      </c>
      <c r="G209" s="4">
        <v>30</v>
      </c>
      <c r="H209" s="185">
        <f t="shared" si="117"/>
        <v>0.2</v>
      </c>
      <c r="I209" s="81">
        <v>5</v>
      </c>
      <c r="J209" s="4">
        <v>35</v>
      </c>
      <c r="K209" s="167">
        <f t="shared" si="118"/>
        <v>0.16666666666666666</v>
      </c>
      <c r="L209" s="81">
        <v>-1</v>
      </c>
      <c r="M209" s="4">
        <v>34</v>
      </c>
      <c r="N209" s="167">
        <f t="shared" si="119"/>
        <v>-2.8571428571428571E-2</v>
      </c>
      <c r="O209" s="81">
        <v>1</v>
      </c>
      <c r="P209" s="4">
        <v>35</v>
      </c>
      <c r="Q209" s="167">
        <f t="shared" si="132"/>
        <v>2.9411764705882353E-2</v>
      </c>
      <c r="R209" s="164">
        <f t="shared" si="133"/>
        <v>14</v>
      </c>
      <c r="S209" s="165">
        <f t="shared" si="134"/>
        <v>8.7757305937277152E-2</v>
      </c>
      <c r="U209" s="170">
        <f t="shared" si="135"/>
        <v>0</v>
      </c>
      <c r="V209" s="6">
        <v>0</v>
      </c>
      <c r="W209" s="6">
        <v>0</v>
      </c>
      <c r="X209" s="138">
        <f t="shared" si="120"/>
        <v>35</v>
      </c>
      <c r="Y209" s="167">
        <f t="shared" si="121"/>
        <v>0</v>
      </c>
      <c r="Z209" s="170">
        <f t="shared" si="136"/>
        <v>1</v>
      </c>
      <c r="AA209" s="6">
        <v>0</v>
      </c>
      <c r="AB209" s="6">
        <v>1</v>
      </c>
      <c r="AC209" s="138">
        <f t="shared" si="122"/>
        <v>36</v>
      </c>
      <c r="AD209" s="160">
        <f t="shared" si="123"/>
        <v>2.8571428571428571E-2</v>
      </c>
      <c r="AE209" s="170">
        <f t="shared" si="137"/>
        <v>1</v>
      </c>
      <c r="AF209" s="6">
        <v>0</v>
      </c>
      <c r="AG209" s="6">
        <v>1</v>
      </c>
      <c r="AH209" s="138">
        <f t="shared" si="124"/>
        <v>37</v>
      </c>
      <c r="AI209" s="160">
        <f t="shared" si="125"/>
        <v>2.7777777777777776E-2</v>
      </c>
      <c r="AJ209" s="170">
        <f t="shared" si="138"/>
        <v>1</v>
      </c>
      <c r="AK209" s="6">
        <v>0</v>
      </c>
      <c r="AL209" s="6">
        <v>1</v>
      </c>
      <c r="AM209" s="138">
        <f t="shared" si="126"/>
        <v>38</v>
      </c>
      <c r="AN209" s="160">
        <f t="shared" si="127"/>
        <v>2.7027027027027029E-2</v>
      </c>
      <c r="AO209" s="170">
        <f t="shared" si="139"/>
        <v>1</v>
      </c>
      <c r="AP209" s="6">
        <v>0</v>
      </c>
      <c r="AQ209" s="6">
        <v>1</v>
      </c>
      <c r="AR209" s="138">
        <f t="shared" si="128"/>
        <v>39</v>
      </c>
      <c r="AS209" s="160">
        <f t="shared" si="129"/>
        <v>2.6315789473684209E-2</v>
      </c>
      <c r="AT209" s="164">
        <f t="shared" si="130"/>
        <v>4</v>
      </c>
      <c r="AU209" s="165">
        <f t="shared" si="131"/>
        <v>2.7422661723740305E-2</v>
      </c>
    </row>
    <row r="210" spans="2:47" outlineLevel="1" x14ac:dyDescent="0.35">
      <c r="B210" s="48" t="s">
        <v>86</v>
      </c>
      <c r="C210" s="62" t="s">
        <v>141</v>
      </c>
      <c r="D210" s="70">
        <v>2</v>
      </c>
      <c r="E210" s="4">
        <v>57</v>
      </c>
      <c r="F210" s="81">
        <v>6</v>
      </c>
      <c r="G210" s="4">
        <v>63</v>
      </c>
      <c r="H210" s="185">
        <f t="shared" si="117"/>
        <v>0.10526315789473684</v>
      </c>
      <c r="I210" s="81">
        <v>4</v>
      </c>
      <c r="J210" s="4">
        <v>67</v>
      </c>
      <c r="K210" s="167">
        <f t="shared" si="118"/>
        <v>6.3492063492063489E-2</v>
      </c>
      <c r="L210" s="81">
        <v>2</v>
      </c>
      <c r="M210" s="4">
        <v>69</v>
      </c>
      <c r="N210" s="167">
        <f t="shared" si="119"/>
        <v>2.9850746268656716E-2</v>
      </c>
      <c r="O210" s="81">
        <v>1</v>
      </c>
      <c r="P210" s="4">
        <v>70</v>
      </c>
      <c r="Q210" s="167">
        <f t="shared" si="132"/>
        <v>1.4492753623188406E-2</v>
      </c>
      <c r="R210" s="164">
        <f t="shared" si="133"/>
        <v>15</v>
      </c>
      <c r="S210" s="165">
        <f t="shared" si="134"/>
        <v>5.270284363978095E-2</v>
      </c>
      <c r="U210" s="170">
        <f t="shared" si="135"/>
        <v>2</v>
      </c>
      <c r="V210" s="6">
        <v>2</v>
      </c>
      <c r="W210" s="6">
        <v>0</v>
      </c>
      <c r="X210" s="138">
        <f t="shared" si="120"/>
        <v>72</v>
      </c>
      <c r="Y210" s="167">
        <f t="shared" si="121"/>
        <v>2.8571428571428571E-2</v>
      </c>
      <c r="Z210" s="170">
        <f t="shared" si="136"/>
        <v>6</v>
      </c>
      <c r="AA210" s="6">
        <v>2</v>
      </c>
      <c r="AB210" s="6">
        <v>4</v>
      </c>
      <c r="AC210" s="138">
        <f t="shared" si="122"/>
        <v>78</v>
      </c>
      <c r="AD210" s="160">
        <f t="shared" si="123"/>
        <v>8.3333333333333329E-2</v>
      </c>
      <c r="AE210" s="170">
        <f t="shared" si="137"/>
        <v>10</v>
      </c>
      <c r="AF210" s="6">
        <v>2</v>
      </c>
      <c r="AG210" s="6">
        <v>8</v>
      </c>
      <c r="AH210" s="138">
        <f t="shared" si="124"/>
        <v>88</v>
      </c>
      <c r="AI210" s="160">
        <f t="shared" si="125"/>
        <v>0.12820512820512819</v>
      </c>
      <c r="AJ210" s="170">
        <f t="shared" si="138"/>
        <v>10</v>
      </c>
      <c r="AK210" s="6">
        <v>1</v>
      </c>
      <c r="AL210" s="6">
        <v>9</v>
      </c>
      <c r="AM210" s="138">
        <f t="shared" si="126"/>
        <v>98</v>
      </c>
      <c r="AN210" s="160">
        <f t="shared" si="127"/>
        <v>0.11363636363636363</v>
      </c>
      <c r="AO210" s="170">
        <f t="shared" si="139"/>
        <v>9</v>
      </c>
      <c r="AP210" s="6">
        <v>1</v>
      </c>
      <c r="AQ210" s="6">
        <v>8</v>
      </c>
      <c r="AR210" s="138">
        <f t="shared" si="128"/>
        <v>107</v>
      </c>
      <c r="AS210" s="160">
        <f t="shared" si="129"/>
        <v>9.1836734693877556E-2</v>
      </c>
      <c r="AT210" s="164">
        <f t="shared" si="130"/>
        <v>37</v>
      </c>
      <c r="AU210" s="165">
        <f t="shared" si="131"/>
        <v>0.10411121263242751</v>
      </c>
    </row>
    <row r="211" spans="2:47" outlineLevel="1" x14ac:dyDescent="0.35">
      <c r="B211" s="48" t="s">
        <v>87</v>
      </c>
      <c r="C211" s="62" t="s">
        <v>141</v>
      </c>
      <c r="D211" s="70">
        <v>1</v>
      </c>
      <c r="E211" s="4">
        <v>70</v>
      </c>
      <c r="F211" s="81">
        <v>6</v>
      </c>
      <c r="G211" s="4">
        <v>76</v>
      </c>
      <c r="H211" s="185">
        <f t="shared" si="117"/>
        <v>8.5714285714285715E-2</v>
      </c>
      <c r="I211" s="81">
        <v>-3</v>
      </c>
      <c r="J211" s="4">
        <v>73</v>
      </c>
      <c r="K211" s="167">
        <f t="shared" si="118"/>
        <v>-3.9473684210526314E-2</v>
      </c>
      <c r="L211" s="81">
        <v>1</v>
      </c>
      <c r="M211" s="4">
        <v>74</v>
      </c>
      <c r="N211" s="167">
        <f t="shared" si="119"/>
        <v>1.3698630136986301E-2</v>
      </c>
      <c r="O211" s="81">
        <v>2</v>
      </c>
      <c r="P211" s="4">
        <v>76</v>
      </c>
      <c r="Q211" s="167">
        <f t="shared" si="132"/>
        <v>2.7027027027027029E-2</v>
      </c>
      <c r="R211" s="164">
        <f t="shared" si="133"/>
        <v>7</v>
      </c>
      <c r="S211" s="165">
        <f t="shared" si="134"/>
        <v>2.0772327457722284E-2</v>
      </c>
      <c r="U211" s="170">
        <f t="shared" si="135"/>
        <v>4</v>
      </c>
      <c r="V211" s="6">
        <v>4</v>
      </c>
      <c r="W211" s="6">
        <v>0</v>
      </c>
      <c r="X211" s="138">
        <f t="shared" si="120"/>
        <v>80</v>
      </c>
      <c r="Y211" s="167">
        <f t="shared" si="121"/>
        <v>5.2631578947368418E-2</v>
      </c>
      <c r="Z211" s="170">
        <f t="shared" si="136"/>
        <v>5</v>
      </c>
      <c r="AA211" s="6">
        <v>3</v>
      </c>
      <c r="AB211" s="6">
        <v>2</v>
      </c>
      <c r="AC211" s="138">
        <f t="shared" si="122"/>
        <v>85</v>
      </c>
      <c r="AD211" s="160">
        <f t="shared" si="123"/>
        <v>6.25E-2</v>
      </c>
      <c r="AE211" s="170">
        <f t="shared" si="137"/>
        <v>5</v>
      </c>
      <c r="AF211" s="6">
        <v>2</v>
      </c>
      <c r="AG211" s="6">
        <v>3</v>
      </c>
      <c r="AH211" s="138">
        <f t="shared" si="124"/>
        <v>90</v>
      </c>
      <c r="AI211" s="160">
        <f t="shared" si="125"/>
        <v>5.8823529411764705E-2</v>
      </c>
      <c r="AJ211" s="170">
        <f t="shared" si="138"/>
        <v>4</v>
      </c>
      <c r="AK211" s="6">
        <v>2</v>
      </c>
      <c r="AL211" s="6">
        <v>2</v>
      </c>
      <c r="AM211" s="138">
        <f t="shared" si="126"/>
        <v>94</v>
      </c>
      <c r="AN211" s="160">
        <f t="shared" si="127"/>
        <v>4.4444444444444446E-2</v>
      </c>
      <c r="AO211" s="170">
        <f t="shared" si="139"/>
        <v>4</v>
      </c>
      <c r="AP211" s="6">
        <v>1</v>
      </c>
      <c r="AQ211" s="6">
        <v>3</v>
      </c>
      <c r="AR211" s="138">
        <f t="shared" si="128"/>
        <v>98</v>
      </c>
      <c r="AS211" s="160">
        <f t="shared" si="129"/>
        <v>4.2553191489361701E-2</v>
      </c>
      <c r="AT211" s="164">
        <f t="shared" si="130"/>
        <v>22</v>
      </c>
      <c r="AU211" s="165">
        <f t="shared" si="131"/>
        <v>5.2044286643358362E-2</v>
      </c>
    </row>
    <row r="212" spans="2:47" outlineLevel="1" x14ac:dyDescent="0.35">
      <c r="B212" s="48" t="s">
        <v>88</v>
      </c>
      <c r="C212" s="62" t="s">
        <v>141</v>
      </c>
      <c r="D212" s="70">
        <v>-2</v>
      </c>
      <c r="E212" s="4">
        <v>149</v>
      </c>
      <c r="F212" s="81">
        <v>3</v>
      </c>
      <c r="G212" s="4">
        <v>152</v>
      </c>
      <c r="H212" s="185">
        <f t="shared" si="117"/>
        <v>2.0134228187919462E-2</v>
      </c>
      <c r="I212" s="81">
        <v>4</v>
      </c>
      <c r="J212" s="4">
        <v>156</v>
      </c>
      <c r="K212" s="167">
        <f t="shared" si="118"/>
        <v>2.6315789473684209E-2</v>
      </c>
      <c r="L212" s="81">
        <v>2</v>
      </c>
      <c r="M212" s="4">
        <v>158</v>
      </c>
      <c r="N212" s="167">
        <f t="shared" si="119"/>
        <v>1.282051282051282E-2</v>
      </c>
      <c r="O212" s="81">
        <v>14</v>
      </c>
      <c r="P212" s="4">
        <v>172</v>
      </c>
      <c r="Q212" s="167">
        <f t="shared" si="132"/>
        <v>8.8607594936708861E-2</v>
      </c>
      <c r="R212" s="164">
        <f t="shared" si="133"/>
        <v>21</v>
      </c>
      <c r="S212" s="165">
        <f t="shared" si="134"/>
        <v>3.6538755276373625E-2</v>
      </c>
      <c r="U212" s="170">
        <f t="shared" si="135"/>
        <v>7</v>
      </c>
      <c r="V212" s="6">
        <v>7</v>
      </c>
      <c r="W212" s="6">
        <v>0</v>
      </c>
      <c r="X212" s="138">
        <f t="shared" si="120"/>
        <v>179</v>
      </c>
      <c r="Y212" s="167">
        <f t="shared" si="121"/>
        <v>4.0697674418604654E-2</v>
      </c>
      <c r="Z212" s="170">
        <f t="shared" si="136"/>
        <v>9</v>
      </c>
      <c r="AA212" s="6">
        <v>6</v>
      </c>
      <c r="AB212" s="6">
        <v>3</v>
      </c>
      <c r="AC212" s="138">
        <f t="shared" si="122"/>
        <v>188</v>
      </c>
      <c r="AD212" s="160">
        <f t="shared" si="123"/>
        <v>5.027932960893855E-2</v>
      </c>
      <c r="AE212" s="170">
        <f t="shared" si="137"/>
        <v>11</v>
      </c>
      <c r="AF212" s="6">
        <v>5</v>
      </c>
      <c r="AG212" s="6">
        <v>6</v>
      </c>
      <c r="AH212" s="138">
        <f t="shared" si="124"/>
        <v>199</v>
      </c>
      <c r="AI212" s="160">
        <f t="shared" si="125"/>
        <v>5.8510638297872342E-2</v>
      </c>
      <c r="AJ212" s="170">
        <f t="shared" si="138"/>
        <v>9</v>
      </c>
      <c r="AK212" s="6">
        <v>4</v>
      </c>
      <c r="AL212" s="6">
        <v>5</v>
      </c>
      <c r="AM212" s="138">
        <f t="shared" si="126"/>
        <v>208</v>
      </c>
      <c r="AN212" s="160">
        <f t="shared" si="127"/>
        <v>4.5226130653266333E-2</v>
      </c>
      <c r="AO212" s="170">
        <f t="shared" si="139"/>
        <v>9</v>
      </c>
      <c r="AP212" s="6">
        <v>3</v>
      </c>
      <c r="AQ212" s="6">
        <v>6</v>
      </c>
      <c r="AR212" s="138">
        <f t="shared" si="128"/>
        <v>217</v>
      </c>
      <c r="AS212" s="160">
        <f t="shared" si="129"/>
        <v>4.3269230769230768E-2</v>
      </c>
      <c r="AT212" s="164">
        <f t="shared" si="130"/>
        <v>45</v>
      </c>
      <c r="AU212" s="165">
        <f t="shared" si="131"/>
        <v>4.9304839113295973E-2</v>
      </c>
    </row>
    <row r="213" spans="2:47" outlineLevel="1" x14ac:dyDescent="0.35">
      <c r="B213" s="48" t="s">
        <v>89</v>
      </c>
      <c r="C213" s="62" t="s">
        <v>141</v>
      </c>
      <c r="D213" s="70">
        <v>1</v>
      </c>
      <c r="E213" s="4">
        <v>63</v>
      </c>
      <c r="F213" s="81">
        <v>2</v>
      </c>
      <c r="G213" s="4">
        <v>65</v>
      </c>
      <c r="H213" s="185">
        <f t="shared" si="117"/>
        <v>3.1746031746031744E-2</v>
      </c>
      <c r="I213" s="81">
        <v>2</v>
      </c>
      <c r="J213" s="4">
        <v>67</v>
      </c>
      <c r="K213" s="167">
        <f t="shared" si="118"/>
        <v>3.0769230769230771E-2</v>
      </c>
      <c r="L213" s="81">
        <v>6</v>
      </c>
      <c r="M213" s="4">
        <v>73</v>
      </c>
      <c r="N213" s="167">
        <f t="shared" si="119"/>
        <v>8.9552238805970144E-2</v>
      </c>
      <c r="O213" s="81">
        <v>-1</v>
      </c>
      <c r="P213" s="4">
        <v>72</v>
      </c>
      <c r="Q213" s="167">
        <f t="shared" si="132"/>
        <v>-1.3698630136986301E-2</v>
      </c>
      <c r="R213" s="164">
        <f t="shared" si="133"/>
        <v>10</v>
      </c>
      <c r="S213" s="165">
        <f t="shared" si="134"/>
        <v>3.3946307914341167E-2</v>
      </c>
      <c r="U213" s="170">
        <f t="shared" si="135"/>
        <v>3</v>
      </c>
      <c r="V213" s="6">
        <v>2</v>
      </c>
      <c r="W213" s="6">
        <v>1</v>
      </c>
      <c r="X213" s="138">
        <f t="shared" si="120"/>
        <v>75</v>
      </c>
      <c r="Y213" s="167">
        <f t="shared" si="121"/>
        <v>4.1666666666666664E-2</v>
      </c>
      <c r="Z213" s="170">
        <f t="shared" si="136"/>
        <v>3</v>
      </c>
      <c r="AA213" s="6">
        <v>2</v>
      </c>
      <c r="AB213" s="6">
        <v>1</v>
      </c>
      <c r="AC213" s="138">
        <f t="shared" si="122"/>
        <v>78</v>
      </c>
      <c r="AD213" s="160">
        <f t="shared" si="123"/>
        <v>0.04</v>
      </c>
      <c r="AE213" s="170">
        <f t="shared" si="137"/>
        <v>4</v>
      </c>
      <c r="AF213" s="6">
        <v>2</v>
      </c>
      <c r="AG213" s="6">
        <v>2</v>
      </c>
      <c r="AH213" s="138">
        <f t="shared" si="124"/>
        <v>82</v>
      </c>
      <c r="AI213" s="160">
        <f t="shared" si="125"/>
        <v>5.128205128205128E-2</v>
      </c>
      <c r="AJ213" s="170">
        <f t="shared" si="138"/>
        <v>4</v>
      </c>
      <c r="AK213" s="6">
        <v>1</v>
      </c>
      <c r="AL213" s="6">
        <v>3</v>
      </c>
      <c r="AM213" s="138">
        <f t="shared" si="126"/>
        <v>86</v>
      </c>
      <c r="AN213" s="160">
        <f t="shared" si="127"/>
        <v>4.878048780487805E-2</v>
      </c>
      <c r="AO213" s="170">
        <f t="shared" si="139"/>
        <v>4</v>
      </c>
      <c r="AP213" s="6">
        <v>1</v>
      </c>
      <c r="AQ213" s="6">
        <v>3</v>
      </c>
      <c r="AR213" s="138">
        <f t="shared" si="128"/>
        <v>90</v>
      </c>
      <c r="AS213" s="160">
        <f t="shared" si="129"/>
        <v>4.6511627906976744E-2</v>
      </c>
      <c r="AT213" s="164">
        <f t="shared" si="130"/>
        <v>18</v>
      </c>
      <c r="AU213" s="165">
        <f t="shared" si="131"/>
        <v>4.6635139392105618E-2</v>
      </c>
    </row>
    <row r="214" spans="2:47" outlineLevel="1" x14ac:dyDescent="0.35">
      <c r="B214" s="48" t="s">
        <v>90</v>
      </c>
      <c r="C214" s="62" t="s">
        <v>141</v>
      </c>
      <c r="D214" s="70">
        <v>1</v>
      </c>
      <c r="E214" s="4">
        <v>14</v>
      </c>
      <c r="F214" s="81">
        <v>-1</v>
      </c>
      <c r="G214" s="4">
        <v>13</v>
      </c>
      <c r="H214" s="185">
        <f t="shared" si="117"/>
        <v>-7.1428571428571425E-2</v>
      </c>
      <c r="I214" s="81">
        <v>1</v>
      </c>
      <c r="J214" s="4">
        <v>14</v>
      </c>
      <c r="K214" s="167">
        <f t="shared" si="118"/>
        <v>7.6923076923076927E-2</v>
      </c>
      <c r="L214" s="81">
        <v>-1</v>
      </c>
      <c r="M214" s="4">
        <v>13</v>
      </c>
      <c r="N214" s="167">
        <f t="shared" si="119"/>
        <v>-7.1428571428571425E-2</v>
      </c>
      <c r="O214" s="81">
        <v>-1</v>
      </c>
      <c r="P214" s="4">
        <v>12</v>
      </c>
      <c r="Q214" s="167">
        <f t="shared" si="132"/>
        <v>-7.6923076923076927E-2</v>
      </c>
      <c r="R214" s="164">
        <f t="shared" si="133"/>
        <v>-1</v>
      </c>
      <c r="S214" s="165">
        <f t="shared" si="134"/>
        <v>-3.7804541804238534E-2</v>
      </c>
      <c r="U214" s="170">
        <f t="shared" si="135"/>
        <v>0</v>
      </c>
      <c r="V214" s="6">
        <v>0</v>
      </c>
      <c r="W214" s="6">
        <v>0</v>
      </c>
      <c r="X214" s="138">
        <f t="shared" si="120"/>
        <v>12</v>
      </c>
      <c r="Y214" s="167">
        <f t="shared" si="121"/>
        <v>0</v>
      </c>
      <c r="Z214" s="170">
        <f t="shared" si="136"/>
        <v>0</v>
      </c>
      <c r="AA214" s="6">
        <v>0</v>
      </c>
      <c r="AB214" s="6">
        <v>0</v>
      </c>
      <c r="AC214" s="138">
        <f t="shared" si="122"/>
        <v>12</v>
      </c>
      <c r="AD214" s="160">
        <f t="shared" si="123"/>
        <v>0</v>
      </c>
      <c r="AE214" s="170">
        <f t="shared" si="137"/>
        <v>0</v>
      </c>
      <c r="AF214" s="6">
        <v>0</v>
      </c>
      <c r="AG214" s="6">
        <v>0</v>
      </c>
      <c r="AH214" s="138">
        <f t="shared" si="124"/>
        <v>12</v>
      </c>
      <c r="AI214" s="160">
        <f t="shared" si="125"/>
        <v>0</v>
      </c>
      <c r="AJ214" s="170">
        <f t="shared" si="138"/>
        <v>0</v>
      </c>
      <c r="AK214" s="6">
        <v>0</v>
      </c>
      <c r="AL214" s="6">
        <v>0</v>
      </c>
      <c r="AM214" s="138">
        <f t="shared" si="126"/>
        <v>12</v>
      </c>
      <c r="AN214" s="160">
        <f t="shared" si="127"/>
        <v>0</v>
      </c>
      <c r="AO214" s="170">
        <f t="shared" si="139"/>
        <v>0</v>
      </c>
      <c r="AP214" s="6">
        <v>0</v>
      </c>
      <c r="AQ214" s="6">
        <v>0</v>
      </c>
      <c r="AR214" s="138">
        <f t="shared" si="128"/>
        <v>12</v>
      </c>
      <c r="AS214" s="160">
        <f t="shared" si="129"/>
        <v>0</v>
      </c>
      <c r="AT214" s="164">
        <f t="shared" si="130"/>
        <v>0</v>
      </c>
      <c r="AU214" s="165">
        <f t="shared" si="131"/>
        <v>0</v>
      </c>
    </row>
    <row r="215" spans="2:47" outlineLevel="1" x14ac:dyDescent="0.35">
      <c r="B215" s="48" t="s">
        <v>91</v>
      </c>
      <c r="C215" s="62" t="s">
        <v>141</v>
      </c>
      <c r="D215" s="70">
        <v>1</v>
      </c>
      <c r="E215" s="4">
        <v>10</v>
      </c>
      <c r="F215" s="81">
        <v>0</v>
      </c>
      <c r="G215" s="4">
        <v>10</v>
      </c>
      <c r="H215" s="185">
        <f t="shared" si="117"/>
        <v>0</v>
      </c>
      <c r="I215" s="81">
        <v>0</v>
      </c>
      <c r="J215" s="4">
        <v>10</v>
      </c>
      <c r="K215" s="167">
        <f t="shared" si="118"/>
        <v>0</v>
      </c>
      <c r="L215" s="81">
        <v>0</v>
      </c>
      <c r="M215" s="4">
        <v>10</v>
      </c>
      <c r="N215" s="167">
        <f t="shared" si="119"/>
        <v>0</v>
      </c>
      <c r="O215" s="81">
        <v>-1</v>
      </c>
      <c r="P215" s="4">
        <v>9</v>
      </c>
      <c r="Q215" s="167">
        <f t="shared" si="132"/>
        <v>-0.1</v>
      </c>
      <c r="R215" s="164">
        <f t="shared" si="133"/>
        <v>0</v>
      </c>
      <c r="S215" s="165">
        <f t="shared" si="134"/>
        <v>-2.5996253574703254E-2</v>
      </c>
      <c r="U215" s="170">
        <f t="shared" si="135"/>
        <v>0</v>
      </c>
      <c r="V215" s="6">
        <v>0</v>
      </c>
      <c r="W215" s="6">
        <v>0</v>
      </c>
      <c r="X215" s="138">
        <f t="shared" si="120"/>
        <v>9</v>
      </c>
      <c r="Y215" s="167">
        <f t="shared" si="121"/>
        <v>0</v>
      </c>
      <c r="Z215" s="170">
        <f t="shared" si="136"/>
        <v>0</v>
      </c>
      <c r="AA215" s="6">
        <v>0</v>
      </c>
      <c r="AB215" s="6">
        <v>0</v>
      </c>
      <c r="AC215" s="138">
        <f t="shared" si="122"/>
        <v>9</v>
      </c>
      <c r="AD215" s="160">
        <f t="shared" si="123"/>
        <v>0</v>
      </c>
      <c r="AE215" s="170">
        <f t="shared" si="137"/>
        <v>0</v>
      </c>
      <c r="AF215" s="6">
        <v>0</v>
      </c>
      <c r="AG215" s="6">
        <v>0</v>
      </c>
      <c r="AH215" s="138">
        <f t="shared" si="124"/>
        <v>9</v>
      </c>
      <c r="AI215" s="160">
        <f t="shared" si="125"/>
        <v>0</v>
      </c>
      <c r="AJ215" s="170">
        <f t="shared" si="138"/>
        <v>0</v>
      </c>
      <c r="AK215" s="6">
        <v>0</v>
      </c>
      <c r="AL215" s="6">
        <v>0</v>
      </c>
      <c r="AM215" s="138">
        <f t="shared" si="126"/>
        <v>9</v>
      </c>
      <c r="AN215" s="160">
        <f t="shared" si="127"/>
        <v>0</v>
      </c>
      <c r="AO215" s="170">
        <f t="shared" si="139"/>
        <v>0</v>
      </c>
      <c r="AP215" s="6">
        <v>0</v>
      </c>
      <c r="AQ215" s="6">
        <v>0</v>
      </c>
      <c r="AR215" s="138">
        <f t="shared" si="128"/>
        <v>9</v>
      </c>
      <c r="AS215" s="160">
        <f t="shared" si="129"/>
        <v>0</v>
      </c>
      <c r="AT215" s="164">
        <f t="shared" si="130"/>
        <v>0</v>
      </c>
      <c r="AU215" s="165">
        <f t="shared" si="131"/>
        <v>0</v>
      </c>
    </row>
    <row r="216" spans="2:47" outlineLevel="1" x14ac:dyDescent="0.35">
      <c r="B216" s="48" t="s">
        <v>92</v>
      </c>
      <c r="C216" s="62" t="s">
        <v>141</v>
      </c>
      <c r="D216" s="70">
        <v>-3</v>
      </c>
      <c r="E216" s="4">
        <v>85</v>
      </c>
      <c r="F216" s="81">
        <v>10</v>
      </c>
      <c r="G216" s="4">
        <v>95</v>
      </c>
      <c r="H216" s="185">
        <f t="shared" si="117"/>
        <v>0.11764705882352941</v>
      </c>
      <c r="I216" s="81">
        <v>10</v>
      </c>
      <c r="J216" s="4">
        <v>105</v>
      </c>
      <c r="K216" s="167">
        <f t="shared" si="118"/>
        <v>0.10526315789473684</v>
      </c>
      <c r="L216" s="81">
        <v>-4</v>
      </c>
      <c r="M216" s="4">
        <v>101</v>
      </c>
      <c r="N216" s="167">
        <f t="shared" si="119"/>
        <v>-3.8095238095238099E-2</v>
      </c>
      <c r="O216" s="81">
        <v>1</v>
      </c>
      <c r="P216" s="4">
        <v>102</v>
      </c>
      <c r="Q216" s="167">
        <f t="shared" si="132"/>
        <v>9.9009900990099011E-3</v>
      </c>
      <c r="R216" s="164">
        <f t="shared" si="133"/>
        <v>14</v>
      </c>
      <c r="S216" s="165">
        <f t="shared" si="134"/>
        <v>4.6635139392105618E-2</v>
      </c>
      <c r="U216" s="170">
        <f t="shared" si="135"/>
        <v>4</v>
      </c>
      <c r="V216" s="6">
        <v>4</v>
      </c>
      <c r="W216" s="6">
        <v>0</v>
      </c>
      <c r="X216" s="138">
        <f t="shared" si="120"/>
        <v>106</v>
      </c>
      <c r="Y216" s="167">
        <f t="shared" si="121"/>
        <v>3.9215686274509803E-2</v>
      </c>
      <c r="Z216" s="170">
        <f t="shared" si="136"/>
        <v>4</v>
      </c>
      <c r="AA216" s="6">
        <v>3</v>
      </c>
      <c r="AB216" s="6">
        <v>1</v>
      </c>
      <c r="AC216" s="138">
        <f t="shared" si="122"/>
        <v>110</v>
      </c>
      <c r="AD216" s="160">
        <f t="shared" si="123"/>
        <v>3.7735849056603772E-2</v>
      </c>
      <c r="AE216" s="170">
        <f t="shared" si="137"/>
        <v>5</v>
      </c>
      <c r="AF216" s="6">
        <v>3</v>
      </c>
      <c r="AG216" s="6">
        <v>2</v>
      </c>
      <c r="AH216" s="138">
        <f t="shared" si="124"/>
        <v>115</v>
      </c>
      <c r="AI216" s="160">
        <f t="shared" si="125"/>
        <v>4.5454545454545456E-2</v>
      </c>
      <c r="AJ216" s="170">
        <f t="shared" si="138"/>
        <v>4</v>
      </c>
      <c r="AK216" s="6">
        <v>2</v>
      </c>
      <c r="AL216" s="6">
        <v>2</v>
      </c>
      <c r="AM216" s="138">
        <f t="shared" si="126"/>
        <v>119</v>
      </c>
      <c r="AN216" s="160">
        <f t="shared" si="127"/>
        <v>3.4782608695652174E-2</v>
      </c>
      <c r="AO216" s="170">
        <f t="shared" si="139"/>
        <v>5</v>
      </c>
      <c r="AP216" s="6">
        <v>2</v>
      </c>
      <c r="AQ216" s="6">
        <v>3</v>
      </c>
      <c r="AR216" s="138">
        <f t="shared" si="128"/>
        <v>124</v>
      </c>
      <c r="AS216" s="160">
        <f t="shared" si="129"/>
        <v>4.2016806722689079E-2</v>
      </c>
      <c r="AT216" s="164">
        <f t="shared" si="130"/>
        <v>22</v>
      </c>
      <c r="AU216" s="165">
        <f t="shared" si="131"/>
        <v>3.998950096175502E-2</v>
      </c>
    </row>
    <row r="217" spans="2:47" outlineLevel="1" x14ac:dyDescent="0.35">
      <c r="B217" s="48" t="s">
        <v>93</v>
      </c>
      <c r="C217" s="62" t="s">
        <v>141</v>
      </c>
      <c r="D217" s="70">
        <v>10</v>
      </c>
      <c r="E217" s="4">
        <v>52</v>
      </c>
      <c r="F217" s="81">
        <v>8</v>
      </c>
      <c r="G217" s="4">
        <v>60</v>
      </c>
      <c r="H217" s="185">
        <f t="shared" si="117"/>
        <v>0.15384615384615385</v>
      </c>
      <c r="I217" s="81">
        <v>13</v>
      </c>
      <c r="J217" s="4">
        <v>73</v>
      </c>
      <c r="K217" s="167">
        <f t="shared" si="118"/>
        <v>0.21666666666666667</v>
      </c>
      <c r="L217" s="81">
        <v>2</v>
      </c>
      <c r="M217" s="4">
        <v>75</v>
      </c>
      <c r="N217" s="167">
        <f t="shared" si="119"/>
        <v>2.7397260273972601E-2</v>
      </c>
      <c r="O217" s="81">
        <v>1</v>
      </c>
      <c r="P217" s="4">
        <v>76</v>
      </c>
      <c r="Q217" s="167">
        <f t="shared" si="132"/>
        <v>1.3333333333333334E-2</v>
      </c>
      <c r="R217" s="164">
        <f t="shared" si="133"/>
        <v>34</v>
      </c>
      <c r="S217" s="165">
        <f t="shared" si="134"/>
        <v>9.9518553574234891E-2</v>
      </c>
      <c r="U217" s="170">
        <f t="shared" si="135"/>
        <v>5</v>
      </c>
      <c r="V217" s="6">
        <v>4</v>
      </c>
      <c r="W217" s="6">
        <v>1</v>
      </c>
      <c r="X217" s="138">
        <f t="shared" si="120"/>
        <v>81</v>
      </c>
      <c r="Y217" s="167">
        <f t="shared" si="121"/>
        <v>6.5789473684210523E-2</v>
      </c>
      <c r="Z217" s="170">
        <f t="shared" si="136"/>
        <v>7</v>
      </c>
      <c r="AA217" s="6">
        <v>4</v>
      </c>
      <c r="AB217" s="6">
        <v>3</v>
      </c>
      <c r="AC217" s="138">
        <f t="shared" si="122"/>
        <v>88</v>
      </c>
      <c r="AD217" s="160">
        <f t="shared" si="123"/>
        <v>8.6419753086419748E-2</v>
      </c>
      <c r="AE217" s="170">
        <f t="shared" si="137"/>
        <v>12</v>
      </c>
      <c r="AF217" s="6">
        <v>3</v>
      </c>
      <c r="AG217" s="6">
        <v>9</v>
      </c>
      <c r="AH217" s="138">
        <f t="shared" si="124"/>
        <v>100</v>
      </c>
      <c r="AI217" s="160">
        <f t="shared" si="125"/>
        <v>0.13636363636363635</v>
      </c>
      <c r="AJ217" s="170">
        <f t="shared" si="138"/>
        <v>14</v>
      </c>
      <c r="AK217" s="6">
        <v>2</v>
      </c>
      <c r="AL217" s="6">
        <v>12</v>
      </c>
      <c r="AM217" s="138">
        <f t="shared" si="126"/>
        <v>114</v>
      </c>
      <c r="AN217" s="160">
        <f t="shared" si="127"/>
        <v>0.14000000000000001</v>
      </c>
      <c r="AO217" s="170">
        <f t="shared" si="139"/>
        <v>13</v>
      </c>
      <c r="AP217" s="6">
        <v>2</v>
      </c>
      <c r="AQ217" s="6">
        <v>11</v>
      </c>
      <c r="AR217" s="138">
        <f t="shared" si="128"/>
        <v>127</v>
      </c>
      <c r="AS217" s="160">
        <f t="shared" si="129"/>
        <v>0.11403508771929824</v>
      </c>
      <c r="AT217" s="164">
        <f t="shared" si="130"/>
        <v>51</v>
      </c>
      <c r="AU217" s="165">
        <f t="shared" si="131"/>
        <v>0.11899894099764441</v>
      </c>
    </row>
    <row r="218" spans="2:47" outlineLevel="1" x14ac:dyDescent="0.35">
      <c r="B218" s="48" t="s">
        <v>94</v>
      </c>
      <c r="C218" s="62" t="s">
        <v>141</v>
      </c>
      <c r="D218" s="70">
        <v>1</v>
      </c>
      <c r="E218" s="4">
        <v>104</v>
      </c>
      <c r="F218" s="81">
        <v>2</v>
      </c>
      <c r="G218" s="4">
        <v>106</v>
      </c>
      <c r="H218" s="185">
        <f t="shared" si="117"/>
        <v>1.9230769230769232E-2</v>
      </c>
      <c r="I218" s="81">
        <v>3</v>
      </c>
      <c r="J218" s="4">
        <v>109</v>
      </c>
      <c r="K218" s="167">
        <f t="shared" si="118"/>
        <v>2.8301886792452831E-2</v>
      </c>
      <c r="L218" s="81">
        <v>-3</v>
      </c>
      <c r="M218" s="4">
        <v>106</v>
      </c>
      <c r="N218" s="167">
        <f t="shared" si="119"/>
        <v>-2.7522935779816515E-2</v>
      </c>
      <c r="O218" s="81">
        <v>2</v>
      </c>
      <c r="P218" s="4">
        <v>108</v>
      </c>
      <c r="Q218" s="167">
        <f t="shared" si="132"/>
        <v>1.8867924528301886E-2</v>
      </c>
      <c r="R218" s="164">
        <f t="shared" si="133"/>
        <v>5</v>
      </c>
      <c r="S218" s="165">
        <f t="shared" si="134"/>
        <v>9.4797326990454511E-3</v>
      </c>
      <c r="U218" s="170">
        <f t="shared" si="135"/>
        <v>2</v>
      </c>
      <c r="V218" s="6">
        <v>2</v>
      </c>
      <c r="W218" s="6">
        <v>0</v>
      </c>
      <c r="X218" s="138">
        <f t="shared" si="120"/>
        <v>110</v>
      </c>
      <c r="Y218" s="167">
        <f t="shared" si="121"/>
        <v>1.8518518518518517E-2</v>
      </c>
      <c r="Z218" s="170">
        <f t="shared" si="136"/>
        <v>3</v>
      </c>
      <c r="AA218" s="6">
        <v>2</v>
      </c>
      <c r="AB218" s="6">
        <v>1</v>
      </c>
      <c r="AC218" s="138">
        <f t="shared" si="122"/>
        <v>113</v>
      </c>
      <c r="AD218" s="160">
        <f t="shared" si="123"/>
        <v>2.7272727272727271E-2</v>
      </c>
      <c r="AE218" s="170">
        <f t="shared" si="137"/>
        <v>5</v>
      </c>
      <c r="AF218" s="6">
        <v>2</v>
      </c>
      <c r="AG218" s="6">
        <v>3</v>
      </c>
      <c r="AH218" s="138">
        <f t="shared" si="124"/>
        <v>118</v>
      </c>
      <c r="AI218" s="160">
        <f t="shared" si="125"/>
        <v>4.4247787610619468E-2</v>
      </c>
      <c r="AJ218" s="170">
        <f t="shared" si="138"/>
        <v>4</v>
      </c>
      <c r="AK218" s="6">
        <v>1</v>
      </c>
      <c r="AL218" s="6">
        <v>3</v>
      </c>
      <c r="AM218" s="138">
        <f t="shared" si="126"/>
        <v>122</v>
      </c>
      <c r="AN218" s="160">
        <f t="shared" si="127"/>
        <v>3.3898305084745763E-2</v>
      </c>
      <c r="AO218" s="170">
        <f t="shared" si="139"/>
        <v>5</v>
      </c>
      <c r="AP218" s="6">
        <v>1</v>
      </c>
      <c r="AQ218" s="6">
        <v>4</v>
      </c>
      <c r="AR218" s="138">
        <f t="shared" si="128"/>
        <v>127</v>
      </c>
      <c r="AS218" s="160">
        <f t="shared" si="129"/>
        <v>4.0983606557377046E-2</v>
      </c>
      <c r="AT218" s="164">
        <f t="shared" si="130"/>
        <v>19</v>
      </c>
      <c r="AU218" s="165">
        <f t="shared" si="131"/>
        <v>3.6579841843265681E-2</v>
      </c>
    </row>
    <row r="219" spans="2:47" outlineLevel="1" x14ac:dyDescent="0.35">
      <c r="B219" s="48" t="s">
        <v>95</v>
      </c>
      <c r="C219" s="62" t="s">
        <v>141</v>
      </c>
      <c r="D219" s="70">
        <v>5</v>
      </c>
      <c r="E219" s="4">
        <v>79</v>
      </c>
      <c r="F219" s="81">
        <v>4</v>
      </c>
      <c r="G219" s="4">
        <v>83</v>
      </c>
      <c r="H219" s="185">
        <f t="shared" si="117"/>
        <v>5.0632911392405063E-2</v>
      </c>
      <c r="I219" s="81">
        <v>1</v>
      </c>
      <c r="J219" s="4">
        <v>84</v>
      </c>
      <c r="K219" s="167">
        <f t="shared" si="118"/>
        <v>1.2048192771084338E-2</v>
      </c>
      <c r="L219" s="81">
        <v>-6</v>
      </c>
      <c r="M219" s="4">
        <v>78</v>
      </c>
      <c r="N219" s="167">
        <f t="shared" si="119"/>
        <v>-7.1428571428571425E-2</v>
      </c>
      <c r="O219" s="81">
        <v>-2</v>
      </c>
      <c r="P219" s="4">
        <v>76</v>
      </c>
      <c r="Q219" s="167">
        <f t="shared" si="132"/>
        <v>-2.564102564102564E-2</v>
      </c>
      <c r="R219" s="164">
        <f t="shared" si="133"/>
        <v>2</v>
      </c>
      <c r="S219" s="165">
        <f t="shared" si="134"/>
        <v>-9.6319408687657315E-3</v>
      </c>
      <c r="U219" s="170">
        <f t="shared" si="135"/>
        <v>1</v>
      </c>
      <c r="V219" s="6">
        <v>1</v>
      </c>
      <c r="W219" s="6">
        <v>0</v>
      </c>
      <c r="X219" s="138">
        <f t="shared" si="120"/>
        <v>77</v>
      </c>
      <c r="Y219" s="167">
        <f t="shared" si="121"/>
        <v>1.3157894736842105E-2</v>
      </c>
      <c r="Z219" s="170">
        <f t="shared" si="136"/>
        <v>1</v>
      </c>
      <c r="AA219" s="6">
        <v>0</v>
      </c>
      <c r="AB219" s="6">
        <v>1</v>
      </c>
      <c r="AC219" s="138">
        <f t="shared" si="122"/>
        <v>78</v>
      </c>
      <c r="AD219" s="160">
        <f t="shared" si="123"/>
        <v>1.2987012987012988E-2</v>
      </c>
      <c r="AE219" s="170">
        <f t="shared" si="137"/>
        <v>2</v>
      </c>
      <c r="AF219" s="6">
        <v>0</v>
      </c>
      <c r="AG219" s="6">
        <v>2</v>
      </c>
      <c r="AH219" s="138">
        <f t="shared" si="124"/>
        <v>80</v>
      </c>
      <c r="AI219" s="160">
        <f t="shared" si="125"/>
        <v>2.564102564102564E-2</v>
      </c>
      <c r="AJ219" s="170">
        <f t="shared" si="138"/>
        <v>3</v>
      </c>
      <c r="AK219" s="6">
        <v>0</v>
      </c>
      <c r="AL219" s="6">
        <v>3</v>
      </c>
      <c r="AM219" s="138">
        <f t="shared" si="126"/>
        <v>83</v>
      </c>
      <c r="AN219" s="160">
        <f t="shared" si="127"/>
        <v>3.7499999999999999E-2</v>
      </c>
      <c r="AO219" s="170">
        <f t="shared" si="139"/>
        <v>2</v>
      </c>
      <c r="AP219" s="6">
        <v>0</v>
      </c>
      <c r="AQ219" s="6">
        <v>2</v>
      </c>
      <c r="AR219" s="138">
        <f t="shared" si="128"/>
        <v>85</v>
      </c>
      <c r="AS219" s="160">
        <f t="shared" si="129"/>
        <v>2.4096385542168676E-2</v>
      </c>
      <c r="AT219" s="164">
        <f t="shared" si="130"/>
        <v>9</v>
      </c>
      <c r="AU219" s="165">
        <f t="shared" si="131"/>
        <v>2.501931740253438E-2</v>
      </c>
    </row>
    <row r="220" spans="2:47" outlineLevel="1" x14ac:dyDescent="0.35">
      <c r="B220" s="48" t="s">
        <v>96</v>
      </c>
      <c r="C220" s="62" t="s">
        <v>141</v>
      </c>
      <c r="D220" s="70">
        <v>2</v>
      </c>
      <c r="E220" s="4">
        <v>69</v>
      </c>
      <c r="F220" s="81">
        <v>2</v>
      </c>
      <c r="G220" s="4">
        <v>71</v>
      </c>
      <c r="H220" s="185">
        <f t="shared" si="117"/>
        <v>2.8985507246376812E-2</v>
      </c>
      <c r="I220" s="81">
        <v>1</v>
      </c>
      <c r="J220" s="4">
        <v>72</v>
      </c>
      <c r="K220" s="167">
        <f t="shared" si="118"/>
        <v>1.4084507042253521E-2</v>
      </c>
      <c r="L220" s="81">
        <v>3</v>
      </c>
      <c r="M220" s="4">
        <v>75</v>
      </c>
      <c r="N220" s="167">
        <f t="shared" si="119"/>
        <v>4.1666666666666664E-2</v>
      </c>
      <c r="O220" s="81">
        <v>-3</v>
      </c>
      <c r="P220" s="4">
        <v>72</v>
      </c>
      <c r="Q220" s="167">
        <f t="shared" si="132"/>
        <v>-0.04</v>
      </c>
      <c r="R220" s="164">
        <f t="shared" si="133"/>
        <v>5</v>
      </c>
      <c r="S220" s="165">
        <f t="shared" si="134"/>
        <v>1.0696708667094823E-2</v>
      </c>
      <c r="U220" s="170">
        <f t="shared" si="135"/>
        <v>1</v>
      </c>
      <c r="V220" s="6">
        <v>1</v>
      </c>
      <c r="W220" s="6">
        <v>0</v>
      </c>
      <c r="X220" s="138">
        <f t="shared" si="120"/>
        <v>73</v>
      </c>
      <c r="Y220" s="167">
        <f t="shared" si="121"/>
        <v>1.3888888888888888E-2</v>
      </c>
      <c r="Z220" s="170">
        <f t="shared" si="136"/>
        <v>2</v>
      </c>
      <c r="AA220" s="6">
        <v>1</v>
      </c>
      <c r="AB220" s="6">
        <v>1</v>
      </c>
      <c r="AC220" s="138">
        <f t="shared" si="122"/>
        <v>75</v>
      </c>
      <c r="AD220" s="160">
        <f t="shared" si="123"/>
        <v>2.7397260273972601E-2</v>
      </c>
      <c r="AE220" s="170">
        <f t="shared" si="137"/>
        <v>3</v>
      </c>
      <c r="AF220" s="6">
        <v>1</v>
      </c>
      <c r="AG220" s="6">
        <v>2</v>
      </c>
      <c r="AH220" s="138">
        <f t="shared" si="124"/>
        <v>78</v>
      </c>
      <c r="AI220" s="160">
        <f t="shared" si="125"/>
        <v>0.04</v>
      </c>
      <c r="AJ220" s="170">
        <f t="shared" si="138"/>
        <v>3</v>
      </c>
      <c r="AK220" s="6">
        <v>1</v>
      </c>
      <c r="AL220" s="6">
        <v>2</v>
      </c>
      <c r="AM220" s="138">
        <f t="shared" si="126"/>
        <v>81</v>
      </c>
      <c r="AN220" s="160">
        <f t="shared" si="127"/>
        <v>3.8461538461538464E-2</v>
      </c>
      <c r="AO220" s="170">
        <f t="shared" si="139"/>
        <v>3</v>
      </c>
      <c r="AP220" s="6">
        <v>1</v>
      </c>
      <c r="AQ220" s="6">
        <v>2</v>
      </c>
      <c r="AR220" s="138">
        <f t="shared" si="128"/>
        <v>84</v>
      </c>
      <c r="AS220" s="160">
        <f t="shared" si="129"/>
        <v>3.7037037037037035E-2</v>
      </c>
      <c r="AT220" s="164">
        <f t="shared" si="130"/>
        <v>12</v>
      </c>
      <c r="AU220" s="165">
        <f t="shared" si="131"/>
        <v>3.5712234600650872E-2</v>
      </c>
    </row>
    <row r="221" spans="2:47" outlineLevel="1" x14ac:dyDescent="0.35">
      <c r="B221" s="48" t="s">
        <v>97</v>
      </c>
      <c r="C221" s="62" t="s">
        <v>141</v>
      </c>
      <c r="D221" s="70">
        <v>6</v>
      </c>
      <c r="E221" s="4">
        <v>213</v>
      </c>
      <c r="F221" s="81">
        <v>5</v>
      </c>
      <c r="G221" s="4">
        <v>218</v>
      </c>
      <c r="H221" s="185">
        <f t="shared" si="117"/>
        <v>2.3474178403755867E-2</v>
      </c>
      <c r="I221" s="81">
        <v>5</v>
      </c>
      <c r="J221" s="4">
        <v>223</v>
      </c>
      <c r="K221" s="167">
        <f t="shared" si="118"/>
        <v>2.2935779816513763E-2</v>
      </c>
      <c r="L221" s="81">
        <v>4</v>
      </c>
      <c r="M221" s="4">
        <v>227</v>
      </c>
      <c r="N221" s="167">
        <f t="shared" si="119"/>
        <v>1.7937219730941704E-2</v>
      </c>
      <c r="O221" s="81">
        <v>1</v>
      </c>
      <c r="P221" s="4">
        <v>228</v>
      </c>
      <c r="Q221" s="167">
        <f t="shared" si="132"/>
        <v>4.4052863436123352E-3</v>
      </c>
      <c r="R221" s="164">
        <f t="shared" si="133"/>
        <v>21</v>
      </c>
      <c r="S221" s="165">
        <f t="shared" si="134"/>
        <v>1.7158917388490957E-2</v>
      </c>
      <c r="U221" s="170">
        <f t="shared" si="135"/>
        <v>10</v>
      </c>
      <c r="V221" s="6">
        <v>10</v>
      </c>
      <c r="W221" s="6">
        <v>0</v>
      </c>
      <c r="X221" s="138">
        <f t="shared" si="120"/>
        <v>238</v>
      </c>
      <c r="Y221" s="167">
        <f t="shared" si="121"/>
        <v>4.3859649122807015E-2</v>
      </c>
      <c r="Z221" s="170">
        <f t="shared" si="136"/>
        <v>13</v>
      </c>
      <c r="AA221" s="6">
        <v>8</v>
      </c>
      <c r="AB221" s="6">
        <v>5</v>
      </c>
      <c r="AC221" s="138">
        <f t="shared" si="122"/>
        <v>251</v>
      </c>
      <c r="AD221" s="160">
        <f t="shared" si="123"/>
        <v>5.4621848739495799E-2</v>
      </c>
      <c r="AE221" s="170">
        <f t="shared" si="137"/>
        <v>13</v>
      </c>
      <c r="AF221" s="6">
        <v>7</v>
      </c>
      <c r="AG221" s="6">
        <v>6</v>
      </c>
      <c r="AH221" s="138">
        <f t="shared" si="124"/>
        <v>264</v>
      </c>
      <c r="AI221" s="160">
        <f t="shared" si="125"/>
        <v>5.1792828685258967E-2</v>
      </c>
      <c r="AJ221" s="170">
        <f t="shared" si="138"/>
        <v>10</v>
      </c>
      <c r="AK221" s="6">
        <v>5</v>
      </c>
      <c r="AL221" s="6">
        <v>5</v>
      </c>
      <c r="AM221" s="138">
        <f t="shared" si="126"/>
        <v>274</v>
      </c>
      <c r="AN221" s="160">
        <f t="shared" si="127"/>
        <v>3.787878787878788E-2</v>
      </c>
      <c r="AO221" s="170">
        <f t="shared" si="139"/>
        <v>11</v>
      </c>
      <c r="AP221" s="6">
        <v>4</v>
      </c>
      <c r="AQ221" s="6">
        <v>7</v>
      </c>
      <c r="AR221" s="138">
        <f t="shared" si="128"/>
        <v>285</v>
      </c>
      <c r="AS221" s="160">
        <f t="shared" si="129"/>
        <v>4.0145985401459854E-2</v>
      </c>
      <c r="AT221" s="164">
        <f t="shared" si="130"/>
        <v>57</v>
      </c>
      <c r="AU221" s="165">
        <f t="shared" si="131"/>
        <v>4.6085002466510927E-2</v>
      </c>
    </row>
    <row r="222" spans="2:47" outlineLevel="1" x14ac:dyDescent="0.35">
      <c r="B222" s="48" t="s">
        <v>98</v>
      </c>
      <c r="C222" s="62" t="s">
        <v>141</v>
      </c>
      <c r="D222" s="70">
        <v>3</v>
      </c>
      <c r="E222" s="4">
        <v>91</v>
      </c>
      <c r="F222" s="81">
        <v>5</v>
      </c>
      <c r="G222" s="4">
        <v>96</v>
      </c>
      <c r="H222" s="185">
        <f t="shared" si="117"/>
        <v>5.4945054945054944E-2</v>
      </c>
      <c r="I222" s="81">
        <v>2</v>
      </c>
      <c r="J222" s="4">
        <v>98</v>
      </c>
      <c r="K222" s="167">
        <f t="shared" si="118"/>
        <v>2.0833333333333332E-2</v>
      </c>
      <c r="L222" s="81">
        <v>-4</v>
      </c>
      <c r="M222" s="4">
        <v>94</v>
      </c>
      <c r="N222" s="167">
        <f t="shared" si="119"/>
        <v>-4.0816326530612242E-2</v>
      </c>
      <c r="O222" s="81">
        <v>1</v>
      </c>
      <c r="P222" s="4">
        <v>95</v>
      </c>
      <c r="Q222" s="167">
        <f t="shared" si="132"/>
        <v>1.0638297872340425E-2</v>
      </c>
      <c r="R222" s="164">
        <f t="shared" si="133"/>
        <v>7</v>
      </c>
      <c r="S222" s="165">
        <f t="shared" si="134"/>
        <v>1.0812382112040719E-2</v>
      </c>
      <c r="U222" s="170">
        <f t="shared" si="135"/>
        <v>1</v>
      </c>
      <c r="V222" s="6">
        <v>1</v>
      </c>
      <c r="W222" s="6">
        <v>0</v>
      </c>
      <c r="X222" s="138">
        <f t="shared" si="120"/>
        <v>96</v>
      </c>
      <c r="Y222" s="167">
        <f t="shared" si="121"/>
        <v>1.0526315789473684E-2</v>
      </c>
      <c r="Z222" s="170">
        <f t="shared" si="136"/>
        <v>3</v>
      </c>
      <c r="AA222" s="6">
        <v>1</v>
      </c>
      <c r="AB222" s="6">
        <v>2</v>
      </c>
      <c r="AC222" s="138">
        <f t="shared" si="122"/>
        <v>99</v>
      </c>
      <c r="AD222" s="160">
        <f t="shared" si="123"/>
        <v>3.125E-2</v>
      </c>
      <c r="AE222" s="170">
        <f t="shared" si="137"/>
        <v>5</v>
      </c>
      <c r="AF222" s="6">
        <v>1</v>
      </c>
      <c r="AG222" s="6">
        <v>4</v>
      </c>
      <c r="AH222" s="138">
        <f t="shared" si="124"/>
        <v>104</v>
      </c>
      <c r="AI222" s="160">
        <f t="shared" si="125"/>
        <v>5.0505050505050504E-2</v>
      </c>
      <c r="AJ222" s="170">
        <f t="shared" si="138"/>
        <v>5</v>
      </c>
      <c r="AK222" s="6">
        <v>1</v>
      </c>
      <c r="AL222" s="6">
        <v>4</v>
      </c>
      <c r="AM222" s="138">
        <f t="shared" si="126"/>
        <v>109</v>
      </c>
      <c r="AN222" s="160">
        <f t="shared" si="127"/>
        <v>4.807692307692308E-2</v>
      </c>
      <c r="AO222" s="170">
        <f t="shared" si="139"/>
        <v>6</v>
      </c>
      <c r="AP222" s="6">
        <v>1</v>
      </c>
      <c r="AQ222" s="6">
        <v>5</v>
      </c>
      <c r="AR222" s="138">
        <f t="shared" si="128"/>
        <v>115</v>
      </c>
      <c r="AS222" s="160">
        <f t="shared" si="129"/>
        <v>5.5045871559633031E-2</v>
      </c>
      <c r="AT222" s="164">
        <f t="shared" si="130"/>
        <v>20</v>
      </c>
      <c r="AU222" s="165">
        <f t="shared" si="131"/>
        <v>4.6180574620672932E-2</v>
      </c>
    </row>
    <row r="223" spans="2:47" outlineLevel="1" x14ac:dyDescent="0.35">
      <c r="B223" s="48" t="s">
        <v>99</v>
      </c>
      <c r="C223" s="62" t="s">
        <v>141</v>
      </c>
      <c r="D223" s="70">
        <v>6</v>
      </c>
      <c r="E223" s="4">
        <v>227</v>
      </c>
      <c r="F223" s="81">
        <v>11</v>
      </c>
      <c r="G223" s="4">
        <v>238</v>
      </c>
      <c r="H223" s="185">
        <f t="shared" si="117"/>
        <v>4.8458149779735685E-2</v>
      </c>
      <c r="I223" s="81">
        <v>16</v>
      </c>
      <c r="J223" s="4">
        <v>254</v>
      </c>
      <c r="K223" s="167">
        <f t="shared" si="118"/>
        <v>6.7226890756302518E-2</v>
      </c>
      <c r="L223" s="81">
        <v>7</v>
      </c>
      <c r="M223" s="4">
        <v>261</v>
      </c>
      <c r="N223" s="167">
        <f t="shared" si="119"/>
        <v>2.7559055118110236E-2</v>
      </c>
      <c r="O223" s="81">
        <v>1</v>
      </c>
      <c r="P223" s="4">
        <v>262</v>
      </c>
      <c r="Q223" s="167">
        <f t="shared" si="132"/>
        <v>3.8314176245210726E-3</v>
      </c>
      <c r="R223" s="164">
        <f t="shared" si="133"/>
        <v>41</v>
      </c>
      <c r="S223" s="165">
        <f t="shared" si="134"/>
        <v>3.6498931033459803E-2</v>
      </c>
      <c r="U223" s="170">
        <f t="shared" si="135"/>
        <v>11</v>
      </c>
      <c r="V223" s="6">
        <v>11</v>
      </c>
      <c r="W223" s="6">
        <v>0</v>
      </c>
      <c r="X223" s="138">
        <f t="shared" si="120"/>
        <v>273</v>
      </c>
      <c r="Y223" s="167">
        <f t="shared" si="121"/>
        <v>4.1984732824427481E-2</v>
      </c>
      <c r="Z223" s="170">
        <f t="shared" si="136"/>
        <v>10</v>
      </c>
      <c r="AA223" s="6">
        <v>9</v>
      </c>
      <c r="AB223" s="6">
        <v>1</v>
      </c>
      <c r="AC223" s="138">
        <f t="shared" si="122"/>
        <v>283</v>
      </c>
      <c r="AD223" s="160">
        <f t="shared" si="123"/>
        <v>3.6630036630036632E-2</v>
      </c>
      <c r="AE223" s="170">
        <f t="shared" si="137"/>
        <v>10</v>
      </c>
      <c r="AF223" s="6">
        <v>8</v>
      </c>
      <c r="AG223" s="6">
        <v>2</v>
      </c>
      <c r="AH223" s="138">
        <f t="shared" si="124"/>
        <v>293</v>
      </c>
      <c r="AI223" s="160">
        <f t="shared" si="125"/>
        <v>3.5335689045936397E-2</v>
      </c>
      <c r="AJ223" s="170">
        <f t="shared" si="138"/>
        <v>9</v>
      </c>
      <c r="AK223" s="6">
        <v>6</v>
      </c>
      <c r="AL223" s="6">
        <v>3</v>
      </c>
      <c r="AM223" s="138">
        <f t="shared" si="126"/>
        <v>302</v>
      </c>
      <c r="AN223" s="160">
        <f t="shared" si="127"/>
        <v>3.0716723549488054E-2</v>
      </c>
      <c r="AO223" s="170">
        <f t="shared" si="139"/>
        <v>8</v>
      </c>
      <c r="AP223" s="6">
        <v>5</v>
      </c>
      <c r="AQ223" s="6">
        <v>3</v>
      </c>
      <c r="AR223" s="138">
        <f t="shared" si="128"/>
        <v>310</v>
      </c>
      <c r="AS223" s="160">
        <f t="shared" si="129"/>
        <v>2.6490066225165563E-2</v>
      </c>
      <c r="AT223" s="164">
        <f t="shared" si="130"/>
        <v>48</v>
      </c>
      <c r="AU223" s="165">
        <f t="shared" si="131"/>
        <v>3.2285344627799528E-2</v>
      </c>
    </row>
    <row r="224" spans="2:47" outlineLevel="1" x14ac:dyDescent="0.35">
      <c r="B224" s="48" t="s">
        <v>100</v>
      </c>
      <c r="C224" s="62" t="s">
        <v>141</v>
      </c>
      <c r="D224" s="70">
        <v>2</v>
      </c>
      <c r="E224" s="4">
        <v>62</v>
      </c>
      <c r="F224" s="81">
        <v>3</v>
      </c>
      <c r="G224" s="4">
        <v>65</v>
      </c>
      <c r="H224" s="185">
        <f t="shared" si="117"/>
        <v>4.8387096774193547E-2</v>
      </c>
      <c r="I224" s="81">
        <v>3</v>
      </c>
      <c r="J224" s="4">
        <v>68</v>
      </c>
      <c r="K224" s="167">
        <f t="shared" si="118"/>
        <v>4.6153846153846156E-2</v>
      </c>
      <c r="L224" s="81">
        <v>-1</v>
      </c>
      <c r="M224" s="4">
        <v>67</v>
      </c>
      <c r="N224" s="167">
        <f t="shared" si="119"/>
        <v>-1.4705882352941176E-2</v>
      </c>
      <c r="O224" s="81">
        <v>1</v>
      </c>
      <c r="P224" s="4">
        <v>68</v>
      </c>
      <c r="Q224" s="167">
        <f t="shared" si="132"/>
        <v>1.4925373134328358E-2</v>
      </c>
      <c r="R224" s="164">
        <f t="shared" si="133"/>
        <v>8</v>
      </c>
      <c r="S224" s="165">
        <f t="shared" si="134"/>
        <v>2.3362045503587003E-2</v>
      </c>
      <c r="U224" s="170">
        <f t="shared" si="135"/>
        <v>6</v>
      </c>
      <c r="V224" s="6">
        <v>5</v>
      </c>
      <c r="W224" s="6">
        <v>1</v>
      </c>
      <c r="X224" s="138">
        <f t="shared" si="120"/>
        <v>74</v>
      </c>
      <c r="Y224" s="167">
        <f t="shared" si="121"/>
        <v>8.8235294117647065E-2</v>
      </c>
      <c r="Z224" s="170">
        <f t="shared" si="136"/>
        <v>7</v>
      </c>
      <c r="AA224" s="6">
        <v>4</v>
      </c>
      <c r="AB224" s="6">
        <v>3</v>
      </c>
      <c r="AC224" s="138">
        <f t="shared" si="122"/>
        <v>81</v>
      </c>
      <c r="AD224" s="160">
        <f t="shared" si="123"/>
        <v>9.45945945945946E-2</v>
      </c>
      <c r="AE224" s="170">
        <f t="shared" si="137"/>
        <v>9</v>
      </c>
      <c r="AF224" s="6">
        <v>4</v>
      </c>
      <c r="AG224" s="6">
        <v>5</v>
      </c>
      <c r="AH224" s="138">
        <f t="shared" si="124"/>
        <v>90</v>
      </c>
      <c r="AI224" s="160">
        <f t="shared" si="125"/>
        <v>0.1111111111111111</v>
      </c>
      <c r="AJ224" s="170">
        <f t="shared" si="138"/>
        <v>8</v>
      </c>
      <c r="AK224" s="6">
        <v>3</v>
      </c>
      <c r="AL224" s="6">
        <v>5</v>
      </c>
      <c r="AM224" s="138">
        <f t="shared" si="126"/>
        <v>98</v>
      </c>
      <c r="AN224" s="160">
        <f t="shared" si="127"/>
        <v>8.8888888888888892E-2</v>
      </c>
      <c r="AO224" s="170">
        <f t="shared" si="139"/>
        <v>10</v>
      </c>
      <c r="AP224" s="6">
        <v>2</v>
      </c>
      <c r="AQ224" s="6">
        <v>8</v>
      </c>
      <c r="AR224" s="138">
        <f t="shared" si="128"/>
        <v>108</v>
      </c>
      <c r="AS224" s="160">
        <f t="shared" si="129"/>
        <v>0.10204081632653061</v>
      </c>
      <c r="AT224" s="164">
        <f t="shared" si="130"/>
        <v>40</v>
      </c>
      <c r="AU224" s="165">
        <f t="shared" si="131"/>
        <v>9.9127335382595216E-2</v>
      </c>
    </row>
    <row r="225" spans="2:47" outlineLevel="1" x14ac:dyDescent="0.35">
      <c r="B225" s="48" t="s">
        <v>101</v>
      </c>
      <c r="C225" s="62" t="s">
        <v>141</v>
      </c>
      <c r="D225" s="70">
        <v>2</v>
      </c>
      <c r="E225" s="4">
        <v>16</v>
      </c>
      <c r="F225" s="81">
        <v>0</v>
      </c>
      <c r="G225" s="4">
        <v>16</v>
      </c>
      <c r="H225" s="185">
        <f t="shared" si="117"/>
        <v>0</v>
      </c>
      <c r="I225" s="81">
        <v>2</v>
      </c>
      <c r="J225" s="4">
        <v>18</v>
      </c>
      <c r="K225" s="167">
        <f t="shared" si="118"/>
        <v>0.125</v>
      </c>
      <c r="L225" s="81">
        <v>0</v>
      </c>
      <c r="M225" s="4">
        <v>18</v>
      </c>
      <c r="N225" s="167">
        <f t="shared" si="119"/>
        <v>0</v>
      </c>
      <c r="O225" s="81">
        <v>1</v>
      </c>
      <c r="P225" s="4">
        <v>19</v>
      </c>
      <c r="Q225" s="167">
        <f t="shared" si="132"/>
        <v>5.5555555555555552E-2</v>
      </c>
      <c r="R225" s="164">
        <f t="shared" si="133"/>
        <v>5</v>
      </c>
      <c r="S225" s="165">
        <f t="shared" si="134"/>
        <v>4.3898814964921984E-2</v>
      </c>
      <c r="U225" s="170">
        <f t="shared" si="135"/>
        <v>0</v>
      </c>
      <c r="V225" s="6">
        <v>0</v>
      </c>
      <c r="W225" s="6">
        <v>0</v>
      </c>
      <c r="X225" s="138">
        <f t="shared" si="120"/>
        <v>19</v>
      </c>
      <c r="Y225" s="167">
        <f t="shared" si="121"/>
        <v>0</v>
      </c>
      <c r="Z225" s="170">
        <f t="shared" si="136"/>
        <v>0</v>
      </c>
      <c r="AA225" s="6">
        <v>0</v>
      </c>
      <c r="AB225" s="6">
        <v>0</v>
      </c>
      <c r="AC225" s="138">
        <f t="shared" si="122"/>
        <v>19</v>
      </c>
      <c r="AD225" s="160">
        <f t="shared" si="123"/>
        <v>0</v>
      </c>
      <c r="AE225" s="170">
        <f t="shared" si="137"/>
        <v>0</v>
      </c>
      <c r="AF225" s="6">
        <v>0</v>
      </c>
      <c r="AG225" s="6">
        <v>0</v>
      </c>
      <c r="AH225" s="138">
        <f t="shared" si="124"/>
        <v>19</v>
      </c>
      <c r="AI225" s="160">
        <f t="shared" si="125"/>
        <v>0</v>
      </c>
      <c r="AJ225" s="170">
        <f t="shared" si="138"/>
        <v>0</v>
      </c>
      <c r="AK225" s="6">
        <v>0</v>
      </c>
      <c r="AL225" s="6">
        <v>0</v>
      </c>
      <c r="AM225" s="138">
        <f t="shared" si="126"/>
        <v>19</v>
      </c>
      <c r="AN225" s="160">
        <f t="shared" si="127"/>
        <v>0</v>
      </c>
      <c r="AO225" s="170">
        <f t="shared" si="139"/>
        <v>0</v>
      </c>
      <c r="AP225" s="6">
        <v>0</v>
      </c>
      <c r="AQ225" s="6">
        <v>0</v>
      </c>
      <c r="AR225" s="138">
        <f t="shared" si="128"/>
        <v>19</v>
      </c>
      <c r="AS225" s="160">
        <f t="shared" si="129"/>
        <v>0</v>
      </c>
      <c r="AT225" s="164">
        <f t="shared" si="130"/>
        <v>0</v>
      </c>
      <c r="AU225" s="165">
        <f t="shared" si="131"/>
        <v>0</v>
      </c>
    </row>
    <row r="226" spans="2:47" outlineLevel="1" x14ac:dyDescent="0.35">
      <c r="B226" s="48" t="s">
        <v>102</v>
      </c>
      <c r="C226" s="62" t="s">
        <v>141</v>
      </c>
      <c r="D226" s="70">
        <v>1</v>
      </c>
      <c r="E226" s="4">
        <v>83</v>
      </c>
      <c r="F226" s="81">
        <v>2</v>
      </c>
      <c r="G226" s="4">
        <v>85</v>
      </c>
      <c r="H226" s="185">
        <f t="shared" si="117"/>
        <v>2.4096385542168676E-2</v>
      </c>
      <c r="I226" s="81">
        <v>7</v>
      </c>
      <c r="J226" s="4">
        <v>92</v>
      </c>
      <c r="K226" s="167">
        <f t="shared" si="118"/>
        <v>8.2352941176470587E-2</v>
      </c>
      <c r="L226" s="81">
        <v>4</v>
      </c>
      <c r="M226" s="4">
        <v>96</v>
      </c>
      <c r="N226" s="167">
        <f t="shared" si="119"/>
        <v>4.3478260869565216E-2</v>
      </c>
      <c r="O226" s="81">
        <v>-1</v>
      </c>
      <c r="P226" s="4">
        <v>95</v>
      </c>
      <c r="Q226" s="167">
        <f t="shared" si="132"/>
        <v>-1.0416666666666666E-2</v>
      </c>
      <c r="R226" s="164">
        <f t="shared" si="133"/>
        <v>13</v>
      </c>
      <c r="S226" s="165">
        <f t="shared" si="134"/>
        <v>3.433537526744912E-2</v>
      </c>
      <c r="U226" s="170">
        <f t="shared" si="135"/>
        <v>2</v>
      </c>
      <c r="V226" s="6">
        <v>2</v>
      </c>
      <c r="W226" s="6">
        <v>0</v>
      </c>
      <c r="X226" s="138">
        <f t="shared" si="120"/>
        <v>97</v>
      </c>
      <c r="Y226" s="167">
        <f t="shared" si="121"/>
        <v>2.1052631578947368E-2</v>
      </c>
      <c r="Z226" s="170">
        <f t="shared" si="136"/>
        <v>2</v>
      </c>
      <c r="AA226" s="6">
        <v>2</v>
      </c>
      <c r="AB226" s="6">
        <v>0</v>
      </c>
      <c r="AC226" s="138">
        <f t="shared" si="122"/>
        <v>99</v>
      </c>
      <c r="AD226" s="160">
        <f t="shared" si="123"/>
        <v>2.0618556701030927E-2</v>
      </c>
      <c r="AE226" s="170">
        <f t="shared" si="137"/>
        <v>2</v>
      </c>
      <c r="AF226" s="6">
        <v>2</v>
      </c>
      <c r="AG226" s="6">
        <v>0</v>
      </c>
      <c r="AH226" s="138">
        <f t="shared" si="124"/>
        <v>101</v>
      </c>
      <c r="AI226" s="160">
        <f t="shared" si="125"/>
        <v>2.0202020202020204E-2</v>
      </c>
      <c r="AJ226" s="170">
        <f t="shared" si="138"/>
        <v>2</v>
      </c>
      <c r="AK226" s="6">
        <v>2</v>
      </c>
      <c r="AL226" s="6">
        <v>0</v>
      </c>
      <c r="AM226" s="138">
        <f t="shared" si="126"/>
        <v>103</v>
      </c>
      <c r="AN226" s="160">
        <f t="shared" si="127"/>
        <v>1.9801980198019802E-2</v>
      </c>
      <c r="AO226" s="170">
        <f t="shared" si="139"/>
        <v>1</v>
      </c>
      <c r="AP226" s="6">
        <v>1</v>
      </c>
      <c r="AQ226" s="6">
        <v>0</v>
      </c>
      <c r="AR226" s="138">
        <f t="shared" si="128"/>
        <v>104</v>
      </c>
      <c r="AS226" s="160">
        <f t="shared" si="129"/>
        <v>9.7087378640776691E-3</v>
      </c>
      <c r="AT226" s="164">
        <f t="shared" si="130"/>
        <v>9</v>
      </c>
      <c r="AU226" s="165">
        <f t="shared" si="131"/>
        <v>1.7572592896244021E-2</v>
      </c>
    </row>
    <row r="227" spans="2:47" outlineLevel="1" x14ac:dyDescent="0.35">
      <c r="B227" s="48" t="s">
        <v>103</v>
      </c>
      <c r="C227" s="62" t="s">
        <v>141</v>
      </c>
      <c r="D227" s="70">
        <v>-1</v>
      </c>
      <c r="E227" s="4">
        <v>8</v>
      </c>
      <c r="F227" s="81">
        <v>0</v>
      </c>
      <c r="G227" s="4">
        <v>8</v>
      </c>
      <c r="H227" s="185">
        <f t="shared" si="117"/>
        <v>0</v>
      </c>
      <c r="I227" s="81">
        <v>0</v>
      </c>
      <c r="J227" s="4">
        <v>8</v>
      </c>
      <c r="K227" s="167">
        <f t="shared" si="118"/>
        <v>0</v>
      </c>
      <c r="L227" s="81">
        <v>0</v>
      </c>
      <c r="M227" s="4">
        <v>8</v>
      </c>
      <c r="N227" s="167">
        <f t="shared" si="119"/>
        <v>0</v>
      </c>
      <c r="O227" s="81">
        <v>1</v>
      </c>
      <c r="P227" s="4">
        <v>9</v>
      </c>
      <c r="Q227" s="167">
        <f t="shared" si="132"/>
        <v>0.125</v>
      </c>
      <c r="R227" s="164">
        <f t="shared" si="133"/>
        <v>0</v>
      </c>
      <c r="S227" s="165">
        <f t="shared" si="134"/>
        <v>2.9883571953558841E-2</v>
      </c>
      <c r="U227" s="170">
        <f t="shared" si="135"/>
        <v>0</v>
      </c>
      <c r="V227" s="6">
        <v>0</v>
      </c>
      <c r="W227" s="6">
        <v>0</v>
      </c>
      <c r="X227" s="138">
        <f t="shared" si="120"/>
        <v>9</v>
      </c>
      <c r="Y227" s="167">
        <f t="shared" si="121"/>
        <v>0</v>
      </c>
      <c r="Z227" s="170">
        <f t="shared" si="136"/>
        <v>0</v>
      </c>
      <c r="AA227" s="6">
        <v>0</v>
      </c>
      <c r="AB227" s="6">
        <v>0</v>
      </c>
      <c r="AC227" s="138">
        <f t="shared" si="122"/>
        <v>9</v>
      </c>
      <c r="AD227" s="160">
        <f t="shared" si="123"/>
        <v>0</v>
      </c>
      <c r="AE227" s="170">
        <f t="shared" si="137"/>
        <v>0</v>
      </c>
      <c r="AF227" s="6">
        <v>0</v>
      </c>
      <c r="AG227" s="6">
        <v>0</v>
      </c>
      <c r="AH227" s="138">
        <f t="shared" si="124"/>
        <v>9</v>
      </c>
      <c r="AI227" s="160">
        <f t="shared" si="125"/>
        <v>0</v>
      </c>
      <c r="AJ227" s="170">
        <f t="shared" si="138"/>
        <v>0</v>
      </c>
      <c r="AK227" s="6">
        <v>0</v>
      </c>
      <c r="AL227" s="6">
        <v>0</v>
      </c>
      <c r="AM227" s="138">
        <f t="shared" si="126"/>
        <v>9</v>
      </c>
      <c r="AN227" s="160">
        <f t="shared" si="127"/>
        <v>0</v>
      </c>
      <c r="AO227" s="170">
        <f t="shared" si="139"/>
        <v>0</v>
      </c>
      <c r="AP227" s="6">
        <v>0</v>
      </c>
      <c r="AQ227" s="6">
        <v>0</v>
      </c>
      <c r="AR227" s="138">
        <f t="shared" si="128"/>
        <v>9</v>
      </c>
      <c r="AS227" s="160">
        <f t="shared" si="129"/>
        <v>0</v>
      </c>
      <c r="AT227" s="164">
        <f t="shared" si="130"/>
        <v>0</v>
      </c>
      <c r="AU227" s="165">
        <f t="shared" si="131"/>
        <v>0</v>
      </c>
    </row>
    <row r="228" spans="2:47" outlineLevel="1" x14ac:dyDescent="0.35">
      <c r="B228" s="48" t="s">
        <v>104</v>
      </c>
      <c r="C228" s="62" t="s">
        <v>141</v>
      </c>
      <c r="D228" s="70">
        <v>0</v>
      </c>
      <c r="E228" s="4">
        <v>1</v>
      </c>
      <c r="F228" s="81">
        <v>0</v>
      </c>
      <c r="G228" s="4">
        <v>1</v>
      </c>
      <c r="H228" s="185">
        <f t="shared" si="117"/>
        <v>0</v>
      </c>
      <c r="I228" s="81">
        <v>0</v>
      </c>
      <c r="J228" s="4">
        <v>1</v>
      </c>
      <c r="K228" s="167">
        <f t="shared" si="118"/>
        <v>0</v>
      </c>
      <c r="L228" s="81">
        <v>0</v>
      </c>
      <c r="M228" s="4">
        <v>1</v>
      </c>
      <c r="N228" s="167">
        <f t="shared" si="119"/>
        <v>0</v>
      </c>
      <c r="O228" s="81">
        <v>0</v>
      </c>
      <c r="P228" s="4">
        <v>1</v>
      </c>
      <c r="Q228" s="167">
        <f t="shared" si="132"/>
        <v>0</v>
      </c>
      <c r="R228" s="164">
        <f t="shared" si="133"/>
        <v>0</v>
      </c>
      <c r="S228" s="165">
        <f t="shared" si="134"/>
        <v>0</v>
      </c>
      <c r="U228" s="170">
        <f t="shared" si="135"/>
        <v>0</v>
      </c>
      <c r="V228" s="6">
        <v>0</v>
      </c>
      <c r="W228" s="6">
        <v>0</v>
      </c>
      <c r="X228" s="138">
        <f t="shared" si="120"/>
        <v>1</v>
      </c>
      <c r="Y228" s="167">
        <f t="shared" si="121"/>
        <v>0</v>
      </c>
      <c r="Z228" s="170">
        <f t="shared" si="136"/>
        <v>0</v>
      </c>
      <c r="AA228" s="6">
        <v>0</v>
      </c>
      <c r="AB228" s="6">
        <v>0</v>
      </c>
      <c r="AC228" s="138">
        <f t="shared" si="122"/>
        <v>1</v>
      </c>
      <c r="AD228" s="160">
        <f t="shared" si="123"/>
        <v>0</v>
      </c>
      <c r="AE228" s="170">
        <f t="shared" si="137"/>
        <v>0</v>
      </c>
      <c r="AF228" s="6">
        <v>0</v>
      </c>
      <c r="AG228" s="6">
        <v>0</v>
      </c>
      <c r="AH228" s="138">
        <f t="shared" si="124"/>
        <v>1</v>
      </c>
      <c r="AI228" s="160">
        <f t="shared" si="125"/>
        <v>0</v>
      </c>
      <c r="AJ228" s="170">
        <f t="shared" si="138"/>
        <v>1</v>
      </c>
      <c r="AK228" s="6">
        <v>0</v>
      </c>
      <c r="AL228" s="6">
        <v>1</v>
      </c>
      <c r="AM228" s="138">
        <f t="shared" si="126"/>
        <v>2</v>
      </c>
      <c r="AN228" s="160">
        <f t="shared" si="127"/>
        <v>1</v>
      </c>
      <c r="AO228" s="170">
        <f t="shared" si="139"/>
        <v>2</v>
      </c>
      <c r="AP228" s="6">
        <v>0</v>
      </c>
      <c r="AQ228" s="6">
        <v>2</v>
      </c>
      <c r="AR228" s="138">
        <f t="shared" si="128"/>
        <v>4</v>
      </c>
      <c r="AS228" s="160">
        <f t="shared" si="129"/>
        <v>1</v>
      </c>
      <c r="AT228" s="164">
        <f t="shared" si="130"/>
        <v>3</v>
      </c>
      <c r="AU228" s="165">
        <f t="shared" si="131"/>
        <v>0.41421356237309492</v>
      </c>
    </row>
    <row r="229" spans="2:47" outlineLevel="1" x14ac:dyDescent="0.35">
      <c r="B229" s="48" t="s">
        <v>136</v>
      </c>
      <c r="C229" s="62" t="s">
        <v>141</v>
      </c>
      <c r="D229" s="70">
        <v>0</v>
      </c>
      <c r="E229" s="4">
        <v>0</v>
      </c>
      <c r="F229" s="81">
        <v>0</v>
      </c>
      <c r="G229" s="4">
        <v>0</v>
      </c>
      <c r="H229" s="185">
        <f t="shared" si="117"/>
        <v>0</v>
      </c>
      <c r="I229" s="81">
        <v>0</v>
      </c>
      <c r="J229" s="4">
        <v>0</v>
      </c>
      <c r="K229" s="167">
        <f t="shared" si="118"/>
        <v>0</v>
      </c>
      <c r="L229" s="81">
        <v>0</v>
      </c>
      <c r="M229" s="4">
        <v>0</v>
      </c>
      <c r="N229" s="167">
        <f t="shared" si="119"/>
        <v>0</v>
      </c>
      <c r="O229" s="81">
        <v>0</v>
      </c>
      <c r="P229" s="4">
        <v>0</v>
      </c>
      <c r="Q229" s="167">
        <f t="shared" si="132"/>
        <v>0</v>
      </c>
      <c r="R229" s="164">
        <f t="shared" si="133"/>
        <v>0</v>
      </c>
      <c r="S229" s="165">
        <f t="shared" si="134"/>
        <v>0</v>
      </c>
      <c r="U229" s="170">
        <f t="shared" si="135"/>
        <v>0</v>
      </c>
      <c r="V229" s="6">
        <v>0</v>
      </c>
      <c r="W229" s="6">
        <v>0</v>
      </c>
      <c r="X229" s="138">
        <f t="shared" si="120"/>
        <v>0</v>
      </c>
      <c r="Y229" s="167">
        <f t="shared" si="121"/>
        <v>0</v>
      </c>
      <c r="Z229" s="170">
        <f t="shared" si="136"/>
        <v>0</v>
      </c>
      <c r="AA229" s="6">
        <v>0</v>
      </c>
      <c r="AB229" s="6">
        <v>0</v>
      </c>
      <c r="AC229" s="138">
        <f t="shared" si="122"/>
        <v>0</v>
      </c>
      <c r="AD229" s="160">
        <f t="shared" si="123"/>
        <v>0</v>
      </c>
      <c r="AE229" s="170">
        <f t="shared" si="137"/>
        <v>0</v>
      </c>
      <c r="AF229" s="6">
        <v>0</v>
      </c>
      <c r="AG229" s="6">
        <v>0</v>
      </c>
      <c r="AH229" s="138">
        <f t="shared" si="124"/>
        <v>0</v>
      </c>
      <c r="AI229" s="160">
        <f t="shared" si="125"/>
        <v>0</v>
      </c>
      <c r="AJ229" s="170">
        <f t="shared" si="138"/>
        <v>1</v>
      </c>
      <c r="AK229" s="6">
        <v>0</v>
      </c>
      <c r="AL229" s="6">
        <v>1</v>
      </c>
      <c r="AM229" s="138">
        <f t="shared" si="126"/>
        <v>1</v>
      </c>
      <c r="AN229" s="160">
        <f t="shared" si="127"/>
        <v>0</v>
      </c>
      <c r="AO229" s="170">
        <f t="shared" si="139"/>
        <v>1</v>
      </c>
      <c r="AP229" s="6">
        <v>0</v>
      </c>
      <c r="AQ229" s="6">
        <v>1</v>
      </c>
      <c r="AR229" s="138">
        <f t="shared" si="128"/>
        <v>2</v>
      </c>
      <c r="AS229" s="160">
        <f t="shared" si="129"/>
        <v>1</v>
      </c>
      <c r="AT229" s="164">
        <f t="shared" si="130"/>
        <v>2</v>
      </c>
      <c r="AU229" s="165">
        <f t="shared" si="131"/>
        <v>0</v>
      </c>
    </row>
    <row r="230" spans="2:47" outlineLevel="1" x14ac:dyDescent="0.35">
      <c r="B230" s="48" t="s">
        <v>106</v>
      </c>
      <c r="C230" s="62" t="s">
        <v>141</v>
      </c>
      <c r="D230" s="70">
        <v>6</v>
      </c>
      <c r="E230" s="4">
        <v>64</v>
      </c>
      <c r="F230" s="81">
        <v>4</v>
      </c>
      <c r="G230" s="4">
        <v>68</v>
      </c>
      <c r="H230" s="185">
        <f t="shared" si="117"/>
        <v>6.25E-2</v>
      </c>
      <c r="I230" s="81">
        <v>6</v>
      </c>
      <c r="J230" s="4">
        <v>74</v>
      </c>
      <c r="K230" s="167">
        <f t="shared" si="118"/>
        <v>8.8235294117647065E-2</v>
      </c>
      <c r="L230" s="81">
        <v>-2</v>
      </c>
      <c r="M230" s="4">
        <v>72</v>
      </c>
      <c r="N230" s="167">
        <f t="shared" si="119"/>
        <v>-2.7027027027027029E-2</v>
      </c>
      <c r="O230" s="81">
        <v>-2</v>
      </c>
      <c r="P230" s="4">
        <v>70</v>
      </c>
      <c r="Q230" s="167">
        <f t="shared" si="132"/>
        <v>-2.7777777777777776E-2</v>
      </c>
      <c r="R230" s="164">
        <f t="shared" si="133"/>
        <v>12</v>
      </c>
      <c r="S230" s="165">
        <f t="shared" si="134"/>
        <v>2.265587230876176E-2</v>
      </c>
      <c r="U230" s="170">
        <f t="shared" si="135"/>
        <v>0</v>
      </c>
      <c r="V230" s="6">
        <v>0</v>
      </c>
      <c r="W230" s="6">
        <v>0</v>
      </c>
      <c r="X230" s="138">
        <f t="shared" si="120"/>
        <v>70</v>
      </c>
      <c r="Y230" s="167">
        <f t="shared" si="121"/>
        <v>0</v>
      </c>
      <c r="Z230" s="170">
        <f t="shared" si="136"/>
        <v>1</v>
      </c>
      <c r="AA230" s="6">
        <v>1</v>
      </c>
      <c r="AB230" s="6">
        <v>0</v>
      </c>
      <c r="AC230" s="138">
        <f t="shared" si="122"/>
        <v>71</v>
      </c>
      <c r="AD230" s="160">
        <f t="shared" si="123"/>
        <v>1.4285714285714285E-2</v>
      </c>
      <c r="AE230" s="170">
        <f t="shared" si="137"/>
        <v>1</v>
      </c>
      <c r="AF230" s="6">
        <v>1</v>
      </c>
      <c r="AG230" s="6">
        <v>0</v>
      </c>
      <c r="AH230" s="138">
        <f t="shared" si="124"/>
        <v>72</v>
      </c>
      <c r="AI230" s="160">
        <f t="shared" si="125"/>
        <v>1.4084507042253521E-2</v>
      </c>
      <c r="AJ230" s="170">
        <f t="shared" si="138"/>
        <v>2</v>
      </c>
      <c r="AK230" s="6">
        <v>1</v>
      </c>
      <c r="AL230" s="6">
        <v>1</v>
      </c>
      <c r="AM230" s="138">
        <f t="shared" si="126"/>
        <v>74</v>
      </c>
      <c r="AN230" s="160">
        <f t="shared" si="127"/>
        <v>2.7777777777777776E-2</v>
      </c>
      <c r="AO230" s="170">
        <f t="shared" si="139"/>
        <v>2</v>
      </c>
      <c r="AP230" s="6">
        <v>1</v>
      </c>
      <c r="AQ230" s="6">
        <v>1</v>
      </c>
      <c r="AR230" s="138">
        <f t="shared" si="128"/>
        <v>76</v>
      </c>
      <c r="AS230" s="160">
        <f t="shared" si="129"/>
        <v>2.7027027027027029E-2</v>
      </c>
      <c r="AT230" s="164">
        <f t="shared" si="130"/>
        <v>6</v>
      </c>
      <c r="AU230" s="165">
        <f t="shared" si="131"/>
        <v>2.0772327457722284E-2</v>
      </c>
    </row>
    <row r="231" spans="2:47" outlineLevel="1" x14ac:dyDescent="0.35">
      <c r="B231" s="48" t="s">
        <v>107</v>
      </c>
      <c r="C231" s="62" t="s">
        <v>141</v>
      </c>
      <c r="D231" s="70">
        <v>0</v>
      </c>
      <c r="E231" s="4">
        <v>81</v>
      </c>
      <c r="F231" s="81">
        <v>2</v>
      </c>
      <c r="G231" s="4">
        <v>83</v>
      </c>
      <c r="H231" s="185">
        <f t="shared" si="117"/>
        <v>2.4691358024691357E-2</v>
      </c>
      <c r="I231" s="81">
        <v>7</v>
      </c>
      <c r="J231" s="4">
        <v>90</v>
      </c>
      <c r="K231" s="167">
        <f t="shared" si="118"/>
        <v>8.4337349397590355E-2</v>
      </c>
      <c r="L231" s="81">
        <v>-2</v>
      </c>
      <c r="M231" s="4">
        <v>88</v>
      </c>
      <c r="N231" s="167">
        <f t="shared" si="119"/>
        <v>-2.2222222222222223E-2</v>
      </c>
      <c r="O231" s="81">
        <v>-2</v>
      </c>
      <c r="P231" s="4">
        <v>86</v>
      </c>
      <c r="Q231" s="167">
        <f t="shared" si="132"/>
        <v>-2.2727272727272728E-2</v>
      </c>
      <c r="R231" s="164">
        <f t="shared" si="133"/>
        <v>5</v>
      </c>
      <c r="S231" s="165">
        <f t="shared" si="134"/>
        <v>1.5087215491889738E-2</v>
      </c>
      <c r="U231" s="170">
        <f t="shared" si="135"/>
        <v>3</v>
      </c>
      <c r="V231" s="6">
        <v>3</v>
      </c>
      <c r="W231" s="6">
        <v>0</v>
      </c>
      <c r="X231" s="138">
        <f t="shared" si="120"/>
        <v>89</v>
      </c>
      <c r="Y231" s="167">
        <f t="shared" si="121"/>
        <v>3.4883720930232558E-2</v>
      </c>
      <c r="Z231" s="170">
        <f t="shared" si="136"/>
        <v>4</v>
      </c>
      <c r="AA231" s="6">
        <v>3</v>
      </c>
      <c r="AB231" s="6">
        <v>1</v>
      </c>
      <c r="AC231" s="138">
        <f t="shared" si="122"/>
        <v>93</v>
      </c>
      <c r="AD231" s="160">
        <f t="shared" si="123"/>
        <v>4.49438202247191E-2</v>
      </c>
      <c r="AE231" s="170">
        <f t="shared" si="137"/>
        <v>3</v>
      </c>
      <c r="AF231" s="6">
        <v>2</v>
      </c>
      <c r="AG231" s="6">
        <v>1</v>
      </c>
      <c r="AH231" s="138">
        <f t="shared" si="124"/>
        <v>96</v>
      </c>
      <c r="AI231" s="160">
        <f t="shared" si="125"/>
        <v>3.2258064516129031E-2</v>
      </c>
      <c r="AJ231" s="170">
        <f t="shared" si="138"/>
        <v>3</v>
      </c>
      <c r="AK231" s="6">
        <v>2</v>
      </c>
      <c r="AL231" s="6">
        <v>1</v>
      </c>
      <c r="AM231" s="138">
        <f t="shared" si="126"/>
        <v>99</v>
      </c>
      <c r="AN231" s="160">
        <f t="shared" si="127"/>
        <v>3.125E-2</v>
      </c>
      <c r="AO231" s="170">
        <f t="shared" si="139"/>
        <v>2</v>
      </c>
      <c r="AP231" s="6">
        <v>1</v>
      </c>
      <c r="AQ231" s="6">
        <v>1</v>
      </c>
      <c r="AR231" s="138">
        <f t="shared" si="128"/>
        <v>101</v>
      </c>
      <c r="AS231" s="160">
        <f t="shared" si="129"/>
        <v>2.0202020202020204E-2</v>
      </c>
      <c r="AT231" s="164">
        <f t="shared" si="130"/>
        <v>15</v>
      </c>
      <c r="AU231" s="165">
        <f t="shared" si="131"/>
        <v>3.2126293275960727E-2</v>
      </c>
    </row>
    <row r="232" spans="2:47" outlineLevel="1" x14ac:dyDescent="0.35">
      <c r="B232" s="48" t="s">
        <v>108</v>
      </c>
      <c r="C232" s="62" t="s">
        <v>141</v>
      </c>
      <c r="D232" s="70">
        <v>-2</v>
      </c>
      <c r="E232" s="4">
        <v>86</v>
      </c>
      <c r="F232" s="81">
        <v>7</v>
      </c>
      <c r="G232" s="4">
        <v>93</v>
      </c>
      <c r="H232" s="185">
        <f t="shared" si="117"/>
        <v>8.1395348837209308E-2</v>
      </c>
      <c r="I232" s="81">
        <v>6</v>
      </c>
      <c r="J232" s="4">
        <v>99</v>
      </c>
      <c r="K232" s="167">
        <f t="shared" si="118"/>
        <v>6.4516129032258063E-2</v>
      </c>
      <c r="L232" s="81">
        <v>2</v>
      </c>
      <c r="M232" s="4">
        <v>101</v>
      </c>
      <c r="N232" s="167">
        <f t="shared" si="119"/>
        <v>2.0202020202020204E-2</v>
      </c>
      <c r="O232" s="81">
        <v>3</v>
      </c>
      <c r="P232" s="4">
        <v>104</v>
      </c>
      <c r="Q232" s="167">
        <f t="shared" si="132"/>
        <v>2.9702970297029702E-2</v>
      </c>
      <c r="R232" s="164">
        <f t="shared" si="133"/>
        <v>16</v>
      </c>
      <c r="S232" s="165">
        <f t="shared" si="134"/>
        <v>4.8657632184267774E-2</v>
      </c>
      <c r="U232" s="170">
        <f t="shared" si="135"/>
        <v>6</v>
      </c>
      <c r="V232" s="6">
        <v>5</v>
      </c>
      <c r="W232" s="6">
        <v>1</v>
      </c>
      <c r="X232" s="138">
        <f t="shared" si="120"/>
        <v>110</v>
      </c>
      <c r="Y232" s="167">
        <f t="shared" si="121"/>
        <v>5.7692307692307696E-2</v>
      </c>
      <c r="Z232" s="170">
        <f t="shared" si="136"/>
        <v>5</v>
      </c>
      <c r="AA232" s="6">
        <v>4</v>
      </c>
      <c r="AB232" s="6">
        <v>1</v>
      </c>
      <c r="AC232" s="138">
        <f t="shared" si="122"/>
        <v>115</v>
      </c>
      <c r="AD232" s="160">
        <f t="shared" si="123"/>
        <v>4.5454545454545456E-2</v>
      </c>
      <c r="AE232" s="170">
        <f t="shared" si="137"/>
        <v>7</v>
      </c>
      <c r="AF232" s="6">
        <v>3</v>
      </c>
      <c r="AG232" s="6">
        <v>4</v>
      </c>
      <c r="AH232" s="138">
        <f t="shared" si="124"/>
        <v>122</v>
      </c>
      <c r="AI232" s="160">
        <f t="shared" si="125"/>
        <v>6.0869565217391307E-2</v>
      </c>
      <c r="AJ232" s="170">
        <f t="shared" si="138"/>
        <v>10</v>
      </c>
      <c r="AK232" s="6">
        <v>3</v>
      </c>
      <c r="AL232" s="6">
        <v>7</v>
      </c>
      <c r="AM232" s="138">
        <f t="shared" si="126"/>
        <v>132</v>
      </c>
      <c r="AN232" s="160">
        <f t="shared" si="127"/>
        <v>8.1967213114754092E-2</v>
      </c>
      <c r="AO232" s="170">
        <f t="shared" si="139"/>
        <v>9</v>
      </c>
      <c r="AP232" s="6">
        <v>2</v>
      </c>
      <c r="AQ232" s="6">
        <v>7</v>
      </c>
      <c r="AR232" s="138">
        <f t="shared" si="128"/>
        <v>141</v>
      </c>
      <c r="AS232" s="160">
        <f t="shared" si="129"/>
        <v>6.8181818181818177E-2</v>
      </c>
      <c r="AT232" s="164">
        <f t="shared" si="130"/>
        <v>37</v>
      </c>
      <c r="AU232" s="165">
        <f t="shared" si="131"/>
        <v>6.4036698234374079E-2</v>
      </c>
    </row>
    <row r="233" spans="2:47" outlineLevel="1" x14ac:dyDescent="0.35">
      <c r="B233" s="48" t="s">
        <v>109</v>
      </c>
      <c r="C233" s="62" t="s">
        <v>141</v>
      </c>
      <c r="D233" s="70">
        <v>5</v>
      </c>
      <c r="E233" s="4">
        <v>153</v>
      </c>
      <c r="F233" s="81">
        <v>13</v>
      </c>
      <c r="G233" s="4">
        <v>166</v>
      </c>
      <c r="H233" s="185">
        <f t="shared" si="117"/>
        <v>8.4967320261437912E-2</v>
      </c>
      <c r="I233" s="81">
        <v>12</v>
      </c>
      <c r="J233" s="4">
        <v>178</v>
      </c>
      <c r="K233" s="167">
        <f t="shared" si="118"/>
        <v>7.2289156626506021E-2</v>
      </c>
      <c r="L233" s="81">
        <v>-6</v>
      </c>
      <c r="M233" s="4">
        <v>172</v>
      </c>
      <c r="N233" s="167">
        <f t="shared" si="119"/>
        <v>-3.3707865168539325E-2</v>
      </c>
      <c r="O233" s="81">
        <v>-5</v>
      </c>
      <c r="P233" s="4">
        <v>167</v>
      </c>
      <c r="Q233" s="167">
        <f t="shared" si="132"/>
        <v>-2.9069767441860465E-2</v>
      </c>
      <c r="R233" s="164">
        <f t="shared" si="133"/>
        <v>19</v>
      </c>
      <c r="S233" s="165">
        <f t="shared" si="134"/>
        <v>2.2130293860825434E-2</v>
      </c>
      <c r="U233" s="170">
        <f t="shared" si="135"/>
        <v>4</v>
      </c>
      <c r="V233" s="6">
        <v>4</v>
      </c>
      <c r="W233" s="6">
        <v>0</v>
      </c>
      <c r="X233" s="138">
        <f t="shared" si="120"/>
        <v>171</v>
      </c>
      <c r="Y233" s="167">
        <f t="shared" si="121"/>
        <v>2.3952095808383235E-2</v>
      </c>
      <c r="Z233" s="170">
        <f t="shared" si="136"/>
        <v>4</v>
      </c>
      <c r="AA233" s="6">
        <v>4</v>
      </c>
      <c r="AB233" s="6">
        <v>0</v>
      </c>
      <c r="AC233" s="138">
        <f t="shared" si="122"/>
        <v>175</v>
      </c>
      <c r="AD233" s="160">
        <f t="shared" si="123"/>
        <v>2.3391812865497075E-2</v>
      </c>
      <c r="AE233" s="170">
        <f t="shared" si="137"/>
        <v>4</v>
      </c>
      <c r="AF233" s="6">
        <v>3</v>
      </c>
      <c r="AG233" s="6">
        <v>1</v>
      </c>
      <c r="AH233" s="138">
        <f t="shared" si="124"/>
        <v>179</v>
      </c>
      <c r="AI233" s="160">
        <f t="shared" si="125"/>
        <v>2.2857142857142857E-2</v>
      </c>
      <c r="AJ233" s="170">
        <f t="shared" si="138"/>
        <v>3</v>
      </c>
      <c r="AK233" s="6">
        <v>2</v>
      </c>
      <c r="AL233" s="6">
        <v>1</v>
      </c>
      <c r="AM233" s="138">
        <f t="shared" si="126"/>
        <v>182</v>
      </c>
      <c r="AN233" s="160">
        <f t="shared" si="127"/>
        <v>1.6759776536312849E-2</v>
      </c>
      <c r="AO233" s="170">
        <f t="shared" si="139"/>
        <v>3</v>
      </c>
      <c r="AP233" s="6">
        <v>2</v>
      </c>
      <c r="AQ233" s="6">
        <v>1</v>
      </c>
      <c r="AR233" s="138">
        <f t="shared" si="128"/>
        <v>185</v>
      </c>
      <c r="AS233" s="160">
        <f t="shared" si="129"/>
        <v>1.6483516483516484E-2</v>
      </c>
      <c r="AT233" s="164">
        <f t="shared" si="130"/>
        <v>18</v>
      </c>
      <c r="AU233" s="165">
        <f t="shared" si="131"/>
        <v>1.986785720509654E-2</v>
      </c>
    </row>
    <row r="234" spans="2:47" outlineLevel="1" x14ac:dyDescent="0.35">
      <c r="B234" s="48" t="s">
        <v>110</v>
      </c>
      <c r="C234" s="62" t="s">
        <v>141</v>
      </c>
      <c r="D234" s="70">
        <v>4</v>
      </c>
      <c r="E234" s="4">
        <v>72</v>
      </c>
      <c r="F234" s="81">
        <v>1</v>
      </c>
      <c r="G234" s="4">
        <v>73</v>
      </c>
      <c r="H234" s="185">
        <f t="shared" si="117"/>
        <v>1.3888888888888888E-2</v>
      </c>
      <c r="I234" s="81">
        <v>-1</v>
      </c>
      <c r="J234" s="4">
        <v>72</v>
      </c>
      <c r="K234" s="167">
        <f t="shared" si="118"/>
        <v>-1.3698630136986301E-2</v>
      </c>
      <c r="L234" s="81">
        <v>5</v>
      </c>
      <c r="M234" s="4">
        <v>77</v>
      </c>
      <c r="N234" s="167">
        <f t="shared" si="119"/>
        <v>6.9444444444444448E-2</v>
      </c>
      <c r="O234" s="81">
        <v>5</v>
      </c>
      <c r="P234" s="4">
        <v>82</v>
      </c>
      <c r="Q234" s="167">
        <f t="shared" si="132"/>
        <v>6.4935064935064929E-2</v>
      </c>
      <c r="R234" s="164">
        <f t="shared" si="133"/>
        <v>14</v>
      </c>
      <c r="S234" s="165">
        <f t="shared" si="134"/>
        <v>3.3047614055361274E-2</v>
      </c>
      <c r="U234" s="170">
        <f t="shared" si="135"/>
        <v>5</v>
      </c>
      <c r="V234" s="6">
        <v>5</v>
      </c>
      <c r="W234" s="6">
        <v>0</v>
      </c>
      <c r="X234" s="138">
        <f t="shared" si="120"/>
        <v>87</v>
      </c>
      <c r="Y234" s="167">
        <f t="shared" si="121"/>
        <v>6.097560975609756E-2</v>
      </c>
      <c r="Z234" s="170">
        <f t="shared" si="136"/>
        <v>4</v>
      </c>
      <c r="AA234" s="6">
        <v>4</v>
      </c>
      <c r="AB234" s="6">
        <v>0</v>
      </c>
      <c r="AC234" s="138">
        <f t="shared" si="122"/>
        <v>91</v>
      </c>
      <c r="AD234" s="160">
        <f t="shared" si="123"/>
        <v>4.5977011494252873E-2</v>
      </c>
      <c r="AE234" s="170">
        <f t="shared" si="137"/>
        <v>3</v>
      </c>
      <c r="AF234" s="6">
        <v>3</v>
      </c>
      <c r="AG234" s="6">
        <v>0</v>
      </c>
      <c r="AH234" s="138">
        <f t="shared" si="124"/>
        <v>94</v>
      </c>
      <c r="AI234" s="160">
        <f t="shared" si="125"/>
        <v>3.2967032967032968E-2</v>
      </c>
      <c r="AJ234" s="170">
        <f t="shared" si="138"/>
        <v>3</v>
      </c>
      <c r="AK234" s="6">
        <v>3</v>
      </c>
      <c r="AL234" s="6">
        <v>0</v>
      </c>
      <c r="AM234" s="138">
        <f t="shared" si="126"/>
        <v>97</v>
      </c>
      <c r="AN234" s="160">
        <f t="shared" si="127"/>
        <v>3.1914893617021274E-2</v>
      </c>
      <c r="AO234" s="170">
        <f t="shared" si="139"/>
        <v>3</v>
      </c>
      <c r="AP234" s="6">
        <v>2</v>
      </c>
      <c r="AQ234" s="6">
        <v>1</v>
      </c>
      <c r="AR234" s="138">
        <f t="shared" si="128"/>
        <v>100</v>
      </c>
      <c r="AS234" s="160">
        <f t="shared" si="129"/>
        <v>3.0927835051546393E-2</v>
      </c>
      <c r="AT234" s="164">
        <f t="shared" si="130"/>
        <v>18</v>
      </c>
      <c r="AU234" s="165">
        <f t="shared" si="131"/>
        <v>3.5428672018403606E-2</v>
      </c>
    </row>
    <row r="235" spans="2:47" outlineLevel="1" x14ac:dyDescent="0.35">
      <c r="B235" s="48" t="s">
        <v>111</v>
      </c>
      <c r="C235" s="62" t="s">
        <v>141</v>
      </c>
      <c r="D235" s="70">
        <v>3</v>
      </c>
      <c r="E235" s="4">
        <v>50</v>
      </c>
      <c r="F235" s="81">
        <v>5</v>
      </c>
      <c r="G235" s="4">
        <v>55</v>
      </c>
      <c r="H235" s="185">
        <f t="shared" si="117"/>
        <v>0.1</v>
      </c>
      <c r="I235" s="81">
        <v>1</v>
      </c>
      <c r="J235" s="4">
        <v>56</v>
      </c>
      <c r="K235" s="167">
        <f t="shared" si="118"/>
        <v>1.8181818181818181E-2</v>
      </c>
      <c r="L235" s="81">
        <v>2</v>
      </c>
      <c r="M235" s="4">
        <v>58</v>
      </c>
      <c r="N235" s="167">
        <f t="shared" si="119"/>
        <v>3.5714285714285712E-2</v>
      </c>
      <c r="O235" s="81">
        <v>0</v>
      </c>
      <c r="P235" s="4">
        <v>58</v>
      </c>
      <c r="Q235" s="167">
        <f t="shared" si="132"/>
        <v>0</v>
      </c>
      <c r="R235" s="164">
        <f t="shared" si="133"/>
        <v>11</v>
      </c>
      <c r="S235" s="165">
        <f t="shared" si="134"/>
        <v>3.7801985653766579E-2</v>
      </c>
      <c r="U235" s="170">
        <f t="shared" si="135"/>
        <v>2</v>
      </c>
      <c r="V235" s="6">
        <v>2</v>
      </c>
      <c r="W235" s="6">
        <v>0</v>
      </c>
      <c r="X235" s="138">
        <f t="shared" si="120"/>
        <v>60</v>
      </c>
      <c r="Y235" s="167">
        <f t="shared" si="121"/>
        <v>3.4482758620689655E-2</v>
      </c>
      <c r="Z235" s="170">
        <f t="shared" si="136"/>
        <v>2</v>
      </c>
      <c r="AA235" s="6">
        <v>1</v>
      </c>
      <c r="AB235" s="6">
        <v>1</v>
      </c>
      <c r="AC235" s="138">
        <f t="shared" si="122"/>
        <v>62</v>
      </c>
      <c r="AD235" s="160">
        <f t="shared" si="123"/>
        <v>3.3333333333333333E-2</v>
      </c>
      <c r="AE235" s="170">
        <f t="shared" si="137"/>
        <v>3</v>
      </c>
      <c r="AF235" s="6">
        <v>1</v>
      </c>
      <c r="AG235" s="6">
        <v>2</v>
      </c>
      <c r="AH235" s="138">
        <f t="shared" si="124"/>
        <v>65</v>
      </c>
      <c r="AI235" s="160">
        <f t="shared" si="125"/>
        <v>4.8387096774193547E-2</v>
      </c>
      <c r="AJ235" s="170">
        <f t="shared" si="138"/>
        <v>3</v>
      </c>
      <c r="AK235" s="6">
        <v>1</v>
      </c>
      <c r="AL235" s="6">
        <v>2</v>
      </c>
      <c r="AM235" s="138">
        <f t="shared" si="126"/>
        <v>68</v>
      </c>
      <c r="AN235" s="160">
        <f t="shared" si="127"/>
        <v>4.6153846153846156E-2</v>
      </c>
      <c r="AO235" s="170">
        <f t="shared" si="139"/>
        <v>3</v>
      </c>
      <c r="AP235" s="6">
        <v>1</v>
      </c>
      <c r="AQ235" s="6">
        <v>2</v>
      </c>
      <c r="AR235" s="138">
        <f t="shared" si="128"/>
        <v>71</v>
      </c>
      <c r="AS235" s="160">
        <f t="shared" si="129"/>
        <v>4.4117647058823532E-2</v>
      </c>
      <c r="AT235" s="164">
        <f t="shared" si="130"/>
        <v>13</v>
      </c>
      <c r="AU235" s="165">
        <f t="shared" si="131"/>
        <v>4.2981906908607259E-2</v>
      </c>
    </row>
    <row r="236" spans="2:47" outlineLevel="1" x14ac:dyDescent="0.35">
      <c r="B236" s="48" t="s">
        <v>112</v>
      </c>
      <c r="C236" s="62" t="s">
        <v>141</v>
      </c>
      <c r="D236" s="70">
        <v>4</v>
      </c>
      <c r="E236" s="4">
        <v>146</v>
      </c>
      <c r="F236" s="81">
        <v>7</v>
      </c>
      <c r="G236" s="4">
        <v>153</v>
      </c>
      <c r="H236" s="185">
        <f t="shared" si="117"/>
        <v>4.7945205479452052E-2</v>
      </c>
      <c r="I236" s="81">
        <v>-1</v>
      </c>
      <c r="J236" s="4">
        <v>152</v>
      </c>
      <c r="K236" s="167">
        <f t="shared" si="118"/>
        <v>-6.5359477124183009E-3</v>
      </c>
      <c r="L236" s="81">
        <v>-1</v>
      </c>
      <c r="M236" s="4">
        <v>151</v>
      </c>
      <c r="N236" s="167">
        <f t="shared" si="119"/>
        <v>-6.5789473684210523E-3</v>
      </c>
      <c r="O236" s="81">
        <v>-6</v>
      </c>
      <c r="P236" s="4">
        <v>145</v>
      </c>
      <c r="Q236" s="167">
        <f t="shared" si="132"/>
        <v>-3.9735099337748346E-2</v>
      </c>
      <c r="R236" s="164">
        <f t="shared" si="133"/>
        <v>3</v>
      </c>
      <c r="S236" s="165">
        <f t="shared" si="134"/>
        <v>-1.7167445273433835E-3</v>
      </c>
      <c r="U236" s="170">
        <f t="shared" si="135"/>
        <v>4</v>
      </c>
      <c r="V236" s="6">
        <v>4</v>
      </c>
      <c r="W236" s="6">
        <v>0</v>
      </c>
      <c r="X236" s="138">
        <f t="shared" si="120"/>
        <v>149</v>
      </c>
      <c r="Y236" s="167">
        <f t="shared" si="121"/>
        <v>2.7586206896551724E-2</v>
      </c>
      <c r="Z236" s="170">
        <f t="shared" si="136"/>
        <v>5</v>
      </c>
      <c r="AA236" s="6">
        <v>3</v>
      </c>
      <c r="AB236" s="6">
        <v>2</v>
      </c>
      <c r="AC236" s="138">
        <f t="shared" si="122"/>
        <v>154</v>
      </c>
      <c r="AD236" s="160">
        <f t="shared" si="123"/>
        <v>3.3557046979865772E-2</v>
      </c>
      <c r="AE236" s="170">
        <f t="shared" si="137"/>
        <v>7</v>
      </c>
      <c r="AF236" s="6">
        <v>3</v>
      </c>
      <c r="AG236" s="6">
        <v>4</v>
      </c>
      <c r="AH236" s="138">
        <f t="shared" si="124"/>
        <v>161</v>
      </c>
      <c r="AI236" s="160">
        <f t="shared" si="125"/>
        <v>4.5454545454545456E-2</v>
      </c>
      <c r="AJ236" s="170">
        <f t="shared" si="138"/>
        <v>6</v>
      </c>
      <c r="AK236" s="6">
        <v>2</v>
      </c>
      <c r="AL236" s="6">
        <v>4</v>
      </c>
      <c r="AM236" s="138">
        <f t="shared" si="126"/>
        <v>167</v>
      </c>
      <c r="AN236" s="160">
        <f t="shared" si="127"/>
        <v>3.7267080745341616E-2</v>
      </c>
      <c r="AO236" s="170">
        <f t="shared" si="139"/>
        <v>7</v>
      </c>
      <c r="AP236" s="6">
        <v>2</v>
      </c>
      <c r="AQ236" s="6">
        <v>5</v>
      </c>
      <c r="AR236" s="138">
        <f t="shared" si="128"/>
        <v>174</v>
      </c>
      <c r="AS236" s="160">
        <f t="shared" si="129"/>
        <v>4.1916167664670656E-2</v>
      </c>
      <c r="AT236" s="164">
        <f t="shared" si="130"/>
        <v>29</v>
      </c>
      <c r="AU236" s="165">
        <f t="shared" si="131"/>
        <v>3.9538898819182045E-2</v>
      </c>
    </row>
    <row r="237" spans="2:47" outlineLevel="1" x14ac:dyDescent="0.35">
      <c r="B237" s="48" t="s">
        <v>113</v>
      </c>
      <c r="C237" s="62" t="s">
        <v>141</v>
      </c>
      <c r="D237" s="70">
        <v>0</v>
      </c>
      <c r="E237" s="4">
        <v>0</v>
      </c>
      <c r="F237" s="81">
        <v>0</v>
      </c>
      <c r="G237" s="4">
        <v>0</v>
      </c>
      <c r="H237" s="185">
        <f t="shared" si="117"/>
        <v>0</v>
      </c>
      <c r="I237" s="81">
        <v>0</v>
      </c>
      <c r="J237" s="4">
        <v>0</v>
      </c>
      <c r="K237" s="167">
        <f t="shared" si="118"/>
        <v>0</v>
      </c>
      <c r="L237" s="81">
        <v>0</v>
      </c>
      <c r="M237" s="4">
        <v>0</v>
      </c>
      <c r="N237" s="167">
        <f t="shared" si="119"/>
        <v>0</v>
      </c>
      <c r="O237" s="81">
        <v>0</v>
      </c>
      <c r="P237" s="4">
        <v>0</v>
      </c>
      <c r="Q237" s="167">
        <f t="shared" si="132"/>
        <v>0</v>
      </c>
      <c r="R237" s="164">
        <f t="shared" si="133"/>
        <v>0</v>
      </c>
      <c r="S237" s="165">
        <f t="shared" si="134"/>
        <v>0</v>
      </c>
      <c r="U237" s="170">
        <f t="shared" si="135"/>
        <v>0</v>
      </c>
      <c r="V237" s="6">
        <v>0</v>
      </c>
      <c r="W237" s="6">
        <v>0</v>
      </c>
      <c r="X237" s="138">
        <f t="shared" si="120"/>
        <v>0</v>
      </c>
      <c r="Y237" s="167">
        <f t="shared" si="121"/>
        <v>0</v>
      </c>
      <c r="Z237" s="170">
        <f t="shared" si="136"/>
        <v>0</v>
      </c>
      <c r="AA237" s="6">
        <v>0</v>
      </c>
      <c r="AB237" s="6">
        <v>0</v>
      </c>
      <c r="AC237" s="138">
        <f t="shared" si="122"/>
        <v>0</v>
      </c>
      <c r="AD237" s="160">
        <f t="shared" si="123"/>
        <v>0</v>
      </c>
      <c r="AE237" s="170">
        <f t="shared" si="137"/>
        <v>0</v>
      </c>
      <c r="AF237" s="6">
        <v>0</v>
      </c>
      <c r="AG237" s="6">
        <v>0</v>
      </c>
      <c r="AH237" s="138">
        <f t="shared" si="124"/>
        <v>0</v>
      </c>
      <c r="AI237" s="160">
        <f t="shared" si="125"/>
        <v>0</v>
      </c>
      <c r="AJ237" s="170">
        <f t="shared" si="138"/>
        <v>0</v>
      </c>
      <c r="AK237" s="6">
        <v>0</v>
      </c>
      <c r="AL237" s="6">
        <v>0</v>
      </c>
      <c r="AM237" s="138">
        <f t="shared" si="126"/>
        <v>0</v>
      </c>
      <c r="AN237" s="160">
        <f t="shared" si="127"/>
        <v>0</v>
      </c>
      <c r="AO237" s="170">
        <f t="shared" si="139"/>
        <v>0</v>
      </c>
      <c r="AP237" s="6">
        <v>0</v>
      </c>
      <c r="AQ237" s="6">
        <v>0</v>
      </c>
      <c r="AR237" s="138">
        <f t="shared" si="128"/>
        <v>0</v>
      </c>
      <c r="AS237" s="160">
        <f t="shared" si="129"/>
        <v>0</v>
      </c>
      <c r="AT237" s="164">
        <f t="shared" si="130"/>
        <v>0</v>
      </c>
      <c r="AU237" s="165">
        <f t="shared" si="131"/>
        <v>0</v>
      </c>
    </row>
    <row r="238" spans="2:47" outlineLevel="1" x14ac:dyDescent="0.35">
      <c r="B238" s="48" t="s">
        <v>114</v>
      </c>
      <c r="C238" s="62" t="s">
        <v>141</v>
      </c>
      <c r="D238" s="70">
        <v>2</v>
      </c>
      <c r="E238" s="4">
        <v>177</v>
      </c>
      <c r="F238" s="81">
        <v>6</v>
      </c>
      <c r="G238" s="4">
        <v>183</v>
      </c>
      <c r="H238" s="185">
        <f t="shared" si="117"/>
        <v>3.3898305084745763E-2</v>
      </c>
      <c r="I238" s="81">
        <v>-1</v>
      </c>
      <c r="J238" s="4">
        <v>182</v>
      </c>
      <c r="K238" s="167">
        <f t="shared" si="118"/>
        <v>-5.4644808743169399E-3</v>
      </c>
      <c r="L238" s="81">
        <v>-1</v>
      </c>
      <c r="M238" s="4">
        <v>181</v>
      </c>
      <c r="N238" s="167">
        <f t="shared" si="119"/>
        <v>-5.4945054945054949E-3</v>
      </c>
      <c r="O238" s="81">
        <v>-4</v>
      </c>
      <c r="P238" s="4">
        <v>177</v>
      </c>
      <c r="Q238" s="167">
        <f t="shared" si="132"/>
        <v>-2.2099447513812154E-2</v>
      </c>
      <c r="R238" s="164">
        <f t="shared" si="133"/>
        <v>2</v>
      </c>
      <c r="S238" s="165">
        <f t="shared" si="134"/>
        <v>0</v>
      </c>
      <c r="U238" s="170">
        <f t="shared" si="135"/>
        <v>4</v>
      </c>
      <c r="V238" s="6">
        <v>4</v>
      </c>
      <c r="W238" s="6">
        <v>0</v>
      </c>
      <c r="X238" s="138">
        <f t="shared" si="120"/>
        <v>181</v>
      </c>
      <c r="Y238" s="167">
        <f t="shared" si="121"/>
        <v>2.2598870056497175E-2</v>
      </c>
      <c r="Z238" s="170">
        <f t="shared" si="136"/>
        <v>4</v>
      </c>
      <c r="AA238" s="6">
        <v>4</v>
      </c>
      <c r="AB238" s="6">
        <v>0</v>
      </c>
      <c r="AC238" s="138">
        <f t="shared" si="122"/>
        <v>185</v>
      </c>
      <c r="AD238" s="160">
        <f t="shared" si="123"/>
        <v>2.2099447513812154E-2</v>
      </c>
      <c r="AE238" s="170">
        <f t="shared" si="137"/>
        <v>3</v>
      </c>
      <c r="AF238" s="6">
        <v>3</v>
      </c>
      <c r="AG238" s="6">
        <v>0</v>
      </c>
      <c r="AH238" s="138">
        <f t="shared" si="124"/>
        <v>188</v>
      </c>
      <c r="AI238" s="160">
        <f t="shared" si="125"/>
        <v>1.6216216216216217E-2</v>
      </c>
      <c r="AJ238" s="170">
        <f t="shared" si="138"/>
        <v>2</v>
      </c>
      <c r="AK238" s="6">
        <v>2</v>
      </c>
      <c r="AL238" s="6">
        <v>0</v>
      </c>
      <c r="AM238" s="138">
        <f t="shared" si="126"/>
        <v>190</v>
      </c>
      <c r="AN238" s="160">
        <f t="shared" si="127"/>
        <v>1.0638297872340425E-2</v>
      </c>
      <c r="AO238" s="170">
        <f t="shared" si="139"/>
        <v>2</v>
      </c>
      <c r="AP238" s="6">
        <v>2</v>
      </c>
      <c r="AQ238" s="6">
        <v>0</v>
      </c>
      <c r="AR238" s="138">
        <f t="shared" si="128"/>
        <v>192</v>
      </c>
      <c r="AS238" s="160">
        <f t="shared" si="129"/>
        <v>1.0526315789473684E-2</v>
      </c>
      <c r="AT238" s="164">
        <f t="shared" si="130"/>
        <v>15</v>
      </c>
      <c r="AU238" s="165">
        <f t="shared" si="131"/>
        <v>1.4858897095994639E-2</v>
      </c>
    </row>
    <row r="239" spans="2:47" outlineLevel="1" x14ac:dyDescent="0.35">
      <c r="B239" s="48" t="s">
        <v>115</v>
      </c>
      <c r="C239" s="62" t="s">
        <v>141</v>
      </c>
      <c r="D239" s="70">
        <v>5</v>
      </c>
      <c r="E239" s="4">
        <v>8</v>
      </c>
      <c r="F239" s="81">
        <v>9</v>
      </c>
      <c r="G239" s="4">
        <v>17</v>
      </c>
      <c r="H239" s="185">
        <f t="shared" si="117"/>
        <v>1.125</v>
      </c>
      <c r="I239" s="81">
        <v>3</v>
      </c>
      <c r="J239" s="4">
        <v>20</v>
      </c>
      <c r="K239" s="167">
        <f t="shared" si="118"/>
        <v>0.17647058823529413</v>
      </c>
      <c r="L239" s="81">
        <v>3</v>
      </c>
      <c r="M239" s="4">
        <v>23</v>
      </c>
      <c r="N239" s="167">
        <f t="shared" si="119"/>
        <v>0.15</v>
      </c>
      <c r="O239" s="81">
        <v>1</v>
      </c>
      <c r="P239" s="4">
        <v>24</v>
      </c>
      <c r="Q239" s="167">
        <f t="shared" si="132"/>
        <v>4.3478260869565216E-2</v>
      </c>
      <c r="R239" s="164">
        <f t="shared" si="133"/>
        <v>21</v>
      </c>
      <c r="S239" s="165">
        <f t="shared" si="134"/>
        <v>0.3160740129524926</v>
      </c>
      <c r="U239" s="170">
        <f t="shared" si="135"/>
        <v>2</v>
      </c>
      <c r="V239" s="6">
        <v>2</v>
      </c>
      <c r="W239" s="6">
        <v>0</v>
      </c>
      <c r="X239" s="138">
        <f t="shared" si="120"/>
        <v>26</v>
      </c>
      <c r="Y239" s="167">
        <f t="shared" si="121"/>
        <v>8.3333333333333329E-2</v>
      </c>
      <c r="Z239" s="170">
        <f t="shared" si="136"/>
        <v>3</v>
      </c>
      <c r="AA239" s="6">
        <v>2</v>
      </c>
      <c r="AB239" s="6">
        <v>1</v>
      </c>
      <c r="AC239" s="138">
        <f t="shared" si="122"/>
        <v>29</v>
      </c>
      <c r="AD239" s="160">
        <f t="shared" si="123"/>
        <v>0.11538461538461539</v>
      </c>
      <c r="AE239" s="170">
        <f t="shared" si="137"/>
        <v>3</v>
      </c>
      <c r="AF239" s="6">
        <v>1</v>
      </c>
      <c r="AG239" s="6">
        <v>2</v>
      </c>
      <c r="AH239" s="138">
        <f t="shared" si="124"/>
        <v>32</v>
      </c>
      <c r="AI239" s="160">
        <f t="shared" si="125"/>
        <v>0.10344827586206896</v>
      </c>
      <c r="AJ239" s="170">
        <f t="shared" si="138"/>
        <v>3</v>
      </c>
      <c r="AK239" s="6">
        <v>1</v>
      </c>
      <c r="AL239" s="6">
        <v>2</v>
      </c>
      <c r="AM239" s="138">
        <f t="shared" si="126"/>
        <v>35</v>
      </c>
      <c r="AN239" s="160">
        <f t="shared" si="127"/>
        <v>9.375E-2</v>
      </c>
      <c r="AO239" s="170">
        <f t="shared" si="139"/>
        <v>4</v>
      </c>
      <c r="AP239" s="6">
        <v>1</v>
      </c>
      <c r="AQ239" s="6">
        <v>3</v>
      </c>
      <c r="AR239" s="138">
        <f t="shared" si="128"/>
        <v>39</v>
      </c>
      <c r="AS239" s="160">
        <f t="shared" si="129"/>
        <v>0.11428571428571428</v>
      </c>
      <c r="AT239" s="164">
        <f t="shared" si="130"/>
        <v>15</v>
      </c>
      <c r="AU239" s="165">
        <f t="shared" si="131"/>
        <v>0.1066819197003217</v>
      </c>
    </row>
    <row r="240" spans="2:47" outlineLevel="1" x14ac:dyDescent="0.35">
      <c r="B240" s="48" t="s">
        <v>116</v>
      </c>
      <c r="C240" s="62" t="s">
        <v>141</v>
      </c>
      <c r="D240" s="70">
        <v>4</v>
      </c>
      <c r="E240" s="4">
        <v>112</v>
      </c>
      <c r="F240" s="81">
        <v>4</v>
      </c>
      <c r="G240" s="4">
        <v>116</v>
      </c>
      <c r="H240" s="185">
        <f t="shared" si="117"/>
        <v>3.5714285714285712E-2</v>
      </c>
      <c r="I240" s="81">
        <v>1</v>
      </c>
      <c r="J240" s="4">
        <v>117</v>
      </c>
      <c r="K240" s="167">
        <f t="shared" si="118"/>
        <v>8.6206896551724137E-3</v>
      </c>
      <c r="L240" s="81">
        <v>1</v>
      </c>
      <c r="M240" s="4">
        <v>118</v>
      </c>
      <c r="N240" s="167">
        <f t="shared" si="119"/>
        <v>8.5470085470085479E-3</v>
      </c>
      <c r="O240" s="81">
        <v>3</v>
      </c>
      <c r="P240" s="4">
        <v>121</v>
      </c>
      <c r="Q240" s="167">
        <f t="shared" si="132"/>
        <v>2.5423728813559324E-2</v>
      </c>
      <c r="R240" s="164">
        <f t="shared" si="133"/>
        <v>13</v>
      </c>
      <c r="S240" s="165">
        <f t="shared" si="134"/>
        <v>1.951081444748537E-2</v>
      </c>
      <c r="U240" s="170">
        <f t="shared" si="135"/>
        <v>6</v>
      </c>
      <c r="V240" s="6">
        <v>5</v>
      </c>
      <c r="W240" s="6">
        <v>1</v>
      </c>
      <c r="X240" s="138">
        <f t="shared" si="120"/>
        <v>127</v>
      </c>
      <c r="Y240" s="167">
        <f t="shared" si="121"/>
        <v>4.9586776859504134E-2</v>
      </c>
      <c r="Z240" s="170">
        <f t="shared" si="136"/>
        <v>5</v>
      </c>
      <c r="AA240" s="6">
        <v>5</v>
      </c>
      <c r="AB240" s="6">
        <v>0</v>
      </c>
      <c r="AC240" s="138">
        <f t="shared" si="122"/>
        <v>132</v>
      </c>
      <c r="AD240" s="160">
        <f t="shared" si="123"/>
        <v>3.937007874015748E-2</v>
      </c>
      <c r="AE240" s="170">
        <f t="shared" si="137"/>
        <v>4</v>
      </c>
      <c r="AF240" s="6">
        <v>4</v>
      </c>
      <c r="AG240" s="6">
        <v>0</v>
      </c>
      <c r="AH240" s="138">
        <f t="shared" si="124"/>
        <v>136</v>
      </c>
      <c r="AI240" s="160">
        <f t="shared" si="125"/>
        <v>3.0303030303030304E-2</v>
      </c>
      <c r="AJ240" s="170">
        <f t="shared" si="138"/>
        <v>3</v>
      </c>
      <c r="AK240" s="6">
        <v>3</v>
      </c>
      <c r="AL240" s="6">
        <v>0</v>
      </c>
      <c r="AM240" s="138">
        <f t="shared" si="126"/>
        <v>139</v>
      </c>
      <c r="AN240" s="160">
        <f t="shared" si="127"/>
        <v>2.2058823529411766E-2</v>
      </c>
      <c r="AO240" s="170">
        <f t="shared" si="139"/>
        <v>3</v>
      </c>
      <c r="AP240" s="6">
        <v>3</v>
      </c>
      <c r="AQ240" s="6">
        <v>0</v>
      </c>
      <c r="AR240" s="138">
        <f t="shared" si="128"/>
        <v>142</v>
      </c>
      <c r="AS240" s="160">
        <f t="shared" si="129"/>
        <v>2.1582733812949641E-2</v>
      </c>
      <c r="AT240" s="164">
        <f t="shared" si="130"/>
        <v>21</v>
      </c>
      <c r="AU240" s="165">
        <f t="shared" si="131"/>
        <v>2.8303125556183861E-2</v>
      </c>
    </row>
    <row r="241" spans="2:47" outlineLevel="1" x14ac:dyDescent="0.35">
      <c r="B241" s="48" t="s">
        <v>117</v>
      </c>
      <c r="C241" s="62" t="s">
        <v>141</v>
      </c>
      <c r="D241" s="70">
        <v>17</v>
      </c>
      <c r="E241" s="4">
        <v>319</v>
      </c>
      <c r="F241" s="81">
        <v>7</v>
      </c>
      <c r="G241" s="4">
        <v>326</v>
      </c>
      <c r="H241" s="185">
        <f t="shared" si="117"/>
        <v>2.1943573667711599E-2</v>
      </c>
      <c r="I241" s="81">
        <v>11</v>
      </c>
      <c r="J241" s="4">
        <v>337</v>
      </c>
      <c r="K241" s="167">
        <f t="shared" si="118"/>
        <v>3.3742331288343558E-2</v>
      </c>
      <c r="L241" s="81">
        <v>-6</v>
      </c>
      <c r="M241" s="4">
        <v>331</v>
      </c>
      <c r="N241" s="167">
        <f t="shared" si="119"/>
        <v>-1.7804154302670624E-2</v>
      </c>
      <c r="O241" s="81">
        <v>-1</v>
      </c>
      <c r="P241" s="4">
        <v>330</v>
      </c>
      <c r="Q241" s="167">
        <f t="shared" si="132"/>
        <v>-3.0211480362537764E-3</v>
      </c>
      <c r="R241" s="164">
        <f t="shared" si="133"/>
        <v>28</v>
      </c>
      <c r="S241" s="165">
        <f t="shared" si="134"/>
        <v>8.5114057020949652E-3</v>
      </c>
      <c r="U241" s="170">
        <f t="shared" si="135"/>
        <v>14</v>
      </c>
      <c r="V241" s="6">
        <v>12</v>
      </c>
      <c r="W241" s="6">
        <v>2</v>
      </c>
      <c r="X241" s="138">
        <f t="shared" si="120"/>
        <v>344</v>
      </c>
      <c r="Y241" s="167">
        <f t="shared" si="121"/>
        <v>4.2424242424242427E-2</v>
      </c>
      <c r="Z241" s="170">
        <f t="shared" si="136"/>
        <v>18</v>
      </c>
      <c r="AA241" s="6">
        <v>10</v>
      </c>
      <c r="AB241" s="6">
        <v>8</v>
      </c>
      <c r="AC241" s="138">
        <f t="shared" si="122"/>
        <v>362</v>
      </c>
      <c r="AD241" s="160">
        <f t="shared" si="123"/>
        <v>5.232558139534884E-2</v>
      </c>
      <c r="AE241" s="170">
        <f t="shared" si="137"/>
        <v>20</v>
      </c>
      <c r="AF241" s="6">
        <v>9</v>
      </c>
      <c r="AG241" s="6">
        <v>11</v>
      </c>
      <c r="AH241" s="138">
        <f t="shared" si="124"/>
        <v>382</v>
      </c>
      <c r="AI241" s="160">
        <f t="shared" si="125"/>
        <v>5.5248618784530384E-2</v>
      </c>
      <c r="AJ241" s="170">
        <f t="shared" si="138"/>
        <v>22</v>
      </c>
      <c r="AK241" s="6">
        <v>7</v>
      </c>
      <c r="AL241" s="6">
        <v>15</v>
      </c>
      <c r="AM241" s="138">
        <f t="shared" si="126"/>
        <v>404</v>
      </c>
      <c r="AN241" s="160">
        <f t="shared" si="127"/>
        <v>5.7591623036649213E-2</v>
      </c>
      <c r="AO241" s="170">
        <f t="shared" si="139"/>
        <v>21</v>
      </c>
      <c r="AP241" s="6">
        <v>5</v>
      </c>
      <c r="AQ241" s="6">
        <v>16</v>
      </c>
      <c r="AR241" s="138">
        <f t="shared" si="128"/>
        <v>425</v>
      </c>
      <c r="AS241" s="160">
        <f t="shared" si="129"/>
        <v>5.1980198019801978E-2</v>
      </c>
      <c r="AT241" s="164">
        <f t="shared" si="130"/>
        <v>95</v>
      </c>
      <c r="AU241" s="165">
        <f t="shared" si="131"/>
        <v>5.428401512715042E-2</v>
      </c>
    </row>
    <row r="242" spans="2:47" outlineLevel="1" x14ac:dyDescent="0.35">
      <c r="B242" s="48" t="s">
        <v>118</v>
      </c>
      <c r="C242" s="62" t="s">
        <v>141</v>
      </c>
      <c r="D242" s="70">
        <v>-2</v>
      </c>
      <c r="E242" s="4">
        <v>62</v>
      </c>
      <c r="F242" s="81">
        <v>8</v>
      </c>
      <c r="G242" s="4">
        <v>70</v>
      </c>
      <c r="H242" s="185">
        <f t="shared" si="117"/>
        <v>0.12903225806451613</v>
      </c>
      <c r="I242" s="81">
        <v>7</v>
      </c>
      <c r="J242" s="4">
        <v>77</v>
      </c>
      <c r="K242" s="167">
        <f t="shared" si="118"/>
        <v>0.1</v>
      </c>
      <c r="L242" s="81">
        <v>3</v>
      </c>
      <c r="M242" s="4">
        <v>80</v>
      </c>
      <c r="N242" s="167">
        <f t="shared" si="119"/>
        <v>3.896103896103896E-2</v>
      </c>
      <c r="O242" s="81">
        <v>-4</v>
      </c>
      <c r="P242" s="4">
        <v>76</v>
      </c>
      <c r="Q242" s="167">
        <f t="shared" si="132"/>
        <v>-0.05</v>
      </c>
      <c r="R242" s="164">
        <f t="shared" si="133"/>
        <v>12</v>
      </c>
      <c r="S242" s="165">
        <f t="shared" si="134"/>
        <v>5.2217391426944371E-2</v>
      </c>
      <c r="U242" s="170">
        <f t="shared" si="135"/>
        <v>2</v>
      </c>
      <c r="V242" s="6">
        <v>2</v>
      </c>
      <c r="W242" s="6">
        <v>0</v>
      </c>
      <c r="X242" s="138">
        <f t="shared" si="120"/>
        <v>78</v>
      </c>
      <c r="Y242" s="167">
        <f t="shared" si="121"/>
        <v>2.6315789473684209E-2</v>
      </c>
      <c r="Z242" s="170">
        <f t="shared" si="136"/>
        <v>2</v>
      </c>
      <c r="AA242" s="6">
        <v>2</v>
      </c>
      <c r="AB242" s="6">
        <v>0</v>
      </c>
      <c r="AC242" s="138">
        <f t="shared" si="122"/>
        <v>80</v>
      </c>
      <c r="AD242" s="160">
        <f t="shared" si="123"/>
        <v>2.564102564102564E-2</v>
      </c>
      <c r="AE242" s="170">
        <f t="shared" si="137"/>
        <v>1</v>
      </c>
      <c r="AF242" s="6">
        <v>1</v>
      </c>
      <c r="AG242" s="6">
        <v>0</v>
      </c>
      <c r="AH242" s="138">
        <f t="shared" si="124"/>
        <v>81</v>
      </c>
      <c r="AI242" s="160">
        <f t="shared" si="125"/>
        <v>1.2500000000000001E-2</v>
      </c>
      <c r="AJ242" s="170">
        <f t="shared" si="138"/>
        <v>1</v>
      </c>
      <c r="AK242" s="6">
        <v>1</v>
      </c>
      <c r="AL242" s="6">
        <v>0</v>
      </c>
      <c r="AM242" s="138">
        <f t="shared" si="126"/>
        <v>82</v>
      </c>
      <c r="AN242" s="160">
        <f t="shared" si="127"/>
        <v>1.2345679012345678E-2</v>
      </c>
      <c r="AO242" s="170">
        <f t="shared" si="139"/>
        <v>1</v>
      </c>
      <c r="AP242" s="6">
        <v>1</v>
      </c>
      <c r="AQ242" s="6">
        <v>0</v>
      </c>
      <c r="AR242" s="138">
        <f t="shared" si="128"/>
        <v>83</v>
      </c>
      <c r="AS242" s="160">
        <f t="shared" si="129"/>
        <v>1.2195121951219513E-2</v>
      </c>
      <c r="AT242" s="164">
        <f t="shared" si="130"/>
        <v>7</v>
      </c>
      <c r="AU242" s="165">
        <f t="shared" si="131"/>
        <v>1.5654208516109103E-2</v>
      </c>
    </row>
    <row r="243" spans="2:47" outlineLevel="1" x14ac:dyDescent="0.35">
      <c r="B243" s="48" t="s">
        <v>119</v>
      </c>
      <c r="C243" s="62" t="s">
        <v>141</v>
      </c>
      <c r="D243" s="70">
        <v>0</v>
      </c>
      <c r="E243" s="4">
        <v>7</v>
      </c>
      <c r="F243" s="81">
        <v>1</v>
      </c>
      <c r="G243" s="4">
        <v>8</v>
      </c>
      <c r="H243" s="185">
        <f t="shared" si="117"/>
        <v>0.14285714285714285</v>
      </c>
      <c r="I243" s="81">
        <v>2</v>
      </c>
      <c r="J243" s="4">
        <v>10</v>
      </c>
      <c r="K243" s="167">
        <f t="shared" si="118"/>
        <v>0.25</v>
      </c>
      <c r="L243" s="81">
        <v>-1</v>
      </c>
      <c r="M243" s="4">
        <v>9</v>
      </c>
      <c r="N243" s="167">
        <f t="shared" si="119"/>
        <v>-0.1</v>
      </c>
      <c r="O243" s="81">
        <v>1</v>
      </c>
      <c r="P243" s="4">
        <v>10</v>
      </c>
      <c r="Q243" s="167">
        <f t="shared" si="132"/>
        <v>0.1111111111111111</v>
      </c>
      <c r="R243" s="164">
        <f t="shared" si="133"/>
        <v>3</v>
      </c>
      <c r="S243" s="165">
        <f t="shared" si="134"/>
        <v>9.3265113929093424E-2</v>
      </c>
      <c r="U243" s="170">
        <f t="shared" si="135"/>
        <v>-1</v>
      </c>
      <c r="V243" s="6">
        <v>-1</v>
      </c>
      <c r="W243" s="6">
        <v>0</v>
      </c>
      <c r="X243" s="138">
        <f t="shared" si="120"/>
        <v>9</v>
      </c>
      <c r="Y243" s="167">
        <f t="shared" si="121"/>
        <v>-0.1</v>
      </c>
      <c r="Z243" s="170">
        <f t="shared" si="136"/>
        <v>0</v>
      </c>
      <c r="AA243" s="6">
        <v>0</v>
      </c>
      <c r="AB243" s="6">
        <v>0</v>
      </c>
      <c r="AC243" s="138">
        <f t="shared" si="122"/>
        <v>9</v>
      </c>
      <c r="AD243" s="160">
        <f t="shared" si="123"/>
        <v>0</v>
      </c>
      <c r="AE243" s="170">
        <f t="shared" si="137"/>
        <v>0</v>
      </c>
      <c r="AF243" s="6">
        <v>0</v>
      </c>
      <c r="AG243" s="6">
        <v>0</v>
      </c>
      <c r="AH243" s="138">
        <f t="shared" si="124"/>
        <v>9</v>
      </c>
      <c r="AI243" s="160">
        <f t="shared" si="125"/>
        <v>0</v>
      </c>
      <c r="AJ243" s="170">
        <f t="shared" si="138"/>
        <v>0</v>
      </c>
      <c r="AK243" s="6">
        <v>0</v>
      </c>
      <c r="AL243" s="6">
        <v>0</v>
      </c>
      <c r="AM243" s="138">
        <f t="shared" si="126"/>
        <v>9</v>
      </c>
      <c r="AN243" s="160">
        <f t="shared" si="127"/>
        <v>0</v>
      </c>
      <c r="AO243" s="170">
        <f t="shared" si="139"/>
        <v>0</v>
      </c>
      <c r="AP243" s="6">
        <v>0</v>
      </c>
      <c r="AQ243" s="6">
        <v>0</v>
      </c>
      <c r="AR243" s="138">
        <f t="shared" si="128"/>
        <v>9</v>
      </c>
      <c r="AS243" s="160">
        <f t="shared" si="129"/>
        <v>0</v>
      </c>
      <c r="AT243" s="164">
        <f t="shared" si="130"/>
        <v>-1</v>
      </c>
      <c r="AU243" s="165">
        <f t="shared" si="131"/>
        <v>0</v>
      </c>
    </row>
    <row r="244" spans="2:47" outlineLevel="1" x14ac:dyDescent="0.35">
      <c r="B244" s="48" t="s">
        <v>120</v>
      </c>
      <c r="C244" s="62" t="s">
        <v>141</v>
      </c>
      <c r="D244" s="70">
        <v>19</v>
      </c>
      <c r="E244" s="4">
        <v>269</v>
      </c>
      <c r="F244" s="81">
        <v>15</v>
      </c>
      <c r="G244" s="4">
        <v>284</v>
      </c>
      <c r="H244" s="185">
        <f t="shared" si="117"/>
        <v>5.5762081784386616E-2</v>
      </c>
      <c r="I244" s="81">
        <v>13</v>
      </c>
      <c r="J244" s="4">
        <v>297</v>
      </c>
      <c r="K244" s="167">
        <f t="shared" si="118"/>
        <v>4.5774647887323945E-2</v>
      </c>
      <c r="L244" s="81">
        <v>-6</v>
      </c>
      <c r="M244" s="4">
        <v>291</v>
      </c>
      <c r="N244" s="167">
        <f t="shared" si="119"/>
        <v>-2.0202020202020204E-2</v>
      </c>
      <c r="O244" s="81">
        <v>-1</v>
      </c>
      <c r="P244" s="4">
        <v>290</v>
      </c>
      <c r="Q244" s="167">
        <f t="shared" si="132"/>
        <v>-3.4364261168384879E-3</v>
      </c>
      <c r="R244" s="164">
        <f t="shared" si="133"/>
        <v>40</v>
      </c>
      <c r="S244" s="165">
        <f t="shared" si="134"/>
        <v>1.897007404400064E-2</v>
      </c>
      <c r="U244" s="170">
        <f t="shared" si="135"/>
        <v>9</v>
      </c>
      <c r="V244" s="6">
        <v>9</v>
      </c>
      <c r="W244" s="6">
        <v>0</v>
      </c>
      <c r="X244" s="138">
        <f t="shared" si="120"/>
        <v>299</v>
      </c>
      <c r="Y244" s="167">
        <f t="shared" si="121"/>
        <v>3.1034482758620689E-2</v>
      </c>
      <c r="Z244" s="170">
        <f t="shared" si="136"/>
        <v>8</v>
      </c>
      <c r="AA244" s="6">
        <v>7</v>
      </c>
      <c r="AB244" s="6">
        <v>1</v>
      </c>
      <c r="AC244" s="138">
        <f t="shared" si="122"/>
        <v>307</v>
      </c>
      <c r="AD244" s="160">
        <f t="shared" si="123"/>
        <v>2.6755852842809364E-2</v>
      </c>
      <c r="AE244" s="170">
        <f t="shared" si="137"/>
        <v>9</v>
      </c>
      <c r="AF244" s="6">
        <v>6</v>
      </c>
      <c r="AG244" s="6">
        <v>3</v>
      </c>
      <c r="AH244" s="138">
        <f t="shared" si="124"/>
        <v>316</v>
      </c>
      <c r="AI244" s="160">
        <f t="shared" si="125"/>
        <v>2.9315960912052116E-2</v>
      </c>
      <c r="AJ244" s="170">
        <f t="shared" si="138"/>
        <v>8</v>
      </c>
      <c r="AK244" s="6">
        <v>5</v>
      </c>
      <c r="AL244" s="6">
        <v>3</v>
      </c>
      <c r="AM244" s="138">
        <f t="shared" si="126"/>
        <v>324</v>
      </c>
      <c r="AN244" s="160">
        <f t="shared" si="127"/>
        <v>2.5316455696202531E-2</v>
      </c>
      <c r="AO244" s="170">
        <f t="shared" si="139"/>
        <v>8</v>
      </c>
      <c r="AP244" s="6">
        <v>4</v>
      </c>
      <c r="AQ244" s="6">
        <v>4</v>
      </c>
      <c r="AR244" s="138">
        <f t="shared" si="128"/>
        <v>332</v>
      </c>
      <c r="AS244" s="160">
        <f t="shared" si="129"/>
        <v>2.4691358024691357E-2</v>
      </c>
      <c r="AT244" s="164">
        <f t="shared" si="130"/>
        <v>42</v>
      </c>
      <c r="AU244" s="165">
        <f t="shared" si="131"/>
        <v>2.6518365691114765E-2</v>
      </c>
    </row>
    <row r="245" spans="2:47" outlineLevel="1" x14ac:dyDescent="0.35">
      <c r="B245" s="48" t="s">
        <v>121</v>
      </c>
      <c r="C245" s="62" t="s">
        <v>141</v>
      </c>
      <c r="D245" s="70">
        <v>-1</v>
      </c>
      <c r="E245" s="4">
        <v>13</v>
      </c>
      <c r="F245" s="81">
        <v>2</v>
      </c>
      <c r="G245" s="4">
        <v>15</v>
      </c>
      <c r="H245" s="185">
        <f t="shared" si="117"/>
        <v>0.15384615384615385</v>
      </c>
      <c r="I245" s="81">
        <v>6</v>
      </c>
      <c r="J245" s="4">
        <v>21</v>
      </c>
      <c r="K245" s="167">
        <f t="shared" si="118"/>
        <v>0.4</v>
      </c>
      <c r="L245" s="81">
        <v>2</v>
      </c>
      <c r="M245" s="4">
        <v>23</v>
      </c>
      <c r="N245" s="167">
        <f t="shared" si="119"/>
        <v>9.5238095238095233E-2</v>
      </c>
      <c r="O245" s="81">
        <v>0</v>
      </c>
      <c r="P245" s="4">
        <v>23</v>
      </c>
      <c r="Q245" s="167">
        <f t="shared" si="132"/>
        <v>0</v>
      </c>
      <c r="R245" s="164">
        <f t="shared" si="133"/>
        <v>9</v>
      </c>
      <c r="S245" s="165">
        <f t="shared" si="134"/>
        <v>0.15331016796105312</v>
      </c>
      <c r="U245" s="170">
        <f t="shared" si="135"/>
        <v>0</v>
      </c>
      <c r="V245" s="6">
        <v>0</v>
      </c>
      <c r="W245" s="6">
        <v>0</v>
      </c>
      <c r="X245" s="138">
        <f t="shared" si="120"/>
        <v>23</v>
      </c>
      <c r="Y245" s="167">
        <f t="shared" si="121"/>
        <v>0</v>
      </c>
      <c r="Z245" s="170">
        <f t="shared" si="136"/>
        <v>1</v>
      </c>
      <c r="AA245" s="6">
        <v>0</v>
      </c>
      <c r="AB245" s="6">
        <v>1</v>
      </c>
      <c r="AC245" s="138">
        <f t="shared" si="122"/>
        <v>24</v>
      </c>
      <c r="AD245" s="160">
        <f t="shared" si="123"/>
        <v>4.3478260869565216E-2</v>
      </c>
      <c r="AE245" s="170">
        <f t="shared" si="137"/>
        <v>3</v>
      </c>
      <c r="AF245" s="6">
        <v>0</v>
      </c>
      <c r="AG245" s="6">
        <v>3</v>
      </c>
      <c r="AH245" s="138">
        <f t="shared" si="124"/>
        <v>27</v>
      </c>
      <c r="AI245" s="160">
        <f t="shared" si="125"/>
        <v>0.125</v>
      </c>
      <c r="AJ245" s="170">
        <f t="shared" si="138"/>
        <v>3</v>
      </c>
      <c r="AK245" s="6">
        <v>0</v>
      </c>
      <c r="AL245" s="6">
        <v>3</v>
      </c>
      <c r="AM245" s="138">
        <f t="shared" si="126"/>
        <v>30</v>
      </c>
      <c r="AN245" s="160">
        <f t="shared" si="127"/>
        <v>0.1111111111111111</v>
      </c>
      <c r="AO245" s="170">
        <f t="shared" si="139"/>
        <v>5</v>
      </c>
      <c r="AP245" s="6">
        <v>0</v>
      </c>
      <c r="AQ245" s="6">
        <v>5</v>
      </c>
      <c r="AR245" s="138">
        <f t="shared" si="128"/>
        <v>35</v>
      </c>
      <c r="AS245" s="160">
        <f t="shared" si="129"/>
        <v>0.16666666666666666</v>
      </c>
      <c r="AT245" s="164">
        <f t="shared" si="130"/>
        <v>12</v>
      </c>
      <c r="AU245" s="165">
        <f t="shared" si="131"/>
        <v>0.1106700272753931</v>
      </c>
    </row>
    <row r="246" spans="2:47" outlineLevel="1" x14ac:dyDescent="0.35">
      <c r="B246" s="48" t="s">
        <v>137</v>
      </c>
      <c r="C246" s="62" t="s">
        <v>141</v>
      </c>
      <c r="D246" s="70">
        <v>0</v>
      </c>
      <c r="E246" s="4">
        <v>0</v>
      </c>
      <c r="F246" s="81">
        <v>0</v>
      </c>
      <c r="G246" s="4">
        <v>0</v>
      </c>
      <c r="H246" s="185">
        <f t="shared" si="117"/>
        <v>0</v>
      </c>
      <c r="I246" s="81">
        <v>0</v>
      </c>
      <c r="J246" s="4">
        <v>0</v>
      </c>
      <c r="K246" s="167">
        <f t="shared" si="118"/>
        <v>0</v>
      </c>
      <c r="L246" s="81">
        <v>0</v>
      </c>
      <c r="M246" s="4">
        <v>0</v>
      </c>
      <c r="N246" s="167">
        <f t="shared" si="119"/>
        <v>0</v>
      </c>
      <c r="O246" s="81">
        <v>0</v>
      </c>
      <c r="P246" s="4">
        <v>0</v>
      </c>
      <c r="Q246" s="167">
        <f t="shared" si="132"/>
        <v>0</v>
      </c>
      <c r="R246" s="164">
        <f t="shared" si="133"/>
        <v>0</v>
      </c>
      <c r="S246" s="165">
        <f t="shared" si="134"/>
        <v>0</v>
      </c>
      <c r="U246" s="170">
        <f t="shared" si="135"/>
        <v>0</v>
      </c>
      <c r="V246" s="6">
        <v>0</v>
      </c>
      <c r="W246" s="6">
        <v>0</v>
      </c>
      <c r="X246" s="138">
        <f t="shared" si="120"/>
        <v>0</v>
      </c>
      <c r="Y246" s="167">
        <f t="shared" si="121"/>
        <v>0</v>
      </c>
      <c r="Z246" s="170">
        <f t="shared" si="136"/>
        <v>0</v>
      </c>
      <c r="AA246" s="6">
        <v>0</v>
      </c>
      <c r="AB246" s="6">
        <v>0</v>
      </c>
      <c r="AC246" s="138">
        <f t="shared" si="122"/>
        <v>0</v>
      </c>
      <c r="AD246" s="160">
        <f t="shared" si="123"/>
        <v>0</v>
      </c>
      <c r="AE246" s="170">
        <f t="shared" si="137"/>
        <v>0</v>
      </c>
      <c r="AF246" s="6">
        <v>0</v>
      </c>
      <c r="AG246" s="6">
        <v>0</v>
      </c>
      <c r="AH246" s="138">
        <f t="shared" si="124"/>
        <v>0</v>
      </c>
      <c r="AI246" s="160">
        <f t="shared" si="125"/>
        <v>0</v>
      </c>
      <c r="AJ246" s="170">
        <f t="shared" si="138"/>
        <v>0</v>
      </c>
      <c r="AK246" s="6">
        <v>0</v>
      </c>
      <c r="AL246" s="6">
        <v>0</v>
      </c>
      <c r="AM246" s="138">
        <f t="shared" si="126"/>
        <v>0</v>
      </c>
      <c r="AN246" s="160">
        <f t="shared" si="127"/>
        <v>0</v>
      </c>
      <c r="AO246" s="170">
        <f t="shared" si="139"/>
        <v>0</v>
      </c>
      <c r="AP246" s="6">
        <v>0</v>
      </c>
      <c r="AQ246" s="6">
        <v>0</v>
      </c>
      <c r="AR246" s="138">
        <f t="shared" si="128"/>
        <v>0</v>
      </c>
      <c r="AS246" s="160">
        <f t="shared" si="129"/>
        <v>0</v>
      </c>
      <c r="AT246" s="164">
        <f t="shared" si="130"/>
        <v>0</v>
      </c>
      <c r="AU246" s="165">
        <f t="shared" si="131"/>
        <v>0</v>
      </c>
    </row>
    <row r="247" spans="2:47" outlineLevel="1" x14ac:dyDescent="0.35">
      <c r="B247" s="48" t="s">
        <v>123</v>
      </c>
      <c r="C247" s="62" t="s">
        <v>141</v>
      </c>
      <c r="D247" s="70">
        <v>5</v>
      </c>
      <c r="E247" s="4">
        <v>113</v>
      </c>
      <c r="F247" s="81">
        <v>1</v>
      </c>
      <c r="G247" s="4">
        <v>114</v>
      </c>
      <c r="H247" s="185">
        <f t="shared" si="117"/>
        <v>8.8495575221238937E-3</v>
      </c>
      <c r="I247" s="81">
        <v>5</v>
      </c>
      <c r="J247" s="4">
        <v>119</v>
      </c>
      <c r="K247" s="167">
        <f t="shared" si="118"/>
        <v>4.3859649122807015E-2</v>
      </c>
      <c r="L247" s="81">
        <v>-2</v>
      </c>
      <c r="M247" s="4">
        <v>117</v>
      </c>
      <c r="N247" s="167">
        <f t="shared" si="119"/>
        <v>-1.680672268907563E-2</v>
      </c>
      <c r="O247" s="81">
        <v>1</v>
      </c>
      <c r="P247" s="4">
        <v>118</v>
      </c>
      <c r="Q247" s="167">
        <f t="shared" si="132"/>
        <v>8.5470085470085479E-3</v>
      </c>
      <c r="R247" s="164">
        <f t="shared" si="133"/>
        <v>10</v>
      </c>
      <c r="S247" s="165">
        <f t="shared" si="134"/>
        <v>1.0882995046522126E-2</v>
      </c>
      <c r="U247" s="170">
        <f t="shared" si="135"/>
        <v>1</v>
      </c>
      <c r="V247" s="6">
        <v>1</v>
      </c>
      <c r="W247" s="6">
        <v>0</v>
      </c>
      <c r="X247" s="138">
        <f t="shared" si="120"/>
        <v>119</v>
      </c>
      <c r="Y247" s="167">
        <f t="shared" si="121"/>
        <v>8.4745762711864406E-3</v>
      </c>
      <c r="Z247" s="170">
        <f t="shared" si="136"/>
        <v>1</v>
      </c>
      <c r="AA247" s="6">
        <v>1</v>
      </c>
      <c r="AB247" s="6">
        <v>0</v>
      </c>
      <c r="AC247" s="138">
        <f t="shared" si="122"/>
        <v>120</v>
      </c>
      <c r="AD247" s="160">
        <f t="shared" si="123"/>
        <v>8.4033613445378148E-3</v>
      </c>
      <c r="AE247" s="170">
        <f t="shared" si="137"/>
        <v>2</v>
      </c>
      <c r="AF247" s="6">
        <v>1</v>
      </c>
      <c r="AG247" s="6">
        <v>1</v>
      </c>
      <c r="AH247" s="138">
        <f t="shared" si="124"/>
        <v>122</v>
      </c>
      <c r="AI247" s="160">
        <f t="shared" si="125"/>
        <v>1.6666666666666666E-2</v>
      </c>
      <c r="AJ247" s="170">
        <f t="shared" si="138"/>
        <v>2</v>
      </c>
      <c r="AK247" s="6">
        <v>1</v>
      </c>
      <c r="AL247" s="6">
        <v>1</v>
      </c>
      <c r="AM247" s="138">
        <f t="shared" si="126"/>
        <v>124</v>
      </c>
      <c r="AN247" s="160">
        <f t="shared" si="127"/>
        <v>1.6393442622950821E-2</v>
      </c>
      <c r="AO247" s="170">
        <f t="shared" si="139"/>
        <v>2</v>
      </c>
      <c r="AP247" s="6">
        <v>1</v>
      </c>
      <c r="AQ247" s="6">
        <v>1</v>
      </c>
      <c r="AR247" s="138">
        <f t="shared" si="128"/>
        <v>126</v>
      </c>
      <c r="AS247" s="160">
        <f t="shared" si="129"/>
        <v>1.6129032258064516E-2</v>
      </c>
      <c r="AT247" s="164">
        <f t="shared" si="130"/>
        <v>8</v>
      </c>
      <c r="AU247" s="165">
        <f t="shared" si="131"/>
        <v>1.4392187891376196E-2</v>
      </c>
    </row>
    <row r="248" spans="2:47" outlineLevel="1" x14ac:dyDescent="0.35">
      <c r="B248" s="48" t="s">
        <v>124</v>
      </c>
      <c r="C248" s="62" t="s">
        <v>141</v>
      </c>
      <c r="D248" s="70">
        <v>1</v>
      </c>
      <c r="E248" s="4">
        <v>6</v>
      </c>
      <c r="F248" s="81">
        <v>2</v>
      </c>
      <c r="G248" s="4">
        <v>8</v>
      </c>
      <c r="H248" s="185">
        <f t="shared" si="117"/>
        <v>0.33333333333333331</v>
      </c>
      <c r="I248" s="81">
        <v>4</v>
      </c>
      <c r="J248" s="4">
        <v>12</v>
      </c>
      <c r="K248" s="167">
        <f t="shared" si="118"/>
        <v>0.5</v>
      </c>
      <c r="L248" s="81">
        <v>0</v>
      </c>
      <c r="M248" s="4">
        <v>12</v>
      </c>
      <c r="N248" s="167">
        <f t="shared" si="119"/>
        <v>0</v>
      </c>
      <c r="O248" s="81">
        <v>0</v>
      </c>
      <c r="P248" s="4">
        <v>12</v>
      </c>
      <c r="Q248" s="167">
        <f t="shared" si="132"/>
        <v>0</v>
      </c>
      <c r="R248" s="164">
        <f t="shared" si="133"/>
        <v>7</v>
      </c>
      <c r="S248" s="165">
        <f t="shared" si="134"/>
        <v>0.18920711500272103</v>
      </c>
      <c r="U248" s="170">
        <f t="shared" si="135"/>
        <v>2</v>
      </c>
      <c r="V248" s="6">
        <v>2</v>
      </c>
      <c r="W248" s="6">
        <v>0</v>
      </c>
      <c r="X248" s="138">
        <f t="shared" si="120"/>
        <v>14</v>
      </c>
      <c r="Y248" s="167">
        <f t="shared" si="121"/>
        <v>0.16666666666666666</v>
      </c>
      <c r="Z248" s="170">
        <f t="shared" si="136"/>
        <v>1</v>
      </c>
      <c r="AA248" s="6">
        <v>1</v>
      </c>
      <c r="AB248" s="6">
        <v>0</v>
      </c>
      <c r="AC248" s="138">
        <f t="shared" si="122"/>
        <v>15</v>
      </c>
      <c r="AD248" s="160">
        <f t="shared" si="123"/>
        <v>7.1428571428571425E-2</v>
      </c>
      <c r="AE248" s="170">
        <f t="shared" si="137"/>
        <v>1</v>
      </c>
      <c r="AF248" s="6">
        <v>1</v>
      </c>
      <c r="AG248" s="6">
        <v>0</v>
      </c>
      <c r="AH248" s="138">
        <f t="shared" si="124"/>
        <v>16</v>
      </c>
      <c r="AI248" s="160">
        <f t="shared" si="125"/>
        <v>6.6666666666666666E-2</v>
      </c>
      <c r="AJ248" s="170">
        <f t="shared" si="138"/>
        <v>1</v>
      </c>
      <c r="AK248" s="6">
        <v>1</v>
      </c>
      <c r="AL248" s="6">
        <v>0</v>
      </c>
      <c r="AM248" s="138">
        <f t="shared" si="126"/>
        <v>17</v>
      </c>
      <c r="AN248" s="160">
        <f t="shared" si="127"/>
        <v>6.25E-2</v>
      </c>
      <c r="AO248" s="170">
        <f t="shared" si="139"/>
        <v>1</v>
      </c>
      <c r="AP248" s="6">
        <v>1</v>
      </c>
      <c r="AQ248" s="6">
        <v>0</v>
      </c>
      <c r="AR248" s="138">
        <f t="shared" si="128"/>
        <v>18</v>
      </c>
      <c r="AS248" s="160">
        <f t="shared" si="129"/>
        <v>5.8823529411764705E-2</v>
      </c>
      <c r="AT248" s="164">
        <f t="shared" si="130"/>
        <v>6</v>
      </c>
      <c r="AU248" s="165">
        <f t="shared" si="131"/>
        <v>6.4844316803015944E-2</v>
      </c>
    </row>
    <row r="249" spans="2:47" outlineLevel="1" x14ac:dyDescent="0.35">
      <c r="B249" s="48" t="s">
        <v>125</v>
      </c>
      <c r="C249" s="62" t="s">
        <v>141</v>
      </c>
      <c r="D249" s="70">
        <v>1</v>
      </c>
      <c r="E249" s="4">
        <v>46</v>
      </c>
      <c r="F249" s="81">
        <v>1</v>
      </c>
      <c r="G249" s="4">
        <v>47</v>
      </c>
      <c r="H249" s="185">
        <f t="shared" si="117"/>
        <v>2.1739130434782608E-2</v>
      </c>
      <c r="I249" s="81">
        <v>3</v>
      </c>
      <c r="J249" s="4">
        <v>50</v>
      </c>
      <c r="K249" s="167">
        <f t="shared" si="118"/>
        <v>6.3829787234042548E-2</v>
      </c>
      <c r="L249" s="81">
        <v>0</v>
      </c>
      <c r="M249" s="4">
        <v>50</v>
      </c>
      <c r="N249" s="167">
        <f t="shared" si="119"/>
        <v>0</v>
      </c>
      <c r="O249" s="81">
        <v>2</v>
      </c>
      <c r="P249" s="4">
        <v>52</v>
      </c>
      <c r="Q249" s="167">
        <f t="shared" si="132"/>
        <v>0.04</v>
      </c>
      <c r="R249" s="164">
        <f t="shared" si="133"/>
        <v>7</v>
      </c>
      <c r="S249" s="165">
        <f t="shared" si="134"/>
        <v>3.1125145723054137E-2</v>
      </c>
      <c r="U249" s="170">
        <f t="shared" si="135"/>
        <v>3</v>
      </c>
      <c r="V249" s="6">
        <v>3</v>
      </c>
      <c r="W249" s="6">
        <v>0</v>
      </c>
      <c r="X249" s="138">
        <f t="shared" si="120"/>
        <v>55</v>
      </c>
      <c r="Y249" s="167">
        <f t="shared" si="121"/>
        <v>5.7692307692307696E-2</v>
      </c>
      <c r="Z249" s="170">
        <f t="shared" si="136"/>
        <v>3</v>
      </c>
      <c r="AA249" s="6">
        <v>3</v>
      </c>
      <c r="AB249" s="6">
        <v>0</v>
      </c>
      <c r="AC249" s="138">
        <f t="shared" si="122"/>
        <v>58</v>
      </c>
      <c r="AD249" s="160">
        <f t="shared" si="123"/>
        <v>5.4545454545454543E-2</v>
      </c>
      <c r="AE249" s="170">
        <f t="shared" si="137"/>
        <v>2</v>
      </c>
      <c r="AF249" s="6">
        <v>2</v>
      </c>
      <c r="AG249" s="6">
        <v>0</v>
      </c>
      <c r="AH249" s="138">
        <f t="shared" si="124"/>
        <v>60</v>
      </c>
      <c r="AI249" s="160">
        <f t="shared" si="125"/>
        <v>3.4482758620689655E-2</v>
      </c>
      <c r="AJ249" s="170">
        <f t="shared" si="138"/>
        <v>2</v>
      </c>
      <c r="AK249" s="6">
        <v>2</v>
      </c>
      <c r="AL249" s="6">
        <v>0</v>
      </c>
      <c r="AM249" s="138">
        <f t="shared" si="126"/>
        <v>62</v>
      </c>
      <c r="AN249" s="160">
        <f t="shared" si="127"/>
        <v>3.3333333333333333E-2</v>
      </c>
      <c r="AO249" s="170">
        <f t="shared" si="139"/>
        <v>1</v>
      </c>
      <c r="AP249" s="6">
        <v>1</v>
      </c>
      <c r="AQ249" s="6">
        <v>0</v>
      </c>
      <c r="AR249" s="138">
        <f t="shared" si="128"/>
        <v>63</v>
      </c>
      <c r="AS249" s="160">
        <f t="shared" si="129"/>
        <v>1.6129032258064516E-2</v>
      </c>
      <c r="AT249" s="164">
        <f t="shared" si="130"/>
        <v>11</v>
      </c>
      <c r="AU249" s="165">
        <f t="shared" si="131"/>
        <v>3.4533277385997652E-2</v>
      </c>
    </row>
    <row r="250" spans="2:47" outlineLevel="1" x14ac:dyDescent="0.35">
      <c r="B250" s="48" t="s">
        <v>126</v>
      </c>
      <c r="C250" s="62" t="s">
        <v>141</v>
      </c>
      <c r="D250" s="70">
        <v>2</v>
      </c>
      <c r="E250" s="4">
        <v>123</v>
      </c>
      <c r="F250" s="81">
        <v>9</v>
      </c>
      <c r="G250" s="4">
        <v>132</v>
      </c>
      <c r="H250" s="185">
        <f t="shared" si="117"/>
        <v>7.3170731707317069E-2</v>
      </c>
      <c r="I250" s="81">
        <v>18</v>
      </c>
      <c r="J250" s="4">
        <v>150</v>
      </c>
      <c r="K250" s="167">
        <f t="shared" si="118"/>
        <v>0.13636363636363635</v>
      </c>
      <c r="L250" s="81">
        <v>1</v>
      </c>
      <c r="M250" s="4">
        <v>151</v>
      </c>
      <c r="N250" s="167">
        <f t="shared" si="119"/>
        <v>6.6666666666666671E-3</v>
      </c>
      <c r="O250" s="81">
        <v>1</v>
      </c>
      <c r="P250" s="4">
        <v>152</v>
      </c>
      <c r="Q250" s="167">
        <f t="shared" si="132"/>
        <v>6.6225165562913907E-3</v>
      </c>
      <c r="R250" s="164">
        <f t="shared" si="133"/>
        <v>31</v>
      </c>
      <c r="S250" s="165">
        <f t="shared" si="134"/>
        <v>5.4349555128264004E-2</v>
      </c>
      <c r="U250" s="170">
        <f t="shared" si="135"/>
        <v>8</v>
      </c>
      <c r="V250" s="6">
        <v>8</v>
      </c>
      <c r="W250" s="6">
        <v>0</v>
      </c>
      <c r="X250" s="138">
        <f t="shared" si="120"/>
        <v>160</v>
      </c>
      <c r="Y250" s="167">
        <f t="shared" si="121"/>
        <v>5.2631578947368418E-2</v>
      </c>
      <c r="Z250" s="170">
        <f t="shared" si="136"/>
        <v>9</v>
      </c>
      <c r="AA250" s="6">
        <v>7</v>
      </c>
      <c r="AB250" s="6">
        <v>2</v>
      </c>
      <c r="AC250" s="138">
        <f t="shared" si="122"/>
        <v>169</v>
      </c>
      <c r="AD250" s="160">
        <f t="shared" si="123"/>
        <v>5.6250000000000001E-2</v>
      </c>
      <c r="AE250" s="170">
        <f t="shared" si="137"/>
        <v>9</v>
      </c>
      <c r="AF250" s="6">
        <v>6</v>
      </c>
      <c r="AG250" s="6">
        <v>3</v>
      </c>
      <c r="AH250" s="138">
        <f t="shared" si="124"/>
        <v>178</v>
      </c>
      <c r="AI250" s="160">
        <f t="shared" si="125"/>
        <v>5.3254437869822487E-2</v>
      </c>
      <c r="AJ250" s="170">
        <f t="shared" si="138"/>
        <v>6</v>
      </c>
      <c r="AK250" s="6">
        <v>4</v>
      </c>
      <c r="AL250" s="6">
        <v>2</v>
      </c>
      <c r="AM250" s="138">
        <f t="shared" si="126"/>
        <v>184</v>
      </c>
      <c r="AN250" s="160">
        <f t="shared" si="127"/>
        <v>3.3707865168539325E-2</v>
      </c>
      <c r="AO250" s="170">
        <f t="shared" si="139"/>
        <v>7</v>
      </c>
      <c r="AP250" s="6">
        <v>4</v>
      </c>
      <c r="AQ250" s="6">
        <v>3</v>
      </c>
      <c r="AR250" s="138">
        <f t="shared" si="128"/>
        <v>191</v>
      </c>
      <c r="AS250" s="160">
        <f t="shared" si="129"/>
        <v>3.8043478260869568E-2</v>
      </c>
      <c r="AT250" s="164">
        <f t="shared" si="130"/>
        <v>39</v>
      </c>
      <c r="AU250" s="165">
        <f t="shared" si="131"/>
        <v>4.5269663374293057E-2</v>
      </c>
    </row>
    <row r="251" spans="2:47" outlineLevel="1" x14ac:dyDescent="0.35">
      <c r="B251" s="48" t="s">
        <v>127</v>
      </c>
      <c r="C251" s="62" t="s">
        <v>141</v>
      </c>
      <c r="D251" s="70">
        <v>0</v>
      </c>
      <c r="E251" s="4">
        <v>0</v>
      </c>
      <c r="F251" s="81">
        <v>0</v>
      </c>
      <c r="G251" s="4">
        <v>0</v>
      </c>
      <c r="H251" s="185">
        <f t="shared" si="117"/>
        <v>0</v>
      </c>
      <c r="I251" s="81">
        <v>0</v>
      </c>
      <c r="J251" s="4">
        <v>0</v>
      </c>
      <c r="K251" s="167">
        <f t="shared" si="118"/>
        <v>0</v>
      </c>
      <c r="L251" s="81">
        <v>0</v>
      </c>
      <c r="M251" s="4">
        <v>0</v>
      </c>
      <c r="N251" s="167">
        <f t="shared" si="119"/>
        <v>0</v>
      </c>
      <c r="O251" s="81">
        <v>0</v>
      </c>
      <c r="P251" s="4">
        <v>0</v>
      </c>
      <c r="Q251" s="167">
        <f t="shared" si="132"/>
        <v>0</v>
      </c>
      <c r="R251" s="164">
        <f t="shared" si="133"/>
        <v>0</v>
      </c>
      <c r="S251" s="165">
        <f t="shared" si="134"/>
        <v>0</v>
      </c>
      <c r="U251" s="170">
        <f t="shared" si="135"/>
        <v>0</v>
      </c>
      <c r="V251" s="6">
        <v>0</v>
      </c>
      <c r="W251" s="6">
        <v>0</v>
      </c>
      <c r="X251" s="138">
        <f t="shared" si="120"/>
        <v>0</v>
      </c>
      <c r="Y251" s="167">
        <f t="shared" si="121"/>
        <v>0</v>
      </c>
      <c r="Z251" s="170">
        <f t="shared" si="136"/>
        <v>0</v>
      </c>
      <c r="AA251" s="6">
        <v>0</v>
      </c>
      <c r="AB251" s="6">
        <v>0</v>
      </c>
      <c r="AC251" s="138">
        <f t="shared" si="122"/>
        <v>0</v>
      </c>
      <c r="AD251" s="160">
        <f t="shared" si="123"/>
        <v>0</v>
      </c>
      <c r="AE251" s="170">
        <f t="shared" si="137"/>
        <v>0</v>
      </c>
      <c r="AF251" s="6">
        <v>0</v>
      </c>
      <c r="AG251" s="6">
        <v>0</v>
      </c>
      <c r="AH251" s="138">
        <f t="shared" si="124"/>
        <v>0</v>
      </c>
      <c r="AI251" s="160">
        <f t="shared" si="125"/>
        <v>0</v>
      </c>
      <c r="AJ251" s="170">
        <f t="shared" si="138"/>
        <v>0</v>
      </c>
      <c r="AK251" s="6">
        <v>0</v>
      </c>
      <c r="AL251" s="6">
        <v>0</v>
      </c>
      <c r="AM251" s="138">
        <f t="shared" si="126"/>
        <v>0</v>
      </c>
      <c r="AN251" s="160">
        <f t="shared" si="127"/>
        <v>0</v>
      </c>
      <c r="AO251" s="170">
        <f t="shared" si="139"/>
        <v>0</v>
      </c>
      <c r="AP251" s="6">
        <v>0</v>
      </c>
      <c r="AQ251" s="6">
        <v>0</v>
      </c>
      <c r="AR251" s="138">
        <f t="shared" si="128"/>
        <v>0</v>
      </c>
      <c r="AS251" s="160">
        <f t="shared" si="129"/>
        <v>0</v>
      </c>
      <c r="AT251" s="164">
        <f t="shared" si="130"/>
        <v>0</v>
      </c>
      <c r="AU251" s="165">
        <f t="shared" si="131"/>
        <v>0</v>
      </c>
    </row>
    <row r="252" spans="2:47" s="245" customFormat="1" ht="15" customHeight="1" outlineLevel="1" x14ac:dyDescent="0.35">
      <c r="B252" s="246" t="s">
        <v>138</v>
      </c>
      <c r="C252" s="247" t="s">
        <v>141</v>
      </c>
      <c r="D252" s="248">
        <f>SUM(D198:D251)</f>
        <v>195</v>
      </c>
      <c r="E252" s="248">
        <f t="shared" ref="E252:G252" si="140">SUM(E198:E251)</f>
        <v>7224</v>
      </c>
      <c r="F252" s="248">
        <f t="shared" si="140"/>
        <v>255</v>
      </c>
      <c r="G252" s="248">
        <f t="shared" si="140"/>
        <v>7479</v>
      </c>
      <c r="H252" s="250">
        <f>IFERROR((G252-E252)/E252,0)</f>
        <v>3.5299003322259138E-2</v>
      </c>
      <c r="I252" s="248">
        <f>SUM(I198:I251)</f>
        <v>227</v>
      </c>
      <c r="J252" s="248">
        <f t="shared" ref="J252" si="141">SUM(J198:J251)</f>
        <v>7706</v>
      </c>
      <c r="K252" s="250">
        <f t="shared" si="118"/>
        <v>3.035165129027945E-2</v>
      </c>
      <c r="L252" s="248">
        <f>SUM(L198:L251)</f>
        <v>-29</v>
      </c>
      <c r="M252" s="248">
        <f t="shared" ref="M252" si="142">SUM(M198:M251)</f>
        <v>7677</v>
      </c>
      <c r="N252" s="250">
        <f t="shared" si="119"/>
        <v>-3.7633013236439139E-3</v>
      </c>
      <c r="O252" s="248">
        <f>SUM(O198:O251)</f>
        <v>-50</v>
      </c>
      <c r="P252" s="248">
        <f t="shared" ref="P252" si="143">SUM(P198:P251)</f>
        <v>7627</v>
      </c>
      <c r="Q252" s="250">
        <f>IFERROR((P252-M252)/M252,0)</f>
        <v>-6.5129607919760324E-3</v>
      </c>
      <c r="R252" s="251">
        <f>D252+F252+I252+L252+O252</f>
        <v>598</v>
      </c>
      <c r="S252" s="252">
        <f>IFERROR((P252/E252)^(1/4)-1,0)</f>
        <v>1.3663951807148411E-2</v>
      </c>
      <c r="U252" s="248">
        <f t="shared" ref="U252:AR252" si="144">SUM(U198:U251)</f>
        <v>265</v>
      </c>
      <c r="V252" s="248">
        <f t="shared" si="144"/>
        <v>254</v>
      </c>
      <c r="W252" s="248">
        <f t="shared" si="144"/>
        <v>11</v>
      </c>
      <c r="X252" s="248">
        <f t="shared" si="144"/>
        <v>7892</v>
      </c>
      <c r="Y252" s="250">
        <f>IFERROR((X252-P252)/P252,0)</f>
        <v>3.4744984921987673E-2</v>
      </c>
      <c r="Z252" s="248">
        <f t="shared" si="144"/>
        <v>273</v>
      </c>
      <c r="AA252" s="248">
        <f t="shared" si="144"/>
        <v>211</v>
      </c>
      <c r="AB252" s="248">
        <f t="shared" si="144"/>
        <v>62</v>
      </c>
      <c r="AC252" s="248">
        <f t="shared" si="144"/>
        <v>8165</v>
      </c>
      <c r="AD252" s="250">
        <f t="shared" si="123"/>
        <v>3.4591991890522047E-2</v>
      </c>
      <c r="AE252" s="248">
        <f t="shared" si="144"/>
        <v>298</v>
      </c>
      <c r="AF252" s="248">
        <f t="shared" si="144"/>
        <v>178</v>
      </c>
      <c r="AG252" s="248">
        <f t="shared" si="144"/>
        <v>120</v>
      </c>
      <c r="AH252" s="248">
        <f t="shared" si="144"/>
        <v>8463</v>
      </c>
      <c r="AI252" s="250">
        <f t="shared" si="125"/>
        <v>3.6497244335578688E-2</v>
      </c>
      <c r="AJ252" s="248">
        <f t="shared" si="144"/>
        <v>286</v>
      </c>
      <c r="AK252" s="248">
        <f t="shared" si="144"/>
        <v>142</v>
      </c>
      <c r="AL252" s="248">
        <f t="shared" si="144"/>
        <v>144</v>
      </c>
      <c r="AM252" s="248">
        <f t="shared" si="144"/>
        <v>8749</v>
      </c>
      <c r="AN252" s="250">
        <f t="shared" si="127"/>
        <v>3.3794162826420893E-2</v>
      </c>
      <c r="AO252" s="248">
        <f t="shared" si="144"/>
        <v>276</v>
      </c>
      <c r="AP252" s="248">
        <f t="shared" si="144"/>
        <v>115</v>
      </c>
      <c r="AQ252" s="248">
        <f t="shared" si="144"/>
        <v>161</v>
      </c>
      <c r="AR252" s="248">
        <f t="shared" si="144"/>
        <v>9025</v>
      </c>
      <c r="AS252" s="250">
        <f t="shared" si="129"/>
        <v>3.1546462452851753E-2</v>
      </c>
      <c r="AT252" s="253">
        <f>SUM(AT198:AT251)</f>
        <v>1398</v>
      </c>
      <c r="AU252" s="252">
        <f t="shared" si="131"/>
        <v>3.4105941754901226E-2</v>
      </c>
    </row>
    <row r="254" spans="2:47" ht="15.5" x14ac:dyDescent="0.35">
      <c r="B254" s="419" t="s">
        <v>152</v>
      </c>
      <c r="C254" s="419"/>
      <c r="D254" s="419"/>
      <c r="E254" s="419"/>
      <c r="F254" s="419"/>
      <c r="G254" s="419"/>
      <c r="H254" s="419"/>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c r="AJ254" s="419"/>
      <c r="AK254" s="419"/>
      <c r="AL254" s="419"/>
      <c r="AM254" s="419"/>
      <c r="AN254" s="419"/>
      <c r="AO254" s="419"/>
      <c r="AP254" s="419"/>
      <c r="AQ254" s="419"/>
      <c r="AR254" s="419"/>
      <c r="AS254" s="419"/>
      <c r="AT254" s="419"/>
      <c r="AU254" s="419"/>
    </row>
    <row r="255" spans="2:47" ht="5.9" hidden="1" customHeight="1" outlineLevel="1" x14ac:dyDescent="0.35">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row>
    <row r="256" spans="2:47" hidden="1" outlineLevel="1" x14ac:dyDescent="0.35">
      <c r="B256" s="462"/>
      <c r="C256" s="465" t="s">
        <v>134</v>
      </c>
      <c r="D256" s="435" t="s">
        <v>169</v>
      </c>
      <c r="E256" s="436"/>
      <c r="F256" s="436"/>
      <c r="G256" s="436"/>
      <c r="H256" s="436"/>
      <c r="I256" s="436"/>
      <c r="J256" s="436"/>
      <c r="K256" s="436"/>
      <c r="L256" s="436"/>
      <c r="M256" s="436"/>
      <c r="N256" s="436"/>
      <c r="O256" s="435" t="s">
        <v>207</v>
      </c>
      <c r="P256" s="436"/>
      <c r="Q256" s="437"/>
      <c r="R256" s="431" t="str">
        <f xml:space="preserve"> D257&amp;" - "&amp;O257</f>
        <v>2019 - 2023</v>
      </c>
      <c r="S256" s="456"/>
      <c r="U256" s="435" t="s">
        <v>170</v>
      </c>
      <c r="V256" s="436"/>
      <c r="W256" s="436"/>
      <c r="X256" s="436"/>
      <c r="Y256" s="436"/>
      <c r="Z256" s="436"/>
      <c r="AA256" s="436"/>
      <c r="AB256" s="436"/>
      <c r="AC256" s="436"/>
      <c r="AD256" s="436"/>
      <c r="AE256" s="436"/>
      <c r="AF256" s="436"/>
      <c r="AG256" s="436"/>
      <c r="AH256" s="436"/>
      <c r="AI256" s="436"/>
      <c r="AJ256" s="436"/>
      <c r="AK256" s="436"/>
      <c r="AL256" s="436"/>
      <c r="AM256" s="436"/>
      <c r="AN256" s="436"/>
      <c r="AO256" s="436"/>
      <c r="AP256" s="436"/>
      <c r="AQ256" s="436"/>
      <c r="AR256" s="436"/>
      <c r="AS256" s="436"/>
      <c r="AT256" s="436"/>
      <c r="AU256" s="437"/>
    </row>
    <row r="257" spans="2:47" hidden="1" outlineLevel="1" x14ac:dyDescent="0.35">
      <c r="B257" s="463"/>
      <c r="C257" s="465"/>
      <c r="D257" s="435">
        <f>$C$3-5</f>
        <v>2019</v>
      </c>
      <c r="E257" s="437"/>
      <c r="F257" s="435">
        <f>$C$3-4</f>
        <v>2020</v>
      </c>
      <c r="G257" s="436"/>
      <c r="H257" s="437"/>
      <c r="I257" s="435">
        <f>$C$3-3</f>
        <v>2021</v>
      </c>
      <c r="J257" s="436"/>
      <c r="K257" s="437"/>
      <c r="L257" s="435">
        <f>$C$3-2</f>
        <v>2022</v>
      </c>
      <c r="M257" s="436"/>
      <c r="N257" s="437"/>
      <c r="O257" s="435">
        <f>$C$3-1</f>
        <v>2023</v>
      </c>
      <c r="P257" s="436"/>
      <c r="Q257" s="437"/>
      <c r="R257" s="433"/>
      <c r="S257" s="457"/>
      <c r="U257" s="435">
        <f>$C$3</f>
        <v>2024</v>
      </c>
      <c r="V257" s="436"/>
      <c r="W257" s="436"/>
      <c r="X257" s="436"/>
      <c r="Y257" s="437"/>
      <c r="Z257" s="435">
        <f>$C$3+1</f>
        <v>2025</v>
      </c>
      <c r="AA257" s="436"/>
      <c r="AB257" s="436"/>
      <c r="AC257" s="436"/>
      <c r="AD257" s="437"/>
      <c r="AE257" s="435">
        <f>$C$3+2</f>
        <v>2026</v>
      </c>
      <c r="AF257" s="436"/>
      <c r="AG257" s="436"/>
      <c r="AH257" s="436"/>
      <c r="AI257" s="437"/>
      <c r="AJ257" s="435">
        <f>$C$3+3</f>
        <v>2027</v>
      </c>
      <c r="AK257" s="436"/>
      <c r="AL257" s="436"/>
      <c r="AM257" s="436"/>
      <c r="AN257" s="437"/>
      <c r="AO257" s="435">
        <f>$C$3+4</f>
        <v>2028</v>
      </c>
      <c r="AP257" s="436"/>
      <c r="AQ257" s="436"/>
      <c r="AR257" s="436"/>
      <c r="AS257" s="437"/>
      <c r="AT257" s="439" t="str">
        <f>U257&amp;" - "&amp;AO257</f>
        <v>2024 - 2028</v>
      </c>
      <c r="AU257" s="458"/>
    </row>
    <row r="258" spans="2:47" ht="43.5" hidden="1" outlineLevel="1" x14ac:dyDescent="0.35">
      <c r="B258" s="464"/>
      <c r="C258" s="465"/>
      <c r="D258" s="66" t="s">
        <v>192</v>
      </c>
      <c r="E258" s="67" t="s">
        <v>193</v>
      </c>
      <c r="F258" s="66" t="s">
        <v>192</v>
      </c>
      <c r="G258" s="9" t="s">
        <v>193</v>
      </c>
      <c r="H258" s="67" t="s">
        <v>173</v>
      </c>
      <c r="I258" s="66" t="s">
        <v>192</v>
      </c>
      <c r="J258" s="9" t="s">
        <v>193</v>
      </c>
      <c r="K258" s="67" t="s">
        <v>173</v>
      </c>
      <c r="L258" s="66" t="s">
        <v>192</v>
      </c>
      <c r="M258" s="9" t="s">
        <v>193</v>
      </c>
      <c r="N258" s="67" t="s">
        <v>173</v>
      </c>
      <c r="O258" s="66" t="s">
        <v>192</v>
      </c>
      <c r="P258" s="9" t="s">
        <v>193</v>
      </c>
      <c r="Q258" s="67" t="s">
        <v>173</v>
      </c>
      <c r="R258" s="66" t="s">
        <v>164</v>
      </c>
      <c r="S258" s="134" t="s">
        <v>174</v>
      </c>
      <c r="U258" s="66" t="s">
        <v>192</v>
      </c>
      <c r="V258" s="105" t="s">
        <v>202</v>
      </c>
      <c r="W258" s="105" t="s">
        <v>203</v>
      </c>
      <c r="X258" s="9" t="s">
        <v>193</v>
      </c>
      <c r="Y258" s="67" t="s">
        <v>173</v>
      </c>
      <c r="Z258" s="66" t="s">
        <v>192</v>
      </c>
      <c r="AA258" s="105" t="s">
        <v>202</v>
      </c>
      <c r="AB258" s="105" t="s">
        <v>203</v>
      </c>
      <c r="AC258" s="9" t="s">
        <v>193</v>
      </c>
      <c r="AD258" s="67" t="s">
        <v>173</v>
      </c>
      <c r="AE258" s="66" t="s">
        <v>192</v>
      </c>
      <c r="AF258" s="105" t="s">
        <v>202</v>
      </c>
      <c r="AG258" s="105" t="s">
        <v>203</v>
      </c>
      <c r="AH258" s="9" t="s">
        <v>193</v>
      </c>
      <c r="AI258" s="67" t="s">
        <v>173</v>
      </c>
      <c r="AJ258" s="66" t="s">
        <v>192</v>
      </c>
      <c r="AK258" s="105" t="s">
        <v>202</v>
      </c>
      <c r="AL258" s="105" t="s">
        <v>203</v>
      </c>
      <c r="AM258" s="9" t="s">
        <v>193</v>
      </c>
      <c r="AN258" s="67" t="s">
        <v>173</v>
      </c>
      <c r="AO258" s="66" t="s">
        <v>192</v>
      </c>
      <c r="AP258" s="105" t="s">
        <v>202</v>
      </c>
      <c r="AQ258" s="105" t="s">
        <v>203</v>
      </c>
      <c r="AR258" s="9" t="s">
        <v>193</v>
      </c>
      <c r="AS258" s="67" t="s">
        <v>173</v>
      </c>
      <c r="AT258" s="66" t="s">
        <v>164</v>
      </c>
      <c r="AU258" s="134" t="s">
        <v>174</v>
      </c>
    </row>
    <row r="259" spans="2:47" hidden="1" outlineLevel="1" x14ac:dyDescent="0.35">
      <c r="B259" s="48"/>
      <c r="C259" s="62" t="s">
        <v>141</v>
      </c>
      <c r="D259" s="70"/>
      <c r="E259" s="71"/>
      <c r="F259" s="70"/>
      <c r="G259" s="138"/>
      <c r="H259" s="167"/>
      <c r="I259" s="70"/>
      <c r="J259" s="138"/>
      <c r="K259" s="167"/>
      <c r="L259" s="70"/>
      <c r="M259" s="138"/>
      <c r="N259" s="167"/>
      <c r="O259" s="70"/>
      <c r="P259" s="138"/>
      <c r="Q259" s="167"/>
      <c r="R259" s="164"/>
      <c r="S259" s="165"/>
      <c r="U259" s="170"/>
      <c r="V259" s="6"/>
      <c r="W259" s="6"/>
      <c r="X259" s="138"/>
      <c r="Y259" s="167"/>
      <c r="Z259" s="170"/>
      <c r="AA259" s="6"/>
      <c r="AB259" s="6"/>
      <c r="AC259" s="138"/>
      <c r="AD259" s="160"/>
      <c r="AE259" s="170"/>
      <c r="AF259" s="6"/>
      <c r="AG259" s="6"/>
      <c r="AH259" s="138"/>
      <c r="AI259" s="160"/>
      <c r="AJ259" s="170"/>
      <c r="AK259" s="6"/>
      <c r="AL259" s="6"/>
      <c r="AM259" s="138"/>
      <c r="AN259" s="160"/>
      <c r="AO259" s="170"/>
      <c r="AP259" s="6"/>
      <c r="AQ259" s="6"/>
      <c r="AR259" s="138"/>
      <c r="AS259" s="160"/>
      <c r="AT259" s="164"/>
      <c r="AU259" s="165"/>
    </row>
    <row r="260" spans="2:47" s="245" customFormat="1" ht="15" hidden="1" customHeight="1" outlineLevel="1" x14ac:dyDescent="0.35">
      <c r="B260" s="246" t="s">
        <v>138</v>
      </c>
      <c r="C260" s="247" t="s">
        <v>141</v>
      </c>
      <c r="D260" s="253">
        <f>SUM(D259:D259)</f>
        <v>0</v>
      </c>
      <c r="E260" s="253">
        <f>SUM(E259:E259)</f>
        <v>0</v>
      </c>
      <c r="F260" s="253">
        <f>SUM(F259:F259)</f>
        <v>0</v>
      </c>
      <c r="G260" s="253">
        <f>SUM(G259:G259)</f>
        <v>0</v>
      </c>
      <c r="H260" s="250">
        <f>IFERROR((G260-E260)/E260,0)</f>
        <v>0</v>
      </c>
      <c r="I260" s="253" t="e">
        <f>SUM(#REF!+#REF!+#REF!+#REF!)</f>
        <v>#REF!</v>
      </c>
      <c r="J260" s="248" t="e">
        <f>SUM(#REF!+#REF!+#REF!+#REF!)</f>
        <v>#REF!</v>
      </c>
      <c r="K260" s="250">
        <f t="shared" ref="K260" si="145">IFERROR((J260-G260)/G260,0)</f>
        <v>0</v>
      </c>
      <c r="L260" s="253" t="e">
        <f>SUM(#REF!+#REF!+#REF!+#REF!)</f>
        <v>#REF!</v>
      </c>
      <c r="M260" s="248" t="e">
        <f>SUM(#REF!+#REF!+#REF!+#REF!)</f>
        <v>#REF!</v>
      </c>
      <c r="N260" s="250">
        <f t="shared" ref="N260" si="146">IFERROR((M260-J260)/J260,0)</f>
        <v>0</v>
      </c>
      <c r="O260" s="253" t="e">
        <f>SUM(#REF!+#REF!+#REF!+#REF!)</f>
        <v>#REF!</v>
      </c>
      <c r="P260" s="248" t="e">
        <f>SUM(#REF!+#REF!+#REF!+#REF!)</f>
        <v>#REF!</v>
      </c>
      <c r="Q260" s="250">
        <f>IFERROR((P260-M260)/M260,0)</f>
        <v>0</v>
      </c>
      <c r="R260" s="251" t="e">
        <f>D260+F260+I260+L260+O260</f>
        <v>#REF!</v>
      </c>
      <c r="S260" s="252">
        <f>IFERROR((P260/E260)^(1/4)-1,0)</f>
        <v>0</v>
      </c>
      <c r="U260" s="253" t="e">
        <f>#REF!+#REF!+#REF!+#REF!</f>
        <v>#REF!</v>
      </c>
      <c r="V260" s="248" t="e">
        <f>#REF!+#REF!+#REF!+#REF!</f>
        <v>#REF!</v>
      </c>
      <c r="W260" s="248" t="e">
        <f>#REF!+#REF!+#REF!+#REF!</f>
        <v>#REF!</v>
      </c>
      <c r="X260" s="248" t="e">
        <f>#REF!+#REF!+#REF!+#REF!</f>
        <v>#REF!</v>
      </c>
      <c r="Y260" s="250">
        <f>IFERROR((X260-P260)/P260,0)</f>
        <v>0</v>
      </c>
      <c r="Z260" s="253" t="e">
        <f>#REF!+#REF!+#REF!+#REF!</f>
        <v>#REF!</v>
      </c>
      <c r="AA260" s="248" t="e">
        <f>#REF!+#REF!+#REF!+#REF!</f>
        <v>#REF!</v>
      </c>
      <c r="AB260" s="248" t="e">
        <f>#REF!+#REF!+#REF!+#REF!</f>
        <v>#REF!</v>
      </c>
      <c r="AC260" s="248" t="e">
        <f>#REF!+#REF!+#REF!+#REF!</f>
        <v>#REF!</v>
      </c>
      <c r="AD260" s="250">
        <f t="shared" ref="AD260" si="147">IFERROR((AC260-X260)/X260,0)</f>
        <v>0</v>
      </c>
      <c r="AE260" s="253" t="e">
        <f>#REF!+#REF!+#REF!+#REF!</f>
        <v>#REF!</v>
      </c>
      <c r="AF260" s="248" t="e">
        <f>#REF!+#REF!+#REF!+#REF!</f>
        <v>#REF!</v>
      </c>
      <c r="AG260" s="248" t="e">
        <f>#REF!+#REF!+#REF!+#REF!</f>
        <v>#REF!</v>
      </c>
      <c r="AH260" s="248" t="e">
        <f>#REF!+#REF!+#REF!+#REF!</f>
        <v>#REF!</v>
      </c>
      <c r="AI260" s="250">
        <f t="shared" ref="AI260" si="148">IFERROR((AH260-AC260)/AC260,0)</f>
        <v>0</v>
      </c>
      <c r="AJ260" s="253" t="e">
        <f>#REF!+#REF!+#REF!+#REF!</f>
        <v>#REF!</v>
      </c>
      <c r="AK260" s="248" t="e">
        <f>#REF!+#REF!+#REF!+#REF!</f>
        <v>#REF!</v>
      </c>
      <c r="AL260" s="248" t="e">
        <f>#REF!+#REF!+#REF!+#REF!</f>
        <v>#REF!</v>
      </c>
      <c r="AM260" s="248" t="e">
        <f>#REF!+#REF!+#REF!+#REF!</f>
        <v>#REF!</v>
      </c>
      <c r="AN260" s="250">
        <f t="shared" ref="AN260" si="149">IFERROR((AM260-AH260)/AH260,0)</f>
        <v>0</v>
      </c>
      <c r="AO260" s="253" t="e">
        <f>#REF!+#REF!+#REF!+#REF!</f>
        <v>#REF!</v>
      </c>
      <c r="AP260" s="248" t="e">
        <f>#REF!+#REF!+#REF!+#REF!</f>
        <v>#REF!</v>
      </c>
      <c r="AQ260" s="248" t="e">
        <f>#REF!+#REF!+#REF!+#REF!</f>
        <v>#REF!</v>
      </c>
      <c r="AR260" s="248" t="e">
        <f>#REF!+#REF!+#REF!+#REF!</f>
        <v>#REF!</v>
      </c>
      <c r="AS260" s="250">
        <f t="shared" ref="AS260" si="150">IFERROR((AR260-AM260)/AM260,0)</f>
        <v>0</v>
      </c>
      <c r="AT260" s="253" t="e">
        <f>SUM(#REF!,#REF!,#REF!,#REF!)</f>
        <v>#REF!</v>
      </c>
      <c r="AU260" s="252">
        <f t="shared" ref="AU260" si="151">IFERROR((AR260/X260)^(1/4)-1,0)</f>
        <v>0</v>
      </c>
    </row>
    <row r="261" spans="2:47" collapsed="1" x14ac:dyDescent="0.35"/>
    <row r="262" spans="2:47" ht="15.5" x14ac:dyDescent="0.35">
      <c r="B262" s="419" t="s">
        <v>144</v>
      </c>
      <c r="C262" s="419"/>
      <c r="D262" s="419"/>
      <c r="E262" s="419"/>
      <c r="F262" s="419"/>
      <c r="G262" s="419"/>
      <c r="H262" s="419"/>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c r="AJ262" s="419"/>
      <c r="AK262" s="419"/>
      <c r="AL262" s="419"/>
      <c r="AM262" s="419"/>
      <c r="AN262" s="419"/>
      <c r="AO262" s="419"/>
      <c r="AP262" s="419"/>
      <c r="AQ262" s="419"/>
      <c r="AR262" s="419"/>
      <c r="AS262" s="419"/>
      <c r="AT262" s="419"/>
      <c r="AU262" s="419"/>
    </row>
    <row r="263" spans="2:47" ht="5.9" customHeight="1" outlineLevel="1" x14ac:dyDescent="0.35">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row>
    <row r="264" spans="2:47" outlineLevel="1" x14ac:dyDescent="0.35">
      <c r="B264" s="462"/>
      <c r="C264" s="465" t="s">
        <v>134</v>
      </c>
      <c r="D264" s="435" t="s">
        <v>169</v>
      </c>
      <c r="E264" s="436"/>
      <c r="F264" s="436"/>
      <c r="G264" s="436"/>
      <c r="H264" s="436"/>
      <c r="I264" s="436"/>
      <c r="J264" s="436"/>
      <c r="K264" s="436"/>
      <c r="L264" s="436"/>
      <c r="M264" s="436"/>
      <c r="N264" s="436"/>
      <c r="O264" s="436"/>
      <c r="P264" s="436"/>
      <c r="Q264" s="437"/>
      <c r="R264" s="431" t="str">
        <f xml:space="preserve"> D265&amp;" - "&amp;O265</f>
        <v>2019 - 2023</v>
      </c>
      <c r="S264" s="456"/>
      <c r="U264" s="435" t="s">
        <v>170</v>
      </c>
      <c r="V264" s="436"/>
      <c r="W264" s="436"/>
      <c r="X264" s="436"/>
      <c r="Y264" s="436"/>
      <c r="Z264" s="436"/>
      <c r="AA264" s="436"/>
      <c r="AB264" s="436"/>
      <c r="AC264" s="436"/>
      <c r="AD264" s="436"/>
      <c r="AE264" s="436"/>
      <c r="AF264" s="436"/>
      <c r="AG264" s="436"/>
      <c r="AH264" s="436"/>
      <c r="AI264" s="436"/>
      <c r="AJ264" s="436"/>
      <c r="AK264" s="436"/>
      <c r="AL264" s="436"/>
      <c r="AM264" s="436"/>
      <c r="AN264" s="436"/>
      <c r="AO264" s="436"/>
      <c r="AP264" s="436"/>
      <c r="AQ264" s="436"/>
      <c r="AR264" s="436"/>
      <c r="AS264" s="436"/>
      <c r="AT264" s="436"/>
      <c r="AU264" s="437"/>
    </row>
    <row r="265" spans="2:47" outlineLevel="1" x14ac:dyDescent="0.35">
      <c r="B265" s="463"/>
      <c r="C265" s="465"/>
      <c r="D265" s="435">
        <f>$C$3-5</f>
        <v>2019</v>
      </c>
      <c r="E265" s="437"/>
      <c r="F265" s="435">
        <f>$C$3-4</f>
        <v>2020</v>
      </c>
      <c r="G265" s="436"/>
      <c r="H265" s="437"/>
      <c r="I265" s="435">
        <f>$C$3-3</f>
        <v>2021</v>
      </c>
      <c r="J265" s="436"/>
      <c r="K265" s="437"/>
      <c r="L265" s="435">
        <f>$C$3-2</f>
        <v>2022</v>
      </c>
      <c r="M265" s="436"/>
      <c r="N265" s="437"/>
      <c r="O265" s="435">
        <f>$C$3-1</f>
        <v>2023</v>
      </c>
      <c r="P265" s="436"/>
      <c r="Q265" s="437"/>
      <c r="R265" s="433"/>
      <c r="S265" s="457"/>
      <c r="U265" s="435">
        <f>$C$3</f>
        <v>2024</v>
      </c>
      <c r="V265" s="436"/>
      <c r="W265" s="436"/>
      <c r="X265" s="436"/>
      <c r="Y265" s="437"/>
      <c r="Z265" s="435">
        <f>$C$3+1</f>
        <v>2025</v>
      </c>
      <c r="AA265" s="436"/>
      <c r="AB265" s="436"/>
      <c r="AC265" s="436"/>
      <c r="AD265" s="437"/>
      <c r="AE265" s="435">
        <f>$C$3+2</f>
        <v>2026</v>
      </c>
      <c r="AF265" s="436"/>
      <c r="AG265" s="436"/>
      <c r="AH265" s="436"/>
      <c r="AI265" s="437"/>
      <c r="AJ265" s="435">
        <f>$C$3+3</f>
        <v>2027</v>
      </c>
      <c r="AK265" s="436"/>
      <c r="AL265" s="436"/>
      <c r="AM265" s="436"/>
      <c r="AN265" s="437"/>
      <c r="AO265" s="435">
        <f>$C$3+4</f>
        <v>2028</v>
      </c>
      <c r="AP265" s="436"/>
      <c r="AQ265" s="436"/>
      <c r="AR265" s="436"/>
      <c r="AS265" s="437"/>
      <c r="AT265" s="439" t="str">
        <f>U265&amp;" - "&amp;AO265</f>
        <v>2024 - 2028</v>
      </c>
      <c r="AU265" s="458"/>
    </row>
    <row r="266" spans="2:47" ht="43.5" outlineLevel="1" x14ac:dyDescent="0.35">
      <c r="B266" s="464"/>
      <c r="C266" s="465"/>
      <c r="D266" s="66" t="s">
        <v>192</v>
      </c>
      <c r="E266" s="67" t="s">
        <v>193</v>
      </c>
      <c r="F266" s="66" t="s">
        <v>192</v>
      </c>
      <c r="G266" s="9" t="s">
        <v>193</v>
      </c>
      <c r="H266" s="67" t="s">
        <v>173</v>
      </c>
      <c r="I266" s="66" t="s">
        <v>192</v>
      </c>
      <c r="J266" s="9" t="s">
        <v>193</v>
      </c>
      <c r="K266" s="67" t="s">
        <v>173</v>
      </c>
      <c r="L266" s="66" t="s">
        <v>192</v>
      </c>
      <c r="M266" s="9" t="s">
        <v>193</v>
      </c>
      <c r="N266" s="67" t="s">
        <v>173</v>
      </c>
      <c r="O266" s="66" t="s">
        <v>192</v>
      </c>
      <c r="P266" s="9" t="s">
        <v>193</v>
      </c>
      <c r="Q266" s="67" t="s">
        <v>173</v>
      </c>
      <c r="R266" s="66" t="s">
        <v>164</v>
      </c>
      <c r="S266" s="134" t="s">
        <v>174</v>
      </c>
      <c r="U266" s="66" t="s">
        <v>192</v>
      </c>
      <c r="V266" s="105" t="s">
        <v>202</v>
      </c>
      <c r="W266" s="105" t="s">
        <v>203</v>
      </c>
      <c r="X266" s="9" t="s">
        <v>193</v>
      </c>
      <c r="Y266" s="67" t="s">
        <v>173</v>
      </c>
      <c r="Z266" s="66" t="s">
        <v>192</v>
      </c>
      <c r="AA266" s="105" t="s">
        <v>202</v>
      </c>
      <c r="AB266" s="105" t="s">
        <v>203</v>
      </c>
      <c r="AC266" s="9" t="s">
        <v>193</v>
      </c>
      <c r="AD266" s="67" t="s">
        <v>173</v>
      </c>
      <c r="AE266" s="66" t="s">
        <v>192</v>
      </c>
      <c r="AF266" s="105" t="s">
        <v>202</v>
      </c>
      <c r="AG266" s="105" t="s">
        <v>203</v>
      </c>
      <c r="AH266" s="9" t="s">
        <v>193</v>
      </c>
      <c r="AI266" s="67" t="s">
        <v>173</v>
      </c>
      <c r="AJ266" s="66" t="s">
        <v>192</v>
      </c>
      <c r="AK266" s="105" t="s">
        <v>202</v>
      </c>
      <c r="AL266" s="105" t="s">
        <v>203</v>
      </c>
      <c r="AM266" s="9" t="s">
        <v>193</v>
      </c>
      <c r="AN266" s="67" t="s">
        <v>173</v>
      </c>
      <c r="AO266" s="66" t="s">
        <v>192</v>
      </c>
      <c r="AP266" s="105" t="s">
        <v>202</v>
      </c>
      <c r="AQ266" s="105" t="s">
        <v>203</v>
      </c>
      <c r="AR266" s="9" t="s">
        <v>193</v>
      </c>
      <c r="AS266" s="67" t="s">
        <v>173</v>
      </c>
      <c r="AT266" s="66" t="s">
        <v>164</v>
      </c>
      <c r="AU266" s="134" t="s">
        <v>174</v>
      </c>
    </row>
    <row r="267" spans="2:47" outlineLevel="1" x14ac:dyDescent="0.35">
      <c r="B267" s="48" t="s">
        <v>74</v>
      </c>
      <c r="C267" s="62" t="s">
        <v>141</v>
      </c>
      <c r="D267" s="70">
        <v>0</v>
      </c>
      <c r="E267" s="4">
        <v>0</v>
      </c>
      <c r="F267" s="70">
        <v>1</v>
      </c>
      <c r="G267" s="4">
        <v>1</v>
      </c>
      <c r="H267" s="185">
        <f t="shared" ref="H267:H321" si="152">IFERROR((G267-E267)/E267,0)</f>
        <v>0</v>
      </c>
      <c r="I267" s="70">
        <v>0</v>
      </c>
      <c r="J267" s="4">
        <v>1</v>
      </c>
      <c r="K267" s="167">
        <f t="shared" ref="K267:K321" si="153">IFERROR((J267-G267)/G267,0)</f>
        <v>0</v>
      </c>
      <c r="L267" s="70">
        <v>0</v>
      </c>
      <c r="M267" s="4">
        <v>1</v>
      </c>
      <c r="N267" s="167">
        <f t="shared" ref="N267:N321" si="154">IFERROR((M267-J267)/J267,0)</f>
        <v>0</v>
      </c>
      <c r="O267" s="70">
        <v>0</v>
      </c>
      <c r="P267" s="4">
        <v>1</v>
      </c>
      <c r="Q267" s="167">
        <f>IFERROR((P267-M267)/M267,0)</f>
        <v>0</v>
      </c>
      <c r="R267" s="164">
        <f>D267+F267+I267+L267+O267</f>
        <v>1</v>
      </c>
      <c r="S267" s="165">
        <f>IFERROR((P267/E267)^(1/4)-1,0)</f>
        <v>0</v>
      </c>
      <c r="U267" s="170">
        <f>V267+W267</f>
        <v>0</v>
      </c>
      <c r="V267" s="6"/>
      <c r="W267" s="6"/>
      <c r="X267" s="138">
        <f t="shared" ref="X267:X320" si="155">P267+U267</f>
        <v>1</v>
      </c>
      <c r="Y267" s="167">
        <f t="shared" ref="Y267:Y320" si="156">IFERROR((X267-P267)/P267,0)</f>
        <v>0</v>
      </c>
      <c r="Z267" s="170">
        <f>AA267+AB267</f>
        <v>0</v>
      </c>
      <c r="AA267" s="6"/>
      <c r="AB267" s="6"/>
      <c r="AC267" s="138">
        <f t="shared" ref="AC267:AC320" si="157">X267+Z267</f>
        <v>1</v>
      </c>
      <c r="AD267" s="160">
        <f t="shared" ref="AD267:AD321" si="158">IFERROR((AC267-X267)/X267,0)</f>
        <v>0</v>
      </c>
      <c r="AE267" s="170">
        <f>AF267+AG267</f>
        <v>0</v>
      </c>
      <c r="AF267" s="6"/>
      <c r="AG267" s="6"/>
      <c r="AH267" s="138">
        <f t="shared" ref="AH267:AH320" si="159">AC267+AE267</f>
        <v>1</v>
      </c>
      <c r="AI267" s="160">
        <f t="shared" ref="AI267:AI321" si="160">IFERROR((AH267-AC267)/AC267,0)</f>
        <v>0</v>
      </c>
      <c r="AJ267" s="170">
        <f>AK267+AL267</f>
        <v>0</v>
      </c>
      <c r="AK267" s="6"/>
      <c r="AL267" s="6"/>
      <c r="AM267" s="138">
        <f t="shared" ref="AM267:AM320" si="161">AH267+AJ267</f>
        <v>1</v>
      </c>
      <c r="AN267" s="160">
        <f t="shared" ref="AN267:AN321" si="162">IFERROR((AM267-AH267)/AH267,0)</f>
        <v>0</v>
      </c>
      <c r="AO267" s="170">
        <f>AP267+AQ267</f>
        <v>0</v>
      </c>
      <c r="AP267" s="6"/>
      <c r="AQ267" s="6"/>
      <c r="AR267" s="138">
        <f t="shared" ref="AR267:AR320" si="163">AM267+AO267</f>
        <v>1</v>
      </c>
      <c r="AS267" s="160">
        <f t="shared" ref="AS267:AS321" si="164">IFERROR((AR267-AM267)/AM267,0)</f>
        <v>0</v>
      </c>
      <c r="AT267" s="164">
        <f t="shared" ref="AT267:AT320" si="165">U267+Z267+AE267+AJ267+AO267</f>
        <v>0</v>
      </c>
      <c r="AU267" s="165">
        <f t="shared" ref="AU267:AU321" si="166">IFERROR((AR267/X267)^(1/4)-1,0)</f>
        <v>0</v>
      </c>
    </row>
    <row r="268" spans="2:47" outlineLevel="1" x14ac:dyDescent="0.35">
      <c r="B268" s="48" t="s">
        <v>75</v>
      </c>
      <c r="C268" s="62" t="s">
        <v>141</v>
      </c>
      <c r="D268" s="70">
        <v>0</v>
      </c>
      <c r="E268" s="4">
        <v>0</v>
      </c>
      <c r="F268" s="70">
        <v>0</v>
      </c>
      <c r="G268" s="4">
        <v>0</v>
      </c>
      <c r="H268" s="185">
        <f t="shared" si="152"/>
        <v>0</v>
      </c>
      <c r="I268" s="70">
        <v>0</v>
      </c>
      <c r="J268" s="4">
        <v>0</v>
      </c>
      <c r="K268" s="167">
        <f t="shared" si="153"/>
        <v>0</v>
      </c>
      <c r="L268" s="70">
        <v>0</v>
      </c>
      <c r="M268" s="4"/>
      <c r="N268" s="167">
        <f t="shared" si="154"/>
        <v>0</v>
      </c>
      <c r="O268" s="70">
        <v>0</v>
      </c>
      <c r="P268" s="4"/>
      <c r="Q268" s="167">
        <f t="shared" ref="Q268:Q320" si="167">IFERROR((P268-M268)/M268,0)</f>
        <v>0</v>
      </c>
      <c r="R268" s="164">
        <f t="shared" ref="R268:R320" si="168">D268+F268+I268+L268+O268</f>
        <v>0</v>
      </c>
      <c r="S268" s="165">
        <f t="shared" ref="S268:S320" si="169">IFERROR((P268/E268)^(1/4)-1,0)</f>
        <v>0</v>
      </c>
      <c r="U268" s="170">
        <f t="shared" ref="U268:U320" si="170">V268+W268</f>
        <v>0</v>
      </c>
      <c r="V268" s="6"/>
      <c r="W268" s="6"/>
      <c r="X268" s="138">
        <f t="shared" si="155"/>
        <v>0</v>
      </c>
      <c r="Y268" s="167">
        <f t="shared" si="156"/>
        <v>0</v>
      </c>
      <c r="Z268" s="170">
        <f t="shared" ref="Z268:Z320" si="171">AA268+AB268</f>
        <v>0</v>
      </c>
      <c r="AA268" s="6"/>
      <c r="AB268" s="6"/>
      <c r="AC268" s="138">
        <f t="shared" si="157"/>
        <v>0</v>
      </c>
      <c r="AD268" s="160">
        <f t="shared" si="158"/>
        <v>0</v>
      </c>
      <c r="AE268" s="170">
        <f t="shared" ref="AE268:AE317" si="172">AF268+AG268</f>
        <v>0</v>
      </c>
      <c r="AF268" s="6"/>
      <c r="AG268" s="6"/>
      <c r="AH268" s="138">
        <f t="shared" si="159"/>
        <v>0</v>
      </c>
      <c r="AI268" s="160">
        <f t="shared" si="160"/>
        <v>0</v>
      </c>
      <c r="AJ268" s="170">
        <f t="shared" ref="AJ268:AJ317" si="173">AK268+AL268</f>
        <v>0</v>
      </c>
      <c r="AK268" s="6"/>
      <c r="AL268" s="6"/>
      <c r="AM268" s="138">
        <f t="shared" si="161"/>
        <v>0</v>
      </c>
      <c r="AN268" s="160">
        <f t="shared" si="162"/>
        <v>0</v>
      </c>
      <c r="AO268" s="170">
        <f t="shared" ref="AO268:AO317" si="174">AP268+AQ268</f>
        <v>0</v>
      </c>
      <c r="AP268" s="6"/>
      <c r="AQ268" s="6"/>
      <c r="AR268" s="138">
        <f t="shared" si="163"/>
        <v>0</v>
      </c>
      <c r="AS268" s="160">
        <f t="shared" si="164"/>
        <v>0</v>
      </c>
      <c r="AT268" s="164">
        <f t="shared" si="165"/>
        <v>0</v>
      </c>
      <c r="AU268" s="165">
        <f t="shared" si="166"/>
        <v>0</v>
      </c>
    </row>
    <row r="269" spans="2:47" outlineLevel="1" x14ac:dyDescent="0.35">
      <c r="B269" s="48" t="s">
        <v>76</v>
      </c>
      <c r="C269" s="62" t="s">
        <v>141</v>
      </c>
      <c r="D269" s="70">
        <v>0</v>
      </c>
      <c r="E269" s="4">
        <v>0</v>
      </c>
      <c r="F269" s="70">
        <v>0</v>
      </c>
      <c r="G269" s="4">
        <v>0</v>
      </c>
      <c r="H269" s="185">
        <f t="shared" si="152"/>
        <v>0</v>
      </c>
      <c r="I269" s="70">
        <v>0</v>
      </c>
      <c r="J269" s="4">
        <v>0</v>
      </c>
      <c r="K269" s="167">
        <f t="shared" si="153"/>
        <v>0</v>
      </c>
      <c r="L269" s="70">
        <v>0</v>
      </c>
      <c r="M269" s="4"/>
      <c r="N269" s="167">
        <f t="shared" si="154"/>
        <v>0</v>
      </c>
      <c r="O269" s="70">
        <v>0</v>
      </c>
      <c r="P269" s="4"/>
      <c r="Q269" s="167">
        <f t="shared" si="167"/>
        <v>0</v>
      </c>
      <c r="R269" s="164">
        <f t="shared" si="168"/>
        <v>0</v>
      </c>
      <c r="S269" s="165">
        <f t="shared" si="169"/>
        <v>0</v>
      </c>
      <c r="U269" s="170">
        <f t="shared" si="170"/>
        <v>0</v>
      </c>
      <c r="V269" s="6"/>
      <c r="W269" s="6"/>
      <c r="X269" s="138">
        <f t="shared" si="155"/>
        <v>0</v>
      </c>
      <c r="Y269" s="167">
        <f t="shared" si="156"/>
        <v>0</v>
      </c>
      <c r="Z269" s="170">
        <f t="shared" si="171"/>
        <v>0</v>
      </c>
      <c r="AA269" s="6"/>
      <c r="AB269" s="6"/>
      <c r="AC269" s="138">
        <f t="shared" si="157"/>
        <v>0</v>
      </c>
      <c r="AD269" s="160">
        <f t="shared" si="158"/>
        <v>0</v>
      </c>
      <c r="AE269" s="170">
        <f t="shared" si="172"/>
        <v>0</v>
      </c>
      <c r="AF269" s="6"/>
      <c r="AG269" s="6"/>
      <c r="AH269" s="138">
        <f t="shared" si="159"/>
        <v>0</v>
      </c>
      <c r="AI269" s="160">
        <f t="shared" si="160"/>
        <v>0</v>
      </c>
      <c r="AJ269" s="170">
        <f t="shared" si="173"/>
        <v>0</v>
      </c>
      <c r="AK269" s="6"/>
      <c r="AL269" s="6"/>
      <c r="AM269" s="138">
        <f t="shared" si="161"/>
        <v>0</v>
      </c>
      <c r="AN269" s="160">
        <f t="shared" si="162"/>
        <v>0</v>
      </c>
      <c r="AO269" s="170">
        <f t="shared" si="174"/>
        <v>0</v>
      </c>
      <c r="AP269" s="6"/>
      <c r="AQ269" s="6"/>
      <c r="AR269" s="138">
        <f t="shared" si="163"/>
        <v>0</v>
      </c>
      <c r="AS269" s="160">
        <f t="shared" si="164"/>
        <v>0</v>
      </c>
      <c r="AT269" s="164">
        <f t="shared" si="165"/>
        <v>0</v>
      </c>
      <c r="AU269" s="165">
        <f t="shared" si="166"/>
        <v>0</v>
      </c>
    </row>
    <row r="270" spans="2:47" outlineLevel="1" x14ac:dyDescent="0.35">
      <c r="B270" s="48" t="s">
        <v>77</v>
      </c>
      <c r="C270" s="62" t="s">
        <v>141</v>
      </c>
      <c r="D270" s="70">
        <v>0</v>
      </c>
      <c r="E270" s="4">
        <v>0</v>
      </c>
      <c r="F270" s="70">
        <v>0</v>
      </c>
      <c r="G270" s="4">
        <v>0</v>
      </c>
      <c r="H270" s="185">
        <f t="shared" si="152"/>
        <v>0</v>
      </c>
      <c r="I270" s="70">
        <v>0</v>
      </c>
      <c r="J270" s="4">
        <v>0</v>
      </c>
      <c r="K270" s="167">
        <f t="shared" si="153"/>
        <v>0</v>
      </c>
      <c r="L270" s="70">
        <v>0</v>
      </c>
      <c r="M270" s="4"/>
      <c r="N270" s="167">
        <f t="shared" si="154"/>
        <v>0</v>
      </c>
      <c r="O270" s="70">
        <v>0</v>
      </c>
      <c r="P270" s="4"/>
      <c r="Q270" s="167">
        <f t="shared" si="167"/>
        <v>0</v>
      </c>
      <c r="R270" s="164">
        <f t="shared" si="168"/>
        <v>0</v>
      </c>
      <c r="S270" s="165">
        <f t="shared" si="169"/>
        <v>0</v>
      </c>
      <c r="U270" s="170">
        <f t="shared" si="170"/>
        <v>0</v>
      </c>
      <c r="V270" s="6"/>
      <c r="W270" s="6"/>
      <c r="X270" s="138">
        <f t="shared" si="155"/>
        <v>0</v>
      </c>
      <c r="Y270" s="167">
        <f t="shared" si="156"/>
        <v>0</v>
      </c>
      <c r="Z270" s="170">
        <f t="shared" si="171"/>
        <v>0</v>
      </c>
      <c r="AA270" s="6"/>
      <c r="AB270" s="6"/>
      <c r="AC270" s="138">
        <f t="shared" si="157"/>
        <v>0</v>
      </c>
      <c r="AD270" s="160">
        <f t="shared" si="158"/>
        <v>0</v>
      </c>
      <c r="AE270" s="170">
        <f t="shared" si="172"/>
        <v>0</v>
      </c>
      <c r="AF270" s="6"/>
      <c r="AG270" s="6"/>
      <c r="AH270" s="138">
        <f t="shared" si="159"/>
        <v>0</v>
      </c>
      <c r="AI270" s="160">
        <f t="shared" si="160"/>
        <v>0</v>
      </c>
      <c r="AJ270" s="170">
        <f t="shared" si="173"/>
        <v>0</v>
      </c>
      <c r="AK270" s="6"/>
      <c r="AL270" s="6"/>
      <c r="AM270" s="138">
        <f t="shared" si="161"/>
        <v>0</v>
      </c>
      <c r="AN270" s="160">
        <f t="shared" si="162"/>
        <v>0</v>
      </c>
      <c r="AO270" s="170">
        <f t="shared" si="174"/>
        <v>0</v>
      </c>
      <c r="AP270" s="6"/>
      <c r="AQ270" s="6"/>
      <c r="AR270" s="138">
        <f t="shared" si="163"/>
        <v>0</v>
      </c>
      <c r="AS270" s="160">
        <f t="shared" si="164"/>
        <v>0</v>
      </c>
      <c r="AT270" s="164">
        <f t="shared" si="165"/>
        <v>0</v>
      </c>
      <c r="AU270" s="165">
        <f t="shared" si="166"/>
        <v>0</v>
      </c>
    </row>
    <row r="271" spans="2:47" outlineLevel="1" x14ac:dyDescent="0.35">
      <c r="B271" s="48" t="s">
        <v>78</v>
      </c>
      <c r="C271" s="62" t="s">
        <v>141</v>
      </c>
      <c r="D271" s="70">
        <v>0</v>
      </c>
      <c r="E271" s="4">
        <v>6</v>
      </c>
      <c r="F271" s="70">
        <v>0</v>
      </c>
      <c r="G271" s="4">
        <v>6</v>
      </c>
      <c r="H271" s="185">
        <f t="shared" si="152"/>
        <v>0</v>
      </c>
      <c r="I271" s="70">
        <v>0</v>
      </c>
      <c r="J271" s="4">
        <v>6</v>
      </c>
      <c r="K271" s="167">
        <f t="shared" si="153"/>
        <v>0</v>
      </c>
      <c r="L271" s="70">
        <v>0</v>
      </c>
      <c r="M271" s="4">
        <v>6</v>
      </c>
      <c r="N271" s="167">
        <f t="shared" si="154"/>
        <v>0</v>
      </c>
      <c r="O271" s="70">
        <v>0</v>
      </c>
      <c r="P271" s="4">
        <v>6</v>
      </c>
      <c r="Q271" s="167">
        <f t="shared" si="167"/>
        <v>0</v>
      </c>
      <c r="R271" s="164">
        <f t="shared" si="168"/>
        <v>0</v>
      </c>
      <c r="S271" s="165">
        <f t="shared" si="169"/>
        <v>0</v>
      </c>
      <c r="U271" s="170">
        <f t="shared" si="170"/>
        <v>0</v>
      </c>
      <c r="V271" s="6"/>
      <c r="W271" s="6"/>
      <c r="X271" s="138">
        <f t="shared" si="155"/>
        <v>6</v>
      </c>
      <c r="Y271" s="167">
        <f t="shared" si="156"/>
        <v>0</v>
      </c>
      <c r="Z271" s="170">
        <f t="shared" si="171"/>
        <v>0</v>
      </c>
      <c r="AA271" s="6"/>
      <c r="AB271" s="6"/>
      <c r="AC271" s="138">
        <f t="shared" si="157"/>
        <v>6</v>
      </c>
      <c r="AD271" s="160">
        <f t="shared" si="158"/>
        <v>0</v>
      </c>
      <c r="AE271" s="170">
        <f t="shared" si="172"/>
        <v>0</v>
      </c>
      <c r="AF271" s="6"/>
      <c r="AG271" s="6"/>
      <c r="AH271" s="138">
        <f t="shared" si="159"/>
        <v>6</v>
      </c>
      <c r="AI271" s="160">
        <f t="shared" si="160"/>
        <v>0</v>
      </c>
      <c r="AJ271" s="170">
        <f t="shared" si="173"/>
        <v>0</v>
      </c>
      <c r="AK271" s="6"/>
      <c r="AL271" s="6"/>
      <c r="AM271" s="138">
        <f t="shared" si="161"/>
        <v>6</v>
      </c>
      <c r="AN271" s="160">
        <f t="shared" si="162"/>
        <v>0</v>
      </c>
      <c r="AO271" s="170">
        <f t="shared" si="174"/>
        <v>0</v>
      </c>
      <c r="AP271" s="6"/>
      <c r="AQ271" s="6"/>
      <c r="AR271" s="138">
        <f t="shared" si="163"/>
        <v>6</v>
      </c>
      <c r="AS271" s="160">
        <f t="shared" si="164"/>
        <v>0</v>
      </c>
      <c r="AT271" s="164">
        <f t="shared" si="165"/>
        <v>0</v>
      </c>
      <c r="AU271" s="165">
        <f t="shared" si="166"/>
        <v>0</v>
      </c>
    </row>
    <row r="272" spans="2:47" outlineLevel="1" x14ac:dyDescent="0.35">
      <c r="B272" s="48" t="s">
        <v>79</v>
      </c>
      <c r="C272" s="62" t="s">
        <v>141</v>
      </c>
      <c r="D272" s="70">
        <v>0</v>
      </c>
      <c r="E272" s="4">
        <v>3</v>
      </c>
      <c r="F272" s="70">
        <v>0</v>
      </c>
      <c r="G272" s="4">
        <v>3</v>
      </c>
      <c r="H272" s="185">
        <f t="shared" si="152"/>
        <v>0</v>
      </c>
      <c r="I272" s="70">
        <v>0</v>
      </c>
      <c r="J272" s="4">
        <v>3</v>
      </c>
      <c r="K272" s="167">
        <f t="shared" si="153"/>
        <v>0</v>
      </c>
      <c r="L272" s="70">
        <v>0</v>
      </c>
      <c r="M272" s="4">
        <v>3</v>
      </c>
      <c r="N272" s="167">
        <f t="shared" si="154"/>
        <v>0</v>
      </c>
      <c r="O272" s="70">
        <v>0</v>
      </c>
      <c r="P272" s="4">
        <v>3</v>
      </c>
      <c r="Q272" s="167">
        <f t="shared" si="167"/>
        <v>0</v>
      </c>
      <c r="R272" s="164">
        <f t="shared" si="168"/>
        <v>0</v>
      </c>
      <c r="S272" s="165">
        <f t="shared" si="169"/>
        <v>0</v>
      </c>
      <c r="U272" s="170">
        <f t="shared" si="170"/>
        <v>0</v>
      </c>
      <c r="V272" s="6"/>
      <c r="W272" s="6"/>
      <c r="X272" s="138">
        <f t="shared" si="155"/>
        <v>3</v>
      </c>
      <c r="Y272" s="167">
        <f t="shared" si="156"/>
        <v>0</v>
      </c>
      <c r="Z272" s="170">
        <f t="shared" si="171"/>
        <v>0</v>
      </c>
      <c r="AA272" s="6"/>
      <c r="AB272" s="6"/>
      <c r="AC272" s="138">
        <f t="shared" si="157"/>
        <v>3</v>
      </c>
      <c r="AD272" s="160">
        <f t="shared" si="158"/>
        <v>0</v>
      </c>
      <c r="AE272" s="170">
        <f t="shared" si="172"/>
        <v>0</v>
      </c>
      <c r="AF272" s="6"/>
      <c r="AG272" s="6"/>
      <c r="AH272" s="138">
        <f t="shared" si="159"/>
        <v>3</v>
      </c>
      <c r="AI272" s="160">
        <f t="shared" si="160"/>
        <v>0</v>
      </c>
      <c r="AJ272" s="170">
        <f t="shared" si="173"/>
        <v>0</v>
      </c>
      <c r="AK272" s="6"/>
      <c r="AL272" s="6"/>
      <c r="AM272" s="138">
        <f t="shared" si="161"/>
        <v>3</v>
      </c>
      <c r="AN272" s="160">
        <f t="shared" si="162"/>
        <v>0</v>
      </c>
      <c r="AO272" s="170">
        <f t="shared" si="174"/>
        <v>0</v>
      </c>
      <c r="AP272" s="6"/>
      <c r="AQ272" s="6"/>
      <c r="AR272" s="138">
        <f t="shared" si="163"/>
        <v>3</v>
      </c>
      <c r="AS272" s="160">
        <f t="shared" si="164"/>
        <v>0</v>
      </c>
      <c r="AT272" s="164">
        <f t="shared" si="165"/>
        <v>0</v>
      </c>
      <c r="AU272" s="165">
        <f t="shared" si="166"/>
        <v>0</v>
      </c>
    </row>
    <row r="273" spans="2:47" outlineLevel="1" x14ac:dyDescent="0.35">
      <c r="B273" s="48" t="s">
        <v>80</v>
      </c>
      <c r="C273" s="62" t="s">
        <v>141</v>
      </c>
      <c r="D273" s="70">
        <v>0</v>
      </c>
      <c r="E273" s="4">
        <v>2</v>
      </c>
      <c r="F273" s="70">
        <v>0</v>
      </c>
      <c r="G273" s="4">
        <v>2</v>
      </c>
      <c r="H273" s="185">
        <f t="shared" si="152"/>
        <v>0</v>
      </c>
      <c r="I273" s="70">
        <v>0</v>
      </c>
      <c r="J273" s="4">
        <v>2</v>
      </c>
      <c r="K273" s="167">
        <f t="shared" si="153"/>
        <v>0</v>
      </c>
      <c r="L273" s="70">
        <v>0</v>
      </c>
      <c r="M273" s="4">
        <v>2</v>
      </c>
      <c r="N273" s="167">
        <f t="shared" si="154"/>
        <v>0</v>
      </c>
      <c r="O273" s="70">
        <v>0</v>
      </c>
      <c r="P273" s="4">
        <v>2</v>
      </c>
      <c r="Q273" s="167">
        <f t="shared" si="167"/>
        <v>0</v>
      </c>
      <c r="R273" s="164">
        <f t="shared" si="168"/>
        <v>0</v>
      </c>
      <c r="S273" s="165">
        <f t="shared" si="169"/>
        <v>0</v>
      </c>
      <c r="U273" s="170">
        <f t="shared" si="170"/>
        <v>0</v>
      </c>
      <c r="V273" s="6"/>
      <c r="W273" s="6"/>
      <c r="X273" s="138">
        <f t="shared" si="155"/>
        <v>2</v>
      </c>
      <c r="Y273" s="167">
        <f t="shared" si="156"/>
        <v>0</v>
      </c>
      <c r="Z273" s="170">
        <f t="shared" si="171"/>
        <v>0</v>
      </c>
      <c r="AA273" s="6"/>
      <c r="AB273" s="6"/>
      <c r="AC273" s="138">
        <f t="shared" si="157"/>
        <v>2</v>
      </c>
      <c r="AD273" s="160">
        <f t="shared" si="158"/>
        <v>0</v>
      </c>
      <c r="AE273" s="170">
        <f t="shared" si="172"/>
        <v>0</v>
      </c>
      <c r="AF273" s="6"/>
      <c r="AG273" s="6"/>
      <c r="AH273" s="138">
        <f t="shared" si="159"/>
        <v>2</v>
      </c>
      <c r="AI273" s="160">
        <f t="shared" si="160"/>
        <v>0</v>
      </c>
      <c r="AJ273" s="170">
        <f t="shared" si="173"/>
        <v>0</v>
      </c>
      <c r="AK273" s="6"/>
      <c r="AL273" s="6"/>
      <c r="AM273" s="138">
        <f t="shared" si="161"/>
        <v>2</v>
      </c>
      <c r="AN273" s="160">
        <f t="shared" si="162"/>
        <v>0</v>
      </c>
      <c r="AO273" s="170">
        <f t="shared" si="174"/>
        <v>0</v>
      </c>
      <c r="AP273" s="6"/>
      <c r="AQ273" s="6"/>
      <c r="AR273" s="138">
        <f t="shared" si="163"/>
        <v>2</v>
      </c>
      <c r="AS273" s="160">
        <f t="shared" si="164"/>
        <v>0</v>
      </c>
      <c r="AT273" s="164">
        <f t="shared" si="165"/>
        <v>0</v>
      </c>
      <c r="AU273" s="165">
        <f t="shared" si="166"/>
        <v>0</v>
      </c>
    </row>
    <row r="274" spans="2:47" outlineLevel="1" x14ac:dyDescent="0.35">
      <c r="B274" s="48" t="s">
        <v>81</v>
      </c>
      <c r="C274" s="62" t="s">
        <v>141</v>
      </c>
      <c r="D274" s="70">
        <v>0</v>
      </c>
      <c r="E274" s="4">
        <v>0</v>
      </c>
      <c r="F274" s="70">
        <v>0</v>
      </c>
      <c r="G274" s="4">
        <v>0</v>
      </c>
      <c r="H274" s="185">
        <f t="shared" si="152"/>
        <v>0</v>
      </c>
      <c r="I274" s="70">
        <v>0</v>
      </c>
      <c r="J274" s="4">
        <v>0</v>
      </c>
      <c r="K274" s="167">
        <f t="shared" si="153"/>
        <v>0</v>
      </c>
      <c r="L274" s="70">
        <v>0</v>
      </c>
      <c r="M274" s="4"/>
      <c r="N274" s="167">
        <f t="shared" si="154"/>
        <v>0</v>
      </c>
      <c r="O274" s="70">
        <v>0</v>
      </c>
      <c r="P274" s="4"/>
      <c r="Q274" s="167">
        <f t="shared" si="167"/>
        <v>0</v>
      </c>
      <c r="R274" s="164">
        <f t="shared" si="168"/>
        <v>0</v>
      </c>
      <c r="S274" s="165">
        <f t="shared" si="169"/>
        <v>0</v>
      </c>
      <c r="U274" s="170">
        <f t="shared" si="170"/>
        <v>0</v>
      </c>
      <c r="V274" s="6"/>
      <c r="W274" s="6"/>
      <c r="X274" s="138">
        <f t="shared" si="155"/>
        <v>0</v>
      </c>
      <c r="Y274" s="167">
        <f t="shared" si="156"/>
        <v>0</v>
      </c>
      <c r="Z274" s="170">
        <f t="shared" si="171"/>
        <v>0</v>
      </c>
      <c r="AA274" s="6"/>
      <c r="AB274" s="6"/>
      <c r="AC274" s="138">
        <f t="shared" si="157"/>
        <v>0</v>
      </c>
      <c r="AD274" s="160">
        <f t="shared" si="158"/>
        <v>0</v>
      </c>
      <c r="AE274" s="170">
        <f t="shared" si="172"/>
        <v>0</v>
      </c>
      <c r="AF274" s="6"/>
      <c r="AG274" s="6"/>
      <c r="AH274" s="138">
        <f t="shared" si="159"/>
        <v>0</v>
      </c>
      <c r="AI274" s="160">
        <f t="shared" si="160"/>
        <v>0</v>
      </c>
      <c r="AJ274" s="170">
        <f t="shared" si="173"/>
        <v>0</v>
      </c>
      <c r="AK274" s="6"/>
      <c r="AL274" s="6"/>
      <c r="AM274" s="138">
        <f t="shared" si="161"/>
        <v>0</v>
      </c>
      <c r="AN274" s="160">
        <f t="shared" si="162"/>
        <v>0</v>
      </c>
      <c r="AO274" s="170">
        <f t="shared" si="174"/>
        <v>0</v>
      </c>
      <c r="AP274" s="6"/>
      <c r="AQ274" s="6"/>
      <c r="AR274" s="138">
        <f t="shared" si="163"/>
        <v>0</v>
      </c>
      <c r="AS274" s="160">
        <f t="shared" si="164"/>
        <v>0</v>
      </c>
      <c r="AT274" s="164">
        <f t="shared" si="165"/>
        <v>0</v>
      </c>
      <c r="AU274" s="165">
        <f t="shared" si="166"/>
        <v>0</v>
      </c>
    </row>
    <row r="275" spans="2:47" outlineLevel="1" x14ac:dyDescent="0.35">
      <c r="B275" s="48" t="s">
        <v>82</v>
      </c>
      <c r="C275" s="62" t="s">
        <v>141</v>
      </c>
      <c r="D275" s="70">
        <v>0</v>
      </c>
      <c r="E275" s="4">
        <v>7</v>
      </c>
      <c r="F275" s="70">
        <v>1</v>
      </c>
      <c r="G275" s="4">
        <v>8</v>
      </c>
      <c r="H275" s="185">
        <f t="shared" si="152"/>
        <v>0.14285714285714285</v>
      </c>
      <c r="I275" s="70">
        <v>0</v>
      </c>
      <c r="J275" s="4">
        <v>8</v>
      </c>
      <c r="K275" s="167">
        <f t="shared" si="153"/>
        <v>0</v>
      </c>
      <c r="L275" s="70">
        <v>0</v>
      </c>
      <c r="M275" s="4">
        <v>8</v>
      </c>
      <c r="N275" s="167">
        <f t="shared" si="154"/>
        <v>0</v>
      </c>
      <c r="O275" s="70">
        <v>-1</v>
      </c>
      <c r="P275" s="4">
        <v>7</v>
      </c>
      <c r="Q275" s="167">
        <f t="shared" si="167"/>
        <v>-0.125</v>
      </c>
      <c r="R275" s="164">
        <f t="shared" si="168"/>
        <v>0</v>
      </c>
      <c r="S275" s="165">
        <f t="shared" si="169"/>
        <v>0</v>
      </c>
      <c r="U275" s="170">
        <f t="shared" si="170"/>
        <v>0</v>
      </c>
      <c r="V275" s="6"/>
      <c r="W275" s="6"/>
      <c r="X275" s="138">
        <f t="shared" si="155"/>
        <v>7</v>
      </c>
      <c r="Y275" s="167">
        <f t="shared" si="156"/>
        <v>0</v>
      </c>
      <c r="Z275" s="170">
        <f t="shared" si="171"/>
        <v>0</v>
      </c>
      <c r="AA275" s="6"/>
      <c r="AB275" s="6"/>
      <c r="AC275" s="138">
        <f t="shared" si="157"/>
        <v>7</v>
      </c>
      <c r="AD275" s="160">
        <f t="shared" si="158"/>
        <v>0</v>
      </c>
      <c r="AE275" s="170">
        <f t="shared" si="172"/>
        <v>0</v>
      </c>
      <c r="AF275" s="6"/>
      <c r="AG275" s="6"/>
      <c r="AH275" s="138">
        <f t="shared" si="159"/>
        <v>7</v>
      </c>
      <c r="AI275" s="160">
        <f t="shared" si="160"/>
        <v>0</v>
      </c>
      <c r="AJ275" s="170">
        <f t="shared" si="173"/>
        <v>0</v>
      </c>
      <c r="AK275" s="6"/>
      <c r="AL275" s="6"/>
      <c r="AM275" s="138">
        <f t="shared" si="161"/>
        <v>7</v>
      </c>
      <c r="AN275" s="160">
        <f t="shared" si="162"/>
        <v>0</v>
      </c>
      <c r="AO275" s="170">
        <f t="shared" si="174"/>
        <v>0</v>
      </c>
      <c r="AP275" s="6"/>
      <c r="AQ275" s="6"/>
      <c r="AR275" s="138">
        <f t="shared" si="163"/>
        <v>7</v>
      </c>
      <c r="AS275" s="160">
        <f t="shared" si="164"/>
        <v>0</v>
      </c>
      <c r="AT275" s="164">
        <f t="shared" si="165"/>
        <v>0</v>
      </c>
      <c r="AU275" s="165">
        <f t="shared" si="166"/>
        <v>0</v>
      </c>
    </row>
    <row r="276" spans="2:47" outlineLevel="1" x14ac:dyDescent="0.35">
      <c r="B276" s="48" t="s">
        <v>83</v>
      </c>
      <c r="C276" s="62" t="s">
        <v>141</v>
      </c>
      <c r="D276" s="70">
        <v>1</v>
      </c>
      <c r="E276" s="4">
        <v>5</v>
      </c>
      <c r="F276" s="70">
        <v>0</v>
      </c>
      <c r="G276" s="4">
        <v>5</v>
      </c>
      <c r="H276" s="185">
        <f t="shared" si="152"/>
        <v>0</v>
      </c>
      <c r="I276" s="70">
        <v>3</v>
      </c>
      <c r="J276" s="4">
        <v>8</v>
      </c>
      <c r="K276" s="167">
        <f t="shared" si="153"/>
        <v>0.6</v>
      </c>
      <c r="L276" s="70">
        <v>0</v>
      </c>
      <c r="M276" s="4">
        <v>8</v>
      </c>
      <c r="N276" s="167">
        <f t="shared" si="154"/>
        <v>0</v>
      </c>
      <c r="O276" s="70">
        <v>0</v>
      </c>
      <c r="P276" s="4">
        <v>8</v>
      </c>
      <c r="Q276" s="167">
        <f t="shared" si="167"/>
        <v>0</v>
      </c>
      <c r="R276" s="164">
        <f t="shared" si="168"/>
        <v>4</v>
      </c>
      <c r="S276" s="165">
        <f t="shared" si="169"/>
        <v>0.12468265038069815</v>
      </c>
      <c r="U276" s="170">
        <f t="shared" si="170"/>
        <v>0</v>
      </c>
      <c r="V276" s="6"/>
      <c r="W276" s="6"/>
      <c r="X276" s="138">
        <f t="shared" si="155"/>
        <v>8</v>
      </c>
      <c r="Y276" s="167">
        <f t="shared" si="156"/>
        <v>0</v>
      </c>
      <c r="Z276" s="170">
        <f t="shared" si="171"/>
        <v>0</v>
      </c>
      <c r="AA276" s="6"/>
      <c r="AB276" s="6"/>
      <c r="AC276" s="138">
        <f t="shared" si="157"/>
        <v>8</v>
      </c>
      <c r="AD276" s="160">
        <f t="shared" si="158"/>
        <v>0</v>
      </c>
      <c r="AE276" s="170">
        <f t="shared" si="172"/>
        <v>0</v>
      </c>
      <c r="AF276" s="6"/>
      <c r="AG276" s="6"/>
      <c r="AH276" s="138">
        <f t="shared" si="159"/>
        <v>8</v>
      </c>
      <c r="AI276" s="160">
        <f t="shared" si="160"/>
        <v>0</v>
      </c>
      <c r="AJ276" s="170">
        <f t="shared" si="173"/>
        <v>0</v>
      </c>
      <c r="AK276" s="6"/>
      <c r="AL276" s="6"/>
      <c r="AM276" s="138">
        <f t="shared" si="161"/>
        <v>8</v>
      </c>
      <c r="AN276" s="160">
        <f t="shared" si="162"/>
        <v>0</v>
      </c>
      <c r="AO276" s="170">
        <f t="shared" si="174"/>
        <v>0</v>
      </c>
      <c r="AP276" s="6"/>
      <c r="AQ276" s="6"/>
      <c r="AR276" s="138">
        <f t="shared" si="163"/>
        <v>8</v>
      </c>
      <c r="AS276" s="160">
        <f t="shared" si="164"/>
        <v>0</v>
      </c>
      <c r="AT276" s="164">
        <f t="shared" si="165"/>
        <v>0</v>
      </c>
      <c r="AU276" s="165">
        <f t="shared" si="166"/>
        <v>0</v>
      </c>
    </row>
    <row r="277" spans="2:47" outlineLevel="1" x14ac:dyDescent="0.35">
      <c r="B277" s="48" t="s">
        <v>84</v>
      </c>
      <c r="C277" s="62" t="s">
        <v>141</v>
      </c>
      <c r="D277" s="70">
        <v>0</v>
      </c>
      <c r="E277" s="4">
        <v>0</v>
      </c>
      <c r="F277" s="70">
        <v>0</v>
      </c>
      <c r="G277" s="4">
        <v>0</v>
      </c>
      <c r="H277" s="185">
        <f t="shared" si="152"/>
        <v>0</v>
      </c>
      <c r="I277" s="70">
        <v>0</v>
      </c>
      <c r="J277" s="4">
        <v>0</v>
      </c>
      <c r="K277" s="167">
        <f t="shared" si="153"/>
        <v>0</v>
      </c>
      <c r="L277" s="70">
        <v>0</v>
      </c>
      <c r="M277" s="4"/>
      <c r="N277" s="167">
        <f t="shared" si="154"/>
        <v>0</v>
      </c>
      <c r="O277" s="70">
        <v>0</v>
      </c>
      <c r="P277" s="4"/>
      <c r="Q277" s="167">
        <f t="shared" si="167"/>
        <v>0</v>
      </c>
      <c r="R277" s="164">
        <f t="shared" si="168"/>
        <v>0</v>
      </c>
      <c r="S277" s="165">
        <f t="shared" si="169"/>
        <v>0</v>
      </c>
      <c r="U277" s="170">
        <f t="shared" si="170"/>
        <v>0</v>
      </c>
      <c r="V277" s="6"/>
      <c r="W277" s="6"/>
      <c r="X277" s="138">
        <f t="shared" si="155"/>
        <v>0</v>
      </c>
      <c r="Y277" s="167">
        <f t="shared" si="156"/>
        <v>0</v>
      </c>
      <c r="Z277" s="170">
        <f t="shared" si="171"/>
        <v>0</v>
      </c>
      <c r="AA277" s="6"/>
      <c r="AB277" s="6"/>
      <c r="AC277" s="138">
        <f t="shared" si="157"/>
        <v>0</v>
      </c>
      <c r="AD277" s="160">
        <f t="shared" si="158"/>
        <v>0</v>
      </c>
      <c r="AE277" s="170">
        <f t="shared" si="172"/>
        <v>0</v>
      </c>
      <c r="AF277" s="6"/>
      <c r="AG277" s="6"/>
      <c r="AH277" s="138">
        <f t="shared" si="159"/>
        <v>0</v>
      </c>
      <c r="AI277" s="160">
        <f t="shared" si="160"/>
        <v>0</v>
      </c>
      <c r="AJ277" s="170">
        <f t="shared" si="173"/>
        <v>0</v>
      </c>
      <c r="AK277" s="6"/>
      <c r="AL277" s="6"/>
      <c r="AM277" s="138">
        <f t="shared" si="161"/>
        <v>0</v>
      </c>
      <c r="AN277" s="160">
        <f t="shared" si="162"/>
        <v>0</v>
      </c>
      <c r="AO277" s="170">
        <f t="shared" si="174"/>
        <v>0</v>
      </c>
      <c r="AP277" s="6"/>
      <c r="AQ277" s="6"/>
      <c r="AR277" s="138">
        <f t="shared" si="163"/>
        <v>0</v>
      </c>
      <c r="AS277" s="160">
        <f t="shared" si="164"/>
        <v>0</v>
      </c>
      <c r="AT277" s="164">
        <f t="shared" si="165"/>
        <v>0</v>
      </c>
      <c r="AU277" s="165">
        <f t="shared" si="166"/>
        <v>0</v>
      </c>
    </row>
    <row r="278" spans="2:47" outlineLevel="1" x14ac:dyDescent="0.35">
      <c r="B278" s="48" t="s">
        <v>85</v>
      </c>
      <c r="C278" s="62" t="s">
        <v>141</v>
      </c>
      <c r="D278" s="70">
        <v>0</v>
      </c>
      <c r="E278" s="4">
        <v>0</v>
      </c>
      <c r="F278" s="70">
        <v>0</v>
      </c>
      <c r="G278" s="4">
        <v>0</v>
      </c>
      <c r="H278" s="185">
        <f t="shared" si="152"/>
        <v>0</v>
      </c>
      <c r="I278" s="70">
        <v>0</v>
      </c>
      <c r="J278" s="4">
        <v>0</v>
      </c>
      <c r="K278" s="167">
        <f t="shared" si="153"/>
        <v>0</v>
      </c>
      <c r="L278" s="70">
        <v>0</v>
      </c>
      <c r="M278" s="4"/>
      <c r="N278" s="167">
        <f t="shared" si="154"/>
        <v>0</v>
      </c>
      <c r="O278" s="70">
        <v>0</v>
      </c>
      <c r="P278" s="4"/>
      <c r="Q278" s="167">
        <f t="shared" si="167"/>
        <v>0</v>
      </c>
      <c r="R278" s="164">
        <f t="shared" si="168"/>
        <v>0</v>
      </c>
      <c r="S278" s="165">
        <f t="shared" si="169"/>
        <v>0</v>
      </c>
      <c r="U278" s="170">
        <f t="shared" si="170"/>
        <v>0</v>
      </c>
      <c r="V278" s="6"/>
      <c r="W278" s="6"/>
      <c r="X278" s="138">
        <f t="shared" si="155"/>
        <v>0</v>
      </c>
      <c r="Y278" s="167">
        <f t="shared" si="156"/>
        <v>0</v>
      </c>
      <c r="Z278" s="170">
        <f t="shared" si="171"/>
        <v>0</v>
      </c>
      <c r="AA278" s="6"/>
      <c r="AB278" s="6"/>
      <c r="AC278" s="138">
        <f t="shared" si="157"/>
        <v>0</v>
      </c>
      <c r="AD278" s="160">
        <f t="shared" si="158"/>
        <v>0</v>
      </c>
      <c r="AE278" s="170">
        <f t="shared" si="172"/>
        <v>0</v>
      </c>
      <c r="AF278" s="6"/>
      <c r="AG278" s="6"/>
      <c r="AH278" s="138">
        <f t="shared" si="159"/>
        <v>0</v>
      </c>
      <c r="AI278" s="160">
        <f t="shared" si="160"/>
        <v>0</v>
      </c>
      <c r="AJ278" s="170">
        <f t="shared" si="173"/>
        <v>0</v>
      </c>
      <c r="AK278" s="6"/>
      <c r="AL278" s="6"/>
      <c r="AM278" s="138">
        <f t="shared" si="161"/>
        <v>0</v>
      </c>
      <c r="AN278" s="160">
        <f t="shared" si="162"/>
        <v>0</v>
      </c>
      <c r="AO278" s="170">
        <f t="shared" si="174"/>
        <v>0</v>
      </c>
      <c r="AP278" s="6"/>
      <c r="AQ278" s="6"/>
      <c r="AR278" s="138">
        <f t="shared" si="163"/>
        <v>0</v>
      </c>
      <c r="AS278" s="160">
        <f t="shared" si="164"/>
        <v>0</v>
      </c>
      <c r="AT278" s="164">
        <f t="shared" si="165"/>
        <v>0</v>
      </c>
      <c r="AU278" s="165">
        <f t="shared" si="166"/>
        <v>0</v>
      </c>
    </row>
    <row r="279" spans="2:47" outlineLevel="1" x14ac:dyDescent="0.35">
      <c r="B279" s="48" t="s">
        <v>86</v>
      </c>
      <c r="C279" s="62" t="s">
        <v>141</v>
      </c>
      <c r="D279" s="70">
        <v>0</v>
      </c>
      <c r="E279" s="4">
        <v>0</v>
      </c>
      <c r="F279" s="70">
        <v>0</v>
      </c>
      <c r="G279" s="4">
        <v>0</v>
      </c>
      <c r="H279" s="185">
        <f t="shared" si="152"/>
        <v>0</v>
      </c>
      <c r="I279" s="70">
        <v>0</v>
      </c>
      <c r="J279" s="4">
        <v>0</v>
      </c>
      <c r="K279" s="167">
        <f t="shared" si="153"/>
        <v>0</v>
      </c>
      <c r="L279" s="70">
        <v>0</v>
      </c>
      <c r="M279" s="4"/>
      <c r="N279" s="167">
        <f t="shared" si="154"/>
        <v>0</v>
      </c>
      <c r="O279" s="70">
        <v>0</v>
      </c>
      <c r="P279" s="4"/>
      <c r="Q279" s="167">
        <f t="shared" si="167"/>
        <v>0</v>
      </c>
      <c r="R279" s="164">
        <f t="shared" si="168"/>
        <v>0</v>
      </c>
      <c r="S279" s="165">
        <f t="shared" si="169"/>
        <v>0</v>
      </c>
      <c r="U279" s="170">
        <f t="shared" si="170"/>
        <v>0</v>
      </c>
      <c r="V279" s="6"/>
      <c r="W279" s="6"/>
      <c r="X279" s="138">
        <f t="shared" si="155"/>
        <v>0</v>
      </c>
      <c r="Y279" s="167">
        <f t="shared" si="156"/>
        <v>0</v>
      </c>
      <c r="Z279" s="170">
        <f t="shared" si="171"/>
        <v>0</v>
      </c>
      <c r="AA279" s="6"/>
      <c r="AB279" s="6"/>
      <c r="AC279" s="138">
        <f t="shared" si="157"/>
        <v>0</v>
      </c>
      <c r="AD279" s="160">
        <f t="shared" si="158"/>
        <v>0</v>
      </c>
      <c r="AE279" s="170">
        <f t="shared" si="172"/>
        <v>0</v>
      </c>
      <c r="AF279" s="6"/>
      <c r="AG279" s="6"/>
      <c r="AH279" s="138">
        <f t="shared" si="159"/>
        <v>0</v>
      </c>
      <c r="AI279" s="160">
        <f t="shared" si="160"/>
        <v>0</v>
      </c>
      <c r="AJ279" s="170">
        <f t="shared" si="173"/>
        <v>0</v>
      </c>
      <c r="AK279" s="6"/>
      <c r="AL279" s="6"/>
      <c r="AM279" s="138">
        <f t="shared" si="161"/>
        <v>0</v>
      </c>
      <c r="AN279" s="160">
        <f t="shared" si="162"/>
        <v>0</v>
      </c>
      <c r="AO279" s="170">
        <f t="shared" si="174"/>
        <v>0</v>
      </c>
      <c r="AP279" s="6"/>
      <c r="AQ279" s="6"/>
      <c r="AR279" s="138">
        <f t="shared" si="163"/>
        <v>0</v>
      </c>
      <c r="AS279" s="160">
        <f t="shared" si="164"/>
        <v>0</v>
      </c>
      <c r="AT279" s="164">
        <f t="shared" si="165"/>
        <v>0</v>
      </c>
      <c r="AU279" s="165">
        <f t="shared" si="166"/>
        <v>0</v>
      </c>
    </row>
    <row r="280" spans="2:47" outlineLevel="1" x14ac:dyDescent="0.35">
      <c r="B280" s="48" t="s">
        <v>87</v>
      </c>
      <c r="C280" s="62" t="s">
        <v>141</v>
      </c>
      <c r="D280" s="70">
        <v>0</v>
      </c>
      <c r="E280" s="4">
        <v>0</v>
      </c>
      <c r="F280" s="70">
        <v>0</v>
      </c>
      <c r="G280" s="4">
        <v>0</v>
      </c>
      <c r="H280" s="185">
        <f t="shared" si="152"/>
        <v>0</v>
      </c>
      <c r="I280" s="70">
        <v>0</v>
      </c>
      <c r="J280" s="4">
        <v>0</v>
      </c>
      <c r="K280" s="167">
        <f t="shared" si="153"/>
        <v>0</v>
      </c>
      <c r="L280" s="70">
        <v>0</v>
      </c>
      <c r="M280" s="4"/>
      <c r="N280" s="167">
        <f t="shared" si="154"/>
        <v>0</v>
      </c>
      <c r="O280" s="70">
        <v>0</v>
      </c>
      <c r="P280" s="4"/>
      <c r="Q280" s="167">
        <f t="shared" si="167"/>
        <v>0</v>
      </c>
      <c r="R280" s="164">
        <f t="shared" si="168"/>
        <v>0</v>
      </c>
      <c r="S280" s="165">
        <f t="shared" si="169"/>
        <v>0</v>
      </c>
      <c r="U280" s="170">
        <f t="shared" si="170"/>
        <v>0</v>
      </c>
      <c r="V280" s="6"/>
      <c r="W280" s="6"/>
      <c r="X280" s="138">
        <f t="shared" si="155"/>
        <v>0</v>
      </c>
      <c r="Y280" s="167">
        <f t="shared" si="156"/>
        <v>0</v>
      </c>
      <c r="Z280" s="170">
        <f t="shared" si="171"/>
        <v>0</v>
      </c>
      <c r="AA280" s="6"/>
      <c r="AB280" s="6"/>
      <c r="AC280" s="138">
        <f t="shared" si="157"/>
        <v>0</v>
      </c>
      <c r="AD280" s="160">
        <f t="shared" si="158"/>
        <v>0</v>
      </c>
      <c r="AE280" s="170">
        <f t="shared" si="172"/>
        <v>0</v>
      </c>
      <c r="AF280" s="6"/>
      <c r="AG280" s="6"/>
      <c r="AH280" s="138">
        <f t="shared" si="159"/>
        <v>0</v>
      </c>
      <c r="AI280" s="160">
        <f t="shared" si="160"/>
        <v>0</v>
      </c>
      <c r="AJ280" s="170">
        <f t="shared" si="173"/>
        <v>0</v>
      </c>
      <c r="AK280" s="6"/>
      <c r="AL280" s="6"/>
      <c r="AM280" s="138">
        <f t="shared" si="161"/>
        <v>0</v>
      </c>
      <c r="AN280" s="160">
        <f t="shared" si="162"/>
        <v>0</v>
      </c>
      <c r="AO280" s="170">
        <f t="shared" si="174"/>
        <v>0</v>
      </c>
      <c r="AP280" s="6"/>
      <c r="AQ280" s="6"/>
      <c r="AR280" s="138">
        <f t="shared" si="163"/>
        <v>0</v>
      </c>
      <c r="AS280" s="160">
        <f t="shared" si="164"/>
        <v>0</v>
      </c>
      <c r="AT280" s="164">
        <f t="shared" si="165"/>
        <v>0</v>
      </c>
      <c r="AU280" s="165">
        <f t="shared" si="166"/>
        <v>0</v>
      </c>
    </row>
    <row r="281" spans="2:47" outlineLevel="1" x14ac:dyDescent="0.35">
      <c r="B281" s="48" t="s">
        <v>88</v>
      </c>
      <c r="C281" s="62" t="s">
        <v>141</v>
      </c>
      <c r="D281" s="70">
        <v>0</v>
      </c>
      <c r="E281" s="4">
        <v>0</v>
      </c>
      <c r="F281" s="70">
        <v>0</v>
      </c>
      <c r="G281" s="4">
        <v>0</v>
      </c>
      <c r="H281" s="185">
        <f t="shared" si="152"/>
        <v>0</v>
      </c>
      <c r="I281" s="70">
        <v>0</v>
      </c>
      <c r="J281" s="4">
        <v>0</v>
      </c>
      <c r="K281" s="167">
        <f t="shared" si="153"/>
        <v>0</v>
      </c>
      <c r="L281" s="70">
        <v>0</v>
      </c>
      <c r="M281" s="4"/>
      <c r="N281" s="167">
        <f t="shared" si="154"/>
        <v>0</v>
      </c>
      <c r="O281" s="70">
        <v>0</v>
      </c>
      <c r="P281" s="4"/>
      <c r="Q281" s="167">
        <f t="shared" si="167"/>
        <v>0</v>
      </c>
      <c r="R281" s="164">
        <f t="shared" si="168"/>
        <v>0</v>
      </c>
      <c r="S281" s="165">
        <f t="shared" si="169"/>
        <v>0</v>
      </c>
      <c r="U281" s="170">
        <f t="shared" si="170"/>
        <v>0</v>
      </c>
      <c r="V281" s="6"/>
      <c r="W281" s="6"/>
      <c r="X281" s="138">
        <f t="shared" si="155"/>
        <v>0</v>
      </c>
      <c r="Y281" s="167">
        <f t="shared" si="156"/>
        <v>0</v>
      </c>
      <c r="Z281" s="170">
        <f t="shared" si="171"/>
        <v>0</v>
      </c>
      <c r="AA281" s="6"/>
      <c r="AB281" s="6"/>
      <c r="AC281" s="138">
        <f t="shared" si="157"/>
        <v>0</v>
      </c>
      <c r="AD281" s="160">
        <f t="shared" si="158"/>
        <v>0</v>
      </c>
      <c r="AE281" s="170">
        <f t="shared" si="172"/>
        <v>0</v>
      </c>
      <c r="AF281" s="6"/>
      <c r="AG281" s="6"/>
      <c r="AH281" s="138">
        <f t="shared" si="159"/>
        <v>0</v>
      </c>
      <c r="AI281" s="160">
        <f t="shared" si="160"/>
        <v>0</v>
      </c>
      <c r="AJ281" s="170">
        <f t="shared" si="173"/>
        <v>0</v>
      </c>
      <c r="AK281" s="6"/>
      <c r="AL281" s="6"/>
      <c r="AM281" s="138">
        <f t="shared" si="161"/>
        <v>0</v>
      </c>
      <c r="AN281" s="160">
        <f t="shared" si="162"/>
        <v>0</v>
      </c>
      <c r="AO281" s="170">
        <f t="shared" si="174"/>
        <v>0</v>
      </c>
      <c r="AP281" s="6"/>
      <c r="AQ281" s="6"/>
      <c r="AR281" s="138">
        <f t="shared" si="163"/>
        <v>0</v>
      </c>
      <c r="AS281" s="160">
        <f t="shared" si="164"/>
        <v>0</v>
      </c>
      <c r="AT281" s="164">
        <f t="shared" si="165"/>
        <v>0</v>
      </c>
      <c r="AU281" s="165">
        <f t="shared" si="166"/>
        <v>0</v>
      </c>
    </row>
    <row r="282" spans="2:47" outlineLevel="1" x14ac:dyDescent="0.35">
      <c r="B282" s="48" t="s">
        <v>89</v>
      </c>
      <c r="C282" s="62" t="s">
        <v>141</v>
      </c>
      <c r="D282" s="70">
        <v>0</v>
      </c>
      <c r="E282" s="4">
        <v>1</v>
      </c>
      <c r="F282" s="70">
        <v>0</v>
      </c>
      <c r="G282" s="4">
        <v>1</v>
      </c>
      <c r="H282" s="185">
        <f t="shared" si="152"/>
        <v>0</v>
      </c>
      <c r="I282" s="70">
        <v>0</v>
      </c>
      <c r="J282" s="4">
        <v>1</v>
      </c>
      <c r="K282" s="167">
        <f t="shared" si="153"/>
        <v>0</v>
      </c>
      <c r="L282" s="70">
        <v>-1</v>
      </c>
      <c r="M282" s="4"/>
      <c r="N282" s="167">
        <f t="shared" si="154"/>
        <v>-1</v>
      </c>
      <c r="O282" s="70">
        <v>1</v>
      </c>
      <c r="P282" s="4">
        <v>1</v>
      </c>
      <c r="Q282" s="167">
        <f t="shared" si="167"/>
        <v>0</v>
      </c>
      <c r="R282" s="164">
        <f t="shared" si="168"/>
        <v>0</v>
      </c>
      <c r="S282" s="165">
        <f t="shared" si="169"/>
        <v>0</v>
      </c>
      <c r="U282" s="170">
        <f t="shared" si="170"/>
        <v>0</v>
      </c>
      <c r="V282" s="6"/>
      <c r="W282" s="6"/>
      <c r="X282" s="138">
        <f t="shared" si="155"/>
        <v>1</v>
      </c>
      <c r="Y282" s="167">
        <f t="shared" si="156"/>
        <v>0</v>
      </c>
      <c r="Z282" s="170">
        <f t="shared" si="171"/>
        <v>0</v>
      </c>
      <c r="AA282" s="6"/>
      <c r="AB282" s="6"/>
      <c r="AC282" s="138">
        <f t="shared" si="157"/>
        <v>1</v>
      </c>
      <c r="AD282" s="160">
        <f t="shared" si="158"/>
        <v>0</v>
      </c>
      <c r="AE282" s="170">
        <f t="shared" si="172"/>
        <v>0</v>
      </c>
      <c r="AF282" s="6"/>
      <c r="AG282" s="6"/>
      <c r="AH282" s="138">
        <f t="shared" si="159"/>
        <v>1</v>
      </c>
      <c r="AI282" s="160">
        <f t="shared" si="160"/>
        <v>0</v>
      </c>
      <c r="AJ282" s="170">
        <f t="shared" si="173"/>
        <v>0</v>
      </c>
      <c r="AK282" s="6"/>
      <c r="AL282" s="6"/>
      <c r="AM282" s="138">
        <f t="shared" si="161"/>
        <v>1</v>
      </c>
      <c r="AN282" s="160">
        <f t="shared" si="162"/>
        <v>0</v>
      </c>
      <c r="AO282" s="170">
        <f t="shared" si="174"/>
        <v>0</v>
      </c>
      <c r="AP282" s="6"/>
      <c r="AQ282" s="6"/>
      <c r="AR282" s="138">
        <f t="shared" si="163"/>
        <v>1</v>
      </c>
      <c r="AS282" s="160">
        <f t="shared" si="164"/>
        <v>0</v>
      </c>
      <c r="AT282" s="164">
        <f t="shared" si="165"/>
        <v>0</v>
      </c>
      <c r="AU282" s="165">
        <f t="shared" si="166"/>
        <v>0</v>
      </c>
    </row>
    <row r="283" spans="2:47" outlineLevel="1" x14ac:dyDescent="0.35">
      <c r="B283" s="48" t="s">
        <v>90</v>
      </c>
      <c r="C283" s="62" t="s">
        <v>141</v>
      </c>
      <c r="D283" s="70">
        <v>-2</v>
      </c>
      <c r="E283" s="4">
        <v>5</v>
      </c>
      <c r="F283" s="70">
        <v>1</v>
      </c>
      <c r="G283" s="4">
        <v>6</v>
      </c>
      <c r="H283" s="185">
        <f t="shared" si="152"/>
        <v>0.2</v>
      </c>
      <c r="I283" s="70">
        <v>-1</v>
      </c>
      <c r="J283" s="4">
        <v>5</v>
      </c>
      <c r="K283" s="167">
        <f t="shared" si="153"/>
        <v>-0.16666666666666666</v>
      </c>
      <c r="L283" s="70">
        <v>1</v>
      </c>
      <c r="M283" s="4">
        <v>6</v>
      </c>
      <c r="N283" s="167">
        <f t="shared" si="154"/>
        <v>0.2</v>
      </c>
      <c r="O283" s="70">
        <v>0</v>
      </c>
      <c r="P283" s="4">
        <v>6</v>
      </c>
      <c r="Q283" s="167">
        <f t="shared" si="167"/>
        <v>0</v>
      </c>
      <c r="R283" s="164">
        <f t="shared" si="168"/>
        <v>-1</v>
      </c>
      <c r="S283" s="165">
        <f t="shared" si="169"/>
        <v>4.6635139392105618E-2</v>
      </c>
      <c r="U283" s="170">
        <f t="shared" si="170"/>
        <v>1</v>
      </c>
      <c r="V283" s="6">
        <v>1</v>
      </c>
      <c r="W283" s="6"/>
      <c r="X283" s="138">
        <f t="shared" si="155"/>
        <v>7</v>
      </c>
      <c r="Y283" s="167">
        <f t="shared" si="156"/>
        <v>0.16666666666666666</v>
      </c>
      <c r="Z283" s="170">
        <f t="shared" si="171"/>
        <v>0</v>
      </c>
      <c r="AA283" s="6"/>
      <c r="AB283" s="6"/>
      <c r="AC283" s="138">
        <f t="shared" si="157"/>
        <v>7</v>
      </c>
      <c r="AD283" s="160">
        <f t="shared" si="158"/>
        <v>0</v>
      </c>
      <c r="AE283" s="170">
        <f t="shared" si="172"/>
        <v>0</v>
      </c>
      <c r="AF283" s="6"/>
      <c r="AG283" s="6"/>
      <c r="AH283" s="138">
        <f t="shared" si="159"/>
        <v>7</v>
      </c>
      <c r="AI283" s="160">
        <f t="shared" si="160"/>
        <v>0</v>
      </c>
      <c r="AJ283" s="170">
        <f t="shared" si="173"/>
        <v>0</v>
      </c>
      <c r="AK283" s="6"/>
      <c r="AL283" s="6"/>
      <c r="AM283" s="138">
        <f t="shared" si="161"/>
        <v>7</v>
      </c>
      <c r="AN283" s="160">
        <f t="shared" si="162"/>
        <v>0</v>
      </c>
      <c r="AO283" s="170">
        <f t="shared" si="174"/>
        <v>0</v>
      </c>
      <c r="AP283" s="6"/>
      <c r="AQ283" s="6"/>
      <c r="AR283" s="138">
        <f t="shared" si="163"/>
        <v>7</v>
      </c>
      <c r="AS283" s="160">
        <f t="shared" si="164"/>
        <v>0</v>
      </c>
      <c r="AT283" s="164">
        <f t="shared" si="165"/>
        <v>1</v>
      </c>
      <c r="AU283" s="165">
        <f t="shared" si="166"/>
        <v>0</v>
      </c>
    </row>
    <row r="284" spans="2:47" outlineLevel="1" x14ac:dyDescent="0.35">
      <c r="B284" s="48" t="s">
        <v>91</v>
      </c>
      <c r="C284" s="62" t="s">
        <v>141</v>
      </c>
      <c r="D284" s="70">
        <v>0</v>
      </c>
      <c r="E284" s="4">
        <v>1</v>
      </c>
      <c r="F284" s="70">
        <v>0</v>
      </c>
      <c r="G284" s="4">
        <v>1</v>
      </c>
      <c r="H284" s="185">
        <f t="shared" si="152"/>
        <v>0</v>
      </c>
      <c r="I284" s="70">
        <v>0</v>
      </c>
      <c r="J284" s="4">
        <v>1</v>
      </c>
      <c r="K284" s="167">
        <f t="shared" si="153"/>
        <v>0</v>
      </c>
      <c r="L284" s="70">
        <v>0</v>
      </c>
      <c r="M284" s="4">
        <v>1</v>
      </c>
      <c r="N284" s="167">
        <f t="shared" si="154"/>
        <v>0</v>
      </c>
      <c r="O284" s="70">
        <v>0</v>
      </c>
      <c r="P284" s="4">
        <v>1</v>
      </c>
      <c r="Q284" s="167">
        <f t="shared" si="167"/>
        <v>0</v>
      </c>
      <c r="R284" s="164">
        <f t="shared" si="168"/>
        <v>0</v>
      </c>
      <c r="S284" s="165">
        <f t="shared" si="169"/>
        <v>0</v>
      </c>
      <c r="U284" s="170">
        <f t="shared" si="170"/>
        <v>1</v>
      </c>
      <c r="V284" s="6">
        <v>1</v>
      </c>
      <c r="W284" s="6"/>
      <c r="X284" s="138">
        <f t="shared" si="155"/>
        <v>2</v>
      </c>
      <c r="Y284" s="167">
        <f t="shared" si="156"/>
        <v>1</v>
      </c>
      <c r="Z284" s="170">
        <f t="shared" si="171"/>
        <v>0</v>
      </c>
      <c r="AA284" s="6"/>
      <c r="AB284" s="6"/>
      <c r="AC284" s="138">
        <f t="shared" si="157"/>
        <v>2</v>
      </c>
      <c r="AD284" s="160">
        <f t="shared" si="158"/>
        <v>0</v>
      </c>
      <c r="AE284" s="170">
        <f t="shared" si="172"/>
        <v>0</v>
      </c>
      <c r="AF284" s="6"/>
      <c r="AG284" s="6"/>
      <c r="AH284" s="138">
        <f t="shared" si="159"/>
        <v>2</v>
      </c>
      <c r="AI284" s="160">
        <f t="shared" si="160"/>
        <v>0</v>
      </c>
      <c r="AJ284" s="170">
        <f t="shared" si="173"/>
        <v>0</v>
      </c>
      <c r="AK284" s="6"/>
      <c r="AL284" s="6"/>
      <c r="AM284" s="138">
        <f t="shared" si="161"/>
        <v>2</v>
      </c>
      <c r="AN284" s="160">
        <f t="shared" si="162"/>
        <v>0</v>
      </c>
      <c r="AO284" s="170">
        <f t="shared" si="174"/>
        <v>0</v>
      </c>
      <c r="AP284" s="6"/>
      <c r="AQ284" s="6"/>
      <c r="AR284" s="138">
        <f t="shared" si="163"/>
        <v>2</v>
      </c>
      <c r="AS284" s="160">
        <f t="shared" si="164"/>
        <v>0</v>
      </c>
      <c r="AT284" s="164">
        <f t="shared" si="165"/>
        <v>1</v>
      </c>
      <c r="AU284" s="165">
        <f t="shared" si="166"/>
        <v>0</v>
      </c>
    </row>
    <row r="285" spans="2:47" outlineLevel="1" x14ac:dyDescent="0.35">
      <c r="B285" s="48" t="s">
        <v>92</v>
      </c>
      <c r="C285" s="62" t="s">
        <v>141</v>
      </c>
      <c r="D285" s="70">
        <v>0</v>
      </c>
      <c r="E285" s="4">
        <v>0</v>
      </c>
      <c r="F285" s="70">
        <v>0</v>
      </c>
      <c r="G285" s="4">
        <v>0</v>
      </c>
      <c r="H285" s="185">
        <f t="shared" si="152"/>
        <v>0</v>
      </c>
      <c r="I285" s="70">
        <v>0</v>
      </c>
      <c r="J285" s="4">
        <v>0</v>
      </c>
      <c r="K285" s="167">
        <f t="shared" si="153"/>
        <v>0</v>
      </c>
      <c r="L285" s="70">
        <v>0</v>
      </c>
      <c r="M285" s="4"/>
      <c r="N285" s="167">
        <f t="shared" si="154"/>
        <v>0</v>
      </c>
      <c r="O285" s="70">
        <v>0</v>
      </c>
      <c r="P285" s="4"/>
      <c r="Q285" s="167">
        <f t="shared" si="167"/>
        <v>0</v>
      </c>
      <c r="R285" s="164">
        <f t="shared" si="168"/>
        <v>0</v>
      </c>
      <c r="S285" s="165">
        <f t="shared" si="169"/>
        <v>0</v>
      </c>
      <c r="U285" s="170">
        <f t="shared" si="170"/>
        <v>0</v>
      </c>
      <c r="V285" s="6"/>
      <c r="W285" s="6"/>
      <c r="X285" s="138">
        <f t="shared" si="155"/>
        <v>0</v>
      </c>
      <c r="Y285" s="167">
        <f t="shared" si="156"/>
        <v>0</v>
      </c>
      <c r="Z285" s="170">
        <f t="shared" si="171"/>
        <v>0</v>
      </c>
      <c r="AA285" s="6"/>
      <c r="AB285" s="6"/>
      <c r="AC285" s="138">
        <f t="shared" si="157"/>
        <v>0</v>
      </c>
      <c r="AD285" s="160">
        <f t="shared" si="158"/>
        <v>0</v>
      </c>
      <c r="AE285" s="170">
        <f t="shared" si="172"/>
        <v>0</v>
      </c>
      <c r="AF285" s="6"/>
      <c r="AG285" s="6"/>
      <c r="AH285" s="138">
        <f t="shared" si="159"/>
        <v>0</v>
      </c>
      <c r="AI285" s="160">
        <f t="shared" si="160"/>
        <v>0</v>
      </c>
      <c r="AJ285" s="170">
        <f t="shared" si="173"/>
        <v>0</v>
      </c>
      <c r="AK285" s="6"/>
      <c r="AL285" s="6"/>
      <c r="AM285" s="138">
        <f t="shared" si="161"/>
        <v>0</v>
      </c>
      <c r="AN285" s="160">
        <f t="shared" si="162"/>
        <v>0</v>
      </c>
      <c r="AO285" s="170">
        <f t="shared" si="174"/>
        <v>0</v>
      </c>
      <c r="AP285" s="6"/>
      <c r="AQ285" s="6"/>
      <c r="AR285" s="138">
        <f t="shared" si="163"/>
        <v>0</v>
      </c>
      <c r="AS285" s="160">
        <f t="shared" si="164"/>
        <v>0</v>
      </c>
      <c r="AT285" s="164">
        <f t="shared" si="165"/>
        <v>0</v>
      </c>
      <c r="AU285" s="165">
        <f t="shared" si="166"/>
        <v>0</v>
      </c>
    </row>
    <row r="286" spans="2:47" outlineLevel="1" x14ac:dyDescent="0.35">
      <c r="B286" s="48" t="s">
        <v>93</v>
      </c>
      <c r="C286" s="62" t="s">
        <v>141</v>
      </c>
      <c r="D286" s="70">
        <v>0</v>
      </c>
      <c r="E286" s="4">
        <v>0</v>
      </c>
      <c r="F286" s="70">
        <v>0</v>
      </c>
      <c r="G286" s="4">
        <v>0</v>
      </c>
      <c r="H286" s="185">
        <f t="shared" si="152"/>
        <v>0</v>
      </c>
      <c r="I286" s="70">
        <v>0</v>
      </c>
      <c r="J286" s="4">
        <v>0</v>
      </c>
      <c r="K286" s="167">
        <f t="shared" si="153"/>
        <v>0</v>
      </c>
      <c r="L286" s="70">
        <v>0</v>
      </c>
      <c r="M286" s="4"/>
      <c r="N286" s="167">
        <f t="shared" si="154"/>
        <v>0</v>
      </c>
      <c r="O286" s="70">
        <v>0</v>
      </c>
      <c r="P286" s="4"/>
      <c r="Q286" s="167">
        <f t="shared" si="167"/>
        <v>0</v>
      </c>
      <c r="R286" s="164">
        <f t="shared" si="168"/>
        <v>0</v>
      </c>
      <c r="S286" s="165">
        <f t="shared" si="169"/>
        <v>0</v>
      </c>
      <c r="U286" s="170">
        <f t="shared" si="170"/>
        <v>0</v>
      </c>
      <c r="V286" s="6"/>
      <c r="W286" s="6"/>
      <c r="X286" s="138">
        <f t="shared" si="155"/>
        <v>0</v>
      </c>
      <c r="Y286" s="167">
        <f t="shared" si="156"/>
        <v>0</v>
      </c>
      <c r="Z286" s="170">
        <f t="shared" si="171"/>
        <v>0</v>
      </c>
      <c r="AA286" s="6"/>
      <c r="AB286" s="6"/>
      <c r="AC286" s="138">
        <f t="shared" si="157"/>
        <v>0</v>
      </c>
      <c r="AD286" s="160">
        <f t="shared" si="158"/>
        <v>0</v>
      </c>
      <c r="AE286" s="170">
        <f t="shared" si="172"/>
        <v>0</v>
      </c>
      <c r="AF286" s="6"/>
      <c r="AG286" s="6"/>
      <c r="AH286" s="138">
        <f t="shared" si="159"/>
        <v>0</v>
      </c>
      <c r="AI286" s="160">
        <f t="shared" si="160"/>
        <v>0</v>
      </c>
      <c r="AJ286" s="170">
        <f t="shared" si="173"/>
        <v>0</v>
      </c>
      <c r="AK286" s="6"/>
      <c r="AL286" s="6"/>
      <c r="AM286" s="138">
        <f t="shared" si="161"/>
        <v>0</v>
      </c>
      <c r="AN286" s="160">
        <f t="shared" si="162"/>
        <v>0</v>
      </c>
      <c r="AO286" s="170">
        <f t="shared" si="174"/>
        <v>0</v>
      </c>
      <c r="AP286" s="6"/>
      <c r="AQ286" s="6"/>
      <c r="AR286" s="138">
        <f t="shared" si="163"/>
        <v>0</v>
      </c>
      <c r="AS286" s="160">
        <f t="shared" si="164"/>
        <v>0</v>
      </c>
      <c r="AT286" s="164">
        <f t="shared" si="165"/>
        <v>0</v>
      </c>
      <c r="AU286" s="165">
        <f t="shared" si="166"/>
        <v>0</v>
      </c>
    </row>
    <row r="287" spans="2:47" outlineLevel="1" x14ac:dyDescent="0.35">
      <c r="B287" s="48" t="s">
        <v>94</v>
      </c>
      <c r="C287" s="62" t="s">
        <v>141</v>
      </c>
      <c r="D287" s="70">
        <v>0</v>
      </c>
      <c r="E287" s="4">
        <v>0</v>
      </c>
      <c r="F287" s="70">
        <v>0</v>
      </c>
      <c r="G287" s="4">
        <v>0</v>
      </c>
      <c r="H287" s="185">
        <f t="shared" si="152"/>
        <v>0</v>
      </c>
      <c r="I287" s="70">
        <v>0</v>
      </c>
      <c r="J287" s="4">
        <v>0</v>
      </c>
      <c r="K287" s="167">
        <f t="shared" si="153"/>
        <v>0</v>
      </c>
      <c r="L287" s="70">
        <v>0</v>
      </c>
      <c r="M287" s="4"/>
      <c r="N287" s="167">
        <f t="shared" si="154"/>
        <v>0</v>
      </c>
      <c r="O287" s="70">
        <v>0</v>
      </c>
      <c r="P287" s="4"/>
      <c r="Q287" s="167">
        <f t="shared" si="167"/>
        <v>0</v>
      </c>
      <c r="R287" s="164">
        <f t="shared" si="168"/>
        <v>0</v>
      </c>
      <c r="S287" s="165">
        <f t="shared" si="169"/>
        <v>0</v>
      </c>
      <c r="U287" s="170">
        <f t="shared" si="170"/>
        <v>0</v>
      </c>
      <c r="V287" s="6"/>
      <c r="W287" s="6"/>
      <c r="X287" s="138">
        <f t="shared" si="155"/>
        <v>0</v>
      </c>
      <c r="Y287" s="167">
        <f t="shared" si="156"/>
        <v>0</v>
      </c>
      <c r="Z287" s="170">
        <f t="shared" si="171"/>
        <v>0</v>
      </c>
      <c r="AA287" s="6"/>
      <c r="AB287" s="6"/>
      <c r="AC287" s="138">
        <f t="shared" si="157"/>
        <v>0</v>
      </c>
      <c r="AD287" s="160">
        <f t="shared" si="158"/>
        <v>0</v>
      </c>
      <c r="AE287" s="170">
        <f t="shared" si="172"/>
        <v>0</v>
      </c>
      <c r="AF287" s="6"/>
      <c r="AG287" s="6"/>
      <c r="AH287" s="138">
        <f t="shared" si="159"/>
        <v>0</v>
      </c>
      <c r="AI287" s="160">
        <f t="shared" si="160"/>
        <v>0</v>
      </c>
      <c r="AJ287" s="170">
        <f t="shared" si="173"/>
        <v>0</v>
      </c>
      <c r="AK287" s="6"/>
      <c r="AL287" s="6"/>
      <c r="AM287" s="138">
        <f t="shared" si="161"/>
        <v>0</v>
      </c>
      <c r="AN287" s="160">
        <f t="shared" si="162"/>
        <v>0</v>
      </c>
      <c r="AO287" s="170">
        <f t="shared" si="174"/>
        <v>0</v>
      </c>
      <c r="AP287" s="6"/>
      <c r="AQ287" s="6"/>
      <c r="AR287" s="138">
        <f t="shared" si="163"/>
        <v>0</v>
      </c>
      <c r="AS287" s="160">
        <f t="shared" si="164"/>
        <v>0</v>
      </c>
      <c r="AT287" s="164">
        <f t="shared" si="165"/>
        <v>0</v>
      </c>
      <c r="AU287" s="165">
        <f t="shared" si="166"/>
        <v>0</v>
      </c>
    </row>
    <row r="288" spans="2:47" outlineLevel="1" x14ac:dyDescent="0.35">
      <c r="B288" s="48" t="s">
        <v>95</v>
      </c>
      <c r="C288" s="62" t="s">
        <v>141</v>
      </c>
      <c r="D288" s="70">
        <v>0</v>
      </c>
      <c r="E288" s="4">
        <v>0</v>
      </c>
      <c r="F288" s="70">
        <v>0</v>
      </c>
      <c r="G288" s="4">
        <v>0</v>
      </c>
      <c r="H288" s="185">
        <f t="shared" si="152"/>
        <v>0</v>
      </c>
      <c r="I288" s="70">
        <v>0</v>
      </c>
      <c r="J288" s="4">
        <v>0</v>
      </c>
      <c r="K288" s="167">
        <f t="shared" si="153"/>
        <v>0</v>
      </c>
      <c r="L288" s="70">
        <v>0</v>
      </c>
      <c r="M288" s="4"/>
      <c r="N288" s="167">
        <f t="shared" si="154"/>
        <v>0</v>
      </c>
      <c r="O288" s="70">
        <v>0</v>
      </c>
      <c r="P288" s="4"/>
      <c r="Q288" s="167">
        <f t="shared" si="167"/>
        <v>0</v>
      </c>
      <c r="R288" s="164">
        <f t="shared" si="168"/>
        <v>0</v>
      </c>
      <c r="S288" s="165">
        <f t="shared" si="169"/>
        <v>0</v>
      </c>
      <c r="U288" s="170">
        <f t="shared" si="170"/>
        <v>0</v>
      </c>
      <c r="V288" s="6"/>
      <c r="W288" s="6"/>
      <c r="X288" s="138">
        <f t="shared" si="155"/>
        <v>0</v>
      </c>
      <c r="Y288" s="167">
        <f t="shared" si="156"/>
        <v>0</v>
      </c>
      <c r="Z288" s="170">
        <f t="shared" si="171"/>
        <v>0</v>
      </c>
      <c r="AA288" s="6"/>
      <c r="AB288" s="6"/>
      <c r="AC288" s="138">
        <f t="shared" si="157"/>
        <v>0</v>
      </c>
      <c r="AD288" s="160">
        <f t="shared" si="158"/>
        <v>0</v>
      </c>
      <c r="AE288" s="170">
        <f t="shared" si="172"/>
        <v>0</v>
      </c>
      <c r="AF288" s="6"/>
      <c r="AG288" s="6"/>
      <c r="AH288" s="138">
        <f t="shared" si="159"/>
        <v>0</v>
      </c>
      <c r="AI288" s="160">
        <f t="shared" si="160"/>
        <v>0</v>
      </c>
      <c r="AJ288" s="170">
        <f t="shared" si="173"/>
        <v>0</v>
      </c>
      <c r="AK288" s="6"/>
      <c r="AL288" s="6"/>
      <c r="AM288" s="138">
        <f t="shared" si="161"/>
        <v>0</v>
      </c>
      <c r="AN288" s="160">
        <f t="shared" si="162"/>
        <v>0</v>
      </c>
      <c r="AO288" s="170">
        <f t="shared" si="174"/>
        <v>0</v>
      </c>
      <c r="AP288" s="6"/>
      <c r="AQ288" s="6"/>
      <c r="AR288" s="138">
        <f t="shared" si="163"/>
        <v>0</v>
      </c>
      <c r="AS288" s="160">
        <f t="shared" si="164"/>
        <v>0</v>
      </c>
      <c r="AT288" s="164">
        <f t="shared" si="165"/>
        <v>0</v>
      </c>
      <c r="AU288" s="165">
        <f t="shared" si="166"/>
        <v>0</v>
      </c>
    </row>
    <row r="289" spans="2:47" outlineLevel="1" x14ac:dyDescent="0.35">
      <c r="B289" s="48" t="s">
        <v>96</v>
      </c>
      <c r="C289" s="62" t="s">
        <v>141</v>
      </c>
      <c r="D289" s="70">
        <v>0</v>
      </c>
      <c r="E289" s="4">
        <v>0</v>
      </c>
      <c r="F289" s="70">
        <v>0</v>
      </c>
      <c r="G289" s="4">
        <v>0</v>
      </c>
      <c r="H289" s="185">
        <f t="shared" si="152"/>
        <v>0</v>
      </c>
      <c r="I289" s="70">
        <v>0</v>
      </c>
      <c r="J289" s="4">
        <v>0</v>
      </c>
      <c r="K289" s="167">
        <f t="shared" si="153"/>
        <v>0</v>
      </c>
      <c r="L289" s="70">
        <v>0</v>
      </c>
      <c r="M289" s="4"/>
      <c r="N289" s="167">
        <f t="shared" si="154"/>
        <v>0</v>
      </c>
      <c r="O289" s="70">
        <v>0</v>
      </c>
      <c r="P289" s="4"/>
      <c r="Q289" s="167">
        <f t="shared" si="167"/>
        <v>0</v>
      </c>
      <c r="R289" s="164">
        <f t="shared" si="168"/>
        <v>0</v>
      </c>
      <c r="S289" s="165">
        <f t="shared" si="169"/>
        <v>0</v>
      </c>
      <c r="U289" s="170">
        <f t="shared" si="170"/>
        <v>0</v>
      </c>
      <c r="V289" s="6"/>
      <c r="W289" s="6"/>
      <c r="X289" s="138">
        <f t="shared" si="155"/>
        <v>0</v>
      </c>
      <c r="Y289" s="167">
        <f t="shared" si="156"/>
        <v>0</v>
      </c>
      <c r="Z289" s="170">
        <f t="shared" si="171"/>
        <v>0</v>
      </c>
      <c r="AA289" s="6"/>
      <c r="AB289" s="6"/>
      <c r="AC289" s="138">
        <f t="shared" si="157"/>
        <v>0</v>
      </c>
      <c r="AD289" s="160">
        <f t="shared" si="158"/>
        <v>0</v>
      </c>
      <c r="AE289" s="170">
        <f t="shared" si="172"/>
        <v>0</v>
      </c>
      <c r="AF289" s="6"/>
      <c r="AG289" s="6"/>
      <c r="AH289" s="138">
        <f t="shared" si="159"/>
        <v>0</v>
      </c>
      <c r="AI289" s="160">
        <f t="shared" si="160"/>
        <v>0</v>
      </c>
      <c r="AJ289" s="170">
        <f t="shared" si="173"/>
        <v>0</v>
      </c>
      <c r="AK289" s="6"/>
      <c r="AL289" s="6"/>
      <c r="AM289" s="138">
        <f t="shared" si="161"/>
        <v>0</v>
      </c>
      <c r="AN289" s="160">
        <f t="shared" si="162"/>
        <v>0</v>
      </c>
      <c r="AO289" s="170">
        <f t="shared" si="174"/>
        <v>0</v>
      </c>
      <c r="AP289" s="6"/>
      <c r="AQ289" s="6"/>
      <c r="AR289" s="138">
        <f t="shared" si="163"/>
        <v>0</v>
      </c>
      <c r="AS289" s="160">
        <f t="shared" si="164"/>
        <v>0</v>
      </c>
      <c r="AT289" s="164">
        <f t="shared" si="165"/>
        <v>0</v>
      </c>
      <c r="AU289" s="165">
        <f t="shared" si="166"/>
        <v>0</v>
      </c>
    </row>
    <row r="290" spans="2:47" outlineLevel="1" x14ac:dyDescent="0.35">
      <c r="B290" s="48" t="s">
        <v>97</v>
      </c>
      <c r="C290" s="62" t="s">
        <v>141</v>
      </c>
      <c r="D290" s="70">
        <v>0</v>
      </c>
      <c r="E290" s="4">
        <v>0</v>
      </c>
      <c r="F290" s="70">
        <v>0</v>
      </c>
      <c r="G290" s="4">
        <v>0</v>
      </c>
      <c r="H290" s="185">
        <f t="shared" si="152"/>
        <v>0</v>
      </c>
      <c r="I290" s="70">
        <v>0</v>
      </c>
      <c r="J290" s="4">
        <v>0</v>
      </c>
      <c r="K290" s="167">
        <f t="shared" si="153"/>
        <v>0</v>
      </c>
      <c r="L290" s="70">
        <v>0</v>
      </c>
      <c r="M290" s="4"/>
      <c r="N290" s="167">
        <f t="shared" si="154"/>
        <v>0</v>
      </c>
      <c r="O290" s="70">
        <v>0</v>
      </c>
      <c r="P290" s="4"/>
      <c r="Q290" s="167">
        <f t="shared" si="167"/>
        <v>0</v>
      </c>
      <c r="R290" s="164">
        <f t="shared" si="168"/>
        <v>0</v>
      </c>
      <c r="S290" s="165">
        <f t="shared" si="169"/>
        <v>0</v>
      </c>
      <c r="U290" s="170">
        <f t="shared" si="170"/>
        <v>0</v>
      </c>
      <c r="V290" s="6"/>
      <c r="W290" s="6"/>
      <c r="X290" s="138">
        <f t="shared" si="155"/>
        <v>0</v>
      </c>
      <c r="Y290" s="167">
        <f t="shared" si="156"/>
        <v>0</v>
      </c>
      <c r="Z290" s="170">
        <f t="shared" si="171"/>
        <v>0</v>
      </c>
      <c r="AA290" s="6"/>
      <c r="AB290" s="6"/>
      <c r="AC290" s="138">
        <f t="shared" si="157"/>
        <v>0</v>
      </c>
      <c r="AD290" s="160">
        <f t="shared" si="158"/>
        <v>0</v>
      </c>
      <c r="AE290" s="170">
        <f t="shared" si="172"/>
        <v>0</v>
      </c>
      <c r="AF290" s="6"/>
      <c r="AG290" s="6"/>
      <c r="AH290" s="138">
        <f t="shared" si="159"/>
        <v>0</v>
      </c>
      <c r="AI290" s="160">
        <f t="shared" si="160"/>
        <v>0</v>
      </c>
      <c r="AJ290" s="170">
        <f t="shared" si="173"/>
        <v>0</v>
      </c>
      <c r="AK290" s="6"/>
      <c r="AL290" s="6"/>
      <c r="AM290" s="138">
        <f t="shared" si="161"/>
        <v>0</v>
      </c>
      <c r="AN290" s="160">
        <f t="shared" si="162"/>
        <v>0</v>
      </c>
      <c r="AO290" s="170">
        <f t="shared" si="174"/>
        <v>0</v>
      </c>
      <c r="AP290" s="6"/>
      <c r="AQ290" s="6"/>
      <c r="AR290" s="138">
        <f t="shared" si="163"/>
        <v>0</v>
      </c>
      <c r="AS290" s="160">
        <f t="shared" si="164"/>
        <v>0</v>
      </c>
      <c r="AT290" s="164">
        <f t="shared" si="165"/>
        <v>0</v>
      </c>
      <c r="AU290" s="165">
        <f t="shared" si="166"/>
        <v>0</v>
      </c>
    </row>
    <row r="291" spans="2:47" outlineLevel="1" x14ac:dyDescent="0.35">
      <c r="B291" s="48" t="s">
        <v>98</v>
      </c>
      <c r="C291" s="62" t="s">
        <v>141</v>
      </c>
      <c r="D291" s="70">
        <v>0</v>
      </c>
      <c r="E291" s="4">
        <v>2</v>
      </c>
      <c r="F291" s="70">
        <v>0</v>
      </c>
      <c r="G291" s="4">
        <v>2</v>
      </c>
      <c r="H291" s="185">
        <f t="shared" si="152"/>
        <v>0</v>
      </c>
      <c r="I291" s="70">
        <v>0</v>
      </c>
      <c r="J291" s="4">
        <v>2</v>
      </c>
      <c r="K291" s="167">
        <f t="shared" si="153"/>
        <v>0</v>
      </c>
      <c r="L291" s="70">
        <v>0</v>
      </c>
      <c r="M291" s="4">
        <v>2</v>
      </c>
      <c r="N291" s="167">
        <f t="shared" si="154"/>
        <v>0</v>
      </c>
      <c r="O291" s="70">
        <v>0</v>
      </c>
      <c r="P291" s="4">
        <v>2</v>
      </c>
      <c r="Q291" s="167">
        <f t="shared" si="167"/>
        <v>0</v>
      </c>
      <c r="R291" s="164">
        <f t="shared" si="168"/>
        <v>0</v>
      </c>
      <c r="S291" s="165">
        <f t="shared" si="169"/>
        <v>0</v>
      </c>
      <c r="U291" s="170">
        <f t="shared" si="170"/>
        <v>0</v>
      </c>
      <c r="V291" s="6"/>
      <c r="W291" s="6"/>
      <c r="X291" s="138">
        <f t="shared" si="155"/>
        <v>2</v>
      </c>
      <c r="Y291" s="167">
        <f t="shared" si="156"/>
        <v>0</v>
      </c>
      <c r="Z291" s="170">
        <f t="shared" si="171"/>
        <v>0</v>
      </c>
      <c r="AA291" s="6"/>
      <c r="AB291" s="6"/>
      <c r="AC291" s="138">
        <f t="shared" si="157"/>
        <v>2</v>
      </c>
      <c r="AD291" s="160">
        <f t="shared" si="158"/>
        <v>0</v>
      </c>
      <c r="AE291" s="170">
        <f t="shared" si="172"/>
        <v>0</v>
      </c>
      <c r="AF291" s="6"/>
      <c r="AG291" s="6"/>
      <c r="AH291" s="138">
        <f t="shared" si="159"/>
        <v>2</v>
      </c>
      <c r="AI291" s="160">
        <f t="shared" si="160"/>
        <v>0</v>
      </c>
      <c r="AJ291" s="170">
        <f t="shared" si="173"/>
        <v>0</v>
      </c>
      <c r="AK291" s="6"/>
      <c r="AL291" s="6"/>
      <c r="AM291" s="138">
        <f t="shared" si="161"/>
        <v>2</v>
      </c>
      <c r="AN291" s="160">
        <f t="shared" si="162"/>
        <v>0</v>
      </c>
      <c r="AO291" s="170">
        <f t="shared" si="174"/>
        <v>0</v>
      </c>
      <c r="AP291" s="6"/>
      <c r="AQ291" s="6"/>
      <c r="AR291" s="138">
        <f t="shared" si="163"/>
        <v>2</v>
      </c>
      <c r="AS291" s="160">
        <f t="shared" si="164"/>
        <v>0</v>
      </c>
      <c r="AT291" s="164">
        <f t="shared" si="165"/>
        <v>0</v>
      </c>
      <c r="AU291" s="165">
        <f t="shared" si="166"/>
        <v>0</v>
      </c>
    </row>
    <row r="292" spans="2:47" outlineLevel="1" x14ac:dyDescent="0.35">
      <c r="B292" s="48" t="s">
        <v>99</v>
      </c>
      <c r="C292" s="62" t="s">
        <v>141</v>
      </c>
      <c r="D292" s="70">
        <v>0</v>
      </c>
      <c r="E292" s="4">
        <v>4</v>
      </c>
      <c r="F292" s="70">
        <v>1</v>
      </c>
      <c r="G292" s="4">
        <v>5</v>
      </c>
      <c r="H292" s="185">
        <f t="shared" si="152"/>
        <v>0.25</v>
      </c>
      <c r="I292" s="70">
        <v>0</v>
      </c>
      <c r="J292" s="4">
        <v>5</v>
      </c>
      <c r="K292" s="167">
        <f t="shared" si="153"/>
        <v>0</v>
      </c>
      <c r="L292" s="70">
        <v>0</v>
      </c>
      <c r="M292" s="4">
        <v>5</v>
      </c>
      <c r="N292" s="167">
        <f t="shared" si="154"/>
        <v>0</v>
      </c>
      <c r="O292" s="70">
        <v>0</v>
      </c>
      <c r="P292" s="4">
        <v>5</v>
      </c>
      <c r="Q292" s="167">
        <f t="shared" si="167"/>
        <v>0</v>
      </c>
      <c r="R292" s="164">
        <f t="shared" si="168"/>
        <v>1</v>
      </c>
      <c r="S292" s="165">
        <f t="shared" si="169"/>
        <v>5.7371263440564091E-2</v>
      </c>
      <c r="U292" s="170">
        <f t="shared" si="170"/>
        <v>0</v>
      </c>
      <c r="V292" s="6"/>
      <c r="W292" s="6"/>
      <c r="X292" s="138">
        <f t="shared" si="155"/>
        <v>5</v>
      </c>
      <c r="Y292" s="167">
        <f t="shared" si="156"/>
        <v>0</v>
      </c>
      <c r="Z292" s="170">
        <f t="shared" si="171"/>
        <v>0</v>
      </c>
      <c r="AA292" s="6"/>
      <c r="AB292" s="6"/>
      <c r="AC292" s="138">
        <f t="shared" si="157"/>
        <v>5</v>
      </c>
      <c r="AD292" s="160">
        <f t="shared" si="158"/>
        <v>0</v>
      </c>
      <c r="AE292" s="170">
        <f t="shared" si="172"/>
        <v>0</v>
      </c>
      <c r="AF292" s="6"/>
      <c r="AG292" s="6"/>
      <c r="AH292" s="138">
        <f t="shared" si="159"/>
        <v>5</v>
      </c>
      <c r="AI292" s="160">
        <f t="shared" si="160"/>
        <v>0</v>
      </c>
      <c r="AJ292" s="170">
        <f t="shared" si="173"/>
        <v>1</v>
      </c>
      <c r="AK292" s="6"/>
      <c r="AL292" s="6">
        <v>1</v>
      </c>
      <c r="AM292" s="138">
        <f t="shared" si="161"/>
        <v>6</v>
      </c>
      <c r="AN292" s="160">
        <f t="shared" si="162"/>
        <v>0.2</v>
      </c>
      <c r="AO292" s="170">
        <f t="shared" si="174"/>
        <v>0</v>
      </c>
      <c r="AP292" s="6"/>
      <c r="AQ292" s="6"/>
      <c r="AR292" s="138">
        <f t="shared" si="163"/>
        <v>6</v>
      </c>
      <c r="AS292" s="160">
        <f t="shared" si="164"/>
        <v>0</v>
      </c>
      <c r="AT292" s="164">
        <f t="shared" si="165"/>
        <v>1</v>
      </c>
      <c r="AU292" s="165">
        <f t="shared" si="166"/>
        <v>4.6635139392105618E-2</v>
      </c>
    </row>
    <row r="293" spans="2:47" outlineLevel="1" x14ac:dyDescent="0.35">
      <c r="B293" s="48" t="s">
        <v>100</v>
      </c>
      <c r="C293" s="62" t="s">
        <v>141</v>
      </c>
      <c r="D293" s="70">
        <v>0</v>
      </c>
      <c r="E293" s="4">
        <v>0</v>
      </c>
      <c r="F293" s="70">
        <v>0</v>
      </c>
      <c r="G293" s="4">
        <v>0</v>
      </c>
      <c r="H293" s="185">
        <f t="shared" si="152"/>
        <v>0</v>
      </c>
      <c r="I293" s="70">
        <v>0</v>
      </c>
      <c r="J293" s="4">
        <v>0</v>
      </c>
      <c r="K293" s="167">
        <f t="shared" si="153"/>
        <v>0</v>
      </c>
      <c r="L293" s="70">
        <v>0</v>
      </c>
      <c r="M293" s="4"/>
      <c r="N293" s="167">
        <f t="shared" si="154"/>
        <v>0</v>
      </c>
      <c r="O293" s="70">
        <v>0</v>
      </c>
      <c r="P293" s="4"/>
      <c r="Q293" s="167">
        <f t="shared" si="167"/>
        <v>0</v>
      </c>
      <c r="R293" s="164">
        <f t="shared" si="168"/>
        <v>0</v>
      </c>
      <c r="S293" s="165">
        <f t="shared" si="169"/>
        <v>0</v>
      </c>
      <c r="U293" s="170">
        <f t="shared" si="170"/>
        <v>0</v>
      </c>
      <c r="V293" s="6"/>
      <c r="W293" s="6"/>
      <c r="X293" s="138">
        <f t="shared" si="155"/>
        <v>0</v>
      </c>
      <c r="Y293" s="167">
        <f t="shared" si="156"/>
        <v>0</v>
      </c>
      <c r="Z293" s="170">
        <f t="shared" si="171"/>
        <v>0</v>
      </c>
      <c r="AA293" s="6"/>
      <c r="AB293" s="6"/>
      <c r="AC293" s="138">
        <f t="shared" si="157"/>
        <v>0</v>
      </c>
      <c r="AD293" s="160">
        <f t="shared" si="158"/>
        <v>0</v>
      </c>
      <c r="AE293" s="170">
        <f t="shared" si="172"/>
        <v>0</v>
      </c>
      <c r="AF293" s="6"/>
      <c r="AG293" s="6"/>
      <c r="AH293" s="138">
        <f t="shared" si="159"/>
        <v>0</v>
      </c>
      <c r="AI293" s="160">
        <f t="shared" si="160"/>
        <v>0</v>
      </c>
      <c r="AJ293" s="170">
        <f t="shared" si="173"/>
        <v>0</v>
      </c>
      <c r="AK293" s="6"/>
      <c r="AL293" s="6"/>
      <c r="AM293" s="138">
        <f t="shared" si="161"/>
        <v>0</v>
      </c>
      <c r="AN293" s="160">
        <f t="shared" si="162"/>
        <v>0</v>
      </c>
      <c r="AO293" s="170">
        <f t="shared" si="174"/>
        <v>0</v>
      </c>
      <c r="AP293" s="6"/>
      <c r="AQ293" s="6"/>
      <c r="AR293" s="138">
        <f t="shared" si="163"/>
        <v>0</v>
      </c>
      <c r="AS293" s="160">
        <f t="shared" si="164"/>
        <v>0</v>
      </c>
      <c r="AT293" s="164">
        <f t="shared" si="165"/>
        <v>0</v>
      </c>
      <c r="AU293" s="165">
        <f t="shared" si="166"/>
        <v>0</v>
      </c>
    </row>
    <row r="294" spans="2:47" outlineLevel="1" x14ac:dyDescent="0.35">
      <c r="B294" s="48" t="s">
        <v>101</v>
      </c>
      <c r="C294" s="62" t="s">
        <v>141</v>
      </c>
      <c r="D294" s="70">
        <v>1</v>
      </c>
      <c r="E294" s="4">
        <v>9</v>
      </c>
      <c r="F294" s="70">
        <v>1</v>
      </c>
      <c r="G294" s="4">
        <v>10</v>
      </c>
      <c r="H294" s="185">
        <f t="shared" si="152"/>
        <v>0.1111111111111111</v>
      </c>
      <c r="I294" s="70">
        <v>1</v>
      </c>
      <c r="J294" s="4">
        <v>11</v>
      </c>
      <c r="K294" s="167">
        <f t="shared" si="153"/>
        <v>0.1</v>
      </c>
      <c r="L294" s="70">
        <v>-1</v>
      </c>
      <c r="M294" s="4">
        <v>10</v>
      </c>
      <c r="N294" s="167">
        <f t="shared" si="154"/>
        <v>-9.0909090909090912E-2</v>
      </c>
      <c r="O294" s="70">
        <v>-1</v>
      </c>
      <c r="P294" s="4">
        <v>9</v>
      </c>
      <c r="Q294" s="167">
        <f t="shared" si="167"/>
        <v>-0.1</v>
      </c>
      <c r="R294" s="164">
        <f t="shared" si="168"/>
        <v>1</v>
      </c>
      <c r="S294" s="165">
        <f t="shared" si="169"/>
        <v>0</v>
      </c>
      <c r="U294" s="170">
        <f t="shared" si="170"/>
        <v>2</v>
      </c>
      <c r="V294" s="6">
        <v>1</v>
      </c>
      <c r="W294" s="6">
        <v>1</v>
      </c>
      <c r="X294" s="138">
        <f t="shared" si="155"/>
        <v>11</v>
      </c>
      <c r="Y294" s="167">
        <f t="shared" si="156"/>
        <v>0.22222222222222221</v>
      </c>
      <c r="Z294" s="170">
        <f t="shared" si="171"/>
        <v>0</v>
      </c>
      <c r="AA294" s="6"/>
      <c r="AB294" s="6"/>
      <c r="AC294" s="138">
        <f t="shared" si="157"/>
        <v>11</v>
      </c>
      <c r="AD294" s="160">
        <f t="shared" si="158"/>
        <v>0</v>
      </c>
      <c r="AE294" s="170">
        <f t="shared" si="172"/>
        <v>0</v>
      </c>
      <c r="AF294" s="6"/>
      <c r="AG294" s="6"/>
      <c r="AH294" s="138">
        <f t="shared" si="159"/>
        <v>11</v>
      </c>
      <c r="AI294" s="160">
        <f t="shared" si="160"/>
        <v>0</v>
      </c>
      <c r="AJ294" s="170">
        <f t="shared" si="173"/>
        <v>0</v>
      </c>
      <c r="AK294" s="6"/>
      <c r="AL294" s="6"/>
      <c r="AM294" s="138">
        <f t="shared" si="161"/>
        <v>11</v>
      </c>
      <c r="AN294" s="160">
        <f t="shared" si="162"/>
        <v>0</v>
      </c>
      <c r="AO294" s="170">
        <f t="shared" si="174"/>
        <v>0</v>
      </c>
      <c r="AP294" s="6"/>
      <c r="AQ294" s="6"/>
      <c r="AR294" s="138">
        <f t="shared" si="163"/>
        <v>11</v>
      </c>
      <c r="AS294" s="160">
        <f t="shared" si="164"/>
        <v>0</v>
      </c>
      <c r="AT294" s="164">
        <f t="shared" si="165"/>
        <v>2</v>
      </c>
      <c r="AU294" s="165">
        <f t="shared" si="166"/>
        <v>0</v>
      </c>
    </row>
    <row r="295" spans="2:47" outlineLevel="1" x14ac:dyDescent="0.35">
      <c r="B295" s="48" t="s">
        <v>102</v>
      </c>
      <c r="C295" s="62" t="s">
        <v>141</v>
      </c>
      <c r="D295" s="70">
        <v>0</v>
      </c>
      <c r="E295" s="4">
        <v>0</v>
      </c>
      <c r="F295" s="70">
        <v>0</v>
      </c>
      <c r="G295" s="4">
        <v>0</v>
      </c>
      <c r="H295" s="185">
        <f t="shared" si="152"/>
        <v>0</v>
      </c>
      <c r="I295" s="70">
        <v>0</v>
      </c>
      <c r="J295" s="4">
        <v>0</v>
      </c>
      <c r="K295" s="167">
        <f t="shared" si="153"/>
        <v>0</v>
      </c>
      <c r="L295" s="70">
        <v>0</v>
      </c>
      <c r="M295" s="4"/>
      <c r="N295" s="167">
        <f t="shared" si="154"/>
        <v>0</v>
      </c>
      <c r="O295" s="70">
        <v>0</v>
      </c>
      <c r="P295" s="4"/>
      <c r="Q295" s="167">
        <f t="shared" si="167"/>
        <v>0</v>
      </c>
      <c r="R295" s="164">
        <f t="shared" si="168"/>
        <v>0</v>
      </c>
      <c r="S295" s="165">
        <f t="shared" si="169"/>
        <v>0</v>
      </c>
      <c r="U295" s="170">
        <f t="shared" si="170"/>
        <v>0</v>
      </c>
      <c r="V295" s="6"/>
      <c r="W295" s="6"/>
      <c r="X295" s="138">
        <f t="shared" si="155"/>
        <v>0</v>
      </c>
      <c r="Y295" s="167">
        <f t="shared" si="156"/>
        <v>0</v>
      </c>
      <c r="Z295" s="170">
        <f t="shared" si="171"/>
        <v>0</v>
      </c>
      <c r="AA295" s="6"/>
      <c r="AB295" s="6"/>
      <c r="AC295" s="138">
        <f t="shared" si="157"/>
        <v>0</v>
      </c>
      <c r="AD295" s="160">
        <f t="shared" si="158"/>
        <v>0</v>
      </c>
      <c r="AE295" s="170">
        <f t="shared" si="172"/>
        <v>0</v>
      </c>
      <c r="AF295" s="6"/>
      <c r="AG295" s="6"/>
      <c r="AH295" s="138">
        <f t="shared" si="159"/>
        <v>0</v>
      </c>
      <c r="AI295" s="160">
        <f t="shared" si="160"/>
        <v>0</v>
      </c>
      <c r="AJ295" s="170">
        <f t="shared" si="173"/>
        <v>0</v>
      </c>
      <c r="AK295" s="6"/>
      <c r="AL295" s="6"/>
      <c r="AM295" s="138">
        <f t="shared" si="161"/>
        <v>0</v>
      </c>
      <c r="AN295" s="160">
        <f t="shared" si="162"/>
        <v>0</v>
      </c>
      <c r="AO295" s="170">
        <f t="shared" si="174"/>
        <v>0</v>
      </c>
      <c r="AP295" s="6"/>
      <c r="AQ295" s="6"/>
      <c r="AR295" s="138">
        <f t="shared" si="163"/>
        <v>0</v>
      </c>
      <c r="AS295" s="160">
        <f t="shared" si="164"/>
        <v>0</v>
      </c>
      <c r="AT295" s="164">
        <f t="shared" si="165"/>
        <v>0</v>
      </c>
      <c r="AU295" s="165">
        <f t="shared" si="166"/>
        <v>0</v>
      </c>
    </row>
    <row r="296" spans="2:47" outlineLevel="1" x14ac:dyDescent="0.35">
      <c r="B296" s="48" t="s">
        <v>103</v>
      </c>
      <c r="C296" s="62" t="s">
        <v>141</v>
      </c>
      <c r="D296" s="70">
        <v>0</v>
      </c>
      <c r="E296" s="4">
        <v>9</v>
      </c>
      <c r="F296" s="70">
        <v>0</v>
      </c>
      <c r="G296" s="4">
        <v>9</v>
      </c>
      <c r="H296" s="185">
        <f t="shared" si="152"/>
        <v>0</v>
      </c>
      <c r="I296" s="70">
        <v>0</v>
      </c>
      <c r="J296" s="4">
        <v>9</v>
      </c>
      <c r="K296" s="167">
        <f t="shared" si="153"/>
        <v>0</v>
      </c>
      <c r="L296" s="70">
        <v>0</v>
      </c>
      <c r="M296" s="4">
        <v>9</v>
      </c>
      <c r="N296" s="167">
        <f t="shared" si="154"/>
        <v>0</v>
      </c>
      <c r="O296" s="70">
        <v>-1</v>
      </c>
      <c r="P296" s="4">
        <v>8</v>
      </c>
      <c r="Q296" s="167">
        <f t="shared" si="167"/>
        <v>-0.1111111111111111</v>
      </c>
      <c r="R296" s="164">
        <f t="shared" si="168"/>
        <v>-1</v>
      </c>
      <c r="S296" s="165">
        <f t="shared" si="169"/>
        <v>-2.9016456585353123E-2</v>
      </c>
      <c r="U296" s="170">
        <f t="shared" si="170"/>
        <v>0</v>
      </c>
      <c r="V296" s="6"/>
      <c r="W296" s="6"/>
      <c r="X296" s="138">
        <f t="shared" si="155"/>
        <v>8</v>
      </c>
      <c r="Y296" s="167">
        <f t="shared" si="156"/>
        <v>0</v>
      </c>
      <c r="Z296" s="170">
        <f t="shared" si="171"/>
        <v>0</v>
      </c>
      <c r="AA296" s="6"/>
      <c r="AB296" s="6"/>
      <c r="AC296" s="138">
        <f t="shared" si="157"/>
        <v>8</v>
      </c>
      <c r="AD296" s="160">
        <f t="shared" si="158"/>
        <v>0</v>
      </c>
      <c r="AE296" s="170">
        <f t="shared" si="172"/>
        <v>0</v>
      </c>
      <c r="AF296" s="6"/>
      <c r="AG296" s="6"/>
      <c r="AH296" s="138">
        <f t="shared" si="159"/>
        <v>8</v>
      </c>
      <c r="AI296" s="160">
        <f t="shared" si="160"/>
        <v>0</v>
      </c>
      <c r="AJ296" s="170">
        <f t="shared" si="173"/>
        <v>0</v>
      </c>
      <c r="AK296" s="6"/>
      <c r="AL296" s="6"/>
      <c r="AM296" s="138">
        <f t="shared" si="161"/>
        <v>8</v>
      </c>
      <c r="AN296" s="160">
        <f t="shared" si="162"/>
        <v>0</v>
      </c>
      <c r="AO296" s="170">
        <f t="shared" si="174"/>
        <v>0</v>
      </c>
      <c r="AP296" s="6"/>
      <c r="AQ296" s="6"/>
      <c r="AR296" s="138">
        <f t="shared" si="163"/>
        <v>8</v>
      </c>
      <c r="AS296" s="160">
        <f t="shared" si="164"/>
        <v>0</v>
      </c>
      <c r="AT296" s="164">
        <f t="shared" si="165"/>
        <v>0</v>
      </c>
      <c r="AU296" s="165">
        <f t="shared" si="166"/>
        <v>0</v>
      </c>
    </row>
    <row r="297" spans="2:47" outlineLevel="1" x14ac:dyDescent="0.35">
      <c r="B297" s="48" t="s">
        <v>104</v>
      </c>
      <c r="C297" s="62" t="s">
        <v>141</v>
      </c>
      <c r="D297" s="70">
        <v>0</v>
      </c>
      <c r="E297" s="4">
        <v>0</v>
      </c>
      <c r="F297" s="70">
        <v>0</v>
      </c>
      <c r="G297" s="4">
        <v>0</v>
      </c>
      <c r="H297" s="185">
        <f t="shared" si="152"/>
        <v>0</v>
      </c>
      <c r="I297" s="70">
        <v>0</v>
      </c>
      <c r="J297" s="4">
        <v>0</v>
      </c>
      <c r="K297" s="167">
        <f t="shared" si="153"/>
        <v>0</v>
      </c>
      <c r="L297" s="70">
        <v>0</v>
      </c>
      <c r="M297" s="4"/>
      <c r="N297" s="167">
        <f t="shared" si="154"/>
        <v>0</v>
      </c>
      <c r="O297" s="70">
        <v>0</v>
      </c>
      <c r="P297" s="4"/>
      <c r="Q297" s="167">
        <f t="shared" si="167"/>
        <v>0</v>
      </c>
      <c r="R297" s="164">
        <f t="shared" si="168"/>
        <v>0</v>
      </c>
      <c r="S297" s="165">
        <f t="shared" si="169"/>
        <v>0</v>
      </c>
      <c r="U297" s="170">
        <f t="shared" si="170"/>
        <v>0</v>
      </c>
      <c r="V297" s="6"/>
      <c r="W297" s="6"/>
      <c r="X297" s="138">
        <f t="shared" si="155"/>
        <v>0</v>
      </c>
      <c r="Y297" s="167">
        <f t="shared" si="156"/>
        <v>0</v>
      </c>
      <c r="Z297" s="170">
        <f t="shared" si="171"/>
        <v>0</v>
      </c>
      <c r="AA297" s="6"/>
      <c r="AB297" s="6"/>
      <c r="AC297" s="138">
        <f t="shared" si="157"/>
        <v>0</v>
      </c>
      <c r="AD297" s="160">
        <f t="shared" si="158"/>
        <v>0</v>
      </c>
      <c r="AE297" s="170">
        <f t="shared" si="172"/>
        <v>0</v>
      </c>
      <c r="AF297" s="6"/>
      <c r="AG297" s="6"/>
      <c r="AH297" s="138">
        <f t="shared" si="159"/>
        <v>0</v>
      </c>
      <c r="AI297" s="160">
        <f t="shared" si="160"/>
        <v>0</v>
      </c>
      <c r="AJ297" s="170">
        <f t="shared" si="173"/>
        <v>0</v>
      </c>
      <c r="AK297" s="6"/>
      <c r="AL297" s="6"/>
      <c r="AM297" s="138">
        <f t="shared" si="161"/>
        <v>0</v>
      </c>
      <c r="AN297" s="160">
        <f t="shared" si="162"/>
        <v>0</v>
      </c>
      <c r="AO297" s="170">
        <f t="shared" si="174"/>
        <v>0</v>
      </c>
      <c r="AP297" s="6"/>
      <c r="AQ297" s="6"/>
      <c r="AR297" s="138">
        <f t="shared" si="163"/>
        <v>0</v>
      </c>
      <c r="AS297" s="160">
        <f t="shared" si="164"/>
        <v>0</v>
      </c>
      <c r="AT297" s="164">
        <f t="shared" si="165"/>
        <v>0</v>
      </c>
      <c r="AU297" s="165">
        <f t="shared" si="166"/>
        <v>0</v>
      </c>
    </row>
    <row r="298" spans="2:47" outlineLevel="1" x14ac:dyDescent="0.35">
      <c r="B298" s="48" t="s">
        <v>136</v>
      </c>
      <c r="C298" s="62" t="s">
        <v>141</v>
      </c>
      <c r="D298" s="70">
        <v>0</v>
      </c>
      <c r="E298" s="4">
        <v>0</v>
      </c>
      <c r="F298" s="70">
        <v>0</v>
      </c>
      <c r="G298" s="4">
        <v>0</v>
      </c>
      <c r="H298" s="185">
        <f t="shared" si="152"/>
        <v>0</v>
      </c>
      <c r="I298" s="70">
        <v>0</v>
      </c>
      <c r="J298" s="4">
        <v>0</v>
      </c>
      <c r="K298" s="167">
        <f t="shared" si="153"/>
        <v>0</v>
      </c>
      <c r="L298" s="70">
        <v>0</v>
      </c>
      <c r="M298" s="4"/>
      <c r="N298" s="167">
        <f t="shared" si="154"/>
        <v>0</v>
      </c>
      <c r="O298" s="70">
        <v>0</v>
      </c>
      <c r="P298" s="4"/>
      <c r="Q298" s="167">
        <f t="shared" si="167"/>
        <v>0</v>
      </c>
      <c r="R298" s="164">
        <f t="shared" si="168"/>
        <v>0</v>
      </c>
      <c r="S298" s="165">
        <f t="shared" si="169"/>
        <v>0</v>
      </c>
      <c r="U298" s="170">
        <f t="shared" si="170"/>
        <v>0</v>
      </c>
      <c r="V298" s="6"/>
      <c r="W298" s="6"/>
      <c r="X298" s="138">
        <f t="shared" si="155"/>
        <v>0</v>
      </c>
      <c r="Y298" s="167">
        <f t="shared" si="156"/>
        <v>0</v>
      </c>
      <c r="Z298" s="170">
        <f t="shared" si="171"/>
        <v>0</v>
      </c>
      <c r="AA298" s="6"/>
      <c r="AB298" s="6"/>
      <c r="AC298" s="138">
        <f t="shared" si="157"/>
        <v>0</v>
      </c>
      <c r="AD298" s="160">
        <f t="shared" si="158"/>
        <v>0</v>
      </c>
      <c r="AE298" s="170">
        <f t="shared" si="172"/>
        <v>0</v>
      </c>
      <c r="AF298" s="6"/>
      <c r="AG298" s="6"/>
      <c r="AH298" s="138">
        <f t="shared" si="159"/>
        <v>0</v>
      </c>
      <c r="AI298" s="160">
        <f t="shared" si="160"/>
        <v>0</v>
      </c>
      <c r="AJ298" s="170">
        <f t="shared" si="173"/>
        <v>0</v>
      </c>
      <c r="AK298" s="6"/>
      <c r="AL298" s="6"/>
      <c r="AM298" s="138">
        <f t="shared" si="161"/>
        <v>0</v>
      </c>
      <c r="AN298" s="160">
        <f t="shared" si="162"/>
        <v>0</v>
      </c>
      <c r="AO298" s="170">
        <f t="shared" si="174"/>
        <v>0</v>
      </c>
      <c r="AP298" s="6"/>
      <c r="AQ298" s="6"/>
      <c r="AR298" s="138">
        <f t="shared" si="163"/>
        <v>0</v>
      </c>
      <c r="AS298" s="160">
        <f t="shared" si="164"/>
        <v>0</v>
      </c>
      <c r="AT298" s="164">
        <f t="shared" si="165"/>
        <v>0</v>
      </c>
      <c r="AU298" s="165">
        <f t="shared" si="166"/>
        <v>0</v>
      </c>
    </row>
    <row r="299" spans="2:47" outlineLevel="1" x14ac:dyDescent="0.35">
      <c r="B299" s="48" t="s">
        <v>106</v>
      </c>
      <c r="C299" s="62" t="s">
        <v>141</v>
      </c>
      <c r="D299" s="70">
        <v>0</v>
      </c>
      <c r="E299" s="4">
        <v>3</v>
      </c>
      <c r="F299" s="70">
        <v>0</v>
      </c>
      <c r="G299" s="4">
        <v>3</v>
      </c>
      <c r="H299" s="185">
        <f t="shared" si="152"/>
        <v>0</v>
      </c>
      <c r="I299" s="70">
        <v>0</v>
      </c>
      <c r="J299" s="4">
        <v>3</v>
      </c>
      <c r="K299" s="167">
        <f t="shared" si="153"/>
        <v>0</v>
      </c>
      <c r="L299" s="70">
        <v>0</v>
      </c>
      <c r="M299" s="4">
        <v>3</v>
      </c>
      <c r="N299" s="167">
        <f t="shared" si="154"/>
        <v>0</v>
      </c>
      <c r="O299" s="70">
        <v>0</v>
      </c>
      <c r="P299" s="4">
        <v>3</v>
      </c>
      <c r="Q299" s="167">
        <f t="shared" si="167"/>
        <v>0</v>
      </c>
      <c r="R299" s="164">
        <f t="shared" si="168"/>
        <v>0</v>
      </c>
      <c r="S299" s="165">
        <f t="shared" si="169"/>
        <v>0</v>
      </c>
      <c r="U299" s="170">
        <f t="shared" si="170"/>
        <v>1</v>
      </c>
      <c r="V299" s="6">
        <v>1</v>
      </c>
      <c r="W299" s="6"/>
      <c r="X299" s="138">
        <f t="shared" si="155"/>
        <v>4</v>
      </c>
      <c r="Y299" s="167">
        <f t="shared" si="156"/>
        <v>0.33333333333333331</v>
      </c>
      <c r="Z299" s="170">
        <f t="shared" si="171"/>
        <v>1</v>
      </c>
      <c r="AA299" s="6"/>
      <c r="AB299" s="6">
        <v>1</v>
      </c>
      <c r="AC299" s="138">
        <f t="shared" si="157"/>
        <v>5</v>
      </c>
      <c r="AD299" s="160">
        <f t="shared" si="158"/>
        <v>0.25</v>
      </c>
      <c r="AE299" s="170">
        <f t="shared" si="172"/>
        <v>0</v>
      </c>
      <c r="AF299" s="6"/>
      <c r="AG299" s="6"/>
      <c r="AH299" s="138">
        <f t="shared" si="159"/>
        <v>5</v>
      </c>
      <c r="AI299" s="160">
        <f t="shared" si="160"/>
        <v>0</v>
      </c>
      <c r="AJ299" s="170">
        <f t="shared" si="173"/>
        <v>0</v>
      </c>
      <c r="AK299" s="6"/>
      <c r="AL299" s="6"/>
      <c r="AM299" s="138">
        <f t="shared" si="161"/>
        <v>5</v>
      </c>
      <c r="AN299" s="160">
        <f t="shared" si="162"/>
        <v>0</v>
      </c>
      <c r="AO299" s="170">
        <f t="shared" si="174"/>
        <v>0</v>
      </c>
      <c r="AP299" s="6"/>
      <c r="AQ299" s="6"/>
      <c r="AR299" s="138">
        <f t="shared" si="163"/>
        <v>5</v>
      </c>
      <c r="AS299" s="160">
        <f t="shared" si="164"/>
        <v>0</v>
      </c>
      <c r="AT299" s="164">
        <f t="shared" si="165"/>
        <v>2</v>
      </c>
      <c r="AU299" s="165">
        <f t="shared" si="166"/>
        <v>5.7371263440564091E-2</v>
      </c>
    </row>
    <row r="300" spans="2:47" outlineLevel="1" x14ac:dyDescent="0.35">
      <c r="B300" s="48" t="s">
        <v>107</v>
      </c>
      <c r="C300" s="62" t="s">
        <v>141</v>
      </c>
      <c r="D300" s="70">
        <v>0</v>
      </c>
      <c r="E300" s="4">
        <v>2</v>
      </c>
      <c r="F300" s="70">
        <v>0</v>
      </c>
      <c r="G300" s="4">
        <v>2</v>
      </c>
      <c r="H300" s="185">
        <f t="shared" si="152"/>
        <v>0</v>
      </c>
      <c r="I300" s="70">
        <v>-1</v>
      </c>
      <c r="J300" s="4">
        <v>1</v>
      </c>
      <c r="K300" s="167">
        <f t="shared" si="153"/>
        <v>-0.5</v>
      </c>
      <c r="L300" s="70">
        <v>0</v>
      </c>
      <c r="M300" s="4">
        <v>1</v>
      </c>
      <c r="N300" s="167">
        <f t="shared" si="154"/>
        <v>0</v>
      </c>
      <c r="O300" s="70">
        <v>0</v>
      </c>
      <c r="P300" s="4">
        <v>1</v>
      </c>
      <c r="Q300" s="167">
        <f t="shared" si="167"/>
        <v>0</v>
      </c>
      <c r="R300" s="164">
        <f t="shared" si="168"/>
        <v>-1</v>
      </c>
      <c r="S300" s="165">
        <f t="shared" si="169"/>
        <v>-0.1591035847462855</v>
      </c>
      <c r="U300" s="170">
        <f t="shared" si="170"/>
        <v>0</v>
      </c>
      <c r="V300" s="6"/>
      <c r="W300" s="6"/>
      <c r="X300" s="138">
        <f t="shared" si="155"/>
        <v>1</v>
      </c>
      <c r="Y300" s="167">
        <f t="shared" si="156"/>
        <v>0</v>
      </c>
      <c r="Z300" s="170">
        <f t="shared" si="171"/>
        <v>0</v>
      </c>
      <c r="AA300" s="6"/>
      <c r="AB300" s="6"/>
      <c r="AC300" s="138">
        <f t="shared" si="157"/>
        <v>1</v>
      </c>
      <c r="AD300" s="160">
        <f t="shared" si="158"/>
        <v>0</v>
      </c>
      <c r="AE300" s="170">
        <f t="shared" si="172"/>
        <v>0</v>
      </c>
      <c r="AF300" s="6"/>
      <c r="AG300" s="6"/>
      <c r="AH300" s="138">
        <f t="shared" si="159"/>
        <v>1</v>
      </c>
      <c r="AI300" s="160">
        <f t="shared" si="160"/>
        <v>0</v>
      </c>
      <c r="AJ300" s="170">
        <f t="shared" si="173"/>
        <v>0</v>
      </c>
      <c r="AK300" s="6"/>
      <c r="AL300" s="6"/>
      <c r="AM300" s="138">
        <f t="shared" si="161"/>
        <v>1</v>
      </c>
      <c r="AN300" s="160">
        <f t="shared" si="162"/>
        <v>0</v>
      </c>
      <c r="AO300" s="170">
        <f t="shared" si="174"/>
        <v>0</v>
      </c>
      <c r="AP300" s="6"/>
      <c r="AQ300" s="6"/>
      <c r="AR300" s="138">
        <f t="shared" si="163"/>
        <v>1</v>
      </c>
      <c r="AS300" s="160">
        <f t="shared" si="164"/>
        <v>0</v>
      </c>
      <c r="AT300" s="164">
        <f t="shared" si="165"/>
        <v>0</v>
      </c>
      <c r="AU300" s="165">
        <f t="shared" si="166"/>
        <v>0</v>
      </c>
    </row>
    <row r="301" spans="2:47" outlineLevel="1" x14ac:dyDescent="0.35">
      <c r="B301" s="48" t="s">
        <v>108</v>
      </c>
      <c r="C301" s="62" t="s">
        <v>141</v>
      </c>
      <c r="D301" s="70">
        <v>0</v>
      </c>
      <c r="E301" s="4">
        <v>0</v>
      </c>
      <c r="F301" s="70">
        <v>0</v>
      </c>
      <c r="G301" s="4">
        <v>0</v>
      </c>
      <c r="H301" s="185">
        <f t="shared" si="152"/>
        <v>0</v>
      </c>
      <c r="I301" s="70">
        <v>0</v>
      </c>
      <c r="J301" s="4">
        <v>0</v>
      </c>
      <c r="K301" s="167">
        <f t="shared" si="153"/>
        <v>0</v>
      </c>
      <c r="L301" s="70">
        <v>0</v>
      </c>
      <c r="M301" s="4"/>
      <c r="N301" s="167">
        <f t="shared" si="154"/>
        <v>0</v>
      </c>
      <c r="O301" s="70">
        <v>0</v>
      </c>
      <c r="P301" s="4"/>
      <c r="Q301" s="167">
        <f t="shared" si="167"/>
        <v>0</v>
      </c>
      <c r="R301" s="164">
        <f t="shared" si="168"/>
        <v>0</v>
      </c>
      <c r="S301" s="165">
        <f t="shared" si="169"/>
        <v>0</v>
      </c>
      <c r="U301" s="170">
        <f t="shared" si="170"/>
        <v>0</v>
      </c>
      <c r="V301" s="6"/>
      <c r="W301" s="6"/>
      <c r="X301" s="138">
        <f t="shared" si="155"/>
        <v>0</v>
      </c>
      <c r="Y301" s="167">
        <f t="shared" si="156"/>
        <v>0</v>
      </c>
      <c r="Z301" s="170">
        <f t="shared" si="171"/>
        <v>0</v>
      </c>
      <c r="AA301" s="6"/>
      <c r="AB301" s="6"/>
      <c r="AC301" s="138">
        <f t="shared" si="157"/>
        <v>0</v>
      </c>
      <c r="AD301" s="160">
        <f t="shared" si="158"/>
        <v>0</v>
      </c>
      <c r="AE301" s="170">
        <f t="shared" si="172"/>
        <v>0</v>
      </c>
      <c r="AF301" s="6"/>
      <c r="AG301" s="6"/>
      <c r="AH301" s="138">
        <f t="shared" si="159"/>
        <v>0</v>
      </c>
      <c r="AI301" s="160">
        <f t="shared" si="160"/>
        <v>0</v>
      </c>
      <c r="AJ301" s="170">
        <f t="shared" si="173"/>
        <v>0</v>
      </c>
      <c r="AK301" s="6"/>
      <c r="AL301" s="6"/>
      <c r="AM301" s="138">
        <f t="shared" si="161"/>
        <v>0</v>
      </c>
      <c r="AN301" s="160">
        <f t="shared" si="162"/>
        <v>0</v>
      </c>
      <c r="AO301" s="170">
        <f t="shared" si="174"/>
        <v>0</v>
      </c>
      <c r="AP301" s="6"/>
      <c r="AQ301" s="6"/>
      <c r="AR301" s="138">
        <f t="shared" si="163"/>
        <v>0</v>
      </c>
      <c r="AS301" s="160">
        <f t="shared" si="164"/>
        <v>0</v>
      </c>
      <c r="AT301" s="164">
        <f t="shared" si="165"/>
        <v>0</v>
      </c>
      <c r="AU301" s="165">
        <f t="shared" si="166"/>
        <v>0</v>
      </c>
    </row>
    <row r="302" spans="2:47" outlineLevel="1" x14ac:dyDescent="0.35">
      <c r="B302" s="48" t="s">
        <v>109</v>
      </c>
      <c r="C302" s="62" t="s">
        <v>141</v>
      </c>
      <c r="D302" s="70">
        <v>0</v>
      </c>
      <c r="E302" s="4">
        <v>0</v>
      </c>
      <c r="F302" s="70">
        <v>0</v>
      </c>
      <c r="G302" s="4">
        <v>0</v>
      </c>
      <c r="H302" s="185">
        <f t="shared" si="152"/>
        <v>0</v>
      </c>
      <c r="I302" s="70">
        <v>0</v>
      </c>
      <c r="J302" s="4">
        <v>0</v>
      </c>
      <c r="K302" s="167">
        <f t="shared" si="153"/>
        <v>0</v>
      </c>
      <c r="L302" s="70">
        <v>0</v>
      </c>
      <c r="M302" s="4"/>
      <c r="N302" s="167">
        <f t="shared" si="154"/>
        <v>0</v>
      </c>
      <c r="O302" s="70">
        <v>0</v>
      </c>
      <c r="P302" s="4"/>
      <c r="Q302" s="167">
        <f t="shared" si="167"/>
        <v>0</v>
      </c>
      <c r="R302" s="164">
        <f t="shared" si="168"/>
        <v>0</v>
      </c>
      <c r="S302" s="165">
        <f t="shared" si="169"/>
        <v>0</v>
      </c>
      <c r="U302" s="170">
        <f t="shared" si="170"/>
        <v>0</v>
      </c>
      <c r="V302" s="6"/>
      <c r="W302" s="6"/>
      <c r="X302" s="138">
        <f t="shared" si="155"/>
        <v>0</v>
      </c>
      <c r="Y302" s="167">
        <f t="shared" si="156"/>
        <v>0</v>
      </c>
      <c r="Z302" s="170">
        <f t="shared" si="171"/>
        <v>0</v>
      </c>
      <c r="AA302" s="6"/>
      <c r="AB302" s="6"/>
      <c r="AC302" s="138">
        <f t="shared" si="157"/>
        <v>0</v>
      </c>
      <c r="AD302" s="160">
        <f t="shared" si="158"/>
        <v>0</v>
      </c>
      <c r="AE302" s="170">
        <f t="shared" si="172"/>
        <v>0</v>
      </c>
      <c r="AF302" s="6"/>
      <c r="AG302" s="6"/>
      <c r="AH302" s="138">
        <f t="shared" si="159"/>
        <v>0</v>
      </c>
      <c r="AI302" s="160">
        <f t="shared" si="160"/>
        <v>0</v>
      </c>
      <c r="AJ302" s="170">
        <f t="shared" si="173"/>
        <v>0</v>
      </c>
      <c r="AK302" s="6"/>
      <c r="AL302" s="6"/>
      <c r="AM302" s="138">
        <f t="shared" si="161"/>
        <v>0</v>
      </c>
      <c r="AN302" s="160">
        <f t="shared" si="162"/>
        <v>0</v>
      </c>
      <c r="AO302" s="170">
        <f t="shared" si="174"/>
        <v>0</v>
      </c>
      <c r="AP302" s="6"/>
      <c r="AQ302" s="6"/>
      <c r="AR302" s="138">
        <f t="shared" si="163"/>
        <v>0</v>
      </c>
      <c r="AS302" s="160">
        <f t="shared" si="164"/>
        <v>0</v>
      </c>
      <c r="AT302" s="164">
        <f t="shared" si="165"/>
        <v>0</v>
      </c>
      <c r="AU302" s="165">
        <f t="shared" si="166"/>
        <v>0</v>
      </c>
    </row>
    <row r="303" spans="2:47" outlineLevel="1" x14ac:dyDescent="0.35">
      <c r="B303" s="48" t="s">
        <v>110</v>
      </c>
      <c r="C303" s="62" t="s">
        <v>141</v>
      </c>
      <c r="D303" s="70">
        <v>0</v>
      </c>
      <c r="E303" s="4">
        <v>0</v>
      </c>
      <c r="F303" s="70">
        <v>0</v>
      </c>
      <c r="G303" s="4">
        <v>0</v>
      </c>
      <c r="H303" s="185">
        <f t="shared" si="152"/>
        <v>0</v>
      </c>
      <c r="I303" s="70">
        <v>0</v>
      </c>
      <c r="J303" s="4">
        <v>0</v>
      </c>
      <c r="K303" s="167">
        <f t="shared" si="153"/>
        <v>0</v>
      </c>
      <c r="L303" s="70">
        <v>0</v>
      </c>
      <c r="M303" s="4"/>
      <c r="N303" s="167">
        <f t="shared" si="154"/>
        <v>0</v>
      </c>
      <c r="O303" s="70">
        <v>0</v>
      </c>
      <c r="P303" s="4"/>
      <c r="Q303" s="167">
        <f t="shared" si="167"/>
        <v>0</v>
      </c>
      <c r="R303" s="164">
        <f t="shared" si="168"/>
        <v>0</v>
      </c>
      <c r="S303" s="165">
        <f t="shared" si="169"/>
        <v>0</v>
      </c>
      <c r="U303" s="170">
        <f t="shared" si="170"/>
        <v>0</v>
      </c>
      <c r="V303" s="6"/>
      <c r="W303" s="6"/>
      <c r="X303" s="138">
        <f t="shared" si="155"/>
        <v>0</v>
      </c>
      <c r="Y303" s="167">
        <f t="shared" si="156"/>
        <v>0</v>
      </c>
      <c r="Z303" s="170">
        <f t="shared" si="171"/>
        <v>0</v>
      </c>
      <c r="AA303" s="6"/>
      <c r="AB303" s="6"/>
      <c r="AC303" s="138">
        <f t="shared" si="157"/>
        <v>0</v>
      </c>
      <c r="AD303" s="160">
        <f t="shared" si="158"/>
        <v>0</v>
      </c>
      <c r="AE303" s="170">
        <f t="shared" si="172"/>
        <v>0</v>
      </c>
      <c r="AF303" s="6"/>
      <c r="AG303" s="6"/>
      <c r="AH303" s="138">
        <f t="shared" si="159"/>
        <v>0</v>
      </c>
      <c r="AI303" s="160">
        <f t="shared" si="160"/>
        <v>0</v>
      </c>
      <c r="AJ303" s="170">
        <f t="shared" si="173"/>
        <v>0</v>
      </c>
      <c r="AK303" s="6"/>
      <c r="AL303" s="6"/>
      <c r="AM303" s="138">
        <f t="shared" si="161"/>
        <v>0</v>
      </c>
      <c r="AN303" s="160">
        <f t="shared" si="162"/>
        <v>0</v>
      </c>
      <c r="AO303" s="170">
        <f t="shared" si="174"/>
        <v>0</v>
      </c>
      <c r="AP303" s="6"/>
      <c r="AQ303" s="6"/>
      <c r="AR303" s="138">
        <f t="shared" si="163"/>
        <v>0</v>
      </c>
      <c r="AS303" s="160">
        <f t="shared" si="164"/>
        <v>0</v>
      </c>
      <c r="AT303" s="164">
        <f t="shared" si="165"/>
        <v>0</v>
      </c>
      <c r="AU303" s="165">
        <f t="shared" si="166"/>
        <v>0</v>
      </c>
    </row>
    <row r="304" spans="2:47" outlineLevel="1" x14ac:dyDescent="0.35">
      <c r="B304" s="48" t="s">
        <v>111</v>
      </c>
      <c r="C304" s="62" t="s">
        <v>141</v>
      </c>
      <c r="D304" s="70">
        <v>0</v>
      </c>
      <c r="E304" s="4">
        <v>1</v>
      </c>
      <c r="F304" s="70">
        <v>0</v>
      </c>
      <c r="G304" s="4">
        <v>1</v>
      </c>
      <c r="H304" s="185">
        <f t="shared" si="152"/>
        <v>0</v>
      </c>
      <c r="I304" s="70">
        <v>0</v>
      </c>
      <c r="J304" s="4">
        <v>1</v>
      </c>
      <c r="K304" s="167">
        <f t="shared" si="153"/>
        <v>0</v>
      </c>
      <c r="L304" s="70">
        <v>0</v>
      </c>
      <c r="M304" s="4">
        <v>1</v>
      </c>
      <c r="N304" s="167">
        <f t="shared" si="154"/>
        <v>0</v>
      </c>
      <c r="O304" s="70">
        <v>0</v>
      </c>
      <c r="P304" s="4">
        <v>1</v>
      </c>
      <c r="Q304" s="167">
        <f t="shared" si="167"/>
        <v>0</v>
      </c>
      <c r="R304" s="164">
        <f t="shared" si="168"/>
        <v>0</v>
      </c>
      <c r="S304" s="165">
        <f t="shared" si="169"/>
        <v>0</v>
      </c>
      <c r="U304" s="170">
        <f t="shared" si="170"/>
        <v>0</v>
      </c>
      <c r="V304" s="6"/>
      <c r="W304" s="6"/>
      <c r="X304" s="138">
        <f t="shared" si="155"/>
        <v>1</v>
      </c>
      <c r="Y304" s="167">
        <f t="shared" si="156"/>
        <v>0</v>
      </c>
      <c r="Z304" s="170">
        <f t="shared" si="171"/>
        <v>0</v>
      </c>
      <c r="AA304" s="6"/>
      <c r="AB304" s="6"/>
      <c r="AC304" s="138">
        <f t="shared" si="157"/>
        <v>1</v>
      </c>
      <c r="AD304" s="160">
        <f t="shared" si="158"/>
        <v>0</v>
      </c>
      <c r="AE304" s="170">
        <f t="shared" si="172"/>
        <v>0</v>
      </c>
      <c r="AF304" s="6"/>
      <c r="AG304" s="6"/>
      <c r="AH304" s="138">
        <f t="shared" si="159"/>
        <v>1</v>
      </c>
      <c r="AI304" s="160">
        <f t="shared" si="160"/>
        <v>0</v>
      </c>
      <c r="AJ304" s="170">
        <f t="shared" si="173"/>
        <v>0</v>
      </c>
      <c r="AK304" s="6"/>
      <c r="AL304" s="6"/>
      <c r="AM304" s="138">
        <f t="shared" si="161"/>
        <v>1</v>
      </c>
      <c r="AN304" s="160">
        <f t="shared" si="162"/>
        <v>0</v>
      </c>
      <c r="AO304" s="170">
        <f t="shared" si="174"/>
        <v>0</v>
      </c>
      <c r="AP304" s="6"/>
      <c r="AQ304" s="6"/>
      <c r="AR304" s="138">
        <f t="shared" si="163"/>
        <v>1</v>
      </c>
      <c r="AS304" s="160">
        <f t="shared" si="164"/>
        <v>0</v>
      </c>
      <c r="AT304" s="164">
        <f t="shared" si="165"/>
        <v>0</v>
      </c>
      <c r="AU304" s="165">
        <f t="shared" si="166"/>
        <v>0</v>
      </c>
    </row>
    <row r="305" spans="2:47" outlineLevel="1" x14ac:dyDescent="0.35">
      <c r="B305" s="48" t="s">
        <v>112</v>
      </c>
      <c r="C305" s="62" t="s">
        <v>141</v>
      </c>
      <c r="D305" s="70">
        <v>0</v>
      </c>
      <c r="E305" s="4">
        <v>5</v>
      </c>
      <c r="F305" s="70">
        <v>0</v>
      </c>
      <c r="G305" s="4">
        <v>5</v>
      </c>
      <c r="H305" s="185">
        <f t="shared" si="152"/>
        <v>0</v>
      </c>
      <c r="I305" s="70">
        <v>0</v>
      </c>
      <c r="J305" s="4">
        <v>5</v>
      </c>
      <c r="K305" s="167">
        <f t="shared" si="153"/>
        <v>0</v>
      </c>
      <c r="L305" s="70">
        <v>-1</v>
      </c>
      <c r="M305" s="4">
        <v>4</v>
      </c>
      <c r="N305" s="167">
        <f t="shared" si="154"/>
        <v>-0.2</v>
      </c>
      <c r="O305" s="70">
        <v>0</v>
      </c>
      <c r="P305" s="4">
        <v>4</v>
      </c>
      <c r="Q305" s="167">
        <f t="shared" si="167"/>
        <v>0</v>
      </c>
      <c r="R305" s="164">
        <f t="shared" si="168"/>
        <v>-1</v>
      </c>
      <c r="S305" s="165">
        <f t="shared" si="169"/>
        <v>-5.4258390996824168E-2</v>
      </c>
      <c r="U305" s="170">
        <f t="shared" si="170"/>
        <v>0</v>
      </c>
      <c r="V305" s="6"/>
      <c r="W305" s="6"/>
      <c r="X305" s="138">
        <f t="shared" si="155"/>
        <v>4</v>
      </c>
      <c r="Y305" s="167">
        <f t="shared" si="156"/>
        <v>0</v>
      </c>
      <c r="Z305" s="170">
        <f t="shared" si="171"/>
        <v>0</v>
      </c>
      <c r="AA305" s="6"/>
      <c r="AB305" s="6"/>
      <c r="AC305" s="138">
        <f t="shared" si="157"/>
        <v>4</v>
      </c>
      <c r="AD305" s="160">
        <f t="shared" si="158"/>
        <v>0</v>
      </c>
      <c r="AE305" s="170">
        <f t="shared" si="172"/>
        <v>0</v>
      </c>
      <c r="AF305" s="6"/>
      <c r="AG305" s="6"/>
      <c r="AH305" s="138">
        <f t="shared" si="159"/>
        <v>4</v>
      </c>
      <c r="AI305" s="160">
        <f t="shared" si="160"/>
        <v>0</v>
      </c>
      <c r="AJ305" s="170">
        <f t="shared" si="173"/>
        <v>0</v>
      </c>
      <c r="AK305" s="6"/>
      <c r="AL305" s="6"/>
      <c r="AM305" s="138">
        <f t="shared" si="161"/>
        <v>4</v>
      </c>
      <c r="AN305" s="160">
        <f t="shared" si="162"/>
        <v>0</v>
      </c>
      <c r="AO305" s="170">
        <f t="shared" si="174"/>
        <v>0</v>
      </c>
      <c r="AP305" s="6"/>
      <c r="AQ305" s="6"/>
      <c r="AR305" s="138">
        <f t="shared" si="163"/>
        <v>4</v>
      </c>
      <c r="AS305" s="160">
        <f t="shared" si="164"/>
        <v>0</v>
      </c>
      <c r="AT305" s="164">
        <f t="shared" si="165"/>
        <v>0</v>
      </c>
      <c r="AU305" s="165">
        <f t="shared" si="166"/>
        <v>0</v>
      </c>
    </row>
    <row r="306" spans="2:47" outlineLevel="1" x14ac:dyDescent="0.35">
      <c r="B306" s="48" t="s">
        <v>113</v>
      </c>
      <c r="C306" s="62" t="s">
        <v>141</v>
      </c>
      <c r="D306" s="70">
        <v>0</v>
      </c>
      <c r="E306" s="4">
        <v>0</v>
      </c>
      <c r="F306" s="70">
        <v>0</v>
      </c>
      <c r="G306" s="4">
        <v>0</v>
      </c>
      <c r="H306" s="185">
        <f t="shared" si="152"/>
        <v>0</v>
      </c>
      <c r="I306" s="70">
        <v>0</v>
      </c>
      <c r="J306" s="4">
        <v>0</v>
      </c>
      <c r="K306" s="167">
        <f t="shared" si="153"/>
        <v>0</v>
      </c>
      <c r="L306" s="70">
        <v>0</v>
      </c>
      <c r="M306" s="4"/>
      <c r="N306" s="167">
        <f t="shared" si="154"/>
        <v>0</v>
      </c>
      <c r="O306" s="70">
        <v>1</v>
      </c>
      <c r="P306" s="4">
        <v>1</v>
      </c>
      <c r="Q306" s="167">
        <f t="shared" si="167"/>
        <v>0</v>
      </c>
      <c r="R306" s="164">
        <f t="shared" si="168"/>
        <v>1</v>
      </c>
      <c r="S306" s="165">
        <f t="shared" si="169"/>
        <v>0</v>
      </c>
      <c r="U306" s="170">
        <f t="shared" si="170"/>
        <v>0</v>
      </c>
      <c r="V306" s="6"/>
      <c r="W306" s="6"/>
      <c r="X306" s="138">
        <f t="shared" si="155"/>
        <v>1</v>
      </c>
      <c r="Y306" s="167">
        <f t="shared" si="156"/>
        <v>0</v>
      </c>
      <c r="Z306" s="170">
        <f t="shared" si="171"/>
        <v>0</v>
      </c>
      <c r="AA306" s="6"/>
      <c r="AB306" s="6"/>
      <c r="AC306" s="138">
        <f t="shared" si="157"/>
        <v>1</v>
      </c>
      <c r="AD306" s="160">
        <f t="shared" si="158"/>
        <v>0</v>
      </c>
      <c r="AE306" s="170">
        <f t="shared" si="172"/>
        <v>0</v>
      </c>
      <c r="AF306" s="6"/>
      <c r="AG306" s="6"/>
      <c r="AH306" s="138">
        <f t="shared" si="159"/>
        <v>1</v>
      </c>
      <c r="AI306" s="160">
        <f t="shared" si="160"/>
        <v>0</v>
      </c>
      <c r="AJ306" s="170">
        <f t="shared" si="173"/>
        <v>0</v>
      </c>
      <c r="AK306" s="6"/>
      <c r="AL306" s="6"/>
      <c r="AM306" s="138">
        <f t="shared" si="161"/>
        <v>1</v>
      </c>
      <c r="AN306" s="160">
        <f t="shared" si="162"/>
        <v>0</v>
      </c>
      <c r="AO306" s="170">
        <f t="shared" si="174"/>
        <v>0</v>
      </c>
      <c r="AP306" s="6"/>
      <c r="AQ306" s="6"/>
      <c r="AR306" s="138">
        <f t="shared" si="163"/>
        <v>1</v>
      </c>
      <c r="AS306" s="160">
        <f t="shared" si="164"/>
        <v>0</v>
      </c>
      <c r="AT306" s="164">
        <f t="shared" si="165"/>
        <v>0</v>
      </c>
      <c r="AU306" s="165">
        <f t="shared" si="166"/>
        <v>0</v>
      </c>
    </row>
    <row r="307" spans="2:47" outlineLevel="1" x14ac:dyDescent="0.35">
      <c r="B307" s="48" t="s">
        <v>114</v>
      </c>
      <c r="C307" s="62" t="s">
        <v>141</v>
      </c>
      <c r="D307" s="70">
        <v>0</v>
      </c>
      <c r="E307" s="4">
        <v>0</v>
      </c>
      <c r="F307" s="70">
        <v>0</v>
      </c>
      <c r="G307" s="4">
        <v>0</v>
      </c>
      <c r="H307" s="185">
        <f t="shared" si="152"/>
        <v>0</v>
      </c>
      <c r="I307" s="70">
        <v>0</v>
      </c>
      <c r="J307" s="4">
        <v>0</v>
      </c>
      <c r="K307" s="167">
        <f t="shared" si="153"/>
        <v>0</v>
      </c>
      <c r="L307" s="70">
        <v>0</v>
      </c>
      <c r="M307" s="4"/>
      <c r="N307" s="167">
        <f t="shared" si="154"/>
        <v>0</v>
      </c>
      <c r="O307" s="70">
        <v>0</v>
      </c>
      <c r="P307" s="4"/>
      <c r="Q307" s="167">
        <f t="shared" si="167"/>
        <v>0</v>
      </c>
      <c r="R307" s="164">
        <f t="shared" si="168"/>
        <v>0</v>
      </c>
      <c r="S307" s="165">
        <f t="shared" si="169"/>
        <v>0</v>
      </c>
      <c r="U307" s="170">
        <f t="shared" si="170"/>
        <v>0</v>
      </c>
      <c r="V307" s="6"/>
      <c r="W307" s="6"/>
      <c r="X307" s="138">
        <f t="shared" si="155"/>
        <v>0</v>
      </c>
      <c r="Y307" s="167">
        <f t="shared" si="156"/>
        <v>0</v>
      </c>
      <c r="Z307" s="170">
        <f t="shared" si="171"/>
        <v>0</v>
      </c>
      <c r="AA307" s="6"/>
      <c r="AB307" s="6"/>
      <c r="AC307" s="138">
        <f t="shared" si="157"/>
        <v>0</v>
      </c>
      <c r="AD307" s="160">
        <f t="shared" si="158"/>
        <v>0</v>
      </c>
      <c r="AE307" s="170">
        <f t="shared" si="172"/>
        <v>0</v>
      </c>
      <c r="AF307" s="6"/>
      <c r="AG307" s="6"/>
      <c r="AH307" s="138">
        <f t="shared" si="159"/>
        <v>0</v>
      </c>
      <c r="AI307" s="160">
        <f t="shared" si="160"/>
        <v>0</v>
      </c>
      <c r="AJ307" s="170">
        <f t="shared" si="173"/>
        <v>0</v>
      </c>
      <c r="AK307" s="6"/>
      <c r="AL307" s="6"/>
      <c r="AM307" s="138">
        <f t="shared" si="161"/>
        <v>0</v>
      </c>
      <c r="AN307" s="160">
        <f t="shared" si="162"/>
        <v>0</v>
      </c>
      <c r="AO307" s="170">
        <f t="shared" si="174"/>
        <v>0</v>
      </c>
      <c r="AP307" s="6"/>
      <c r="AQ307" s="6"/>
      <c r="AR307" s="138">
        <f t="shared" si="163"/>
        <v>0</v>
      </c>
      <c r="AS307" s="160">
        <f t="shared" si="164"/>
        <v>0</v>
      </c>
      <c r="AT307" s="164">
        <f t="shared" si="165"/>
        <v>0</v>
      </c>
      <c r="AU307" s="165">
        <f t="shared" si="166"/>
        <v>0</v>
      </c>
    </row>
    <row r="308" spans="2:47" outlineLevel="1" x14ac:dyDescent="0.35">
      <c r="B308" s="48" t="s">
        <v>115</v>
      </c>
      <c r="C308" s="62" t="s">
        <v>141</v>
      </c>
      <c r="D308" s="70">
        <v>0</v>
      </c>
      <c r="E308" s="4">
        <v>0</v>
      </c>
      <c r="F308" s="70">
        <v>0</v>
      </c>
      <c r="G308" s="4">
        <v>0</v>
      </c>
      <c r="H308" s="185">
        <f t="shared" si="152"/>
        <v>0</v>
      </c>
      <c r="I308" s="70">
        <v>0</v>
      </c>
      <c r="J308" s="4">
        <v>0</v>
      </c>
      <c r="K308" s="167">
        <f t="shared" si="153"/>
        <v>0</v>
      </c>
      <c r="L308" s="70">
        <v>0</v>
      </c>
      <c r="M308" s="4"/>
      <c r="N308" s="167">
        <f t="shared" si="154"/>
        <v>0</v>
      </c>
      <c r="O308" s="70">
        <v>0</v>
      </c>
      <c r="P308" s="4"/>
      <c r="Q308" s="167">
        <f t="shared" si="167"/>
        <v>0</v>
      </c>
      <c r="R308" s="164">
        <f t="shared" si="168"/>
        <v>0</v>
      </c>
      <c r="S308" s="165">
        <f t="shared" si="169"/>
        <v>0</v>
      </c>
      <c r="U308" s="170">
        <f t="shared" si="170"/>
        <v>1</v>
      </c>
      <c r="V308" s="6">
        <v>1</v>
      </c>
      <c r="W308" s="6"/>
      <c r="X308" s="138">
        <f t="shared" si="155"/>
        <v>1</v>
      </c>
      <c r="Y308" s="167">
        <f t="shared" si="156"/>
        <v>0</v>
      </c>
      <c r="Z308" s="170">
        <f t="shared" si="171"/>
        <v>0</v>
      </c>
      <c r="AA308" s="6"/>
      <c r="AB308" s="6"/>
      <c r="AC308" s="138">
        <f t="shared" si="157"/>
        <v>1</v>
      </c>
      <c r="AD308" s="160">
        <f t="shared" si="158"/>
        <v>0</v>
      </c>
      <c r="AE308" s="170">
        <f t="shared" si="172"/>
        <v>0</v>
      </c>
      <c r="AF308" s="6"/>
      <c r="AG308" s="6"/>
      <c r="AH308" s="138">
        <f t="shared" si="159"/>
        <v>1</v>
      </c>
      <c r="AI308" s="160">
        <f t="shared" si="160"/>
        <v>0</v>
      </c>
      <c r="AJ308" s="170">
        <f t="shared" si="173"/>
        <v>0</v>
      </c>
      <c r="AK308" s="6"/>
      <c r="AL308" s="6"/>
      <c r="AM308" s="138">
        <f t="shared" si="161"/>
        <v>1</v>
      </c>
      <c r="AN308" s="160">
        <f t="shared" si="162"/>
        <v>0</v>
      </c>
      <c r="AO308" s="170">
        <f t="shared" si="174"/>
        <v>0</v>
      </c>
      <c r="AP308" s="6"/>
      <c r="AQ308" s="6"/>
      <c r="AR308" s="138">
        <f t="shared" si="163"/>
        <v>1</v>
      </c>
      <c r="AS308" s="160">
        <f t="shared" si="164"/>
        <v>0</v>
      </c>
      <c r="AT308" s="164">
        <f t="shared" si="165"/>
        <v>1</v>
      </c>
      <c r="AU308" s="165">
        <f t="shared" si="166"/>
        <v>0</v>
      </c>
    </row>
    <row r="309" spans="2:47" outlineLevel="1" x14ac:dyDescent="0.35">
      <c r="B309" s="48" t="s">
        <v>116</v>
      </c>
      <c r="C309" s="62" t="s">
        <v>141</v>
      </c>
      <c r="D309" s="70">
        <v>0</v>
      </c>
      <c r="E309" s="4">
        <v>0</v>
      </c>
      <c r="F309" s="70">
        <v>0</v>
      </c>
      <c r="G309" s="4">
        <v>0</v>
      </c>
      <c r="H309" s="185">
        <f t="shared" si="152"/>
        <v>0</v>
      </c>
      <c r="I309" s="70">
        <v>0</v>
      </c>
      <c r="J309" s="4">
        <v>0</v>
      </c>
      <c r="K309" s="167">
        <f t="shared" si="153"/>
        <v>0</v>
      </c>
      <c r="L309" s="70">
        <v>0</v>
      </c>
      <c r="M309" s="4"/>
      <c r="N309" s="167">
        <f t="shared" si="154"/>
        <v>0</v>
      </c>
      <c r="O309" s="70">
        <v>0</v>
      </c>
      <c r="P309" s="4"/>
      <c r="Q309" s="167">
        <f t="shared" si="167"/>
        <v>0</v>
      </c>
      <c r="R309" s="164">
        <f t="shared" si="168"/>
        <v>0</v>
      </c>
      <c r="S309" s="165">
        <f t="shared" si="169"/>
        <v>0</v>
      </c>
      <c r="U309" s="170">
        <f t="shared" si="170"/>
        <v>0</v>
      </c>
      <c r="V309" s="6"/>
      <c r="W309" s="6"/>
      <c r="X309" s="138">
        <f t="shared" si="155"/>
        <v>0</v>
      </c>
      <c r="Y309" s="167">
        <f t="shared" si="156"/>
        <v>0</v>
      </c>
      <c r="Z309" s="170">
        <f t="shared" si="171"/>
        <v>0</v>
      </c>
      <c r="AA309" s="6"/>
      <c r="AB309" s="6"/>
      <c r="AC309" s="138">
        <f t="shared" si="157"/>
        <v>0</v>
      </c>
      <c r="AD309" s="160">
        <f t="shared" si="158"/>
        <v>0</v>
      </c>
      <c r="AE309" s="170">
        <f t="shared" si="172"/>
        <v>0</v>
      </c>
      <c r="AF309" s="6"/>
      <c r="AG309" s="6"/>
      <c r="AH309" s="138">
        <f t="shared" si="159"/>
        <v>0</v>
      </c>
      <c r="AI309" s="160">
        <f t="shared" si="160"/>
        <v>0</v>
      </c>
      <c r="AJ309" s="170">
        <f t="shared" si="173"/>
        <v>0</v>
      </c>
      <c r="AK309" s="6"/>
      <c r="AL309" s="6"/>
      <c r="AM309" s="138">
        <f t="shared" si="161"/>
        <v>0</v>
      </c>
      <c r="AN309" s="160">
        <f t="shared" si="162"/>
        <v>0</v>
      </c>
      <c r="AO309" s="170">
        <f t="shared" si="174"/>
        <v>0</v>
      </c>
      <c r="AP309" s="6"/>
      <c r="AQ309" s="6"/>
      <c r="AR309" s="138">
        <f t="shared" si="163"/>
        <v>0</v>
      </c>
      <c r="AS309" s="160">
        <f t="shared" si="164"/>
        <v>0</v>
      </c>
      <c r="AT309" s="164">
        <f t="shared" si="165"/>
        <v>0</v>
      </c>
      <c r="AU309" s="165">
        <f t="shared" si="166"/>
        <v>0</v>
      </c>
    </row>
    <row r="310" spans="2:47" outlineLevel="1" x14ac:dyDescent="0.35">
      <c r="B310" s="48" t="s">
        <v>117</v>
      </c>
      <c r="C310" s="62" t="s">
        <v>141</v>
      </c>
      <c r="D310" s="70">
        <v>0</v>
      </c>
      <c r="E310" s="4">
        <v>3</v>
      </c>
      <c r="F310" s="70">
        <v>0</v>
      </c>
      <c r="G310" s="4">
        <v>3</v>
      </c>
      <c r="H310" s="185">
        <f t="shared" si="152"/>
        <v>0</v>
      </c>
      <c r="I310" s="70">
        <v>0</v>
      </c>
      <c r="J310" s="4">
        <v>3</v>
      </c>
      <c r="K310" s="167">
        <f t="shared" si="153"/>
        <v>0</v>
      </c>
      <c r="L310" s="70">
        <v>0</v>
      </c>
      <c r="M310" s="4">
        <v>3</v>
      </c>
      <c r="N310" s="167">
        <f t="shared" si="154"/>
        <v>0</v>
      </c>
      <c r="O310" s="70">
        <v>0</v>
      </c>
      <c r="P310" s="4">
        <v>3</v>
      </c>
      <c r="Q310" s="167">
        <f t="shared" si="167"/>
        <v>0</v>
      </c>
      <c r="R310" s="164">
        <f t="shared" si="168"/>
        <v>0</v>
      </c>
      <c r="S310" s="165">
        <f t="shared" si="169"/>
        <v>0</v>
      </c>
      <c r="U310" s="170">
        <f t="shared" si="170"/>
        <v>0</v>
      </c>
      <c r="V310" s="6"/>
      <c r="W310" s="6"/>
      <c r="X310" s="138">
        <f t="shared" si="155"/>
        <v>3</v>
      </c>
      <c r="Y310" s="167">
        <f t="shared" si="156"/>
        <v>0</v>
      </c>
      <c r="Z310" s="170">
        <f t="shared" si="171"/>
        <v>0</v>
      </c>
      <c r="AA310" s="6"/>
      <c r="AB310" s="6"/>
      <c r="AC310" s="138">
        <f t="shared" si="157"/>
        <v>3</v>
      </c>
      <c r="AD310" s="160">
        <f t="shared" si="158"/>
        <v>0</v>
      </c>
      <c r="AE310" s="170">
        <f t="shared" si="172"/>
        <v>0</v>
      </c>
      <c r="AF310" s="6"/>
      <c r="AG310" s="6"/>
      <c r="AH310" s="138">
        <f t="shared" si="159"/>
        <v>3</v>
      </c>
      <c r="AI310" s="160">
        <f t="shared" si="160"/>
        <v>0</v>
      </c>
      <c r="AJ310" s="170">
        <f t="shared" si="173"/>
        <v>0</v>
      </c>
      <c r="AK310" s="6"/>
      <c r="AL310" s="6"/>
      <c r="AM310" s="138">
        <f t="shared" si="161"/>
        <v>3</v>
      </c>
      <c r="AN310" s="160">
        <f t="shared" si="162"/>
        <v>0</v>
      </c>
      <c r="AO310" s="170">
        <f t="shared" si="174"/>
        <v>0</v>
      </c>
      <c r="AP310" s="6"/>
      <c r="AQ310" s="6"/>
      <c r="AR310" s="138">
        <f t="shared" si="163"/>
        <v>3</v>
      </c>
      <c r="AS310" s="160">
        <f t="shared" si="164"/>
        <v>0</v>
      </c>
      <c r="AT310" s="164">
        <f t="shared" si="165"/>
        <v>0</v>
      </c>
      <c r="AU310" s="165">
        <f t="shared" si="166"/>
        <v>0</v>
      </c>
    </row>
    <row r="311" spans="2:47" outlineLevel="1" x14ac:dyDescent="0.35">
      <c r="B311" s="48" t="s">
        <v>118</v>
      </c>
      <c r="C311" s="62" t="s">
        <v>141</v>
      </c>
      <c r="D311" s="70">
        <v>0</v>
      </c>
      <c r="E311" s="4">
        <v>0</v>
      </c>
      <c r="F311" s="70">
        <v>0</v>
      </c>
      <c r="G311" s="4">
        <v>0</v>
      </c>
      <c r="H311" s="185">
        <f t="shared" si="152"/>
        <v>0</v>
      </c>
      <c r="I311" s="70">
        <v>0</v>
      </c>
      <c r="J311" s="4">
        <v>0</v>
      </c>
      <c r="K311" s="167">
        <f t="shared" si="153"/>
        <v>0</v>
      </c>
      <c r="L311" s="70">
        <v>0</v>
      </c>
      <c r="M311" s="4"/>
      <c r="N311" s="167">
        <f t="shared" si="154"/>
        <v>0</v>
      </c>
      <c r="O311" s="70">
        <v>0</v>
      </c>
      <c r="P311" s="4"/>
      <c r="Q311" s="167">
        <f t="shared" si="167"/>
        <v>0</v>
      </c>
      <c r="R311" s="164">
        <f t="shared" si="168"/>
        <v>0</v>
      </c>
      <c r="S311" s="165">
        <f t="shared" si="169"/>
        <v>0</v>
      </c>
      <c r="U311" s="170">
        <f t="shared" si="170"/>
        <v>0</v>
      </c>
      <c r="V311" s="6"/>
      <c r="W311" s="6"/>
      <c r="X311" s="138">
        <f t="shared" si="155"/>
        <v>0</v>
      </c>
      <c r="Y311" s="167">
        <f t="shared" si="156"/>
        <v>0</v>
      </c>
      <c r="Z311" s="170">
        <f t="shared" si="171"/>
        <v>0</v>
      </c>
      <c r="AA311" s="6"/>
      <c r="AB311" s="6"/>
      <c r="AC311" s="138">
        <f t="shared" si="157"/>
        <v>0</v>
      </c>
      <c r="AD311" s="160">
        <f t="shared" si="158"/>
        <v>0</v>
      </c>
      <c r="AE311" s="170">
        <f t="shared" si="172"/>
        <v>0</v>
      </c>
      <c r="AF311" s="6"/>
      <c r="AG311" s="6"/>
      <c r="AH311" s="138">
        <f t="shared" si="159"/>
        <v>0</v>
      </c>
      <c r="AI311" s="160">
        <f t="shared" si="160"/>
        <v>0</v>
      </c>
      <c r="AJ311" s="170">
        <f t="shared" si="173"/>
        <v>0</v>
      </c>
      <c r="AK311" s="6"/>
      <c r="AL311" s="6"/>
      <c r="AM311" s="138">
        <f t="shared" si="161"/>
        <v>0</v>
      </c>
      <c r="AN311" s="160">
        <f t="shared" si="162"/>
        <v>0</v>
      </c>
      <c r="AO311" s="170">
        <f t="shared" si="174"/>
        <v>0</v>
      </c>
      <c r="AP311" s="6"/>
      <c r="AQ311" s="6"/>
      <c r="AR311" s="138">
        <f t="shared" si="163"/>
        <v>0</v>
      </c>
      <c r="AS311" s="160">
        <f t="shared" si="164"/>
        <v>0</v>
      </c>
      <c r="AT311" s="164">
        <f t="shared" si="165"/>
        <v>0</v>
      </c>
      <c r="AU311" s="165">
        <f t="shared" si="166"/>
        <v>0</v>
      </c>
    </row>
    <row r="312" spans="2:47" outlineLevel="1" x14ac:dyDescent="0.35">
      <c r="B312" s="48" t="s">
        <v>119</v>
      </c>
      <c r="C312" s="62" t="s">
        <v>141</v>
      </c>
      <c r="D312" s="70">
        <v>0</v>
      </c>
      <c r="E312" s="4">
        <v>0</v>
      </c>
      <c r="F312" s="70">
        <v>0</v>
      </c>
      <c r="G312" s="4">
        <v>0</v>
      </c>
      <c r="H312" s="185">
        <f t="shared" si="152"/>
        <v>0</v>
      </c>
      <c r="I312" s="70">
        <v>1</v>
      </c>
      <c r="J312" s="4">
        <v>1</v>
      </c>
      <c r="K312" s="167">
        <f t="shared" si="153"/>
        <v>0</v>
      </c>
      <c r="L312" s="70">
        <v>0</v>
      </c>
      <c r="M312" s="4">
        <v>1</v>
      </c>
      <c r="N312" s="167">
        <f t="shared" si="154"/>
        <v>0</v>
      </c>
      <c r="O312" s="70">
        <v>-1</v>
      </c>
      <c r="P312" s="4"/>
      <c r="Q312" s="167">
        <f t="shared" si="167"/>
        <v>-1</v>
      </c>
      <c r="R312" s="164">
        <f t="shared" si="168"/>
        <v>0</v>
      </c>
      <c r="S312" s="165">
        <f t="shared" si="169"/>
        <v>0</v>
      </c>
      <c r="U312" s="170">
        <f t="shared" si="170"/>
        <v>1</v>
      </c>
      <c r="V312" s="6">
        <v>1</v>
      </c>
      <c r="W312" s="6"/>
      <c r="X312" s="138">
        <f t="shared" si="155"/>
        <v>1</v>
      </c>
      <c r="Y312" s="167">
        <f t="shared" si="156"/>
        <v>0</v>
      </c>
      <c r="Z312" s="170">
        <f t="shared" si="171"/>
        <v>0</v>
      </c>
      <c r="AA312" s="6"/>
      <c r="AB312" s="6"/>
      <c r="AC312" s="138">
        <f t="shared" si="157"/>
        <v>1</v>
      </c>
      <c r="AD312" s="160">
        <f t="shared" si="158"/>
        <v>0</v>
      </c>
      <c r="AE312" s="170">
        <f t="shared" si="172"/>
        <v>0</v>
      </c>
      <c r="AF312" s="6"/>
      <c r="AG312" s="6"/>
      <c r="AH312" s="138">
        <f t="shared" si="159"/>
        <v>1</v>
      </c>
      <c r="AI312" s="160">
        <f t="shared" si="160"/>
        <v>0</v>
      </c>
      <c r="AJ312" s="170">
        <f t="shared" si="173"/>
        <v>0</v>
      </c>
      <c r="AK312" s="6"/>
      <c r="AL312" s="6"/>
      <c r="AM312" s="138">
        <f t="shared" si="161"/>
        <v>1</v>
      </c>
      <c r="AN312" s="160">
        <f t="shared" si="162"/>
        <v>0</v>
      </c>
      <c r="AO312" s="170">
        <f t="shared" si="174"/>
        <v>0</v>
      </c>
      <c r="AP312" s="6"/>
      <c r="AQ312" s="6"/>
      <c r="AR312" s="138">
        <f t="shared" si="163"/>
        <v>1</v>
      </c>
      <c r="AS312" s="160">
        <f t="shared" si="164"/>
        <v>0</v>
      </c>
      <c r="AT312" s="164">
        <f t="shared" si="165"/>
        <v>1</v>
      </c>
      <c r="AU312" s="165">
        <f t="shared" si="166"/>
        <v>0</v>
      </c>
    </row>
    <row r="313" spans="2:47" outlineLevel="1" x14ac:dyDescent="0.35">
      <c r="B313" s="48" t="s">
        <v>120</v>
      </c>
      <c r="C313" s="62" t="s">
        <v>141</v>
      </c>
      <c r="D313" s="70">
        <v>-1</v>
      </c>
      <c r="E313" s="4">
        <v>5</v>
      </c>
      <c r="F313" s="70">
        <v>0</v>
      </c>
      <c r="G313" s="4">
        <v>5</v>
      </c>
      <c r="H313" s="185">
        <f t="shared" si="152"/>
        <v>0</v>
      </c>
      <c r="I313" s="70">
        <v>0</v>
      </c>
      <c r="J313" s="4">
        <v>5</v>
      </c>
      <c r="K313" s="167">
        <f t="shared" si="153"/>
        <v>0</v>
      </c>
      <c r="L313" s="70">
        <v>0</v>
      </c>
      <c r="M313" s="4">
        <v>5</v>
      </c>
      <c r="N313" s="167">
        <f t="shared" si="154"/>
        <v>0</v>
      </c>
      <c r="O313" s="70">
        <v>-1</v>
      </c>
      <c r="P313" s="4">
        <v>4</v>
      </c>
      <c r="Q313" s="167">
        <f t="shared" si="167"/>
        <v>-0.2</v>
      </c>
      <c r="R313" s="164">
        <f t="shared" si="168"/>
        <v>-2</v>
      </c>
      <c r="S313" s="165">
        <f t="shared" si="169"/>
        <v>-5.4258390996824168E-2</v>
      </c>
      <c r="U313" s="170">
        <f t="shared" si="170"/>
        <v>0</v>
      </c>
      <c r="V313" s="6"/>
      <c r="W313" s="6"/>
      <c r="X313" s="138">
        <f t="shared" si="155"/>
        <v>4</v>
      </c>
      <c r="Y313" s="167">
        <f t="shared" si="156"/>
        <v>0</v>
      </c>
      <c r="Z313" s="170">
        <f t="shared" si="171"/>
        <v>0</v>
      </c>
      <c r="AA313" s="6"/>
      <c r="AB313" s="6"/>
      <c r="AC313" s="138">
        <f t="shared" si="157"/>
        <v>4</v>
      </c>
      <c r="AD313" s="160">
        <f t="shared" si="158"/>
        <v>0</v>
      </c>
      <c r="AE313" s="170">
        <f t="shared" si="172"/>
        <v>0</v>
      </c>
      <c r="AF313" s="6"/>
      <c r="AG313" s="6"/>
      <c r="AH313" s="138">
        <f t="shared" si="159"/>
        <v>4</v>
      </c>
      <c r="AI313" s="160">
        <f t="shared" si="160"/>
        <v>0</v>
      </c>
      <c r="AJ313" s="170">
        <f t="shared" si="173"/>
        <v>0</v>
      </c>
      <c r="AK313" s="6"/>
      <c r="AL313" s="6"/>
      <c r="AM313" s="138">
        <f t="shared" si="161"/>
        <v>4</v>
      </c>
      <c r="AN313" s="160">
        <f t="shared" si="162"/>
        <v>0</v>
      </c>
      <c r="AO313" s="170">
        <f t="shared" si="174"/>
        <v>0</v>
      </c>
      <c r="AP313" s="6"/>
      <c r="AQ313" s="6"/>
      <c r="AR313" s="138">
        <f t="shared" si="163"/>
        <v>4</v>
      </c>
      <c r="AS313" s="160">
        <f t="shared" si="164"/>
        <v>0</v>
      </c>
      <c r="AT313" s="164">
        <f t="shared" si="165"/>
        <v>0</v>
      </c>
      <c r="AU313" s="165">
        <f t="shared" si="166"/>
        <v>0</v>
      </c>
    </row>
    <row r="314" spans="2:47" outlineLevel="1" x14ac:dyDescent="0.35">
      <c r="B314" s="48" t="s">
        <v>121</v>
      </c>
      <c r="C314" s="62" t="s">
        <v>141</v>
      </c>
      <c r="D314" s="70">
        <v>0</v>
      </c>
      <c r="E314" s="4">
        <v>0</v>
      </c>
      <c r="F314" s="70">
        <v>0</v>
      </c>
      <c r="G314" s="4">
        <v>0</v>
      </c>
      <c r="H314" s="185">
        <f t="shared" si="152"/>
        <v>0</v>
      </c>
      <c r="I314" s="70">
        <v>0</v>
      </c>
      <c r="J314" s="4">
        <v>0</v>
      </c>
      <c r="K314" s="167">
        <f t="shared" si="153"/>
        <v>0</v>
      </c>
      <c r="L314" s="70">
        <v>0</v>
      </c>
      <c r="M314" s="4"/>
      <c r="N314" s="167">
        <f t="shared" si="154"/>
        <v>0</v>
      </c>
      <c r="O314" s="70">
        <v>0</v>
      </c>
      <c r="P314" s="4"/>
      <c r="Q314" s="167">
        <f t="shared" si="167"/>
        <v>0</v>
      </c>
      <c r="R314" s="164">
        <f t="shared" si="168"/>
        <v>0</v>
      </c>
      <c r="S314" s="165">
        <f t="shared" si="169"/>
        <v>0</v>
      </c>
      <c r="U314" s="170">
        <f t="shared" si="170"/>
        <v>0</v>
      </c>
      <c r="V314" s="6"/>
      <c r="W314" s="6"/>
      <c r="X314" s="138">
        <f t="shared" si="155"/>
        <v>0</v>
      </c>
      <c r="Y314" s="167">
        <f t="shared" si="156"/>
        <v>0</v>
      </c>
      <c r="Z314" s="170">
        <f t="shared" si="171"/>
        <v>0</v>
      </c>
      <c r="AA314" s="6"/>
      <c r="AB314" s="6"/>
      <c r="AC314" s="138">
        <f t="shared" si="157"/>
        <v>0</v>
      </c>
      <c r="AD314" s="160">
        <f t="shared" si="158"/>
        <v>0</v>
      </c>
      <c r="AE314" s="170">
        <f t="shared" si="172"/>
        <v>0</v>
      </c>
      <c r="AF314" s="6"/>
      <c r="AG314" s="6"/>
      <c r="AH314" s="138">
        <f t="shared" si="159"/>
        <v>0</v>
      </c>
      <c r="AI314" s="160">
        <f t="shared" si="160"/>
        <v>0</v>
      </c>
      <c r="AJ314" s="170">
        <f t="shared" si="173"/>
        <v>0</v>
      </c>
      <c r="AK314" s="6"/>
      <c r="AL314" s="6"/>
      <c r="AM314" s="138">
        <f t="shared" si="161"/>
        <v>0</v>
      </c>
      <c r="AN314" s="160">
        <f t="shared" si="162"/>
        <v>0</v>
      </c>
      <c r="AO314" s="170">
        <f t="shared" si="174"/>
        <v>0</v>
      </c>
      <c r="AP314" s="6"/>
      <c r="AQ314" s="6"/>
      <c r="AR314" s="138">
        <f t="shared" si="163"/>
        <v>0</v>
      </c>
      <c r="AS314" s="160">
        <f t="shared" si="164"/>
        <v>0</v>
      </c>
      <c r="AT314" s="164">
        <f t="shared" si="165"/>
        <v>0</v>
      </c>
      <c r="AU314" s="165">
        <f t="shared" si="166"/>
        <v>0</v>
      </c>
    </row>
    <row r="315" spans="2:47" outlineLevel="1" x14ac:dyDescent="0.35">
      <c r="B315" s="48" t="s">
        <v>137</v>
      </c>
      <c r="C315" s="62" t="s">
        <v>141</v>
      </c>
      <c r="D315" s="70">
        <v>0</v>
      </c>
      <c r="E315" s="4">
        <v>0</v>
      </c>
      <c r="F315" s="70">
        <v>0</v>
      </c>
      <c r="G315" s="4">
        <v>0</v>
      </c>
      <c r="H315" s="185">
        <f t="shared" si="152"/>
        <v>0</v>
      </c>
      <c r="I315" s="70">
        <v>0</v>
      </c>
      <c r="J315" s="4">
        <v>0</v>
      </c>
      <c r="K315" s="167">
        <f t="shared" si="153"/>
        <v>0</v>
      </c>
      <c r="L315" s="70">
        <v>0</v>
      </c>
      <c r="M315" s="4"/>
      <c r="N315" s="167">
        <f t="shared" si="154"/>
        <v>0</v>
      </c>
      <c r="O315" s="70">
        <v>0</v>
      </c>
      <c r="P315" s="4"/>
      <c r="Q315" s="167">
        <f t="shared" si="167"/>
        <v>0</v>
      </c>
      <c r="R315" s="164">
        <f t="shared" si="168"/>
        <v>0</v>
      </c>
      <c r="S315" s="165">
        <f t="shared" si="169"/>
        <v>0</v>
      </c>
      <c r="U315" s="170">
        <f t="shared" si="170"/>
        <v>0</v>
      </c>
      <c r="V315" s="6"/>
      <c r="W315" s="6"/>
      <c r="X315" s="138">
        <f t="shared" si="155"/>
        <v>0</v>
      </c>
      <c r="Y315" s="167">
        <f t="shared" si="156"/>
        <v>0</v>
      </c>
      <c r="Z315" s="170">
        <f t="shared" si="171"/>
        <v>0</v>
      </c>
      <c r="AA315" s="6"/>
      <c r="AB315" s="6"/>
      <c r="AC315" s="138">
        <f t="shared" si="157"/>
        <v>0</v>
      </c>
      <c r="AD315" s="160">
        <f t="shared" si="158"/>
        <v>0</v>
      </c>
      <c r="AE315" s="170">
        <f t="shared" si="172"/>
        <v>0</v>
      </c>
      <c r="AF315" s="6"/>
      <c r="AG315" s="6"/>
      <c r="AH315" s="138">
        <f t="shared" si="159"/>
        <v>0</v>
      </c>
      <c r="AI315" s="160">
        <f t="shared" si="160"/>
        <v>0</v>
      </c>
      <c r="AJ315" s="170">
        <f t="shared" si="173"/>
        <v>0</v>
      </c>
      <c r="AK315" s="6"/>
      <c r="AL315" s="6"/>
      <c r="AM315" s="138">
        <f t="shared" si="161"/>
        <v>0</v>
      </c>
      <c r="AN315" s="160">
        <f t="shared" si="162"/>
        <v>0</v>
      </c>
      <c r="AO315" s="170">
        <f t="shared" si="174"/>
        <v>0</v>
      </c>
      <c r="AP315" s="6"/>
      <c r="AQ315" s="6"/>
      <c r="AR315" s="138">
        <f t="shared" si="163"/>
        <v>0</v>
      </c>
      <c r="AS315" s="160">
        <f t="shared" si="164"/>
        <v>0</v>
      </c>
      <c r="AT315" s="164">
        <f t="shared" si="165"/>
        <v>0</v>
      </c>
      <c r="AU315" s="165">
        <f t="shared" si="166"/>
        <v>0</v>
      </c>
    </row>
    <row r="316" spans="2:47" outlineLevel="1" x14ac:dyDescent="0.35">
      <c r="B316" s="48" t="s">
        <v>123</v>
      </c>
      <c r="C316" s="62" t="s">
        <v>141</v>
      </c>
      <c r="D316" s="70">
        <v>0</v>
      </c>
      <c r="E316" s="4">
        <v>0</v>
      </c>
      <c r="F316" s="70">
        <v>0</v>
      </c>
      <c r="G316" s="4">
        <v>0</v>
      </c>
      <c r="H316" s="185">
        <f t="shared" si="152"/>
        <v>0</v>
      </c>
      <c r="I316" s="70">
        <v>0</v>
      </c>
      <c r="J316" s="4">
        <v>0</v>
      </c>
      <c r="K316" s="167">
        <f t="shared" si="153"/>
        <v>0</v>
      </c>
      <c r="L316" s="70">
        <v>0</v>
      </c>
      <c r="M316" s="4"/>
      <c r="N316" s="167">
        <f t="shared" si="154"/>
        <v>0</v>
      </c>
      <c r="O316" s="70">
        <v>0</v>
      </c>
      <c r="P316" s="4"/>
      <c r="Q316" s="167">
        <f t="shared" si="167"/>
        <v>0</v>
      </c>
      <c r="R316" s="164">
        <f t="shared" si="168"/>
        <v>0</v>
      </c>
      <c r="S316" s="165">
        <f t="shared" si="169"/>
        <v>0</v>
      </c>
      <c r="U316" s="170">
        <f t="shared" si="170"/>
        <v>0</v>
      </c>
      <c r="V316" s="6"/>
      <c r="W316" s="6"/>
      <c r="X316" s="138">
        <f t="shared" si="155"/>
        <v>0</v>
      </c>
      <c r="Y316" s="167">
        <f t="shared" si="156"/>
        <v>0</v>
      </c>
      <c r="Z316" s="170">
        <f t="shared" si="171"/>
        <v>0</v>
      </c>
      <c r="AA316" s="6"/>
      <c r="AB316" s="6"/>
      <c r="AC316" s="138">
        <f t="shared" si="157"/>
        <v>0</v>
      </c>
      <c r="AD316" s="160">
        <f t="shared" si="158"/>
        <v>0</v>
      </c>
      <c r="AE316" s="170">
        <f t="shared" si="172"/>
        <v>0</v>
      </c>
      <c r="AF316" s="6"/>
      <c r="AG316" s="6"/>
      <c r="AH316" s="138">
        <f t="shared" si="159"/>
        <v>0</v>
      </c>
      <c r="AI316" s="160">
        <f t="shared" si="160"/>
        <v>0</v>
      </c>
      <c r="AJ316" s="170">
        <f t="shared" si="173"/>
        <v>0</v>
      </c>
      <c r="AK316" s="6"/>
      <c r="AL316" s="6"/>
      <c r="AM316" s="138">
        <f t="shared" si="161"/>
        <v>0</v>
      </c>
      <c r="AN316" s="160">
        <f t="shared" si="162"/>
        <v>0</v>
      </c>
      <c r="AO316" s="170">
        <f t="shared" si="174"/>
        <v>0</v>
      </c>
      <c r="AP316" s="6"/>
      <c r="AQ316" s="6"/>
      <c r="AR316" s="138">
        <f t="shared" si="163"/>
        <v>0</v>
      </c>
      <c r="AS316" s="160">
        <f t="shared" si="164"/>
        <v>0</v>
      </c>
      <c r="AT316" s="164">
        <f t="shared" si="165"/>
        <v>0</v>
      </c>
      <c r="AU316" s="165">
        <f t="shared" si="166"/>
        <v>0</v>
      </c>
    </row>
    <row r="317" spans="2:47" outlineLevel="1" x14ac:dyDescent="0.35">
      <c r="B317" s="48" t="s">
        <v>124</v>
      </c>
      <c r="C317" s="62" t="s">
        <v>141</v>
      </c>
      <c r="D317" s="70">
        <v>0</v>
      </c>
      <c r="E317" s="4">
        <v>0</v>
      </c>
      <c r="F317" s="70">
        <v>0</v>
      </c>
      <c r="G317" s="4">
        <v>0</v>
      </c>
      <c r="H317" s="185">
        <f t="shared" si="152"/>
        <v>0</v>
      </c>
      <c r="I317" s="70">
        <v>0</v>
      </c>
      <c r="J317" s="4">
        <v>0</v>
      </c>
      <c r="K317" s="167">
        <f t="shared" si="153"/>
        <v>0</v>
      </c>
      <c r="L317" s="70">
        <v>0</v>
      </c>
      <c r="M317" s="4"/>
      <c r="N317" s="167">
        <f t="shared" si="154"/>
        <v>0</v>
      </c>
      <c r="O317" s="70">
        <v>0</v>
      </c>
      <c r="P317" s="4"/>
      <c r="Q317" s="167">
        <f t="shared" si="167"/>
        <v>0</v>
      </c>
      <c r="R317" s="164">
        <f t="shared" si="168"/>
        <v>0</v>
      </c>
      <c r="S317" s="165">
        <f t="shared" si="169"/>
        <v>0</v>
      </c>
      <c r="U317" s="170">
        <f t="shared" si="170"/>
        <v>0</v>
      </c>
      <c r="V317" s="6"/>
      <c r="W317" s="6"/>
      <c r="X317" s="138">
        <f t="shared" si="155"/>
        <v>0</v>
      </c>
      <c r="Y317" s="167">
        <f t="shared" si="156"/>
        <v>0</v>
      </c>
      <c r="Z317" s="170">
        <f t="shared" si="171"/>
        <v>0</v>
      </c>
      <c r="AA317" s="6"/>
      <c r="AB317" s="6"/>
      <c r="AC317" s="138">
        <f t="shared" si="157"/>
        <v>0</v>
      </c>
      <c r="AD317" s="160">
        <f t="shared" si="158"/>
        <v>0</v>
      </c>
      <c r="AE317" s="170">
        <f t="shared" si="172"/>
        <v>0</v>
      </c>
      <c r="AF317" s="6"/>
      <c r="AG317" s="6"/>
      <c r="AH317" s="138">
        <f t="shared" si="159"/>
        <v>0</v>
      </c>
      <c r="AI317" s="160">
        <f t="shared" si="160"/>
        <v>0</v>
      </c>
      <c r="AJ317" s="170">
        <f t="shared" si="173"/>
        <v>0</v>
      </c>
      <c r="AK317" s="6"/>
      <c r="AL317" s="6"/>
      <c r="AM317" s="138">
        <f t="shared" si="161"/>
        <v>0</v>
      </c>
      <c r="AN317" s="160">
        <f t="shared" si="162"/>
        <v>0</v>
      </c>
      <c r="AO317" s="170">
        <f t="shared" si="174"/>
        <v>0</v>
      </c>
      <c r="AP317" s="6"/>
      <c r="AQ317" s="6"/>
      <c r="AR317" s="138">
        <f t="shared" si="163"/>
        <v>0</v>
      </c>
      <c r="AS317" s="160">
        <f t="shared" si="164"/>
        <v>0</v>
      </c>
      <c r="AT317" s="164">
        <f t="shared" si="165"/>
        <v>0</v>
      </c>
      <c r="AU317" s="165">
        <f t="shared" si="166"/>
        <v>0</v>
      </c>
    </row>
    <row r="318" spans="2:47" outlineLevel="1" x14ac:dyDescent="0.35">
      <c r="B318" s="48" t="s">
        <v>125</v>
      </c>
      <c r="C318" s="62" t="s">
        <v>141</v>
      </c>
      <c r="D318" s="70">
        <v>0</v>
      </c>
      <c r="E318" s="4">
        <v>0</v>
      </c>
      <c r="F318" s="70">
        <v>0</v>
      </c>
      <c r="G318" s="4">
        <v>0</v>
      </c>
      <c r="H318" s="185">
        <f t="shared" si="152"/>
        <v>0</v>
      </c>
      <c r="I318" s="70">
        <v>0</v>
      </c>
      <c r="J318" s="4">
        <v>0</v>
      </c>
      <c r="K318" s="167">
        <f t="shared" si="153"/>
        <v>0</v>
      </c>
      <c r="L318" s="70">
        <v>0</v>
      </c>
      <c r="M318" s="4"/>
      <c r="N318" s="167">
        <f t="shared" si="154"/>
        <v>0</v>
      </c>
      <c r="O318" s="70">
        <v>0</v>
      </c>
      <c r="P318" s="4"/>
      <c r="Q318" s="167">
        <f t="shared" si="167"/>
        <v>0</v>
      </c>
      <c r="R318" s="164">
        <f t="shared" si="168"/>
        <v>0</v>
      </c>
      <c r="S318" s="165">
        <f t="shared" si="169"/>
        <v>0</v>
      </c>
      <c r="U318" s="170">
        <f t="shared" si="170"/>
        <v>0</v>
      </c>
      <c r="V318" s="6"/>
      <c r="W318" s="6"/>
      <c r="X318" s="138">
        <f t="shared" si="155"/>
        <v>0</v>
      </c>
      <c r="Y318" s="167">
        <f t="shared" si="156"/>
        <v>0</v>
      </c>
      <c r="Z318" s="170">
        <f t="shared" si="171"/>
        <v>0</v>
      </c>
      <c r="AA318" s="6"/>
      <c r="AB318" s="6"/>
      <c r="AC318" s="138">
        <f t="shared" si="157"/>
        <v>0</v>
      </c>
      <c r="AD318" s="160">
        <f t="shared" si="158"/>
        <v>0</v>
      </c>
      <c r="AE318" s="170">
        <f>AF318+AG318</f>
        <v>0</v>
      </c>
      <c r="AF318" s="6"/>
      <c r="AG318" s="6"/>
      <c r="AH318" s="138">
        <f t="shared" si="159"/>
        <v>0</v>
      </c>
      <c r="AI318" s="160">
        <f t="shared" si="160"/>
        <v>0</v>
      </c>
      <c r="AJ318" s="170">
        <f>AK318+AL318</f>
        <v>0</v>
      </c>
      <c r="AK318" s="6"/>
      <c r="AL318" s="6"/>
      <c r="AM318" s="138">
        <f t="shared" si="161"/>
        <v>0</v>
      </c>
      <c r="AN318" s="160">
        <f t="shared" si="162"/>
        <v>0</v>
      </c>
      <c r="AO318" s="170">
        <f>AP318+AQ318</f>
        <v>0</v>
      </c>
      <c r="AP318" s="6"/>
      <c r="AQ318" s="6"/>
      <c r="AR318" s="138">
        <f t="shared" si="163"/>
        <v>0</v>
      </c>
      <c r="AS318" s="160">
        <f t="shared" si="164"/>
        <v>0</v>
      </c>
      <c r="AT318" s="164">
        <f t="shared" si="165"/>
        <v>0</v>
      </c>
      <c r="AU318" s="165">
        <f t="shared" si="166"/>
        <v>0</v>
      </c>
    </row>
    <row r="319" spans="2:47" outlineLevel="1" x14ac:dyDescent="0.35">
      <c r="B319" s="48" t="s">
        <v>126</v>
      </c>
      <c r="C319" s="62" t="s">
        <v>141</v>
      </c>
      <c r="D319" s="70">
        <v>0</v>
      </c>
      <c r="E319" s="4">
        <v>0</v>
      </c>
      <c r="F319" s="70">
        <v>0</v>
      </c>
      <c r="G319" s="4">
        <v>0</v>
      </c>
      <c r="H319" s="185">
        <f t="shared" si="152"/>
        <v>0</v>
      </c>
      <c r="I319" s="70">
        <v>0</v>
      </c>
      <c r="J319" s="4">
        <v>0</v>
      </c>
      <c r="K319" s="167">
        <f t="shared" si="153"/>
        <v>0</v>
      </c>
      <c r="L319" s="70">
        <v>0</v>
      </c>
      <c r="M319" s="4"/>
      <c r="N319" s="167">
        <f t="shared" si="154"/>
        <v>0</v>
      </c>
      <c r="O319" s="70">
        <v>0</v>
      </c>
      <c r="P319" s="4"/>
      <c r="Q319" s="167">
        <f t="shared" si="167"/>
        <v>0</v>
      </c>
      <c r="R319" s="164">
        <f t="shared" si="168"/>
        <v>0</v>
      </c>
      <c r="S319" s="165">
        <f t="shared" si="169"/>
        <v>0</v>
      </c>
      <c r="U319" s="170">
        <f t="shared" si="170"/>
        <v>0</v>
      </c>
      <c r="V319" s="6"/>
      <c r="W319" s="6"/>
      <c r="X319" s="138">
        <f t="shared" si="155"/>
        <v>0</v>
      </c>
      <c r="Y319" s="167">
        <f t="shared" si="156"/>
        <v>0</v>
      </c>
      <c r="Z319" s="170">
        <f t="shared" si="171"/>
        <v>0</v>
      </c>
      <c r="AA319" s="6"/>
      <c r="AB319" s="6"/>
      <c r="AC319" s="138">
        <f t="shared" si="157"/>
        <v>0</v>
      </c>
      <c r="AD319" s="160">
        <f t="shared" si="158"/>
        <v>0</v>
      </c>
      <c r="AE319" s="170">
        <f t="shared" ref="AE319:AE320" si="175">AF319+AG319</f>
        <v>0</v>
      </c>
      <c r="AF319" s="6"/>
      <c r="AG319" s="6"/>
      <c r="AH319" s="138">
        <f t="shared" si="159"/>
        <v>0</v>
      </c>
      <c r="AI319" s="160">
        <f t="shared" si="160"/>
        <v>0</v>
      </c>
      <c r="AJ319" s="170">
        <f t="shared" ref="AJ319:AJ320" si="176">AK319+AL319</f>
        <v>0</v>
      </c>
      <c r="AK319" s="6"/>
      <c r="AL319" s="6"/>
      <c r="AM319" s="138">
        <f t="shared" si="161"/>
        <v>0</v>
      </c>
      <c r="AN319" s="160">
        <f t="shared" si="162"/>
        <v>0</v>
      </c>
      <c r="AO319" s="170">
        <f t="shared" ref="AO319:AO320" si="177">AP319+AQ319</f>
        <v>0</v>
      </c>
      <c r="AP319" s="6"/>
      <c r="AQ319" s="6"/>
      <c r="AR319" s="138">
        <f t="shared" si="163"/>
        <v>0</v>
      </c>
      <c r="AS319" s="160">
        <f t="shared" si="164"/>
        <v>0</v>
      </c>
      <c r="AT319" s="164">
        <f t="shared" si="165"/>
        <v>0</v>
      </c>
      <c r="AU319" s="165">
        <f t="shared" si="166"/>
        <v>0</v>
      </c>
    </row>
    <row r="320" spans="2:47" ht="15" customHeight="1" outlineLevel="1" x14ac:dyDescent="0.35">
      <c r="B320" s="48" t="s">
        <v>127</v>
      </c>
      <c r="C320" s="59" t="s">
        <v>141</v>
      </c>
      <c r="D320" s="70">
        <v>0</v>
      </c>
      <c r="E320" s="4">
        <v>1</v>
      </c>
      <c r="F320" s="70">
        <v>0</v>
      </c>
      <c r="G320" s="4">
        <v>1</v>
      </c>
      <c r="H320" s="185">
        <f t="shared" si="152"/>
        <v>0</v>
      </c>
      <c r="I320" s="70">
        <v>0</v>
      </c>
      <c r="J320" s="4">
        <v>1</v>
      </c>
      <c r="K320" s="167">
        <f t="shared" si="153"/>
        <v>0</v>
      </c>
      <c r="L320" s="70">
        <v>0</v>
      </c>
      <c r="M320" s="4">
        <v>1</v>
      </c>
      <c r="N320" s="167">
        <f t="shared" si="154"/>
        <v>0</v>
      </c>
      <c r="O320" s="70">
        <v>0</v>
      </c>
      <c r="P320" s="4">
        <v>1</v>
      </c>
      <c r="Q320" s="167">
        <f t="shared" si="167"/>
        <v>0</v>
      </c>
      <c r="R320" s="164">
        <f t="shared" si="168"/>
        <v>0</v>
      </c>
      <c r="S320" s="165">
        <f t="shared" si="169"/>
        <v>0</v>
      </c>
      <c r="U320" s="170">
        <f t="shared" si="170"/>
        <v>1</v>
      </c>
      <c r="V320" s="6">
        <v>1</v>
      </c>
      <c r="W320" s="6"/>
      <c r="X320" s="138">
        <f t="shared" si="155"/>
        <v>2</v>
      </c>
      <c r="Y320" s="167">
        <f t="shared" si="156"/>
        <v>1</v>
      </c>
      <c r="Z320" s="170">
        <f t="shared" si="171"/>
        <v>0</v>
      </c>
      <c r="AA320" s="6"/>
      <c r="AB320" s="6"/>
      <c r="AC320" s="138">
        <f t="shared" si="157"/>
        <v>2</v>
      </c>
      <c r="AD320" s="160">
        <f t="shared" si="158"/>
        <v>0</v>
      </c>
      <c r="AE320" s="170">
        <f t="shared" si="175"/>
        <v>0</v>
      </c>
      <c r="AF320" s="6"/>
      <c r="AG320" s="6"/>
      <c r="AH320" s="138">
        <f t="shared" si="159"/>
        <v>2</v>
      </c>
      <c r="AI320" s="160">
        <f t="shared" si="160"/>
        <v>0</v>
      </c>
      <c r="AJ320" s="170">
        <f t="shared" si="176"/>
        <v>0</v>
      </c>
      <c r="AK320" s="6"/>
      <c r="AL320" s="6"/>
      <c r="AM320" s="138">
        <f t="shared" si="161"/>
        <v>2</v>
      </c>
      <c r="AN320" s="160">
        <f t="shared" si="162"/>
        <v>0</v>
      </c>
      <c r="AO320" s="170">
        <f t="shared" si="177"/>
        <v>0</v>
      </c>
      <c r="AP320" s="6"/>
      <c r="AQ320" s="6"/>
      <c r="AR320" s="138">
        <f t="shared" si="163"/>
        <v>2</v>
      </c>
      <c r="AS320" s="160">
        <f t="shared" si="164"/>
        <v>0</v>
      </c>
      <c r="AT320" s="164">
        <f t="shared" si="165"/>
        <v>1</v>
      </c>
      <c r="AU320" s="165">
        <f t="shared" si="166"/>
        <v>0</v>
      </c>
    </row>
    <row r="321" spans="2:47" s="245" customFormat="1" ht="15" customHeight="1" outlineLevel="1" x14ac:dyDescent="0.35">
      <c r="B321" s="246" t="s">
        <v>138</v>
      </c>
      <c r="C321" s="247" t="s">
        <v>141</v>
      </c>
      <c r="D321" s="248">
        <f>SUM(D267:D320)</f>
        <v>-1</v>
      </c>
      <c r="E321" s="258">
        <f t="shared" ref="E321:P321" si="178">SUM(E267:E320)</f>
        <v>74</v>
      </c>
      <c r="F321" s="259">
        <f t="shared" si="178"/>
        <v>5</v>
      </c>
      <c r="G321" s="248">
        <f t="shared" si="178"/>
        <v>79</v>
      </c>
      <c r="H321" s="250">
        <f t="shared" si="152"/>
        <v>6.7567567567567571E-2</v>
      </c>
      <c r="I321" s="248">
        <f t="shared" si="178"/>
        <v>3</v>
      </c>
      <c r="J321" s="248">
        <f t="shared" si="178"/>
        <v>82</v>
      </c>
      <c r="K321" s="250">
        <f t="shared" si="153"/>
        <v>3.7974683544303799E-2</v>
      </c>
      <c r="L321" s="248">
        <f t="shared" si="178"/>
        <v>-2</v>
      </c>
      <c r="M321" s="248">
        <f t="shared" si="178"/>
        <v>80</v>
      </c>
      <c r="N321" s="260">
        <f t="shared" si="154"/>
        <v>-2.4390243902439025E-2</v>
      </c>
      <c r="O321" s="248">
        <f t="shared" si="178"/>
        <v>-3</v>
      </c>
      <c r="P321" s="248">
        <f t="shared" si="178"/>
        <v>77</v>
      </c>
      <c r="Q321" s="250">
        <f>IFERROR((P321-M321)/M321,0)</f>
        <v>-3.7499999999999999E-2</v>
      </c>
      <c r="R321" s="251">
        <f>D321+F321+I321+L321+O321</f>
        <v>2</v>
      </c>
      <c r="S321" s="252">
        <f>IFERROR((P321/E321)^(1/4)-1,0)</f>
        <v>9.9845989397258084E-3</v>
      </c>
      <c r="U321" s="248">
        <f t="shared" ref="U321:AT321" si="179">SUM(U267:U320)</f>
        <v>8</v>
      </c>
      <c r="V321" s="248">
        <f t="shared" si="179"/>
        <v>7</v>
      </c>
      <c r="W321" s="248">
        <f t="shared" si="179"/>
        <v>1</v>
      </c>
      <c r="X321" s="248">
        <f t="shared" si="179"/>
        <v>85</v>
      </c>
      <c r="Y321" s="250">
        <f>IFERROR((X321-P321)/P321,0)</f>
        <v>0.1038961038961039</v>
      </c>
      <c r="Z321" s="248">
        <f t="shared" si="179"/>
        <v>1</v>
      </c>
      <c r="AA321" s="248">
        <f t="shared" si="179"/>
        <v>0</v>
      </c>
      <c r="AB321" s="248">
        <f t="shared" si="179"/>
        <v>1</v>
      </c>
      <c r="AC321" s="248">
        <f t="shared" si="179"/>
        <v>86</v>
      </c>
      <c r="AD321" s="250">
        <f t="shared" si="158"/>
        <v>1.1764705882352941E-2</v>
      </c>
      <c r="AE321" s="248">
        <f t="shared" si="179"/>
        <v>0</v>
      </c>
      <c r="AF321" s="248">
        <f t="shared" si="179"/>
        <v>0</v>
      </c>
      <c r="AG321" s="248">
        <f t="shared" si="179"/>
        <v>0</v>
      </c>
      <c r="AH321" s="248">
        <f t="shared" si="179"/>
        <v>86</v>
      </c>
      <c r="AI321" s="250">
        <f t="shared" si="160"/>
        <v>0</v>
      </c>
      <c r="AJ321" s="248">
        <f t="shared" si="179"/>
        <v>1</v>
      </c>
      <c r="AK321" s="248">
        <f t="shared" si="179"/>
        <v>0</v>
      </c>
      <c r="AL321" s="248">
        <f t="shared" si="179"/>
        <v>1</v>
      </c>
      <c r="AM321" s="248">
        <f t="shared" si="179"/>
        <v>87</v>
      </c>
      <c r="AN321" s="250">
        <f t="shared" si="162"/>
        <v>1.1627906976744186E-2</v>
      </c>
      <c r="AO321" s="248">
        <f t="shared" si="179"/>
        <v>0</v>
      </c>
      <c r="AP321" s="248">
        <f t="shared" si="179"/>
        <v>0</v>
      </c>
      <c r="AQ321" s="248">
        <f t="shared" si="179"/>
        <v>0</v>
      </c>
      <c r="AR321" s="248">
        <f t="shared" si="179"/>
        <v>87</v>
      </c>
      <c r="AS321" s="250">
        <f t="shared" si="164"/>
        <v>0</v>
      </c>
      <c r="AT321" s="248">
        <f t="shared" si="179"/>
        <v>10</v>
      </c>
      <c r="AU321" s="252">
        <f t="shared" si="166"/>
        <v>5.8311508982757942E-3</v>
      </c>
    </row>
    <row r="322" spans="2:47" ht="15" customHeight="1" x14ac:dyDescent="0.35"/>
    <row r="323" spans="2:47" ht="15.5" x14ac:dyDescent="0.35">
      <c r="B323" s="419" t="s">
        <v>145</v>
      </c>
      <c r="C323" s="419"/>
      <c r="D323" s="419"/>
      <c r="E323" s="419"/>
      <c r="F323" s="419"/>
      <c r="G323" s="419"/>
      <c r="H323" s="419"/>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c r="AJ323" s="419"/>
      <c r="AK323" s="419"/>
      <c r="AL323" s="419"/>
      <c r="AM323" s="419"/>
      <c r="AN323" s="419"/>
      <c r="AO323" s="419"/>
      <c r="AP323" s="419"/>
      <c r="AQ323" s="419"/>
      <c r="AR323" s="419"/>
      <c r="AS323" s="419"/>
      <c r="AT323" s="419"/>
      <c r="AU323" s="419"/>
    </row>
    <row r="324" spans="2:47" ht="5.9" customHeight="1" outlineLevel="1" x14ac:dyDescent="0.35">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c r="AA324" s="103"/>
      <c r="AB324" s="103"/>
      <c r="AC324" s="103"/>
      <c r="AD324" s="103"/>
      <c r="AE324" s="103"/>
      <c r="AF324" s="103"/>
      <c r="AG324" s="103"/>
      <c r="AH324" s="103"/>
      <c r="AI324" s="103"/>
      <c r="AJ324" s="103"/>
      <c r="AK324" s="103"/>
    </row>
    <row r="325" spans="2:47" outlineLevel="1" x14ac:dyDescent="0.35">
      <c r="B325" s="462"/>
      <c r="C325" s="465" t="s">
        <v>134</v>
      </c>
      <c r="D325" s="435" t="s">
        <v>169</v>
      </c>
      <c r="E325" s="436"/>
      <c r="F325" s="436"/>
      <c r="G325" s="436"/>
      <c r="H325" s="436"/>
      <c r="I325" s="436"/>
      <c r="J325" s="436"/>
      <c r="K325" s="436"/>
      <c r="L325" s="436"/>
      <c r="M325" s="436"/>
      <c r="N325" s="436"/>
      <c r="O325" s="436"/>
      <c r="P325" s="436"/>
      <c r="Q325" s="437"/>
      <c r="R325" s="431" t="str">
        <f xml:space="preserve"> D326&amp;" - "&amp;O326</f>
        <v>2019 - 2023</v>
      </c>
      <c r="S325" s="456"/>
      <c r="U325" s="435" t="s">
        <v>170</v>
      </c>
      <c r="V325" s="436"/>
      <c r="W325" s="436"/>
      <c r="X325" s="436"/>
      <c r="Y325" s="436"/>
      <c r="Z325" s="436"/>
      <c r="AA325" s="436"/>
      <c r="AB325" s="436"/>
      <c r="AC325" s="436"/>
      <c r="AD325" s="436"/>
      <c r="AE325" s="436"/>
      <c r="AF325" s="436"/>
      <c r="AG325" s="436"/>
      <c r="AH325" s="436"/>
      <c r="AI325" s="436"/>
      <c r="AJ325" s="436"/>
      <c r="AK325" s="436"/>
      <c r="AL325" s="436"/>
      <c r="AM325" s="436"/>
      <c r="AN325" s="436"/>
      <c r="AO325" s="436"/>
      <c r="AP325" s="436"/>
      <c r="AQ325" s="436"/>
      <c r="AR325" s="436"/>
      <c r="AS325" s="436"/>
      <c r="AT325" s="436"/>
      <c r="AU325" s="437"/>
    </row>
    <row r="326" spans="2:47" outlineLevel="1" x14ac:dyDescent="0.35">
      <c r="B326" s="463"/>
      <c r="C326" s="465"/>
      <c r="D326" s="435">
        <f>$C$3-5</f>
        <v>2019</v>
      </c>
      <c r="E326" s="437"/>
      <c r="F326" s="435">
        <f>$C$3-4</f>
        <v>2020</v>
      </c>
      <c r="G326" s="436"/>
      <c r="H326" s="437"/>
      <c r="I326" s="435">
        <f>$C$3-3</f>
        <v>2021</v>
      </c>
      <c r="J326" s="436"/>
      <c r="K326" s="437"/>
      <c r="L326" s="435">
        <f>$C$3-2</f>
        <v>2022</v>
      </c>
      <c r="M326" s="436"/>
      <c r="N326" s="437"/>
      <c r="O326" s="435">
        <f>$C$3-1</f>
        <v>2023</v>
      </c>
      <c r="P326" s="436"/>
      <c r="Q326" s="437"/>
      <c r="R326" s="433"/>
      <c r="S326" s="457"/>
      <c r="U326" s="435">
        <f>$C$3</f>
        <v>2024</v>
      </c>
      <c r="V326" s="436"/>
      <c r="W326" s="436"/>
      <c r="X326" s="436"/>
      <c r="Y326" s="437"/>
      <c r="Z326" s="435">
        <f>$C$3+1</f>
        <v>2025</v>
      </c>
      <c r="AA326" s="436"/>
      <c r="AB326" s="436"/>
      <c r="AC326" s="436"/>
      <c r="AD326" s="437"/>
      <c r="AE326" s="435">
        <f>$C$3+2</f>
        <v>2026</v>
      </c>
      <c r="AF326" s="436"/>
      <c r="AG326" s="436"/>
      <c r="AH326" s="436"/>
      <c r="AI326" s="437"/>
      <c r="AJ326" s="435">
        <f>$C$3+3</f>
        <v>2027</v>
      </c>
      <c r="AK326" s="436"/>
      <c r="AL326" s="436"/>
      <c r="AM326" s="436"/>
      <c r="AN326" s="437"/>
      <c r="AO326" s="435">
        <f>$C$3+4</f>
        <v>2028</v>
      </c>
      <c r="AP326" s="436"/>
      <c r="AQ326" s="436"/>
      <c r="AR326" s="436"/>
      <c r="AS326" s="437"/>
      <c r="AT326" s="439" t="str">
        <f>U326&amp;" - "&amp;AO326</f>
        <v>2024 - 2028</v>
      </c>
      <c r="AU326" s="458"/>
    </row>
    <row r="327" spans="2:47" ht="43.5" outlineLevel="1" x14ac:dyDescent="0.35">
      <c r="B327" s="464"/>
      <c r="C327" s="465"/>
      <c r="D327" s="66" t="s">
        <v>192</v>
      </c>
      <c r="E327" s="67" t="s">
        <v>193</v>
      </c>
      <c r="F327" s="66" t="s">
        <v>192</v>
      </c>
      <c r="G327" s="9" t="s">
        <v>193</v>
      </c>
      <c r="H327" s="67" t="s">
        <v>173</v>
      </c>
      <c r="I327" s="66" t="s">
        <v>192</v>
      </c>
      <c r="J327" s="9" t="s">
        <v>193</v>
      </c>
      <c r="K327" s="67" t="s">
        <v>173</v>
      </c>
      <c r="L327" s="66" t="s">
        <v>192</v>
      </c>
      <c r="M327" s="9" t="s">
        <v>193</v>
      </c>
      <c r="N327" s="67" t="s">
        <v>173</v>
      </c>
      <c r="O327" s="66" t="s">
        <v>192</v>
      </c>
      <c r="P327" s="9" t="s">
        <v>193</v>
      </c>
      <c r="Q327" s="67" t="s">
        <v>173</v>
      </c>
      <c r="R327" s="66" t="s">
        <v>164</v>
      </c>
      <c r="S327" s="134" t="s">
        <v>174</v>
      </c>
      <c r="U327" s="66" t="s">
        <v>192</v>
      </c>
      <c r="V327" s="105" t="s">
        <v>202</v>
      </c>
      <c r="W327" s="105" t="s">
        <v>203</v>
      </c>
      <c r="X327" s="9" t="s">
        <v>193</v>
      </c>
      <c r="Y327" s="67" t="s">
        <v>173</v>
      </c>
      <c r="Z327" s="66" t="s">
        <v>192</v>
      </c>
      <c r="AA327" s="105" t="s">
        <v>202</v>
      </c>
      <c r="AB327" s="105" t="s">
        <v>203</v>
      </c>
      <c r="AC327" s="9" t="s">
        <v>193</v>
      </c>
      <c r="AD327" s="67" t="s">
        <v>173</v>
      </c>
      <c r="AE327" s="66" t="s">
        <v>192</v>
      </c>
      <c r="AF327" s="105" t="s">
        <v>202</v>
      </c>
      <c r="AG327" s="105" t="s">
        <v>203</v>
      </c>
      <c r="AH327" s="9" t="s">
        <v>193</v>
      </c>
      <c r="AI327" s="67" t="s">
        <v>173</v>
      </c>
      <c r="AJ327" s="66" t="s">
        <v>192</v>
      </c>
      <c r="AK327" s="105" t="s">
        <v>202</v>
      </c>
      <c r="AL327" s="105" t="s">
        <v>203</v>
      </c>
      <c r="AM327" s="9" t="s">
        <v>193</v>
      </c>
      <c r="AN327" s="67" t="s">
        <v>173</v>
      </c>
      <c r="AO327" s="66" t="s">
        <v>192</v>
      </c>
      <c r="AP327" s="105" t="s">
        <v>202</v>
      </c>
      <c r="AQ327" s="105" t="s">
        <v>203</v>
      </c>
      <c r="AR327" s="9" t="s">
        <v>193</v>
      </c>
      <c r="AS327" s="67" t="s">
        <v>173</v>
      </c>
      <c r="AT327" s="66" t="s">
        <v>164</v>
      </c>
      <c r="AU327" s="134" t="s">
        <v>174</v>
      </c>
    </row>
    <row r="328" spans="2:47" outlineLevel="1" x14ac:dyDescent="0.35">
      <c r="B328" s="48" t="s">
        <v>74</v>
      </c>
      <c r="C328" s="62" t="s">
        <v>141</v>
      </c>
      <c r="D328" s="81">
        <v>0</v>
      </c>
      <c r="E328" s="4">
        <v>0</v>
      </c>
      <c r="F328" s="70">
        <v>0</v>
      </c>
      <c r="G328" s="4">
        <v>0</v>
      </c>
      <c r="H328" s="185">
        <f t="shared" ref="H328:H381" si="180">IFERROR((G328-E328)/E328,0)</f>
        <v>0</v>
      </c>
      <c r="I328" s="70">
        <v>0</v>
      </c>
      <c r="J328" s="4">
        <v>0</v>
      </c>
      <c r="K328" s="167">
        <f t="shared" ref="K328:K382" si="181">IFERROR((J328-G328)/G328,0)</f>
        <v>0</v>
      </c>
      <c r="L328" s="70">
        <v>0</v>
      </c>
      <c r="M328" s="4"/>
      <c r="N328" s="167">
        <f t="shared" ref="N328:N382" si="182">IFERROR((M328-J328)/J328,0)</f>
        <v>0</v>
      </c>
      <c r="O328" s="70"/>
      <c r="P328" s="4"/>
      <c r="Q328" s="167">
        <f>IFERROR((P328-M328)/M328,0)</f>
        <v>0</v>
      </c>
      <c r="R328" s="164">
        <f>D328+F328+I328+L328+O328</f>
        <v>0</v>
      </c>
      <c r="S328" s="165">
        <f>IFERROR((P328/E328)^(1/4)-1,0)</f>
        <v>0</v>
      </c>
      <c r="U328" s="170">
        <f>V328+W328</f>
        <v>0</v>
      </c>
      <c r="V328" s="6"/>
      <c r="W328" s="6"/>
      <c r="X328" s="138">
        <f t="shared" ref="X328:X381" si="183">P328+U328</f>
        <v>0</v>
      </c>
      <c r="Y328" s="167">
        <f t="shared" ref="Y328:Y381" si="184">IFERROR((X328-P328)/P328,0)</f>
        <v>0</v>
      </c>
      <c r="Z328" s="170">
        <f>AA328+AB328</f>
        <v>0</v>
      </c>
      <c r="AA328" s="6"/>
      <c r="AB328" s="6"/>
      <c r="AC328" s="138">
        <f t="shared" ref="AC328:AC381" si="185">X328+Z328</f>
        <v>0</v>
      </c>
      <c r="AD328" s="160">
        <f t="shared" ref="AD328:AD382" si="186">IFERROR((AC328-X328)/X328,0)</f>
        <v>0</v>
      </c>
      <c r="AE328" s="170">
        <f>AF328+AG328</f>
        <v>0</v>
      </c>
      <c r="AF328" s="6"/>
      <c r="AG328" s="6"/>
      <c r="AH328" s="138">
        <f t="shared" ref="AH328:AH381" si="187">AC328+AE328</f>
        <v>0</v>
      </c>
      <c r="AI328" s="160">
        <f t="shared" ref="AI328:AI382" si="188">IFERROR((AH328-AC328)/AC328,0)</f>
        <v>0</v>
      </c>
      <c r="AJ328" s="170">
        <f>AK328+AL328</f>
        <v>0</v>
      </c>
      <c r="AK328" s="6"/>
      <c r="AL328" s="6"/>
      <c r="AM328" s="138">
        <f t="shared" ref="AM328:AM381" si="189">AH328+AJ328</f>
        <v>0</v>
      </c>
      <c r="AN328" s="160">
        <f t="shared" ref="AN328:AN382" si="190">IFERROR((AM328-AH328)/AH328,0)</f>
        <v>0</v>
      </c>
      <c r="AO328" s="170">
        <f>AP328+AQ328</f>
        <v>0</v>
      </c>
      <c r="AP328" s="6"/>
      <c r="AQ328" s="6"/>
      <c r="AR328" s="138">
        <f t="shared" ref="AR328:AR381" si="191">AM328+AO328</f>
        <v>0</v>
      </c>
      <c r="AS328" s="160">
        <f t="shared" ref="AS328:AS381" si="192">IFERROR((AR328-AM328)/AM328,0)</f>
        <v>0</v>
      </c>
      <c r="AT328" s="164">
        <f t="shared" ref="AT328:AT381" si="193">U328+Z328+AE328+AJ328+AO328</f>
        <v>0</v>
      </c>
      <c r="AU328" s="165">
        <f t="shared" ref="AU328:AU382" si="194">IFERROR((AR328/X328)^(1/4)-1,0)</f>
        <v>0</v>
      </c>
    </row>
    <row r="329" spans="2:47" outlineLevel="1" x14ac:dyDescent="0.35">
      <c r="B329" s="48" t="s">
        <v>75</v>
      </c>
      <c r="C329" s="62" t="s">
        <v>141</v>
      </c>
      <c r="D329" s="81">
        <v>0</v>
      </c>
      <c r="E329" s="4">
        <v>0</v>
      </c>
      <c r="F329" s="70">
        <v>1</v>
      </c>
      <c r="G329" s="4">
        <v>1</v>
      </c>
      <c r="H329" s="185">
        <f t="shared" si="180"/>
        <v>0</v>
      </c>
      <c r="I329" s="70">
        <v>0</v>
      </c>
      <c r="J329" s="4">
        <v>1</v>
      </c>
      <c r="K329" s="167">
        <f t="shared" si="181"/>
        <v>0</v>
      </c>
      <c r="L329" s="70">
        <v>0</v>
      </c>
      <c r="M329" s="4">
        <v>1</v>
      </c>
      <c r="N329" s="167">
        <f t="shared" si="182"/>
        <v>0</v>
      </c>
      <c r="O329" s="70"/>
      <c r="P329" s="4">
        <v>1</v>
      </c>
      <c r="Q329" s="167">
        <f t="shared" ref="Q329:Q381" si="195">IFERROR((P329-M329)/M329,0)</f>
        <v>0</v>
      </c>
      <c r="R329" s="164">
        <f t="shared" ref="R329:R381" si="196">D329+F329+I329+L329+O329</f>
        <v>1</v>
      </c>
      <c r="S329" s="165">
        <f t="shared" ref="S329:S381" si="197">IFERROR((P329/E329)^(1/4)-1,0)</f>
        <v>0</v>
      </c>
      <c r="U329" s="170">
        <f t="shared" ref="U329:U381" si="198">V329+W329</f>
        <v>0</v>
      </c>
      <c r="V329" s="6"/>
      <c r="W329" s="6"/>
      <c r="X329" s="138">
        <f t="shared" si="183"/>
        <v>1</v>
      </c>
      <c r="Y329" s="167">
        <f t="shared" si="184"/>
        <v>0</v>
      </c>
      <c r="Z329" s="170">
        <f t="shared" ref="Z329:Z378" si="199">AA329+AB329</f>
        <v>0</v>
      </c>
      <c r="AA329" s="6"/>
      <c r="AB329" s="6"/>
      <c r="AC329" s="138">
        <f t="shared" si="185"/>
        <v>1</v>
      </c>
      <c r="AD329" s="160">
        <f t="shared" si="186"/>
        <v>0</v>
      </c>
      <c r="AE329" s="170">
        <f t="shared" ref="AE329:AE378" si="200">AF329+AG329</f>
        <v>0</v>
      </c>
      <c r="AF329" s="6"/>
      <c r="AG329" s="6"/>
      <c r="AH329" s="138">
        <f t="shared" si="187"/>
        <v>1</v>
      </c>
      <c r="AI329" s="160">
        <f t="shared" si="188"/>
        <v>0</v>
      </c>
      <c r="AJ329" s="170">
        <f t="shared" ref="AJ329:AJ381" si="201">AK329+AL329</f>
        <v>0</v>
      </c>
      <c r="AK329" s="6"/>
      <c r="AL329" s="6"/>
      <c r="AM329" s="138">
        <f t="shared" si="189"/>
        <v>1</v>
      </c>
      <c r="AN329" s="160">
        <f t="shared" si="190"/>
        <v>0</v>
      </c>
      <c r="AO329" s="170">
        <f t="shared" ref="AO329:AO378" si="202">AP329+AQ329</f>
        <v>0</v>
      </c>
      <c r="AP329" s="6"/>
      <c r="AQ329" s="6"/>
      <c r="AR329" s="138">
        <f t="shared" si="191"/>
        <v>1</v>
      </c>
      <c r="AS329" s="160">
        <f t="shared" si="192"/>
        <v>0</v>
      </c>
      <c r="AT329" s="164">
        <f t="shared" si="193"/>
        <v>0</v>
      </c>
      <c r="AU329" s="165">
        <f t="shared" si="194"/>
        <v>0</v>
      </c>
    </row>
    <row r="330" spans="2:47" outlineLevel="1" x14ac:dyDescent="0.35">
      <c r="B330" s="48" t="s">
        <v>76</v>
      </c>
      <c r="C330" s="62" t="s">
        <v>141</v>
      </c>
      <c r="D330" s="81">
        <v>0</v>
      </c>
      <c r="E330" s="4">
        <v>0</v>
      </c>
      <c r="F330" s="70">
        <v>0</v>
      </c>
      <c r="G330" s="4">
        <v>0</v>
      </c>
      <c r="H330" s="185">
        <f t="shared" si="180"/>
        <v>0</v>
      </c>
      <c r="I330" s="70">
        <v>0</v>
      </c>
      <c r="J330" s="4">
        <v>0</v>
      </c>
      <c r="K330" s="167">
        <f t="shared" si="181"/>
        <v>0</v>
      </c>
      <c r="L330" s="70">
        <v>0</v>
      </c>
      <c r="M330" s="4"/>
      <c r="N330" s="167">
        <f t="shared" si="182"/>
        <v>0</v>
      </c>
      <c r="O330" s="70"/>
      <c r="P330" s="4"/>
      <c r="Q330" s="167">
        <f t="shared" si="195"/>
        <v>0</v>
      </c>
      <c r="R330" s="164">
        <f t="shared" si="196"/>
        <v>0</v>
      </c>
      <c r="S330" s="165">
        <f t="shared" si="197"/>
        <v>0</v>
      </c>
      <c r="U330" s="170">
        <f t="shared" si="198"/>
        <v>0</v>
      </c>
      <c r="V330" s="6"/>
      <c r="W330" s="6"/>
      <c r="X330" s="138">
        <f t="shared" si="183"/>
        <v>0</v>
      </c>
      <c r="Y330" s="167">
        <f t="shared" si="184"/>
        <v>0</v>
      </c>
      <c r="Z330" s="170">
        <f t="shared" si="199"/>
        <v>0</v>
      </c>
      <c r="AA330" s="6"/>
      <c r="AB330" s="6"/>
      <c r="AC330" s="138">
        <f t="shared" si="185"/>
        <v>0</v>
      </c>
      <c r="AD330" s="160">
        <f t="shared" si="186"/>
        <v>0</v>
      </c>
      <c r="AE330" s="170">
        <f t="shared" si="200"/>
        <v>0</v>
      </c>
      <c r="AF330" s="6"/>
      <c r="AG330" s="6"/>
      <c r="AH330" s="138">
        <f t="shared" si="187"/>
        <v>0</v>
      </c>
      <c r="AI330" s="160">
        <f t="shared" si="188"/>
        <v>0</v>
      </c>
      <c r="AJ330" s="170">
        <f t="shared" si="201"/>
        <v>0</v>
      </c>
      <c r="AK330" s="6"/>
      <c r="AL330" s="6"/>
      <c r="AM330" s="138">
        <f t="shared" si="189"/>
        <v>0</v>
      </c>
      <c r="AN330" s="160">
        <f t="shared" si="190"/>
        <v>0</v>
      </c>
      <c r="AO330" s="170">
        <f t="shared" si="202"/>
        <v>0</v>
      </c>
      <c r="AP330" s="6"/>
      <c r="AQ330" s="6"/>
      <c r="AR330" s="138">
        <f t="shared" si="191"/>
        <v>0</v>
      </c>
      <c r="AS330" s="160">
        <f t="shared" si="192"/>
        <v>0</v>
      </c>
      <c r="AT330" s="164">
        <f t="shared" si="193"/>
        <v>0</v>
      </c>
      <c r="AU330" s="165">
        <f t="shared" si="194"/>
        <v>0</v>
      </c>
    </row>
    <row r="331" spans="2:47" outlineLevel="1" x14ac:dyDescent="0.35">
      <c r="B331" s="48" t="s">
        <v>77</v>
      </c>
      <c r="C331" s="62" t="s">
        <v>141</v>
      </c>
      <c r="D331" s="81">
        <v>0</v>
      </c>
      <c r="E331" s="4">
        <v>0</v>
      </c>
      <c r="F331" s="70">
        <v>0</v>
      </c>
      <c r="G331" s="4">
        <v>0</v>
      </c>
      <c r="H331" s="185">
        <f t="shared" si="180"/>
        <v>0</v>
      </c>
      <c r="I331" s="70">
        <v>0</v>
      </c>
      <c r="J331" s="4">
        <v>0</v>
      </c>
      <c r="K331" s="167">
        <f t="shared" si="181"/>
        <v>0</v>
      </c>
      <c r="L331" s="70">
        <v>0</v>
      </c>
      <c r="M331" s="4"/>
      <c r="N331" s="167">
        <f t="shared" si="182"/>
        <v>0</v>
      </c>
      <c r="O331" s="70"/>
      <c r="P331" s="4"/>
      <c r="Q331" s="167">
        <f t="shared" si="195"/>
        <v>0</v>
      </c>
      <c r="R331" s="164">
        <f t="shared" si="196"/>
        <v>0</v>
      </c>
      <c r="S331" s="165">
        <f t="shared" si="197"/>
        <v>0</v>
      </c>
      <c r="U331" s="170">
        <f t="shared" si="198"/>
        <v>0</v>
      </c>
      <c r="V331" s="6"/>
      <c r="W331" s="6"/>
      <c r="X331" s="138">
        <f t="shared" si="183"/>
        <v>0</v>
      </c>
      <c r="Y331" s="167">
        <f t="shared" si="184"/>
        <v>0</v>
      </c>
      <c r="Z331" s="170">
        <f t="shared" si="199"/>
        <v>0</v>
      </c>
      <c r="AA331" s="6"/>
      <c r="AB331" s="6"/>
      <c r="AC331" s="138">
        <f t="shared" si="185"/>
        <v>0</v>
      </c>
      <c r="AD331" s="160">
        <f t="shared" si="186"/>
        <v>0</v>
      </c>
      <c r="AE331" s="170">
        <f t="shared" si="200"/>
        <v>0</v>
      </c>
      <c r="AF331" s="6"/>
      <c r="AG331" s="6"/>
      <c r="AH331" s="138">
        <f t="shared" si="187"/>
        <v>0</v>
      </c>
      <c r="AI331" s="160">
        <f t="shared" si="188"/>
        <v>0</v>
      </c>
      <c r="AJ331" s="170">
        <f t="shared" si="201"/>
        <v>0</v>
      </c>
      <c r="AK331" s="6"/>
      <c r="AL331" s="6"/>
      <c r="AM331" s="138">
        <f t="shared" si="189"/>
        <v>0</v>
      </c>
      <c r="AN331" s="160">
        <f t="shared" si="190"/>
        <v>0</v>
      </c>
      <c r="AO331" s="170">
        <f t="shared" si="202"/>
        <v>0</v>
      </c>
      <c r="AP331" s="6"/>
      <c r="AQ331" s="6"/>
      <c r="AR331" s="138">
        <f t="shared" si="191"/>
        <v>0</v>
      </c>
      <c r="AS331" s="160">
        <f t="shared" si="192"/>
        <v>0</v>
      </c>
      <c r="AT331" s="164">
        <f t="shared" si="193"/>
        <v>0</v>
      </c>
      <c r="AU331" s="165">
        <f t="shared" si="194"/>
        <v>0</v>
      </c>
    </row>
    <row r="332" spans="2:47" outlineLevel="1" x14ac:dyDescent="0.35">
      <c r="B332" s="48" t="s">
        <v>78</v>
      </c>
      <c r="C332" s="62" t="s">
        <v>141</v>
      </c>
      <c r="D332" s="81">
        <v>0</v>
      </c>
      <c r="E332" s="4">
        <v>0</v>
      </c>
      <c r="F332" s="70">
        <v>0</v>
      </c>
      <c r="G332" s="4">
        <v>0</v>
      </c>
      <c r="H332" s="185">
        <f t="shared" si="180"/>
        <v>0</v>
      </c>
      <c r="I332" s="70">
        <v>0</v>
      </c>
      <c r="J332" s="4">
        <v>0</v>
      </c>
      <c r="K332" s="167">
        <f t="shared" si="181"/>
        <v>0</v>
      </c>
      <c r="L332" s="70">
        <v>0</v>
      </c>
      <c r="M332" s="4"/>
      <c r="N332" s="167">
        <f t="shared" si="182"/>
        <v>0</v>
      </c>
      <c r="O332" s="70"/>
      <c r="P332" s="4"/>
      <c r="Q332" s="167">
        <f t="shared" si="195"/>
        <v>0</v>
      </c>
      <c r="R332" s="164">
        <f t="shared" si="196"/>
        <v>0</v>
      </c>
      <c r="S332" s="165">
        <f t="shared" si="197"/>
        <v>0</v>
      </c>
      <c r="U332" s="170">
        <f t="shared" si="198"/>
        <v>1</v>
      </c>
      <c r="V332" s="6">
        <v>1</v>
      </c>
      <c r="W332" s="6"/>
      <c r="X332" s="138">
        <f t="shared" si="183"/>
        <v>1</v>
      </c>
      <c r="Y332" s="167">
        <f t="shared" si="184"/>
        <v>0</v>
      </c>
      <c r="Z332" s="170">
        <f t="shared" si="199"/>
        <v>0</v>
      </c>
      <c r="AA332" s="6"/>
      <c r="AB332" s="6"/>
      <c r="AC332" s="138">
        <f t="shared" si="185"/>
        <v>1</v>
      </c>
      <c r="AD332" s="160">
        <f t="shared" si="186"/>
        <v>0</v>
      </c>
      <c r="AE332" s="170">
        <f t="shared" si="200"/>
        <v>0</v>
      </c>
      <c r="AF332" s="6"/>
      <c r="AG332" s="6"/>
      <c r="AH332" s="138">
        <f t="shared" si="187"/>
        <v>1</v>
      </c>
      <c r="AI332" s="160">
        <f t="shared" si="188"/>
        <v>0</v>
      </c>
      <c r="AJ332" s="170">
        <f t="shared" si="201"/>
        <v>0</v>
      </c>
      <c r="AK332" s="6"/>
      <c r="AL332" s="6"/>
      <c r="AM332" s="138">
        <f t="shared" si="189"/>
        <v>1</v>
      </c>
      <c r="AN332" s="160">
        <f t="shared" si="190"/>
        <v>0</v>
      </c>
      <c r="AO332" s="170">
        <f t="shared" si="202"/>
        <v>0</v>
      </c>
      <c r="AP332" s="6"/>
      <c r="AQ332" s="6"/>
      <c r="AR332" s="138">
        <f t="shared" si="191"/>
        <v>1</v>
      </c>
      <c r="AS332" s="160">
        <f t="shared" si="192"/>
        <v>0</v>
      </c>
      <c r="AT332" s="164">
        <f t="shared" si="193"/>
        <v>1</v>
      </c>
      <c r="AU332" s="165">
        <f t="shared" si="194"/>
        <v>0</v>
      </c>
    </row>
    <row r="333" spans="2:47" outlineLevel="1" x14ac:dyDescent="0.35">
      <c r="B333" s="48" t="s">
        <v>79</v>
      </c>
      <c r="C333" s="62" t="s">
        <v>141</v>
      </c>
      <c r="D333" s="81">
        <v>0</v>
      </c>
      <c r="E333" s="4">
        <v>0</v>
      </c>
      <c r="F333" s="70">
        <v>0</v>
      </c>
      <c r="G333" s="4">
        <v>0</v>
      </c>
      <c r="H333" s="185">
        <f t="shared" si="180"/>
        <v>0</v>
      </c>
      <c r="I333" s="70">
        <v>0</v>
      </c>
      <c r="J333" s="4">
        <v>0</v>
      </c>
      <c r="K333" s="167">
        <f t="shared" si="181"/>
        <v>0</v>
      </c>
      <c r="L333" s="70">
        <v>0</v>
      </c>
      <c r="M333" s="4"/>
      <c r="N333" s="167">
        <f t="shared" si="182"/>
        <v>0</v>
      </c>
      <c r="O333" s="70"/>
      <c r="P333" s="4"/>
      <c r="Q333" s="167">
        <f t="shared" si="195"/>
        <v>0</v>
      </c>
      <c r="R333" s="164">
        <f t="shared" si="196"/>
        <v>0</v>
      </c>
      <c r="S333" s="165">
        <f t="shared" si="197"/>
        <v>0</v>
      </c>
      <c r="U333" s="170">
        <f t="shared" si="198"/>
        <v>0</v>
      </c>
      <c r="V333" s="6"/>
      <c r="W333" s="6"/>
      <c r="X333" s="138">
        <f t="shared" si="183"/>
        <v>0</v>
      </c>
      <c r="Y333" s="167">
        <f t="shared" si="184"/>
        <v>0</v>
      </c>
      <c r="Z333" s="170">
        <f t="shared" si="199"/>
        <v>0</v>
      </c>
      <c r="AA333" s="6"/>
      <c r="AB333" s="6"/>
      <c r="AC333" s="138">
        <f t="shared" si="185"/>
        <v>0</v>
      </c>
      <c r="AD333" s="160">
        <f t="shared" si="186"/>
        <v>0</v>
      </c>
      <c r="AE333" s="170">
        <f t="shared" si="200"/>
        <v>0</v>
      </c>
      <c r="AF333" s="6"/>
      <c r="AG333" s="6"/>
      <c r="AH333" s="138">
        <f t="shared" si="187"/>
        <v>0</v>
      </c>
      <c r="AI333" s="160">
        <f t="shared" si="188"/>
        <v>0</v>
      </c>
      <c r="AJ333" s="170">
        <f t="shared" si="201"/>
        <v>0</v>
      </c>
      <c r="AK333" s="6"/>
      <c r="AL333" s="6"/>
      <c r="AM333" s="138">
        <f t="shared" si="189"/>
        <v>0</v>
      </c>
      <c r="AN333" s="160">
        <f t="shared" si="190"/>
        <v>0</v>
      </c>
      <c r="AO333" s="170">
        <f t="shared" si="202"/>
        <v>0</v>
      </c>
      <c r="AP333" s="6"/>
      <c r="AQ333" s="6"/>
      <c r="AR333" s="138">
        <f t="shared" si="191"/>
        <v>0</v>
      </c>
      <c r="AS333" s="160">
        <f t="shared" si="192"/>
        <v>0</v>
      </c>
      <c r="AT333" s="164">
        <f t="shared" si="193"/>
        <v>0</v>
      </c>
      <c r="AU333" s="165">
        <f t="shared" si="194"/>
        <v>0</v>
      </c>
    </row>
    <row r="334" spans="2:47" outlineLevel="1" x14ac:dyDescent="0.35">
      <c r="B334" s="48" t="s">
        <v>80</v>
      </c>
      <c r="C334" s="62" t="s">
        <v>141</v>
      </c>
      <c r="D334" s="81">
        <v>0</v>
      </c>
      <c r="E334" s="4">
        <v>0</v>
      </c>
      <c r="F334" s="70">
        <v>0</v>
      </c>
      <c r="G334" s="4">
        <v>0</v>
      </c>
      <c r="H334" s="185">
        <f t="shared" si="180"/>
        <v>0</v>
      </c>
      <c r="I334" s="70">
        <v>0</v>
      </c>
      <c r="J334" s="4">
        <v>0</v>
      </c>
      <c r="K334" s="167">
        <f t="shared" si="181"/>
        <v>0</v>
      </c>
      <c r="L334" s="70">
        <v>0</v>
      </c>
      <c r="M334" s="4"/>
      <c r="N334" s="167">
        <f t="shared" si="182"/>
        <v>0</v>
      </c>
      <c r="O334" s="70"/>
      <c r="P334" s="4"/>
      <c r="Q334" s="167">
        <f t="shared" si="195"/>
        <v>0</v>
      </c>
      <c r="R334" s="164">
        <f t="shared" si="196"/>
        <v>0</v>
      </c>
      <c r="S334" s="165">
        <f t="shared" si="197"/>
        <v>0</v>
      </c>
      <c r="U334" s="170">
        <f t="shared" si="198"/>
        <v>0</v>
      </c>
      <c r="V334" s="6"/>
      <c r="W334" s="6"/>
      <c r="X334" s="138">
        <f t="shared" si="183"/>
        <v>0</v>
      </c>
      <c r="Y334" s="167">
        <f t="shared" si="184"/>
        <v>0</v>
      </c>
      <c r="Z334" s="170">
        <f t="shared" si="199"/>
        <v>0</v>
      </c>
      <c r="AA334" s="6"/>
      <c r="AB334" s="6"/>
      <c r="AC334" s="138">
        <f t="shared" si="185"/>
        <v>0</v>
      </c>
      <c r="AD334" s="160">
        <f t="shared" si="186"/>
        <v>0</v>
      </c>
      <c r="AE334" s="170">
        <f t="shared" si="200"/>
        <v>0</v>
      </c>
      <c r="AF334" s="6"/>
      <c r="AG334" s="6"/>
      <c r="AH334" s="138">
        <f t="shared" si="187"/>
        <v>0</v>
      </c>
      <c r="AI334" s="160">
        <f t="shared" si="188"/>
        <v>0</v>
      </c>
      <c r="AJ334" s="170">
        <f t="shared" si="201"/>
        <v>0</v>
      </c>
      <c r="AK334" s="6"/>
      <c r="AL334" s="6"/>
      <c r="AM334" s="138">
        <f t="shared" si="189"/>
        <v>0</v>
      </c>
      <c r="AN334" s="160">
        <f t="shared" si="190"/>
        <v>0</v>
      </c>
      <c r="AO334" s="170">
        <f t="shared" si="202"/>
        <v>0</v>
      </c>
      <c r="AP334" s="6"/>
      <c r="AQ334" s="6"/>
      <c r="AR334" s="138">
        <f t="shared" si="191"/>
        <v>0</v>
      </c>
      <c r="AS334" s="160">
        <f t="shared" si="192"/>
        <v>0</v>
      </c>
      <c r="AT334" s="164">
        <f t="shared" si="193"/>
        <v>0</v>
      </c>
      <c r="AU334" s="165">
        <f t="shared" si="194"/>
        <v>0</v>
      </c>
    </row>
    <row r="335" spans="2:47" outlineLevel="1" x14ac:dyDescent="0.35">
      <c r="B335" s="48" t="s">
        <v>81</v>
      </c>
      <c r="C335" s="62" t="s">
        <v>141</v>
      </c>
      <c r="D335" s="81">
        <v>0</v>
      </c>
      <c r="E335" s="4">
        <v>0</v>
      </c>
      <c r="F335" s="70">
        <v>0</v>
      </c>
      <c r="G335" s="4">
        <v>0</v>
      </c>
      <c r="H335" s="185">
        <f t="shared" si="180"/>
        <v>0</v>
      </c>
      <c r="I335" s="70">
        <v>0</v>
      </c>
      <c r="J335" s="4">
        <v>0</v>
      </c>
      <c r="K335" s="167">
        <f t="shared" si="181"/>
        <v>0</v>
      </c>
      <c r="L335" s="70">
        <v>0</v>
      </c>
      <c r="M335" s="4"/>
      <c r="N335" s="167">
        <f t="shared" si="182"/>
        <v>0</v>
      </c>
      <c r="O335" s="70"/>
      <c r="P335" s="4"/>
      <c r="Q335" s="167">
        <f t="shared" si="195"/>
        <v>0</v>
      </c>
      <c r="R335" s="164">
        <f t="shared" si="196"/>
        <v>0</v>
      </c>
      <c r="S335" s="165">
        <f t="shared" si="197"/>
        <v>0</v>
      </c>
      <c r="U335" s="170">
        <f t="shared" si="198"/>
        <v>0</v>
      </c>
      <c r="V335" s="6"/>
      <c r="W335" s="6"/>
      <c r="X335" s="138">
        <f t="shared" si="183"/>
        <v>0</v>
      </c>
      <c r="Y335" s="167">
        <f t="shared" si="184"/>
        <v>0</v>
      </c>
      <c r="Z335" s="170">
        <f t="shared" si="199"/>
        <v>0</v>
      </c>
      <c r="AA335" s="6"/>
      <c r="AB335" s="6"/>
      <c r="AC335" s="138">
        <f t="shared" si="185"/>
        <v>0</v>
      </c>
      <c r="AD335" s="160">
        <f t="shared" si="186"/>
        <v>0</v>
      </c>
      <c r="AE335" s="170">
        <f t="shared" si="200"/>
        <v>0</v>
      </c>
      <c r="AF335" s="6"/>
      <c r="AG335" s="6"/>
      <c r="AH335" s="138">
        <f t="shared" si="187"/>
        <v>0</v>
      </c>
      <c r="AI335" s="160">
        <f t="shared" si="188"/>
        <v>0</v>
      </c>
      <c r="AJ335" s="170">
        <f t="shared" si="201"/>
        <v>0</v>
      </c>
      <c r="AK335" s="6"/>
      <c r="AL335" s="6"/>
      <c r="AM335" s="138">
        <f t="shared" si="189"/>
        <v>0</v>
      </c>
      <c r="AN335" s="160">
        <f t="shared" si="190"/>
        <v>0</v>
      </c>
      <c r="AO335" s="170">
        <f t="shared" si="202"/>
        <v>0</v>
      </c>
      <c r="AP335" s="6"/>
      <c r="AQ335" s="6"/>
      <c r="AR335" s="138">
        <f t="shared" si="191"/>
        <v>0</v>
      </c>
      <c r="AS335" s="160">
        <f t="shared" si="192"/>
        <v>0</v>
      </c>
      <c r="AT335" s="164">
        <f t="shared" si="193"/>
        <v>0</v>
      </c>
      <c r="AU335" s="165">
        <f t="shared" si="194"/>
        <v>0</v>
      </c>
    </row>
    <row r="336" spans="2:47" outlineLevel="1" x14ac:dyDescent="0.35">
      <c r="B336" s="48" t="s">
        <v>82</v>
      </c>
      <c r="C336" s="62" t="s">
        <v>141</v>
      </c>
      <c r="D336" s="81">
        <v>1</v>
      </c>
      <c r="E336" s="4">
        <v>1</v>
      </c>
      <c r="F336" s="70">
        <v>0</v>
      </c>
      <c r="G336" s="4">
        <v>1</v>
      </c>
      <c r="H336" s="185">
        <f t="shared" si="180"/>
        <v>0</v>
      </c>
      <c r="I336" s="70">
        <v>0</v>
      </c>
      <c r="J336" s="4">
        <v>1</v>
      </c>
      <c r="K336" s="167">
        <f t="shared" si="181"/>
        <v>0</v>
      </c>
      <c r="L336" s="70">
        <v>0</v>
      </c>
      <c r="M336" s="4">
        <v>1</v>
      </c>
      <c r="N336" s="167">
        <f t="shared" si="182"/>
        <v>0</v>
      </c>
      <c r="O336" s="70"/>
      <c r="P336" s="4">
        <v>1</v>
      </c>
      <c r="Q336" s="167">
        <f t="shared" si="195"/>
        <v>0</v>
      </c>
      <c r="R336" s="164">
        <f t="shared" si="196"/>
        <v>1</v>
      </c>
      <c r="S336" s="165">
        <f t="shared" si="197"/>
        <v>0</v>
      </c>
      <c r="U336" s="170">
        <f t="shared" si="198"/>
        <v>0</v>
      </c>
      <c r="V336" s="6"/>
      <c r="W336" s="6"/>
      <c r="X336" s="138">
        <f t="shared" si="183"/>
        <v>1</v>
      </c>
      <c r="Y336" s="167">
        <f t="shared" si="184"/>
        <v>0</v>
      </c>
      <c r="Z336" s="170">
        <f t="shared" si="199"/>
        <v>0</v>
      </c>
      <c r="AA336" s="6"/>
      <c r="AB336" s="6"/>
      <c r="AC336" s="138">
        <f t="shared" si="185"/>
        <v>1</v>
      </c>
      <c r="AD336" s="160">
        <f t="shared" si="186"/>
        <v>0</v>
      </c>
      <c r="AE336" s="170">
        <f t="shared" si="200"/>
        <v>0</v>
      </c>
      <c r="AF336" s="6"/>
      <c r="AG336" s="6"/>
      <c r="AH336" s="138">
        <f t="shared" si="187"/>
        <v>1</v>
      </c>
      <c r="AI336" s="160">
        <f t="shared" si="188"/>
        <v>0</v>
      </c>
      <c r="AJ336" s="170">
        <f t="shared" si="201"/>
        <v>0</v>
      </c>
      <c r="AK336" s="6"/>
      <c r="AL336" s="6"/>
      <c r="AM336" s="138">
        <f t="shared" si="189"/>
        <v>1</v>
      </c>
      <c r="AN336" s="160">
        <f t="shared" si="190"/>
        <v>0</v>
      </c>
      <c r="AO336" s="170">
        <f t="shared" si="202"/>
        <v>0</v>
      </c>
      <c r="AP336" s="6"/>
      <c r="AQ336" s="6"/>
      <c r="AR336" s="138">
        <f t="shared" si="191"/>
        <v>1</v>
      </c>
      <c r="AS336" s="160">
        <f t="shared" si="192"/>
        <v>0</v>
      </c>
      <c r="AT336" s="164">
        <f t="shared" si="193"/>
        <v>0</v>
      </c>
      <c r="AU336" s="165">
        <f t="shared" si="194"/>
        <v>0</v>
      </c>
    </row>
    <row r="337" spans="2:47" outlineLevel="1" x14ac:dyDescent="0.35">
      <c r="B337" s="48" t="s">
        <v>83</v>
      </c>
      <c r="C337" s="62" t="s">
        <v>141</v>
      </c>
      <c r="D337" s="81">
        <v>0</v>
      </c>
      <c r="E337" s="4">
        <v>0</v>
      </c>
      <c r="F337" s="70">
        <v>0</v>
      </c>
      <c r="G337" s="4">
        <v>0</v>
      </c>
      <c r="H337" s="185">
        <f t="shared" si="180"/>
        <v>0</v>
      </c>
      <c r="I337" s="70">
        <v>0</v>
      </c>
      <c r="J337" s="4">
        <v>0</v>
      </c>
      <c r="K337" s="167">
        <f t="shared" si="181"/>
        <v>0</v>
      </c>
      <c r="L337" s="70">
        <v>0</v>
      </c>
      <c r="M337" s="4"/>
      <c r="N337" s="167">
        <f t="shared" si="182"/>
        <v>0</v>
      </c>
      <c r="O337" s="70"/>
      <c r="P337" s="4"/>
      <c r="Q337" s="167">
        <f t="shared" si="195"/>
        <v>0</v>
      </c>
      <c r="R337" s="164">
        <f t="shared" si="196"/>
        <v>0</v>
      </c>
      <c r="S337" s="165">
        <f t="shared" si="197"/>
        <v>0</v>
      </c>
      <c r="U337" s="170">
        <f t="shared" si="198"/>
        <v>0</v>
      </c>
      <c r="V337" s="6"/>
      <c r="W337" s="6"/>
      <c r="X337" s="138">
        <f t="shared" si="183"/>
        <v>0</v>
      </c>
      <c r="Y337" s="167">
        <f t="shared" si="184"/>
        <v>0</v>
      </c>
      <c r="Z337" s="170">
        <f t="shared" si="199"/>
        <v>0</v>
      </c>
      <c r="AA337" s="6"/>
      <c r="AB337" s="6"/>
      <c r="AC337" s="138">
        <f t="shared" si="185"/>
        <v>0</v>
      </c>
      <c r="AD337" s="160">
        <f t="shared" si="186"/>
        <v>0</v>
      </c>
      <c r="AE337" s="170">
        <f t="shared" si="200"/>
        <v>0</v>
      </c>
      <c r="AF337" s="6"/>
      <c r="AG337" s="6"/>
      <c r="AH337" s="138">
        <f t="shared" si="187"/>
        <v>0</v>
      </c>
      <c r="AI337" s="160">
        <f t="shared" si="188"/>
        <v>0</v>
      </c>
      <c r="AJ337" s="170">
        <f t="shared" si="201"/>
        <v>0</v>
      </c>
      <c r="AK337" s="6"/>
      <c r="AL337" s="6"/>
      <c r="AM337" s="138">
        <f t="shared" si="189"/>
        <v>0</v>
      </c>
      <c r="AN337" s="160">
        <f t="shared" si="190"/>
        <v>0</v>
      </c>
      <c r="AO337" s="170">
        <f t="shared" si="202"/>
        <v>0</v>
      </c>
      <c r="AP337" s="6"/>
      <c r="AQ337" s="6"/>
      <c r="AR337" s="138">
        <f t="shared" si="191"/>
        <v>0</v>
      </c>
      <c r="AS337" s="160">
        <f t="shared" si="192"/>
        <v>0</v>
      </c>
      <c r="AT337" s="164">
        <f t="shared" si="193"/>
        <v>0</v>
      </c>
      <c r="AU337" s="165">
        <f t="shared" si="194"/>
        <v>0</v>
      </c>
    </row>
    <row r="338" spans="2:47" outlineLevel="1" x14ac:dyDescent="0.35">
      <c r="B338" s="48" t="s">
        <v>84</v>
      </c>
      <c r="C338" s="62" t="s">
        <v>141</v>
      </c>
      <c r="D338" s="81">
        <v>0</v>
      </c>
      <c r="E338" s="4">
        <v>0</v>
      </c>
      <c r="F338" s="70">
        <v>0</v>
      </c>
      <c r="G338" s="4">
        <v>0</v>
      </c>
      <c r="H338" s="185">
        <f t="shared" si="180"/>
        <v>0</v>
      </c>
      <c r="I338" s="70">
        <v>0</v>
      </c>
      <c r="J338" s="4">
        <v>0</v>
      </c>
      <c r="K338" s="167">
        <f t="shared" si="181"/>
        <v>0</v>
      </c>
      <c r="L338" s="70">
        <v>0</v>
      </c>
      <c r="M338" s="4"/>
      <c r="N338" s="167">
        <f t="shared" si="182"/>
        <v>0</v>
      </c>
      <c r="O338" s="70"/>
      <c r="P338" s="4"/>
      <c r="Q338" s="167">
        <f t="shared" si="195"/>
        <v>0</v>
      </c>
      <c r="R338" s="164">
        <f t="shared" si="196"/>
        <v>0</v>
      </c>
      <c r="S338" s="165">
        <f t="shared" si="197"/>
        <v>0</v>
      </c>
      <c r="U338" s="170">
        <f t="shared" si="198"/>
        <v>0</v>
      </c>
      <c r="V338" s="6"/>
      <c r="W338" s="6"/>
      <c r="X338" s="138">
        <f t="shared" si="183"/>
        <v>0</v>
      </c>
      <c r="Y338" s="167">
        <f t="shared" si="184"/>
        <v>0</v>
      </c>
      <c r="Z338" s="170">
        <f t="shared" si="199"/>
        <v>0</v>
      </c>
      <c r="AA338" s="6"/>
      <c r="AB338" s="6"/>
      <c r="AC338" s="138">
        <f t="shared" si="185"/>
        <v>0</v>
      </c>
      <c r="AD338" s="160">
        <f t="shared" si="186"/>
        <v>0</v>
      </c>
      <c r="AE338" s="170">
        <f t="shared" si="200"/>
        <v>0</v>
      </c>
      <c r="AF338" s="6"/>
      <c r="AG338" s="6"/>
      <c r="AH338" s="138">
        <f t="shared" si="187"/>
        <v>0</v>
      </c>
      <c r="AI338" s="160">
        <f t="shared" si="188"/>
        <v>0</v>
      </c>
      <c r="AJ338" s="170">
        <f t="shared" si="201"/>
        <v>0</v>
      </c>
      <c r="AK338" s="6"/>
      <c r="AL338" s="6"/>
      <c r="AM338" s="138">
        <f t="shared" si="189"/>
        <v>0</v>
      </c>
      <c r="AN338" s="160">
        <f t="shared" si="190"/>
        <v>0</v>
      </c>
      <c r="AO338" s="170">
        <f t="shared" si="202"/>
        <v>0</v>
      </c>
      <c r="AP338" s="6"/>
      <c r="AQ338" s="6"/>
      <c r="AR338" s="138">
        <f t="shared" si="191"/>
        <v>0</v>
      </c>
      <c r="AS338" s="160">
        <f t="shared" si="192"/>
        <v>0</v>
      </c>
      <c r="AT338" s="164">
        <f t="shared" si="193"/>
        <v>0</v>
      </c>
      <c r="AU338" s="165">
        <f t="shared" si="194"/>
        <v>0</v>
      </c>
    </row>
    <row r="339" spans="2:47" outlineLevel="1" x14ac:dyDescent="0.35">
      <c r="B339" s="48" t="s">
        <v>85</v>
      </c>
      <c r="C339" s="62" t="s">
        <v>141</v>
      </c>
      <c r="D339" s="81">
        <v>0</v>
      </c>
      <c r="E339" s="4">
        <v>0</v>
      </c>
      <c r="F339" s="70">
        <v>0</v>
      </c>
      <c r="G339" s="4">
        <v>0</v>
      </c>
      <c r="H339" s="185">
        <f t="shared" si="180"/>
        <v>0</v>
      </c>
      <c r="I339" s="70">
        <v>0</v>
      </c>
      <c r="J339" s="4">
        <v>0</v>
      </c>
      <c r="K339" s="167">
        <f t="shared" si="181"/>
        <v>0</v>
      </c>
      <c r="L339" s="70">
        <v>0</v>
      </c>
      <c r="M339" s="4"/>
      <c r="N339" s="167">
        <f t="shared" si="182"/>
        <v>0</v>
      </c>
      <c r="O339" s="70"/>
      <c r="P339" s="4"/>
      <c r="Q339" s="167">
        <f t="shared" si="195"/>
        <v>0</v>
      </c>
      <c r="R339" s="164">
        <f t="shared" si="196"/>
        <v>0</v>
      </c>
      <c r="S339" s="165">
        <f t="shared" si="197"/>
        <v>0</v>
      </c>
      <c r="U339" s="170">
        <f t="shared" si="198"/>
        <v>0</v>
      </c>
      <c r="V339" s="6"/>
      <c r="W339" s="6"/>
      <c r="X339" s="138">
        <f t="shared" si="183"/>
        <v>0</v>
      </c>
      <c r="Y339" s="167">
        <f t="shared" si="184"/>
        <v>0</v>
      </c>
      <c r="Z339" s="170">
        <f t="shared" si="199"/>
        <v>0</v>
      </c>
      <c r="AA339" s="6"/>
      <c r="AB339" s="6"/>
      <c r="AC339" s="138">
        <f t="shared" si="185"/>
        <v>0</v>
      </c>
      <c r="AD339" s="160">
        <f t="shared" si="186"/>
        <v>0</v>
      </c>
      <c r="AE339" s="170">
        <f t="shared" si="200"/>
        <v>0</v>
      </c>
      <c r="AF339" s="6"/>
      <c r="AG339" s="6"/>
      <c r="AH339" s="138">
        <f t="shared" si="187"/>
        <v>0</v>
      </c>
      <c r="AI339" s="160">
        <f t="shared" si="188"/>
        <v>0</v>
      </c>
      <c r="AJ339" s="170">
        <f t="shared" si="201"/>
        <v>0</v>
      </c>
      <c r="AK339" s="6"/>
      <c r="AL339" s="6"/>
      <c r="AM339" s="138">
        <f t="shared" si="189"/>
        <v>0</v>
      </c>
      <c r="AN339" s="160">
        <f t="shared" si="190"/>
        <v>0</v>
      </c>
      <c r="AO339" s="170">
        <f t="shared" si="202"/>
        <v>0</v>
      </c>
      <c r="AP339" s="6"/>
      <c r="AQ339" s="6"/>
      <c r="AR339" s="138">
        <f t="shared" si="191"/>
        <v>0</v>
      </c>
      <c r="AS339" s="160">
        <f t="shared" si="192"/>
        <v>0</v>
      </c>
      <c r="AT339" s="164">
        <f t="shared" si="193"/>
        <v>0</v>
      </c>
      <c r="AU339" s="165">
        <f t="shared" si="194"/>
        <v>0</v>
      </c>
    </row>
    <row r="340" spans="2:47" outlineLevel="1" x14ac:dyDescent="0.35">
      <c r="B340" s="48" t="s">
        <v>86</v>
      </c>
      <c r="C340" s="62" t="s">
        <v>141</v>
      </c>
      <c r="D340" s="81">
        <v>0</v>
      </c>
      <c r="E340" s="4">
        <v>0</v>
      </c>
      <c r="F340" s="70">
        <v>0</v>
      </c>
      <c r="G340" s="4">
        <v>0</v>
      </c>
      <c r="H340" s="185">
        <f t="shared" si="180"/>
        <v>0</v>
      </c>
      <c r="I340" s="70">
        <v>0</v>
      </c>
      <c r="J340" s="4">
        <v>0</v>
      </c>
      <c r="K340" s="167">
        <f t="shared" si="181"/>
        <v>0</v>
      </c>
      <c r="L340" s="70">
        <v>0</v>
      </c>
      <c r="M340" s="4"/>
      <c r="N340" s="167">
        <f t="shared" si="182"/>
        <v>0</v>
      </c>
      <c r="O340" s="70"/>
      <c r="P340" s="4"/>
      <c r="Q340" s="167">
        <f t="shared" si="195"/>
        <v>0</v>
      </c>
      <c r="R340" s="164">
        <f t="shared" si="196"/>
        <v>0</v>
      </c>
      <c r="S340" s="165">
        <f t="shared" si="197"/>
        <v>0</v>
      </c>
      <c r="U340" s="170">
        <f t="shared" si="198"/>
        <v>0</v>
      </c>
      <c r="V340" s="6"/>
      <c r="W340" s="6"/>
      <c r="X340" s="138">
        <f t="shared" si="183"/>
        <v>0</v>
      </c>
      <c r="Y340" s="167">
        <f t="shared" si="184"/>
        <v>0</v>
      </c>
      <c r="Z340" s="170">
        <f t="shared" si="199"/>
        <v>0</v>
      </c>
      <c r="AA340" s="6"/>
      <c r="AB340" s="6"/>
      <c r="AC340" s="138">
        <f t="shared" si="185"/>
        <v>0</v>
      </c>
      <c r="AD340" s="160">
        <f t="shared" si="186"/>
        <v>0</v>
      </c>
      <c r="AE340" s="170">
        <f t="shared" si="200"/>
        <v>0</v>
      </c>
      <c r="AF340" s="6"/>
      <c r="AG340" s="6"/>
      <c r="AH340" s="138">
        <f t="shared" si="187"/>
        <v>0</v>
      </c>
      <c r="AI340" s="160">
        <f t="shared" si="188"/>
        <v>0</v>
      </c>
      <c r="AJ340" s="170">
        <f t="shared" si="201"/>
        <v>0</v>
      </c>
      <c r="AK340" s="6"/>
      <c r="AL340" s="6"/>
      <c r="AM340" s="138">
        <f t="shared" si="189"/>
        <v>0</v>
      </c>
      <c r="AN340" s="160">
        <f t="shared" si="190"/>
        <v>0</v>
      </c>
      <c r="AO340" s="170">
        <f t="shared" si="202"/>
        <v>0</v>
      </c>
      <c r="AP340" s="6"/>
      <c r="AQ340" s="6"/>
      <c r="AR340" s="138">
        <f t="shared" si="191"/>
        <v>0</v>
      </c>
      <c r="AS340" s="160">
        <f t="shared" si="192"/>
        <v>0</v>
      </c>
      <c r="AT340" s="164">
        <f t="shared" si="193"/>
        <v>0</v>
      </c>
      <c r="AU340" s="165">
        <f t="shared" si="194"/>
        <v>0</v>
      </c>
    </row>
    <row r="341" spans="2:47" outlineLevel="1" x14ac:dyDescent="0.35">
      <c r="B341" s="48" t="s">
        <v>87</v>
      </c>
      <c r="C341" s="62" t="s">
        <v>141</v>
      </c>
      <c r="D341" s="81">
        <v>0</v>
      </c>
      <c r="E341" s="4">
        <v>0</v>
      </c>
      <c r="F341" s="70">
        <v>0</v>
      </c>
      <c r="G341" s="4">
        <v>0</v>
      </c>
      <c r="H341" s="185">
        <f t="shared" si="180"/>
        <v>0</v>
      </c>
      <c r="I341" s="70">
        <v>0</v>
      </c>
      <c r="J341" s="4">
        <v>0</v>
      </c>
      <c r="K341" s="167">
        <f t="shared" si="181"/>
        <v>0</v>
      </c>
      <c r="L341" s="70">
        <v>0</v>
      </c>
      <c r="M341" s="4"/>
      <c r="N341" s="167">
        <f t="shared" si="182"/>
        <v>0</v>
      </c>
      <c r="O341" s="70"/>
      <c r="P341" s="4"/>
      <c r="Q341" s="167">
        <f t="shared" si="195"/>
        <v>0</v>
      </c>
      <c r="R341" s="164">
        <f t="shared" si="196"/>
        <v>0</v>
      </c>
      <c r="S341" s="165">
        <f t="shared" si="197"/>
        <v>0</v>
      </c>
      <c r="U341" s="170">
        <f t="shared" si="198"/>
        <v>0</v>
      </c>
      <c r="V341" s="6"/>
      <c r="W341" s="6"/>
      <c r="X341" s="138">
        <f t="shared" si="183"/>
        <v>0</v>
      </c>
      <c r="Y341" s="167">
        <f t="shared" si="184"/>
        <v>0</v>
      </c>
      <c r="Z341" s="170">
        <f t="shared" si="199"/>
        <v>0</v>
      </c>
      <c r="AA341" s="6"/>
      <c r="AB341" s="6"/>
      <c r="AC341" s="138">
        <f t="shared" si="185"/>
        <v>0</v>
      </c>
      <c r="AD341" s="160">
        <f t="shared" si="186"/>
        <v>0</v>
      </c>
      <c r="AE341" s="170">
        <f t="shared" si="200"/>
        <v>0</v>
      </c>
      <c r="AF341" s="6"/>
      <c r="AG341" s="6"/>
      <c r="AH341" s="138">
        <f t="shared" si="187"/>
        <v>0</v>
      </c>
      <c r="AI341" s="160">
        <f t="shared" si="188"/>
        <v>0</v>
      </c>
      <c r="AJ341" s="170">
        <f t="shared" si="201"/>
        <v>0</v>
      </c>
      <c r="AK341" s="6"/>
      <c r="AL341" s="6"/>
      <c r="AM341" s="138">
        <f t="shared" si="189"/>
        <v>0</v>
      </c>
      <c r="AN341" s="160">
        <f t="shared" si="190"/>
        <v>0</v>
      </c>
      <c r="AO341" s="170">
        <f t="shared" si="202"/>
        <v>0</v>
      </c>
      <c r="AP341" s="6"/>
      <c r="AQ341" s="6"/>
      <c r="AR341" s="138">
        <f t="shared" si="191"/>
        <v>0</v>
      </c>
      <c r="AS341" s="160">
        <f t="shared" si="192"/>
        <v>0</v>
      </c>
      <c r="AT341" s="164">
        <f t="shared" si="193"/>
        <v>0</v>
      </c>
      <c r="AU341" s="165">
        <f t="shared" si="194"/>
        <v>0</v>
      </c>
    </row>
    <row r="342" spans="2:47" outlineLevel="1" x14ac:dyDescent="0.35">
      <c r="B342" s="48" t="s">
        <v>88</v>
      </c>
      <c r="C342" s="62" t="s">
        <v>141</v>
      </c>
      <c r="D342" s="81">
        <v>0</v>
      </c>
      <c r="E342" s="4">
        <v>0</v>
      </c>
      <c r="F342" s="70">
        <v>0</v>
      </c>
      <c r="G342" s="4">
        <v>0</v>
      </c>
      <c r="H342" s="185">
        <f t="shared" si="180"/>
        <v>0</v>
      </c>
      <c r="I342" s="70">
        <v>0</v>
      </c>
      <c r="J342" s="4">
        <v>0</v>
      </c>
      <c r="K342" s="167">
        <f t="shared" si="181"/>
        <v>0</v>
      </c>
      <c r="L342" s="70">
        <v>0</v>
      </c>
      <c r="M342" s="4"/>
      <c r="N342" s="167">
        <f t="shared" si="182"/>
        <v>0</v>
      </c>
      <c r="O342" s="70"/>
      <c r="P342" s="4"/>
      <c r="Q342" s="167">
        <f t="shared" si="195"/>
        <v>0</v>
      </c>
      <c r="R342" s="164">
        <f t="shared" si="196"/>
        <v>0</v>
      </c>
      <c r="S342" s="165">
        <f t="shared" si="197"/>
        <v>0</v>
      </c>
      <c r="U342" s="170">
        <f t="shared" si="198"/>
        <v>0</v>
      </c>
      <c r="V342" s="6"/>
      <c r="W342" s="6"/>
      <c r="X342" s="138">
        <f t="shared" si="183"/>
        <v>0</v>
      </c>
      <c r="Y342" s="167">
        <f t="shared" si="184"/>
        <v>0</v>
      </c>
      <c r="Z342" s="170">
        <f t="shared" si="199"/>
        <v>0</v>
      </c>
      <c r="AA342" s="6"/>
      <c r="AB342" s="6"/>
      <c r="AC342" s="138">
        <f t="shared" si="185"/>
        <v>0</v>
      </c>
      <c r="AD342" s="160">
        <f t="shared" si="186"/>
        <v>0</v>
      </c>
      <c r="AE342" s="170">
        <f t="shared" si="200"/>
        <v>0</v>
      </c>
      <c r="AF342" s="6"/>
      <c r="AG342" s="6"/>
      <c r="AH342" s="138">
        <f t="shared" si="187"/>
        <v>0</v>
      </c>
      <c r="AI342" s="160">
        <f t="shared" si="188"/>
        <v>0</v>
      </c>
      <c r="AJ342" s="170">
        <f t="shared" si="201"/>
        <v>0</v>
      </c>
      <c r="AK342" s="6"/>
      <c r="AL342" s="6"/>
      <c r="AM342" s="138">
        <f t="shared" si="189"/>
        <v>0</v>
      </c>
      <c r="AN342" s="160">
        <f t="shared" si="190"/>
        <v>0</v>
      </c>
      <c r="AO342" s="170">
        <f t="shared" si="202"/>
        <v>0</v>
      </c>
      <c r="AP342" s="6"/>
      <c r="AQ342" s="6"/>
      <c r="AR342" s="138">
        <f t="shared" si="191"/>
        <v>0</v>
      </c>
      <c r="AS342" s="160">
        <f t="shared" si="192"/>
        <v>0</v>
      </c>
      <c r="AT342" s="164">
        <f t="shared" si="193"/>
        <v>0</v>
      </c>
      <c r="AU342" s="165">
        <f t="shared" si="194"/>
        <v>0</v>
      </c>
    </row>
    <row r="343" spans="2:47" outlineLevel="1" x14ac:dyDescent="0.35">
      <c r="B343" s="48" t="s">
        <v>89</v>
      </c>
      <c r="C343" s="62" t="s">
        <v>141</v>
      </c>
      <c r="D343" s="81">
        <v>0</v>
      </c>
      <c r="E343" s="4">
        <v>0</v>
      </c>
      <c r="F343" s="70">
        <v>0</v>
      </c>
      <c r="G343" s="4">
        <v>0</v>
      </c>
      <c r="H343" s="185">
        <f t="shared" si="180"/>
        <v>0</v>
      </c>
      <c r="I343" s="70">
        <v>0</v>
      </c>
      <c r="J343" s="4">
        <v>0</v>
      </c>
      <c r="K343" s="167">
        <f t="shared" si="181"/>
        <v>0</v>
      </c>
      <c r="L343" s="70">
        <v>0</v>
      </c>
      <c r="M343" s="4"/>
      <c r="N343" s="167">
        <f t="shared" si="182"/>
        <v>0</v>
      </c>
      <c r="O343" s="70"/>
      <c r="P343" s="4"/>
      <c r="Q343" s="167">
        <f t="shared" si="195"/>
        <v>0</v>
      </c>
      <c r="R343" s="164">
        <f t="shared" si="196"/>
        <v>0</v>
      </c>
      <c r="S343" s="165">
        <f t="shared" si="197"/>
        <v>0</v>
      </c>
      <c r="U343" s="170">
        <f t="shared" si="198"/>
        <v>0</v>
      </c>
      <c r="V343" s="6"/>
      <c r="W343" s="6"/>
      <c r="X343" s="138">
        <f t="shared" si="183"/>
        <v>0</v>
      </c>
      <c r="Y343" s="167">
        <f t="shared" si="184"/>
        <v>0</v>
      </c>
      <c r="Z343" s="170">
        <f t="shared" si="199"/>
        <v>0</v>
      </c>
      <c r="AA343" s="6"/>
      <c r="AB343" s="6"/>
      <c r="AC343" s="138">
        <f t="shared" si="185"/>
        <v>0</v>
      </c>
      <c r="AD343" s="160">
        <f t="shared" si="186"/>
        <v>0</v>
      </c>
      <c r="AE343" s="170">
        <f t="shared" si="200"/>
        <v>0</v>
      </c>
      <c r="AF343" s="6"/>
      <c r="AG343" s="6"/>
      <c r="AH343" s="138">
        <f t="shared" si="187"/>
        <v>0</v>
      </c>
      <c r="AI343" s="160">
        <f t="shared" si="188"/>
        <v>0</v>
      </c>
      <c r="AJ343" s="170">
        <f t="shared" si="201"/>
        <v>0</v>
      </c>
      <c r="AK343" s="6"/>
      <c r="AL343" s="6"/>
      <c r="AM343" s="138">
        <f t="shared" si="189"/>
        <v>0</v>
      </c>
      <c r="AN343" s="160">
        <f t="shared" si="190"/>
        <v>0</v>
      </c>
      <c r="AO343" s="170">
        <f t="shared" si="202"/>
        <v>0</v>
      </c>
      <c r="AP343" s="6"/>
      <c r="AQ343" s="6"/>
      <c r="AR343" s="138">
        <f t="shared" si="191"/>
        <v>0</v>
      </c>
      <c r="AS343" s="160">
        <f t="shared" si="192"/>
        <v>0</v>
      </c>
      <c r="AT343" s="164">
        <f t="shared" si="193"/>
        <v>0</v>
      </c>
      <c r="AU343" s="165">
        <f t="shared" si="194"/>
        <v>0</v>
      </c>
    </row>
    <row r="344" spans="2:47" outlineLevel="1" x14ac:dyDescent="0.35">
      <c r="B344" s="48" t="s">
        <v>90</v>
      </c>
      <c r="C344" s="62" t="s">
        <v>141</v>
      </c>
      <c r="D344" s="81">
        <v>0</v>
      </c>
      <c r="E344" s="4">
        <v>0</v>
      </c>
      <c r="F344" s="70">
        <v>0</v>
      </c>
      <c r="G344" s="4">
        <v>0</v>
      </c>
      <c r="H344" s="185">
        <f t="shared" si="180"/>
        <v>0</v>
      </c>
      <c r="I344" s="70">
        <v>0</v>
      </c>
      <c r="J344" s="4">
        <v>0</v>
      </c>
      <c r="K344" s="167">
        <f t="shared" si="181"/>
        <v>0</v>
      </c>
      <c r="L344" s="70">
        <v>0</v>
      </c>
      <c r="M344" s="4"/>
      <c r="N344" s="167">
        <f t="shared" si="182"/>
        <v>0</v>
      </c>
      <c r="O344" s="70"/>
      <c r="P344" s="4"/>
      <c r="Q344" s="167">
        <f t="shared" si="195"/>
        <v>0</v>
      </c>
      <c r="R344" s="164">
        <f t="shared" si="196"/>
        <v>0</v>
      </c>
      <c r="S344" s="165">
        <f t="shared" si="197"/>
        <v>0</v>
      </c>
      <c r="U344" s="170">
        <f t="shared" si="198"/>
        <v>0</v>
      </c>
      <c r="V344" s="6"/>
      <c r="W344" s="6"/>
      <c r="X344" s="138">
        <f t="shared" si="183"/>
        <v>0</v>
      </c>
      <c r="Y344" s="167">
        <f t="shared" si="184"/>
        <v>0</v>
      </c>
      <c r="Z344" s="170">
        <f t="shared" si="199"/>
        <v>0</v>
      </c>
      <c r="AA344" s="6"/>
      <c r="AB344" s="6"/>
      <c r="AC344" s="138">
        <f t="shared" si="185"/>
        <v>0</v>
      </c>
      <c r="AD344" s="160">
        <f t="shared" si="186"/>
        <v>0</v>
      </c>
      <c r="AE344" s="170">
        <f t="shared" si="200"/>
        <v>0</v>
      </c>
      <c r="AF344" s="6"/>
      <c r="AG344" s="6"/>
      <c r="AH344" s="138">
        <f t="shared" si="187"/>
        <v>0</v>
      </c>
      <c r="AI344" s="160">
        <f t="shared" si="188"/>
        <v>0</v>
      </c>
      <c r="AJ344" s="170">
        <f t="shared" si="201"/>
        <v>0</v>
      </c>
      <c r="AK344" s="6"/>
      <c r="AL344" s="6"/>
      <c r="AM344" s="138">
        <f t="shared" si="189"/>
        <v>0</v>
      </c>
      <c r="AN344" s="160">
        <f t="shared" si="190"/>
        <v>0</v>
      </c>
      <c r="AO344" s="170">
        <f t="shared" si="202"/>
        <v>0</v>
      </c>
      <c r="AP344" s="6"/>
      <c r="AQ344" s="6"/>
      <c r="AR344" s="138">
        <f t="shared" si="191"/>
        <v>0</v>
      </c>
      <c r="AS344" s="160">
        <f t="shared" si="192"/>
        <v>0</v>
      </c>
      <c r="AT344" s="164">
        <f t="shared" si="193"/>
        <v>0</v>
      </c>
      <c r="AU344" s="165">
        <f t="shared" si="194"/>
        <v>0</v>
      </c>
    </row>
    <row r="345" spans="2:47" outlineLevel="1" x14ac:dyDescent="0.35">
      <c r="B345" s="48" t="s">
        <v>91</v>
      </c>
      <c r="C345" s="62" t="s">
        <v>141</v>
      </c>
      <c r="D345" s="81">
        <v>0</v>
      </c>
      <c r="E345" s="4">
        <v>0</v>
      </c>
      <c r="F345" s="70">
        <v>0</v>
      </c>
      <c r="G345" s="4">
        <v>0</v>
      </c>
      <c r="H345" s="185">
        <f t="shared" si="180"/>
        <v>0</v>
      </c>
      <c r="I345" s="70">
        <v>0</v>
      </c>
      <c r="J345" s="4">
        <v>0</v>
      </c>
      <c r="K345" s="167">
        <f t="shared" si="181"/>
        <v>0</v>
      </c>
      <c r="L345" s="70">
        <v>0</v>
      </c>
      <c r="M345" s="4"/>
      <c r="N345" s="167">
        <f t="shared" si="182"/>
        <v>0</v>
      </c>
      <c r="O345" s="70"/>
      <c r="P345" s="4"/>
      <c r="Q345" s="167">
        <f t="shared" si="195"/>
        <v>0</v>
      </c>
      <c r="R345" s="164">
        <f t="shared" si="196"/>
        <v>0</v>
      </c>
      <c r="S345" s="165">
        <f t="shared" si="197"/>
        <v>0</v>
      </c>
      <c r="U345" s="170">
        <f t="shared" si="198"/>
        <v>0</v>
      </c>
      <c r="V345" s="6"/>
      <c r="W345" s="6"/>
      <c r="X345" s="138">
        <f t="shared" si="183"/>
        <v>0</v>
      </c>
      <c r="Y345" s="167">
        <f t="shared" si="184"/>
        <v>0</v>
      </c>
      <c r="Z345" s="170">
        <f t="shared" si="199"/>
        <v>0</v>
      </c>
      <c r="AA345" s="6"/>
      <c r="AB345" s="6"/>
      <c r="AC345" s="138">
        <f t="shared" si="185"/>
        <v>0</v>
      </c>
      <c r="AD345" s="160">
        <f t="shared" si="186"/>
        <v>0</v>
      </c>
      <c r="AE345" s="170">
        <f t="shared" si="200"/>
        <v>0</v>
      </c>
      <c r="AF345" s="6"/>
      <c r="AG345" s="6"/>
      <c r="AH345" s="138">
        <f t="shared" si="187"/>
        <v>0</v>
      </c>
      <c r="AI345" s="160">
        <f t="shared" si="188"/>
        <v>0</v>
      </c>
      <c r="AJ345" s="170">
        <f t="shared" si="201"/>
        <v>0</v>
      </c>
      <c r="AK345" s="6"/>
      <c r="AL345" s="6"/>
      <c r="AM345" s="138">
        <f t="shared" si="189"/>
        <v>0</v>
      </c>
      <c r="AN345" s="160">
        <f t="shared" si="190"/>
        <v>0</v>
      </c>
      <c r="AO345" s="170">
        <f t="shared" si="202"/>
        <v>0</v>
      </c>
      <c r="AP345" s="6"/>
      <c r="AQ345" s="6"/>
      <c r="AR345" s="138">
        <f t="shared" si="191"/>
        <v>0</v>
      </c>
      <c r="AS345" s="160">
        <f t="shared" si="192"/>
        <v>0</v>
      </c>
      <c r="AT345" s="164">
        <f t="shared" si="193"/>
        <v>0</v>
      </c>
      <c r="AU345" s="165">
        <f t="shared" si="194"/>
        <v>0</v>
      </c>
    </row>
    <row r="346" spans="2:47" outlineLevel="1" x14ac:dyDescent="0.35">
      <c r="B346" s="48" t="s">
        <v>92</v>
      </c>
      <c r="C346" s="62" t="s">
        <v>141</v>
      </c>
      <c r="D346" s="81">
        <v>0</v>
      </c>
      <c r="E346" s="4">
        <v>0</v>
      </c>
      <c r="F346" s="70">
        <v>0</v>
      </c>
      <c r="G346" s="4">
        <v>0</v>
      </c>
      <c r="H346" s="185">
        <f t="shared" si="180"/>
        <v>0</v>
      </c>
      <c r="I346" s="70">
        <v>0</v>
      </c>
      <c r="J346" s="4">
        <v>0</v>
      </c>
      <c r="K346" s="167">
        <f t="shared" si="181"/>
        <v>0</v>
      </c>
      <c r="L346" s="70">
        <v>0</v>
      </c>
      <c r="M346" s="4"/>
      <c r="N346" s="167">
        <f t="shared" si="182"/>
        <v>0</v>
      </c>
      <c r="O346" s="70"/>
      <c r="P346" s="4"/>
      <c r="Q346" s="167">
        <f t="shared" si="195"/>
        <v>0</v>
      </c>
      <c r="R346" s="164">
        <f t="shared" si="196"/>
        <v>0</v>
      </c>
      <c r="S346" s="165">
        <f t="shared" si="197"/>
        <v>0</v>
      </c>
      <c r="U346" s="170">
        <f t="shared" si="198"/>
        <v>0</v>
      </c>
      <c r="V346" s="6"/>
      <c r="W346" s="6"/>
      <c r="X346" s="138">
        <f t="shared" si="183"/>
        <v>0</v>
      </c>
      <c r="Y346" s="167">
        <f t="shared" si="184"/>
        <v>0</v>
      </c>
      <c r="Z346" s="170">
        <f t="shared" si="199"/>
        <v>0</v>
      </c>
      <c r="AA346" s="6"/>
      <c r="AB346" s="6"/>
      <c r="AC346" s="138">
        <f t="shared" si="185"/>
        <v>0</v>
      </c>
      <c r="AD346" s="160">
        <f t="shared" si="186"/>
        <v>0</v>
      </c>
      <c r="AE346" s="170">
        <f t="shared" si="200"/>
        <v>0</v>
      </c>
      <c r="AF346" s="6"/>
      <c r="AG346" s="6"/>
      <c r="AH346" s="138">
        <f t="shared" si="187"/>
        <v>0</v>
      </c>
      <c r="AI346" s="160">
        <f t="shared" si="188"/>
        <v>0</v>
      </c>
      <c r="AJ346" s="170">
        <f t="shared" si="201"/>
        <v>0</v>
      </c>
      <c r="AK346" s="6"/>
      <c r="AL346" s="6"/>
      <c r="AM346" s="138">
        <f t="shared" si="189"/>
        <v>0</v>
      </c>
      <c r="AN346" s="160">
        <f t="shared" si="190"/>
        <v>0</v>
      </c>
      <c r="AO346" s="170">
        <f t="shared" si="202"/>
        <v>0</v>
      </c>
      <c r="AP346" s="6"/>
      <c r="AQ346" s="6"/>
      <c r="AR346" s="138">
        <f t="shared" si="191"/>
        <v>0</v>
      </c>
      <c r="AS346" s="160">
        <f t="shared" si="192"/>
        <v>0</v>
      </c>
      <c r="AT346" s="164">
        <f t="shared" si="193"/>
        <v>0</v>
      </c>
      <c r="AU346" s="165">
        <f t="shared" si="194"/>
        <v>0</v>
      </c>
    </row>
    <row r="347" spans="2:47" outlineLevel="1" x14ac:dyDescent="0.35">
      <c r="B347" s="48" t="s">
        <v>93</v>
      </c>
      <c r="C347" s="62" t="s">
        <v>141</v>
      </c>
      <c r="D347" s="81">
        <v>0</v>
      </c>
      <c r="E347" s="4">
        <v>0</v>
      </c>
      <c r="F347" s="70">
        <v>0</v>
      </c>
      <c r="G347" s="4">
        <v>0</v>
      </c>
      <c r="H347" s="185">
        <f t="shared" si="180"/>
        <v>0</v>
      </c>
      <c r="I347" s="70">
        <v>0</v>
      </c>
      <c r="J347" s="4">
        <v>0</v>
      </c>
      <c r="K347" s="167">
        <f t="shared" si="181"/>
        <v>0</v>
      </c>
      <c r="L347" s="70">
        <v>0</v>
      </c>
      <c r="M347" s="4"/>
      <c r="N347" s="167">
        <f t="shared" si="182"/>
        <v>0</v>
      </c>
      <c r="O347" s="70"/>
      <c r="P347" s="4"/>
      <c r="Q347" s="167">
        <f t="shared" si="195"/>
        <v>0</v>
      </c>
      <c r="R347" s="164">
        <f t="shared" si="196"/>
        <v>0</v>
      </c>
      <c r="S347" s="165">
        <f t="shared" si="197"/>
        <v>0</v>
      </c>
      <c r="U347" s="170">
        <f t="shared" si="198"/>
        <v>0</v>
      </c>
      <c r="V347" s="6"/>
      <c r="W347" s="6"/>
      <c r="X347" s="138">
        <f t="shared" si="183"/>
        <v>0</v>
      </c>
      <c r="Y347" s="167">
        <f t="shared" si="184"/>
        <v>0</v>
      </c>
      <c r="Z347" s="170">
        <f t="shared" si="199"/>
        <v>0</v>
      </c>
      <c r="AA347" s="6"/>
      <c r="AB347" s="6"/>
      <c r="AC347" s="138">
        <f t="shared" si="185"/>
        <v>0</v>
      </c>
      <c r="AD347" s="160">
        <f t="shared" si="186"/>
        <v>0</v>
      </c>
      <c r="AE347" s="170">
        <f t="shared" si="200"/>
        <v>0</v>
      </c>
      <c r="AF347" s="6"/>
      <c r="AG347" s="6"/>
      <c r="AH347" s="138">
        <f t="shared" si="187"/>
        <v>0</v>
      </c>
      <c r="AI347" s="160">
        <f t="shared" si="188"/>
        <v>0</v>
      </c>
      <c r="AJ347" s="170">
        <f t="shared" si="201"/>
        <v>0</v>
      </c>
      <c r="AK347" s="6"/>
      <c r="AL347" s="6"/>
      <c r="AM347" s="138">
        <f t="shared" si="189"/>
        <v>0</v>
      </c>
      <c r="AN347" s="160">
        <f t="shared" si="190"/>
        <v>0</v>
      </c>
      <c r="AO347" s="170">
        <f t="shared" si="202"/>
        <v>0</v>
      </c>
      <c r="AP347" s="6"/>
      <c r="AQ347" s="6"/>
      <c r="AR347" s="138">
        <f t="shared" si="191"/>
        <v>0</v>
      </c>
      <c r="AS347" s="160">
        <f t="shared" si="192"/>
        <v>0</v>
      </c>
      <c r="AT347" s="164">
        <f t="shared" si="193"/>
        <v>0</v>
      </c>
      <c r="AU347" s="165">
        <f t="shared" si="194"/>
        <v>0</v>
      </c>
    </row>
    <row r="348" spans="2:47" outlineLevel="1" x14ac:dyDescent="0.35">
      <c r="B348" s="48" t="s">
        <v>94</v>
      </c>
      <c r="C348" s="62" t="s">
        <v>141</v>
      </c>
      <c r="D348" s="81">
        <v>1</v>
      </c>
      <c r="E348" s="4">
        <v>1</v>
      </c>
      <c r="F348" s="70">
        <v>0</v>
      </c>
      <c r="G348" s="4">
        <v>1</v>
      </c>
      <c r="H348" s="185">
        <f t="shared" si="180"/>
        <v>0</v>
      </c>
      <c r="I348" s="70">
        <v>0</v>
      </c>
      <c r="J348" s="4">
        <v>1</v>
      </c>
      <c r="K348" s="167">
        <f t="shared" si="181"/>
        <v>0</v>
      </c>
      <c r="L348" s="70">
        <v>0</v>
      </c>
      <c r="M348" s="4">
        <v>1</v>
      </c>
      <c r="N348" s="167">
        <f t="shared" si="182"/>
        <v>0</v>
      </c>
      <c r="O348" s="70"/>
      <c r="P348" s="4">
        <v>1</v>
      </c>
      <c r="Q348" s="167">
        <f t="shared" si="195"/>
        <v>0</v>
      </c>
      <c r="R348" s="164">
        <f t="shared" si="196"/>
        <v>1</v>
      </c>
      <c r="S348" s="165">
        <f t="shared" si="197"/>
        <v>0</v>
      </c>
      <c r="U348" s="170">
        <f t="shared" si="198"/>
        <v>0</v>
      </c>
      <c r="V348" s="6"/>
      <c r="W348" s="6"/>
      <c r="X348" s="138">
        <f t="shared" si="183"/>
        <v>1</v>
      </c>
      <c r="Y348" s="167">
        <f t="shared" si="184"/>
        <v>0</v>
      </c>
      <c r="Z348" s="170">
        <f t="shared" si="199"/>
        <v>0</v>
      </c>
      <c r="AA348" s="6"/>
      <c r="AB348" s="6"/>
      <c r="AC348" s="138">
        <f t="shared" si="185"/>
        <v>1</v>
      </c>
      <c r="AD348" s="160">
        <f t="shared" si="186"/>
        <v>0</v>
      </c>
      <c r="AE348" s="170">
        <f t="shared" si="200"/>
        <v>0</v>
      </c>
      <c r="AF348" s="6"/>
      <c r="AG348" s="6"/>
      <c r="AH348" s="138">
        <f t="shared" si="187"/>
        <v>1</v>
      </c>
      <c r="AI348" s="160">
        <f t="shared" si="188"/>
        <v>0</v>
      </c>
      <c r="AJ348" s="170">
        <f t="shared" si="201"/>
        <v>0</v>
      </c>
      <c r="AK348" s="6"/>
      <c r="AL348" s="6"/>
      <c r="AM348" s="138">
        <f t="shared" si="189"/>
        <v>1</v>
      </c>
      <c r="AN348" s="160">
        <f t="shared" si="190"/>
        <v>0</v>
      </c>
      <c r="AO348" s="170">
        <f t="shared" si="202"/>
        <v>0</v>
      </c>
      <c r="AP348" s="6"/>
      <c r="AQ348" s="6"/>
      <c r="AR348" s="138">
        <f t="shared" si="191"/>
        <v>1</v>
      </c>
      <c r="AS348" s="160">
        <f t="shared" si="192"/>
        <v>0</v>
      </c>
      <c r="AT348" s="164">
        <f t="shared" si="193"/>
        <v>0</v>
      </c>
      <c r="AU348" s="165">
        <f t="shared" si="194"/>
        <v>0</v>
      </c>
    </row>
    <row r="349" spans="2:47" outlineLevel="1" x14ac:dyDescent="0.35">
      <c r="B349" s="48" t="s">
        <v>95</v>
      </c>
      <c r="C349" s="62" t="s">
        <v>141</v>
      </c>
      <c r="D349" s="81">
        <v>0</v>
      </c>
      <c r="E349" s="4">
        <v>0</v>
      </c>
      <c r="F349" s="70">
        <v>0</v>
      </c>
      <c r="G349" s="4">
        <v>0</v>
      </c>
      <c r="H349" s="185">
        <f t="shared" si="180"/>
        <v>0</v>
      </c>
      <c r="I349" s="70">
        <v>0</v>
      </c>
      <c r="J349" s="4">
        <v>0</v>
      </c>
      <c r="K349" s="167">
        <f t="shared" si="181"/>
        <v>0</v>
      </c>
      <c r="L349" s="70">
        <v>0</v>
      </c>
      <c r="M349" s="4"/>
      <c r="N349" s="167">
        <f t="shared" si="182"/>
        <v>0</v>
      </c>
      <c r="O349" s="70"/>
      <c r="P349" s="4"/>
      <c r="Q349" s="167">
        <f t="shared" si="195"/>
        <v>0</v>
      </c>
      <c r="R349" s="164">
        <f t="shared" si="196"/>
        <v>0</v>
      </c>
      <c r="S349" s="165">
        <f t="shared" si="197"/>
        <v>0</v>
      </c>
      <c r="U349" s="170">
        <f t="shared" si="198"/>
        <v>1</v>
      </c>
      <c r="V349" s="6">
        <v>1</v>
      </c>
      <c r="W349" s="6"/>
      <c r="X349" s="138">
        <f t="shared" si="183"/>
        <v>1</v>
      </c>
      <c r="Y349" s="167">
        <f t="shared" si="184"/>
        <v>0</v>
      </c>
      <c r="Z349" s="170">
        <f t="shared" si="199"/>
        <v>0</v>
      </c>
      <c r="AA349" s="6"/>
      <c r="AB349" s="6"/>
      <c r="AC349" s="138">
        <f t="shared" si="185"/>
        <v>1</v>
      </c>
      <c r="AD349" s="160">
        <f t="shared" si="186"/>
        <v>0</v>
      </c>
      <c r="AE349" s="170">
        <f t="shared" si="200"/>
        <v>0</v>
      </c>
      <c r="AF349" s="6"/>
      <c r="AG349" s="6"/>
      <c r="AH349" s="138">
        <f t="shared" si="187"/>
        <v>1</v>
      </c>
      <c r="AI349" s="160">
        <f t="shared" si="188"/>
        <v>0</v>
      </c>
      <c r="AJ349" s="170">
        <f t="shared" si="201"/>
        <v>0</v>
      </c>
      <c r="AK349" s="6"/>
      <c r="AL349" s="6"/>
      <c r="AM349" s="138">
        <f t="shared" si="189"/>
        <v>1</v>
      </c>
      <c r="AN349" s="160">
        <f t="shared" si="190"/>
        <v>0</v>
      </c>
      <c r="AO349" s="170">
        <f t="shared" si="202"/>
        <v>0</v>
      </c>
      <c r="AP349" s="6"/>
      <c r="AQ349" s="6"/>
      <c r="AR349" s="138">
        <f t="shared" si="191"/>
        <v>1</v>
      </c>
      <c r="AS349" s="160">
        <f t="shared" si="192"/>
        <v>0</v>
      </c>
      <c r="AT349" s="164">
        <f t="shared" si="193"/>
        <v>1</v>
      </c>
      <c r="AU349" s="165">
        <f t="shared" si="194"/>
        <v>0</v>
      </c>
    </row>
    <row r="350" spans="2:47" outlineLevel="1" x14ac:dyDescent="0.35">
      <c r="B350" s="48" t="s">
        <v>96</v>
      </c>
      <c r="C350" s="62" t="s">
        <v>141</v>
      </c>
      <c r="D350" s="81">
        <v>0</v>
      </c>
      <c r="E350" s="4">
        <v>0</v>
      </c>
      <c r="F350" s="70">
        <v>0</v>
      </c>
      <c r="G350" s="4">
        <v>0</v>
      </c>
      <c r="H350" s="185">
        <f t="shared" si="180"/>
        <v>0</v>
      </c>
      <c r="I350" s="70">
        <v>0</v>
      </c>
      <c r="J350" s="4">
        <v>0</v>
      </c>
      <c r="K350" s="167">
        <f t="shared" si="181"/>
        <v>0</v>
      </c>
      <c r="L350" s="70">
        <v>0</v>
      </c>
      <c r="M350" s="4"/>
      <c r="N350" s="167">
        <f t="shared" si="182"/>
        <v>0</v>
      </c>
      <c r="O350" s="70"/>
      <c r="P350" s="4"/>
      <c r="Q350" s="167">
        <f t="shared" si="195"/>
        <v>0</v>
      </c>
      <c r="R350" s="164">
        <f t="shared" si="196"/>
        <v>0</v>
      </c>
      <c r="S350" s="165">
        <f t="shared" si="197"/>
        <v>0</v>
      </c>
      <c r="U350" s="170">
        <f t="shared" si="198"/>
        <v>0</v>
      </c>
      <c r="V350" s="6"/>
      <c r="W350" s="6"/>
      <c r="X350" s="138">
        <f t="shared" si="183"/>
        <v>0</v>
      </c>
      <c r="Y350" s="167">
        <f t="shared" si="184"/>
        <v>0</v>
      </c>
      <c r="Z350" s="170">
        <f t="shared" si="199"/>
        <v>0</v>
      </c>
      <c r="AA350" s="6"/>
      <c r="AB350" s="6"/>
      <c r="AC350" s="138">
        <f t="shared" si="185"/>
        <v>0</v>
      </c>
      <c r="AD350" s="160">
        <f t="shared" si="186"/>
        <v>0</v>
      </c>
      <c r="AE350" s="170">
        <f t="shared" si="200"/>
        <v>0</v>
      </c>
      <c r="AF350" s="6"/>
      <c r="AG350" s="6"/>
      <c r="AH350" s="138">
        <f t="shared" si="187"/>
        <v>0</v>
      </c>
      <c r="AI350" s="160">
        <f t="shared" si="188"/>
        <v>0</v>
      </c>
      <c r="AJ350" s="170">
        <f t="shared" si="201"/>
        <v>0</v>
      </c>
      <c r="AK350" s="6"/>
      <c r="AL350" s="6"/>
      <c r="AM350" s="138">
        <f t="shared" si="189"/>
        <v>0</v>
      </c>
      <c r="AN350" s="160">
        <f t="shared" si="190"/>
        <v>0</v>
      </c>
      <c r="AO350" s="170">
        <f t="shared" si="202"/>
        <v>0</v>
      </c>
      <c r="AP350" s="6"/>
      <c r="AQ350" s="6"/>
      <c r="AR350" s="138">
        <f t="shared" si="191"/>
        <v>0</v>
      </c>
      <c r="AS350" s="160">
        <f t="shared" si="192"/>
        <v>0</v>
      </c>
      <c r="AT350" s="164">
        <f t="shared" si="193"/>
        <v>0</v>
      </c>
      <c r="AU350" s="165">
        <f t="shared" si="194"/>
        <v>0</v>
      </c>
    </row>
    <row r="351" spans="2:47" outlineLevel="1" x14ac:dyDescent="0.35">
      <c r="B351" s="48" t="s">
        <v>97</v>
      </c>
      <c r="C351" s="62" t="s">
        <v>141</v>
      </c>
      <c r="D351" s="81">
        <v>0</v>
      </c>
      <c r="E351" s="4">
        <v>0</v>
      </c>
      <c r="F351" s="70">
        <v>0</v>
      </c>
      <c r="G351" s="4">
        <v>0</v>
      </c>
      <c r="H351" s="185">
        <f t="shared" si="180"/>
        <v>0</v>
      </c>
      <c r="I351" s="70">
        <v>0</v>
      </c>
      <c r="J351" s="4">
        <v>0</v>
      </c>
      <c r="K351" s="167">
        <f t="shared" si="181"/>
        <v>0</v>
      </c>
      <c r="L351" s="70">
        <v>0</v>
      </c>
      <c r="M351" s="4"/>
      <c r="N351" s="167">
        <f t="shared" si="182"/>
        <v>0</v>
      </c>
      <c r="O351" s="70"/>
      <c r="P351" s="4"/>
      <c r="Q351" s="167">
        <f t="shared" si="195"/>
        <v>0</v>
      </c>
      <c r="R351" s="164">
        <f t="shared" si="196"/>
        <v>0</v>
      </c>
      <c r="S351" s="165">
        <f t="shared" si="197"/>
        <v>0</v>
      </c>
      <c r="U351" s="170">
        <f t="shared" si="198"/>
        <v>0</v>
      </c>
      <c r="V351" s="6"/>
      <c r="W351" s="6"/>
      <c r="X351" s="138">
        <f t="shared" si="183"/>
        <v>0</v>
      </c>
      <c r="Y351" s="167">
        <f t="shared" si="184"/>
        <v>0</v>
      </c>
      <c r="Z351" s="170">
        <f t="shared" si="199"/>
        <v>0</v>
      </c>
      <c r="AA351" s="6"/>
      <c r="AB351" s="6"/>
      <c r="AC351" s="138">
        <f t="shared" si="185"/>
        <v>0</v>
      </c>
      <c r="AD351" s="160">
        <f t="shared" si="186"/>
        <v>0</v>
      </c>
      <c r="AE351" s="170">
        <f t="shared" si="200"/>
        <v>0</v>
      </c>
      <c r="AF351" s="6"/>
      <c r="AG351" s="6"/>
      <c r="AH351" s="138">
        <f t="shared" si="187"/>
        <v>0</v>
      </c>
      <c r="AI351" s="160">
        <f t="shared" si="188"/>
        <v>0</v>
      </c>
      <c r="AJ351" s="170">
        <f t="shared" si="201"/>
        <v>0</v>
      </c>
      <c r="AK351" s="6"/>
      <c r="AL351" s="6"/>
      <c r="AM351" s="138">
        <f t="shared" si="189"/>
        <v>0</v>
      </c>
      <c r="AN351" s="160">
        <f t="shared" si="190"/>
        <v>0</v>
      </c>
      <c r="AO351" s="170">
        <f t="shared" si="202"/>
        <v>0</v>
      </c>
      <c r="AP351" s="6"/>
      <c r="AQ351" s="6"/>
      <c r="AR351" s="138">
        <f t="shared" si="191"/>
        <v>0</v>
      </c>
      <c r="AS351" s="160">
        <f t="shared" si="192"/>
        <v>0</v>
      </c>
      <c r="AT351" s="164">
        <f t="shared" si="193"/>
        <v>0</v>
      </c>
      <c r="AU351" s="165">
        <f t="shared" si="194"/>
        <v>0</v>
      </c>
    </row>
    <row r="352" spans="2:47" outlineLevel="1" x14ac:dyDescent="0.35">
      <c r="B352" s="48" t="s">
        <v>98</v>
      </c>
      <c r="C352" s="62" t="s">
        <v>141</v>
      </c>
      <c r="D352" s="81">
        <v>0</v>
      </c>
      <c r="E352" s="4">
        <v>0</v>
      </c>
      <c r="F352" s="70">
        <v>0</v>
      </c>
      <c r="G352" s="4">
        <v>0</v>
      </c>
      <c r="H352" s="185">
        <f t="shared" si="180"/>
        <v>0</v>
      </c>
      <c r="I352" s="70">
        <v>0</v>
      </c>
      <c r="J352" s="4">
        <v>0</v>
      </c>
      <c r="K352" s="167">
        <f t="shared" si="181"/>
        <v>0</v>
      </c>
      <c r="L352" s="70">
        <v>0</v>
      </c>
      <c r="M352" s="4"/>
      <c r="N352" s="167">
        <f t="shared" si="182"/>
        <v>0</v>
      </c>
      <c r="O352" s="70"/>
      <c r="P352" s="4"/>
      <c r="Q352" s="167">
        <f t="shared" si="195"/>
        <v>0</v>
      </c>
      <c r="R352" s="164">
        <f t="shared" si="196"/>
        <v>0</v>
      </c>
      <c r="S352" s="165">
        <f t="shared" si="197"/>
        <v>0</v>
      </c>
      <c r="U352" s="170">
        <f t="shared" si="198"/>
        <v>0</v>
      </c>
      <c r="V352" s="6"/>
      <c r="W352" s="6"/>
      <c r="X352" s="138">
        <f t="shared" si="183"/>
        <v>0</v>
      </c>
      <c r="Y352" s="167">
        <f t="shared" si="184"/>
        <v>0</v>
      </c>
      <c r="Z352" s="170">
        <f t="shared" si="199"/>
        <v>0</v>
      </c>
      <c r="AA352" s="6"/>
      <c r="AB352" s="6"/>
      <c r="AC352" s="138">
        <f t="shared" si="185"/>
        <v>0</v>
      </c>
      <c r="AD352" s="160">
        <f t="shared" si="186"/>
        <v>0</v>
      </c>
      <c r="AE352" s="170">
        <f t="shared" si="200"/>
        <v>0</v>
      </c>
      <c r="AF352" s="6"/>
      <c r="AG352" s="6"/>
      <c r="AH352" s="138">
        <f t="shared" si="187"/>
        <v>0</v>
      </c>
      <c r="AI352" s="160">
        <f t="shared" si="188"/>
        <v>0</v>
      </c>
      <c r="AJ352" s="170">
        <f t="shared" si="201"/>
        <v>0</v>
      </c>
      <c r="AK352" s="6"/>
      <c r="AL352" s="6"/>
      <c r="AM352" s="138">
        <f t="shared" si="189"/>
        <v>0</v>
      </c>
      <c r="AN352" s="160">
        <f t="shared" si="190"/>
        <v>0</v>
      </c>
      <c r="AO352" s="170">
        <f t="shared" si="202"/>
        <v>0</v>
      </c>
      <c r="AP352" s="6"/>
      <c r="AQ352" s="6"/>
      <c r="AR352" s="138">
        <f t="shared" si="191"/>
        <v>0</v>
      </c>
      <c r="AS352" s="160">
        <f t="shared" si="192"/>
        <v>0</v>
      </c>
      <c r="AT352" s="164">
        <f t="shared" si="193"/>
        <v>0</v>
      </c>
      <c r="AU352" s="165">
        <f t="shared" si="194"/>
        <v>0</v>
      </c>
    </row>
    <row r="353" spans="2:47" outlineLevel="1" x14ac:dyDescent="0.35">
      <c r="B353" s="48" t="s">
        <v>99</v>
      </c>
      <c r="C353" s="62" t="s">
        <v>141</v>
      </c>
      <c r="D353" s="81">
        <v>0</v>
      </c>
      <c r="E353" s="4">
        <v>1</v>
      </c>
      <c r="F353" s="70">
        <v>0</v>
      </c>
      <c r="G353" s="4">
        <v>1</v>
      </c>
      <c r="H353" s="185">
        <f t="shared" si="180"/>
        <v>0</v>
      </c>
      <c r="I353" s="70">
        <v>0</v>
      </c>
      <c r="J353" s="4">
        <v>1</v>
      </c>
      <c r="K353" s="167">
        <f t="shared" si="181"/>
        <v>0</v>
      </c>
      <c r="L353" s="70">
        <v>0</v>
      </c>
      <c r="M353" s="4">
        <v>1</v>
      </c>
      <c r="N353" s="167">
        <f t="shared" si="182"/>
        <v>0</v>
      </c>
      <c r="O353" s="70"/>
      <c r="P353" s="4">
        <v>1</v>
      </c>
      <c r="Q353" s="167">
        <f t="shared" si="195"/>
        <v>0</v>
      </c>
      <c r="R353" s="164">
        <f t="shared" si="196"/>
        <v>0</v>
      </c>
      <c r="S353" s="165">
        <f t="shared" si="197"/>
        <v>0</v>
      </c>
      <c r="U353" s="170">
        <f t="shared" si="198"/>
        <v>0</v>
      </c>
      <c r="V353" s="6"/>
      <c r="W353" s="6"/>
      <c r="X353" s="138">
        <f t="shared" si="183"/>
        <v>1</v>
      </c>
      <c r="Y353" s="167">
        <f t="shared" si="184"/>
        <v>0</v>
      </c>
      <c r="Z353" s="170">
        <f t="shared" si="199"/>
        <v>0</v>
      </c>
      <c r="AA353" s="6"/>
      <c r="AB353" s="6"/>
      <c r="AC353" s="138">
        <f t="shared" si="185"/>
        <v>1</v>
      </c>
      <c r="AD353" s="160">
        <f t="shared" si="186"/>
        <v>0</v>
      </c>
      <c r="AE353" s="170">
        <f t="shared" si="200"/>
        <v>0</v>
      </c>
      <c r="AF353" s="6"/>
      <c r="AG353" s="6"/>
      <c r="AH353" s="138">
        <f t="shared" si="187"/>
        <v>1</v>
      </c>
      <c r="AI353" s="160">
        <f t="shared" si="188"/>
        <v>0</v>
      </c>
      <c r="AJ353" s="170">
        <f t="shared" si="201"/>
        <v>0</v>
      </c>
      <c r="AK353" s="6"/>
      <c r="AL353" s="6"/>
      <c r="AM353" s="138">
        <f t="shared" si="189"/>
        <v>1</v>
      </c>
      <c r="AN353" s="160">
        <f t="shared" si="190"/>
        <v>0</v>
      </c>
      <c r="AO353" s="170">
        <f t="shared" si="202"/>
        <v>0</v>
      </c>
      <c r="AP353" s="6"/>
      <c r="AQ353" s="6"/>
      <c r="AR353" s="138">
        <f t="shared" si="191"/>
        <v>1</v>
      </c>
      <c r="AS353" s="160">
        <f t="shared" si="192"/>
        <v>0</v>
      </c>
      <c r="AT353" s="164">
        <f t="shared" si="193"/>
        <v>0</v>
      </c>
      <c r="AU353" s="165">
        <f t="shared" si="194"/>
        <v>0</v>
      </c>
    </row>
    <row r="354" spans="2:47" outlineLevel="1" x14ac:dyDescent="0.35">
      <c r="B354" s="48" t="s">
        <v>100</v>
      </c>
      <c r="C354" s="62" t="s">
        <v>141</v>
      </c>
      <c r="D354" s="81">
        <v>0</v>
      </c>
      <c r="E354" s="4">
        <v>0</v>
      </c>
      <c r="F354" s="70">
        <v>0</v>
      </c>
      <c r="G354" s="4">
        <v>0</v>
      </c>
      <c r="H354" s="185">
        <f t="shared" si="180"/>
        <v>0</v>
      </c>
      <c r="I354" s="70">
        <v>0</v>
      </c>
      <c r="J354" s="4">
        <v>0</v>
      </c>
      <c r="K354" s="167">
        <f t="shared" si="181"/>
        <v>0</v>
      </c>
      <c r="L354" s="70">
        <v>0</v>
      </c>
      <c r="M354" s="4"/>
      <c r="N354" s="167">
        <f t="shared" si="182"/>
        <v>0</v>
      </c>
      <c r="O354" s="70"/>
      <c r="P354" s="4"/>
      <c r="Q354" s="167">
        <f t="shared" si="195"/>
        <v>0</v>
      </c>
      <c r="R354" s="164">
        <f t="shared" si="196"/>
        <v>0</v>
      </c>
      <c r="S354" s="165">
        <f t="shared" si="197"/>
        <v>0</v>
      </c>
      <c r="U354" s="170">
        <f t="shared" si="198"/>
        <v>0</v>
      </c>
      <c r="V354" s="6"/>
      <c r="W354" s="6"/>
      <c r="X354" s="138">
        <f t="shared" si="183"/>
        <v>0</v>
      </c>
      <c r="Y354" s="167">
        <f t="shared" si="184"/>
        <v>0</v>
      </c>
      <c r="Z354" s="170">
        <f t="shared" si="199"/>
        <v>0</v>
      </c>
      <c r="AA354" s="6"/>
      <c r="AB354" s="6"/>
      <c r="AC354" s="138">
        <f t="shared" si="185"/>
        <v>0</v>
      </c>
      <c r="AD354" s="160">
        <f t="shared" si="186"/>
        <v>0</v>
      </c>
      <c r="AE354" s="170">
        <f t="shared" si="200"/>
        <v>0</v>
      </c>
      <c r="AF354" s="6"/>
      <c r="AG354" s="6"/>
      <c r="AH354" s="138">
        <f t="shared" si="187"/>
        <v>0</v>
      </c>
      <c r="AI354" s="160">
        <f t="shared" si="188"/>
        <v>0</v>
      </c>
      <c r="AJ354" s="170">
        <f t="shared" si="201"/>
        <v>0</v>
      </c>
      <c r="AK354" s="6"/>
      <c r="AL354" s="6"/>
      <c r="AM354" s="138">
        <f t="shared" si="189"/>
        <v>0</v>
      </c>
      <c r="AN354" s="160">
        <f t="shared" si="190"/>
        <v>0</v>
      </c>
      <c r="AO354" s="170">
        <f t="shared" si="202"/>
        <v>0</v>
      </c>
      <c r="AP354" s="6"/>
      <c r="AQ354" s="6"/>
      <c r="AR354" s="138">
        <f t="shared" si="191"/>
        <v>0</v>
      </c>
      <c r="AS354" s="160">
        <f t="shared" si="192"/>
        <v>0</v>
      </c>
      <c r="AT354" s="164">
        <f t="shared" si="193"/>
        <v>0</v>
      </c>
      <c r="AU354" s="165">
        <f t="shared" si="194"/>
        <v>0</v>
      </c>
    </row>
    <row r="355" spans="2:47" outlineLevel="1" x14ac:dyDescent="0.35">
      <c r="B355" s="48" t="s">
        <v>101</v>
      </c>
      <c r="C355" s="62" t="s">
        <v>141</v>
      </c>
      <c r="D355" s="81">
        <v>0</v>
      </c>
      <c r="E355" s="4">
        <v>1</v>
      </c>
      <c r="F355" s="70">
        <v>0</v>
      </c>
      <c r="G355" s="4">
        <v>1</v>
      </c>
      <c r="H355" s="185">
        <f t="shared" si="180"/>
        <v>0</v>
      </c>
      <c r="I355" s="70">
        <v>0</v>
      </c>
      <c r="J355" s="4">
        <v>1</v>
      </c>
      <c r="K355" s="167">
        <f t="shared" si="181"/>
        <v>0</v>
      </c>
      <c r="L355" s="70">
        <v>-1</v>
      </c>
      <c r="M355" s="4"/>
      <c r="N355" s="167">
        <f t="shared" si="182"/>
        <v>-1</v>
      </c>
      <c r="O355" s="70">
        <v>1</v>
      </c>
      <c r="P355" s="4">
        <v>1</v>
      </c>
      <c r="Q355" s="167">
        <f t="shared" si="195"/>
        <v>0</v>
      </c>
      <c r="R355" s="164">
        <f t="shared" si="196"/>
        <v>0</v>
      </c>
      <c r="S355" s="165">
        <f t="shared" si="197"/>
        <v>0</v>
      </c>
      <c r="U355" s="170">
        <f t="shared" si="198"/>
        <v>0</v>
      </c>
      <c r="V355" s="6"/>
      <c r="W355" s="6"/>
      <c r="X355" s="138">
        <f t="shared" si="183"/>
        <v>1</v>
      </c>
      <c r="Y355" s="167">
        <f t="shared" si="184"/>
        <v>0</v>
      </c>
      <c r="Z355" s="170">
        <f t="shared" si="199"/>
        <v>0</v>
      </c>
      <c r="AA355" s="6"/>
      <c r="AB355" s="6"/>
      <c r="AC355" s="138">
        <f t="shared" si="185"/>
        <v>1</v>
      </c>
      <c r="AD355" s="160">
        <f t="shared" si="186"/>
        <v>0</v>
      </c>
      <c r="AE355" s="170">
        <f t="shared" si="200"/>
        <v>0</v>
      </c>
      <c r="AF355" s="6"/>
      <c r="AG355" s="6"/>
      <c r="AH355" s="138">
        <f t="shared" si="187"/>
        <v>1</v>
      </c>
      <c r="AI355" s="160">
        <f t="shared" si="188"/>
        <v>0</v>
      </c>
      <c r="AJ355" s="170">
        <f t="shared" si="201"/>
        <v>0</v>
      </c>
      <c r="AK355" s="6"/>
      <c r="AL355" s="6"/>
      <c r="AM355" s="138">
        <f t="shared" si="189"/>
        <v>1</v>
      </c>
      <c r="AN355" s="160">
        <f t="shared" si="190"/>
        <v>0</v>
      </c>
      <c r="AO355" s="170">
        <f t="shared" si="202"/>
        <v>0</v>
      </c>
      <c r="AP355" s="6"/>
      <c r="AQ355" s="6"/>
      <c r="AR355" s="138">
        <f t="shared" si="191"/>
        <v>1</v>
      </c>
      <c r="AS355" s="160">
        <f t="shared" si="192"/>
        <v>0</v>
      </c>
      <c r="AT355" s="164">
        <f t="shared" si="193"/>
        <v>0</v>
      </c>
      <c r="AU355" s="165">
        <f t="shared" si="194"/>
        <v>0</v>
      </c>
    </row>
    <row r="356" spans="2:47" outlineLevel="1" x14ac:dyDescent="0.35">
      <c r="B356" s="48" t="s">
        <v>102</v>
      </c>
      <c r="C356" s="62" t="s">
        <v>141</v>
      </c>
      <c r="D356" s="81">
        <v>0</v>
      </c>
      <c r="E356" s="4">
        <v>0</v>
      </c>
      <c r="F356" s="70">
        <v>0</v>
      </c>
      <c r="G356" s="4">
        <v>0</v>
      </c>
      <c r="H356" s="185">
        <f t="shared" si="180"/>
        <v>0</v>
      </c>
      <c r="I356" s="70">
        <v>0</v>
      </c>
      <c r="J356" s="4">
        <v>0</v>
      </c>
      <c r="K356" s="167">
        <f t="shared" si="181"/>
        <v>0</v>
      </c>
      <c r="L356" s="70">
        <v>0</v>
      </c>
      <c r="M356" s="4"/>
      <c r="N356" s="167">
        <f t="shared" si="182"/>
        <v>0</v>
      </c>
      <c r="O356" s="70"/>
      <c r="P356" s="4"/>
      <c r="Q356" s="167">
        <f t="shared" si="195"/>
        <v>0</v>
      </c>
      <c r="R356" s="164">
        <f t="shared" si="196"/>
        <v>0</v>
      </c>
      <c r="S356" s="165">
        <f t="shared" si="197"/>
        <v>0</v>
      </c>
      <c r="U356" s="170">
        <f t="shared" si="198"/>
        <v>0</v>
      </c>
      <c r="V356" s="6"/>
      <c r="W356" s="6"/>
      <c r="X356" s="138">
        <f t="shared" si="183"/>
        <v>0</v>
      </c>
      <c r="Y356" s="167">
        <f t="shared" si="184"/>
        <v>0</v>
      </c>
      <c r="Z356" s="170">
        <f t="shared" si="199"/>
        <v>0</v>
      </c>
      <c r="AA356" s="6"/>
      <c r="AB356" s="6"/>
      <c r="AC356" s="138">
        <f t="shared" si="185"/>
        <v>0</v>
      </c>
      <c r="AD356" s="160">
        <f t="shared" si="186"/>
        <v>0</v>
      </c>
      <c r="AE356" s="170">
        <f t="shared" si="200"/>
        <v>0</v>
      </c>
      <c r="AF356" s="6"/>
      <c r="AG356" s="6"/>
      <c r="AH356" s="138">
        <f t="shared" si="187"/>
        <v>0</v>
      </c>
      <c r="AI356" s="160">
        <f t="shared" si="188"/>
        <v>0</v>
      </c>
      <c r="AJ356" s="170">
        <f t="shared" si="201"/>
        <v>0</v>
      </c>
      <c r="AK356" s="6"/>
      <c r="AL356" s="6"/>
      <c r="AM356" s="138">
        <f t="shared" si="189"/>
        <v>0</v>
      </c>
      <c r="AN356" s="160">
        <f t="shared" si="190"/>
        <v>0</v>
      </c>
      <c r="AO356" s="170">
        <f t="shared" si="202"/>
        <v>0</v>
      </c>
      <c r="AP356" s="6"/>
      <c r="AQ356" s="6"/>
      <c r="AR356" s="138">
        <f t="shared" si="191"/>
        <v>0</v>
      </c>
      <c r="AS356" s="160">
        <f t="shared" si="192"/>
        <v>0</v>
      </c>
      <c r="AT356" s="164">
        <f t="shared" si="193"/>
        <v>0</v>
      </c>
      <c r="AU356" s="165">
        <f t="shared" si="194"/>
        <v>0</v>
      </c>
    </row>
    <row r="357" spans="2:47" outlineLevel="1" x14ac:dyDescent="0.35">
      <c r="B357" s="48" t="s">
        <v>103</v>
      </c>
      <c r="C357" s="62" t="s">
        <v>141</v>
      </c>
      <c r="D357" s="81">
        <v>0</v>
      </c>
      <c r="E357" s="4">
        <v>0</v>
      </c>
      <c r="F357" s="70">
        <v>0</v>
      </c>
      <c r="G357" s="4">
        <v>0</v>
      </c>
      <c r="H357" s="185">
        <f t="shared" si="180"/>
        <v>0</v>
      </c>
      <c r="I357" s="70">
        <v>0</v>
      </c>
      <c r="J357" s="4">
        <v>0</v>
      </c>
      <c r="K357" s="167">
        <f t="shared" si="181"/>
        <v>0</v>
      </c>
      <c r="L357" s="70">
        <v>0</v>
      </c>
      <c r="M357" s="4"/>
      <c r="N357" s="167">
        <f t="shared" si="182"/>
        <v>0</v>
      </c>
      <c r="O357" s="70"/>
      <c r="P357" s="4"/>
      <c r="Q357" s="167">
        <f t="shared" si="195"/>
        <v>0</v>
      </c>
      <c r="R357" s="164">
        <f t="shared" si="196"/>
        <v>0</v>
      </c>
      <c r="S357" s="165">
        <f t="shared" si="197"/>
        <v>0</v>
      </c>
      <c r="U357" s="170">
        <f t="shared" si="198"/>
        <v>0</v>
      </c>
      <c r="V357" s="6"/>
      <c r="W357" s="6"/>
      <c r="X357" s="138">
        <f t="shared" si="183"/>
        <v>0</v>
      </c>
      <c r="Y357" s="167">
        <f t="shared" si="184"/>
        <v>0</v>
      </c>
      <c r="Z357" s="170">
        <f t="shared" si="199"/>
        <v>0</v>
      </c>
      <c r="AA357" s="6"/>
      <c r="AB357" s="6"/>
      <c r="AC357" s="138">
        <f t="shared" si="185"/>
        <v>0</v>
      </c>
      <c r="AD357" s="160">
        <f t="shared" si="186"/>
        <v>0</v>
      </c>
      <c r="AE357" s="170">
        <f t="shared" si="200"/>
        <v>0</v>
      </c>
      <c r="AF357" s="6"/>
      <c r="AG357" s="6"/>
      <c r="AH357" s="138">
        <f t="shared" si="187"/>
        <v>0</v>
      </c>
      <c r="AI357" s="160">
        <f t="shared" si="188"/>
        <v>0</v>
      </c>
      <c r="AJ357" s="170">
        <f t="shared" si="201"/>
        <v>0</v>
      </c>
      <c r="AK357" s="6"/>
      <c r="AL357" s="6"/>
      <c r="AM357" s="138">
        <f t="shared" si="189"/>
        <v>0</v>
      </c>
      <c r="AN357" s="160">
        <f t="shared" si="190"/>
        <v>0</v>
      </c>
      <c r="AO357" s="170">
        <f t="shared" si="202"/>
        <v>0</v>
      </c>
      <c r="AP357" s="6"/>
      <c r="AQ357" s="6"/>
      <c r="AR357" s="138">
        <f t="shared" si="191"/>
        <v>0</v>
      </c>
      <c r="AS357" s="160">
        <f t="shared" si="192"/>
        <v>0</v>
      </c>
      <c r="AT357" s="164">
        <f t="shared" si="193"/>
        <v>0</v>
      </c>
      <c r="AU357" s="165">
        <f t="shared" si="194"/>
        <v>0</v>
      </c>
    </row>
    <row r="358" spans="2:47" outlineLevel="1" x14ac:dyDescent="0.35">
      <c r="B358" s="48" t="s">
        <v>104</v>
      </c>
      <c r="C358" s="62" t="s">
        <v>141</v>
      </c>
      <c r="D358" s="81">
        <v>0</v>
      </c>
      <c r="E358" s="4">
        <v>0</v>
      </c>
      <c r="F358" s="70">
        <v>0</v>
      </c>
      <c r="G358" s="4">
        <v>0</v>
      </c>
      <c r="H358" s="185">
        <f t="shared" si="180"/>
        <v>0</v>
      </c>
      <c r="I358" s="70">
        <v>0</v>
      </c>
      <c r="J358" s="4">
        <v>0</v>
      </c>
      <c r="K358" s="167">
        <f t="shared" si="181"/>
        <v>0</v>
      </c>
      <c r="L358" s="70">
        <v>0</v>
      </c>
      <c r="M358" s="4"/>
      <c r="N358" s="167">
        <f t="shared" si="182"/>
        <v>0</v>
      </c>
      <c r="O358" s="70"/>
      <c r="P358" s="4"/>
      <c r="Q358" s="167">
        <f t="shared" si="195"/>
        <v>0</v>
      </c>
      <c r="R358" s="164">
        <f t="shared" si="196"/>
        <v>0</v>
      </c>
      <c r="S358" s="165">
        <f t="shared" si="197"/>
        <v>0</v>
      </c>
      <c r="U358" s="170">
        <f t="shared" si="198"/>
        <v>0</v>
      </c>
      <c r="V358" s="6"/>
      <c r="W358" s="6"/>
      <c r="X358" s="138">
        <f t="shared" si="183"/>
        <v>0</v>
      </c>
      <c r="Y358" s="167">
        <f t="shared" si="184"/>
        <v>0</v>
      </c>
      <c r="Z358" s="170">
        <f t="shared" si="199"/>
        <v>0</v>
      </c>
      <c r="AA358" s="6"/>
      <c r="AB358" s="6"/>
      <c r="AC358" s="138">
        <f t="shared" si="185"/>
        <v>0</v>
      </c>
      <c r="AD358" s="160">
        <f t="shared" si="186"/>
        <v>0</v>
      </c>
      <c r="AE358" s="170">
        <f t="shared" si="200"/>
        <v>0</v>
      </c>
      <c r="AF358" s="6"/>
      <c r="AG358" s="6"/>
      <c r="AH358" s="138">
        <f t="shared" si="187"/>
        <v>0</v>
      </c>
      <c r="AI358" s="160">
        <f t="shared" si="188"/>
        <v>0</v>
      </c>
      <c r="AJ358" s="170">
        <f t="shared" si="201"/>
        <v>0</v>
      </c>
      <c r="AK358" s="6"/>
      <c r="AL358" s="6"/>
      <c r="AM358" s="138">
        <f t="shared" si="189"/>
        <v>0</v>
      </c>
      <c r="AN358" s="160">
        <f t="shared" si="190"/>
        <v>0</v>
      </c>
      <c r="AO358" s="170">
        <f t="shared" si="202"/>
        <v>0</v>
      </c>
      <c r="AP358" s="6"/>
      <c r="AQ358" s="6"/>
      <c r="AR358" s="138">
        <f t="shared" si="191"/>
        <v>0</v>
      </c>
      <c r="AS358" s="160">
        <f t="shared" si="192"/>
        <v>0</v>
      </c>
      <c r="AT358" s="164">
        <f t="shared" si="193"/>
        <v>0</v>
      </c>
      <c r="AU358" s="165">
        <f t="shared" si="194"/>
        <v>0</v>
      </c>
    </row>
    <row r="359" spans="2:47" outlineLevel="1" x14ac:dyDescent="0.35">
      <c r="B359" s="48" t="s">
        <v>136</v>
      </c>
      <c r="C359" s="62" t="s">
        <v>141</v>
      </c>
      <c r="D359" s="81">
        <v>0</v>
      </c>
      <c r="E359" s="4">
        <v>0</v>
      </c>
      <c r="F359" s="70">
        <v>0</v>
      </c>
      <c r="G359" s="4">
        <v>0</v>
      </c>
      <c r="H359" s="185">
        <f t="shared" si="180"/>
        <v>0</v>
      </c>
      <c r="I359" s="70">
        <v>0</v>
      </c>
      <c r="J359" s="4">
        <v>0</v>
      </c>
      <c r="K359" s="167">
        <f t="shared" si="181"/>
        <v>0</v>
      </c>
      <c r="L359" s="70">
        <v>0</v>
      </c>
      <c r="M359" s="4"/>
      <c r="N359" s="167">
        <f t="shared" si="182"/>
        <v>0</v>
      </c>
      <c r="O359" s="70"/>
      <c r="P359" s="4"/>
      <c r="Q359" s="167">
        <f t="shared" si="195"/>
        <v>0</v>
      </c>
      <c r="R359" s="164">
        <f t="shared" si="196"/>
        <v>0</v>
      </c>
      <c r="S359" s="165">
        <f t="shared" si="197"/>
        <v>0</v>
      </c>
      <c r="U359" s="170">
        <f t="shared" si="198"/>
        <v>0</v>
      </c>
      <c r="V359" s="6"/>
      <c r="W359" s="6"/>
      <c r="X359" s="138">
        <f t="shared" si="183"/>
        <v>0</v>
      </c>
      <c r="Y359" s="167">
        <f t="shared" si="184"/>
        <v>0</v>
      </c>
      <c r="Z359" s="170">
        <f t="shared" si="199"/>
        <v>0</v>
      </c>
      <c r="AA359" s="6"/>
      <c r="AB359" s="6"/>
      <c r="AC359" s="138">
        <f t="shared" si="185"/>
        <v>0</v>
      </c>
      <c r="AD359" s="160">
        <f t="shared" si="186"/>
        <v>0</v>
      </c>
      <c r="AE359" s="170">
        <f t="shared" si="200"/>
        <v>0</v>
      </c>
      <c r="AF359" s="6"/>
      <c r="AG359" s="6"/>
      <c r="AH359" s="138">
        <f t="shared" si="187"/>
        <v>0</v>
      </c>
      <c r="AI359" s="160">
        <f t="shared" si="188"/>
        <v>0</v>
      </c>
      <c r="AJ359" s="170">
        <f t="shared" si="201"/>
        <v>0</v>
      </c>
      <c r="AK359" s="6"/>
      <c r="AL359" s="6"/>
      <c r="AM359" s="138">
        <f t="shared" si="189"/>
        <v>0</v>
      </c>
      <c r="AN359" s="160">
        <f t="shared" si="190"/>
        <v>0</v>
      </c>
      <c r="AO359" s="170">
        <f t="shared" si="202"/>
        <v>0</v>
      </c>
      <c r="AP359" s="6"/>
      <c r="AQ359" s="6"/>
      <c r="AR359" s="138">
        <f t="shared" si="191"/>
        <v>0</v>
      </c>
      <c r="AS359" s="160">
        <f t="shared" si="192"/>
        <v>0</v>
      </c>
      <c r="AT359" s="164">
        <f t="shared" si="193"/>
        <v>0</v>
      </c>
      <c r="AU359" s="165">
        <f t="shared" si="194"/>
        <v>0</v>
      </c>
    </row>
    <row r="360" spans="2:47" outlineLevel="1" x14ac:dyDescent="0.35">
      <c r="B360" s="48" t="s">
        <v>106</v>
      </c>
      <c r="C360" s="62" t="s">
        <v>141</v>
      </c>
      <c r="D360" s="81">
        <v>0</v>
      </c>
      <c r="E360" s="4">
        <v>0</v>
      </c>
      <c r="F360" s="70">
        <v>0</v>
      </c>
      <c r="G360" s="4">
        <v>0</v>
      </c>
      <c r="H360" s="185">
        <f t="shared" si="180"/>
        <v>0</v>
      </c>
      <c r="I360" s="70">
        <v>0</v>
      </c>
      <c r="J360" s="4">
        <v>0</v>
      </c>
      <c r="K360" s="167">
        <f t="shared" si="181"/>
        <v>0</v>
      </c>
      <c r="L360" s="70">
        <v>0</v>
      </c>
      <c r="M360" s="4"/>
      <c r="N360" s="167">
        <f t="shared" si="182"/>
        <v>0</v>
      </c>
      <c r="O360" s="70"/>
      <c r="P360" s="4"/>
      <c r="Q360" s="167">
        <f t="shared" si="195"/>
        <v>0</v>
      </c>
      <c r="R360" s="164">
        <f t="shared" si="196"/>
        <v>0</v>
      </c>
      <c r="S360" s="165">
        <f t="shared" si="197"/>
        <v>0</v>
      </c>
      <c r="U360" s="170">
        <f t="shared" si="198"/>
        <v>0</v>
      </c>
      <c r="V360" s="6"/>
      <c r="W360" s="6"/>
      <c r="X360" s="138">
        <f t="shared" si="183"/>
        <v>0</v>
      </c>
      <c r="Y360" s="167">
        <f t="shared" si="184"/>
        <v>0</v>
      </c>
      <c r="Z360" s="170">
        <f t="shared" si="199"/>
        <v>0</v>
      </c>
      <c r="AA360" s="6"/>
      <c r="AB360" s="6"/>
      <c r="AC360" s="138">
        <f t="shared" si="185"/>
        <v>0</v>
      </c>
      <c r="AD360" s="160">
        <f t="shared" si="186"/>
        <v>0</v>
      </c>
      <c r="AE360" s="170">
        <f t="shared" si="200"/>
        <v>0</v>
      </c>
      <c r="AF360" s="6"/>
      <c r="AG360" s="6"/>
      <c r="AH360" s="138">
        <f t="shared" si="187"/>
        <v>0</v>
      </c>
      <c r="AI360" s="160">
        <f t="shared" si="188"/>
        <v>0</v>
      </c>
      <c r="AJ360" s="170">
        <f t="shared" si="201"/>
        <v>0</v>
      </c>
      <c r="AK360" s="6"/>
      <c r="AL360" s="6"/>
      <c r="AM360" s="138">
        <f t="shared" si="189"/>
        <v>0</v>
      </c>
      <c r="AN360" s="160">
        <f t="shared" si="190"/>
        <v>0</v>
      </c>
      <c r="AO360" s="170">
        <f t="shared" si="202"/>
        <v>0</v>
      </c>
      <c r="AP360" s="6"/>
      <c r="AQ360" s="6"/>
      <c r="AR360" s="138">
        <f t="shared" si="191"/>
        <v>0</v>
      </c>
      <c r="AS360" s="160">
        <f t="shared" si="192"/>
        <v>0</v>
      </c>
      <c r="AT360" s="164">
        <f t="shared" si="193"/>
        <v>0</v>
      </c>
      <c r="AU360" s="165">
        <f t="shared" si="194"/>
        <v>0</v>
      </c>
    </row>
    <row r="361" spans="2:47" outlineLevel="1" x14ac:dyDescent="0.35">
      <c r="B361" s="48" t="s">
        <v>107</v>
      </c>
      <c r="C361" s="62" t="s">
        <v>141</v>
      </c>
      <c r="D361" s="81">
        <v>0</v>
      </c>
      <c r="E361" s="4">
        <v>0</v>
      </c>
      <c r="F361" s="70">
        <v>0</v>
      </c>
      <c r="G361" s="4">
        <v>0</v>
      </c>
      <c r="H361" s="185">
        <f t="shared" si="180"/>
        <v>0</v>
      </c>
      <c r="I361" s="70">
        <v>0</v>
      </c>
      <c r="J361" s="4">
        <v>0</v>
      </c>
      <c r="K361" s="167">
        <f t="shared" si="181"/>
        <v>0</v>
      </c>
      <c r="L361" s="70">
        <v>0</v>
      </c>
      <c r="M361" s="4"/>
      <c r="N361" s="167">
        <f t="shared" si="182"/>
        <v>0</v>
      </c>
      <c r="O361" s="70"/>
      <c r="P361" s="4"/>
      <c r="Q361" s="167">
        <f t="shared" si="195"/>
        <v>0</v>
      </c>
      <c r="R361" s="164">
        <f t="shared" si="196"/>
        <v>0</v>
      </c>
      <c r="S361" s="165">
        <f t="shared" si="197"/>
        <v>0</v>
      </c>
      <c r="U361" s="170">
        <f t="shared" si="198"/>
        <v>0</v>
      </c>
      <c r="V361" s="6"/>
      <c r="W361" s="6"/>
      <c r="X361" s="138">
        <f t="shared" si="183"/>
        <v>0</v>
      </c>
      <c r="Y361" s="167">
        <f t="shared" si="184"/>
        <v>0</v>
      </c>
      <c r="Z361" s="170">
        <f t="shared" si="199"/>
        <v>0</v>
      </c>
      <c r="AA361" s="6"/>
      <c r="AB361" s="6"/>
      <c r="AC361" s="138">
        <f t="shared" si="185"/>
        <v>0</v>
      </c>
      <c r="AD361" s="160">
        <f t="shared" si="186"/>
        <v>0</v>
      </c>
      <c r="AE361" s="170">
        <f t="shared" si="200"/>
        <v>0</v>
      </c>
      <c r="AF361" s="6"/>
      <c r="AG361" s="6"/>
      <c r="AH361" s="138">
        <f t="shared" si="187"/>
        <v>0</v>
      </c>
      <c r="AI361" s="160">
        <f t="shared" si="188"/>
        <v>0</v>
      </c>
      <c r="AJ361" s="170">
        <f t="shared" si="201"/>
        <v>0</v>
      </c>
      <c r="AK361" s="6"/>
      <c r="AL361" s="6"/>
      <c r="AM361" s="138">
        <f t="shared" si="189"/>
        <v>0</v>
      </c>
      <c r="AN361" s="160">
        <f t="shared" si="190"/>
        <v>0</v>
      </c>
      <c r="AO361" s="170">
        <f t="shared" si="202"/>
        <v>0</v>
      </c>
      <c r="AP361" s="6"/>
      <c r="AQ361" s="6"/>
      <c r="AR361" s="138">
        <f t="shared" si="191"/>
        <v>0</v>
      </c>
      <c r="AS361" s="160">
        <f t="shared" si="192"/>
        <v>0</v>
      </c>
      <c r="AT361" s="164">
        <f t="shared" si="193"/>
        <v>0</v>
      </c>
      <c r="AU361" s="165">
        <f t="shared" si="194"/>
        <v>0</v>
      </c>
    </row>
    <row r="362" spans="2:47" outlineLevel="1" x14ac:dyDescent="0.35">
      <c r="B362" s="48" t="s">
        <v>108</v>
      </c>
      <c r="C362" s="62" t="s">
        <v>141</v>
      </c>
      <c r="D362" s="81">
        <v>0</v>
      </c>
      <c r="E362" s="4">
        <v>0</v>
      </c>
      <c r="F362" s="70">
        <v>0</v>
      </c>
      <c r="G362" s="4">
        <v>0</v>
      </c>
      <c r="H362" s="185">
        <f t="shared" si="180"/>
        <v>0</v>
      </c>
      <c r="I362" s="70">
        <v>0</v>
      </c>
      <c r="J362" s="4">
        <v>0</v>
      </c>
      <c r="K362" s="167">
        <f t="shared" si="181"/>
        <v>0</v>
      </c>
      <c r="L362" s="70">
        <v>0</v>
      </c>
      <c r="M362" s="4"/>
      <c r="N362" s="167">
        <f t="shared" si="182"/>
        <v>0</v>
      </c>
      <c r="O362" s="70"/>
      <c r="P362" s="4"/>
      <c r="Q362" s="167">
        <f t="shared" si="195"/>
        <v>0</v>
      </c>
      <c r="R362" s="164">
        <f t="shared" si="196"/>
        <v>0</v>
      </c>
      <c r="S362" s="165">
        <f t="shared" si="197"/>
        <v>0</v>
      </c>
      <c r="U362" s="170">
        <f t="shared" si="198"/>
        <v>0</v>
      </c>
      <c r="V362" s="6"/>
      <c r="W362" s="6"/>
      <c r="X362" s="138">
        <f t="shared" si="183"/>
        <v>0</v>
      </c>
      <c r="Y362" s="167">
        <f t="shared" si="184"/>
        <v>0</v>
      </c>
      <c r="Z362" s="170">
        <f t="shared" si="199"/>
        <v>0</v>
      </c>
      <c r="AA362" s="6"/>
      <c r="AB362" s="6"/>
      <c r="AC362" s="138">
        <f t="shared" si="185"/>
        <v>0</v>
      </c>
      <c r="AD362" s="160">
        <f t="shared" si="186"/>
        <v>0</v>
      </c>
      <c r="AE362" s="170">
        <f t="shared" si="200"/>
        <v>0</v>
      </c>
      <c r="AF362" s="6"/>
      <c r="AG362" s="6"/>
      <c r="AH362" s="138">
        <f t="shared" si="187"/>
        <v>0</v>
      </c>
      <c r="AI362" s="160">
        <f t="shared" si="188"/>
        <v>0</v>
      </c>
      <c r="AJ362" s="170">
        <f t="shared" si="201"/>
        <v>0</v>
      </c>
      <c r="AK362" s="6"/>
      <c r="AL362" s="6"/>
      <c r="AM362" s="138">
        <f t="shared" si="189"/>
        <v>0</v>
      </c>
      <c r="AN362" s="160">
        <f t="shared" si="190"/>
        <v>0</v>
      </c>
      <c r="AO362" s="170">
        <f t="shared" si="202"/>
        <v>0</v>
      </c>
      <c r="AP362" s="6"/>
      <c r="AQ362" s="6"/>
      <c r="AR362" s="138">
        <f t="shared" si="191"/>
        <v>0</v>
      </c>
      <c r="AS362" s="160">
        <f t="shared" si="192"/>
        <v>0</v>
      </c>
      <c r="AT362" s="164">
        <f t="shared" si="193"/>
        <v>0</v>
      </c>
      <c r="AU362" s="165">
        <f t="shared" si="194"/>
        <v>0</v>
      </c>
    </row>
    <row r="363" spans="2:47" outlineLevel="1" x14ac:dyDescent="0.35">
      <c r="B363" s="48" t="s">
        <v>109</v>
      </c>
      <c r="C363" s="62" t="s">
        <v>141</v>
      </c>
      <c r="D363" s="81">
        <v>0</v>
      </c>
      <c r="E363" s="4">
        <v>0</v>
      </c>
      <c r="F363" s="70">
        <v>0</v>
      </c>
      <c r="G363" s="4">
        <v>0</v>
      </c>
      <c r="H363" s="185">
        <f t="shared" si="180"/>
        <v>0</v>
      </c>
      <c r="I363" s="70">
        <v>0</v>
      </c>
      <c r="J363" s="4">
        <v>0</v>
      </c>
      <c r="K363" s="167">
        <f t="shared" si="181"/>
        <v>0</v>
      </c>
      <c r="L363" s="70">
        <v>0</v>
      </c>
      <c r="M363" s="4"/>
      <c r="N363" s="167">
        <f t="shared" si="182"/>
        <v>0</v>
      </c>
      <c r="O363" s="70"/>
      <c r="P363" s="4"/>
      <c r="Q363" s="167">
        <f t="shared" si="195"/>
        <v>0</v>
      </c>
      <c r="R363" s="164">
        <f t="shared" si="196"/>
        <v>0</v>
      </c>
      <c r="S363" s="165">
        <f t="shared" si="197"/>
        <v>0</v>
      </c>
      <c r="U363" s="170">
        <f t="shared" si="198"/>
        <v>0</v>
      </c>
      <c r="V363" s="6"/>
      <c r="W363" s="6"/>
      <c r="X363" s="138">
        <f t="shared" si="183"/>
        <v>0</v>
      </c>
      <c r="Y363" s="167">
        <f t="shared" si="184"/>
        <v>0</v>
      </c>
      <c r="Z363" s="170">
        <f t="shared" si="199"/>
        <v>0</v>
      </c>
      <c r="AA363" s="6"/>
      <c r="AB363" s="6"/>
      <c r="AC363" s="138">
        <f t="shared" si="185"/>
        <v>0</v>
      </c>
      <c r="AD363" s="160">
        <f t="shared" si="186"/>
        <v>0</v>
      </c>
      <c r="AE363" s="170">
        <f t="shared" si="200"/>
        <v>0</v>
      </c>
      <c r="AF363" s="6"/>
      <c r="AG363" s="6"/>
      <c r="AH363" s="138">
        <f t="shared" si="187"/>
        <v>0</v>
      </c>
      <c r="AI363" s="160">
        <f t="shared" si="188"/>
        <v>0</v>
      </c>
      <c r="AJ363" s="170">
        <f t="shared" si="201"/>
        <v>0</v>
      </c>
      <c r="AK363" s="6"/>
      <c r="AL363" s="6"/>
      <c r="AM363" s="138">
        <f t="shared" si="189"/>
        <v>0</v>
      </c>
      <c r="AN363" s="160">
        <f t="shared" si="190"/>
        <v>0</v>
      </c>
      <c r="AO363" s="170">
        <f t="shared" si="202"/>
        <v>0</v>
      </c>
      <c r="AP363" s="6"/>
      <c r="AQ363" s="6"/>
      <c r="AR363" s="138">
        <f t="shared" si="191"/>
        <v>0</v>
      </c>
      <c r="AS363" s="160">
        <f t="shared" si="192"/>
        <v>0</v>
      </c>
      <c r="AT363" s="164">
        <f t="shared" si="193"/>
        <v>0</v>
      </c>
      <c r="AU363" s="165">
        <f t="shared" si="194"/>
        <v>0</v>
      </c>
    </row>
    <row r="364" spans="2:47" outlineLevel="1" x14ac:dyDescent="0.35">
      <c r="B364" s="48" t="s">
        <v>110</v>
      </c>
      <c r="C364" s="62" t="s">
        <v>141</v>
      </c>
      <c r="D364" s="81">
        <v>0</v>
      </c>
      <c r="E364" s="4">
        <v>1</v>
      </c>
      <c r="F364" s="70">
        <v>0</v>
      </c>
      <c r="G364" s="4">
        <v>1</v>
      </c>
      <c r="H364" s="185">
        <f t="shared" si="180"/>
        <v>0</v>
      </c>
      <c r="I364" s="70">
        <v>0</v>
      </c>
      <c r="J364" s="4">
        <v>1</v>
      </c>
      <c r="K364" s="167">
        <f t="shared" si="181"/>
        <v>0</v>
      </c>
      <c r="L364" s="70">
        <v>0</v>
      </c>
      <c r="M364" s="4">
        <v>1</v>
      </c>
      <c r="N364" s="167">
        <f t="shared" si="182"/>
        <v>0</v>
      </c>
      <c r="O364" s="70"/>
      <c r="P364" s="4">
        <v>1</v>
      </c>
      <c r="Q364" s="167">
        <f t="shared" si="195"/>
        <v>0</v>
      </c>
      <c r="R364" s="164">
        <f t="shared" si="196"/>
        <v>0</v>
      </c>
      <c r="S364" s="165">
        <f t="shared" si="197"/>
        <v>0</v>
      </c>
      <c r="U364" s="170">
        <f t="shared" si="198"/>
        <v>0</v>
      </c>
      <c r="V364" s="6"/>
      <c r="W364" s="6"/>
      <c r="X364" s="138">
        <f t="shared" si="183"/>
        <v>1</v>
      </c>
      <c r="Y364" s="167">
        <f t="shared" si="184"/>
        <v>0</v>
      </c>
      <c r="Z364" s="170">
        <f t="shared" si="199"/>
        <v>0</v>
      </c>
      <c r="AA364" s="6"/>
      <c r="AB364" s="6"/>
      <c r="AC364" s="138">
        <f t="shared" si="185"/>
        <v>1</v>
      </c>
      <c r="AD364" s="160">
        <f t="shared" si="186"/>
        <v>0</v>
      </c>
      <c r="AE364" s="170">
        <f t="shared" si="200"/>
        <v>0</v>
      </c>
      <c r="AF364" s="6"/>
      <c r="AG364" s="6"/>
      <c r="AH364" s="138">
        <f t="shared" si="187"/>
        <v>1</v>
      </c>
      <c r="AI364" s="160">
        <f t="shared" si="188"/>
        <v>0</v>
      </c>
      <c r="AJ364" s="170">
        <f t="shared" si="201"/>
        <v>0</v>
      </c>
      <c r="AK364" s="6"/>
      <c r="AL364" s="6"/>
      <c r="AM364" s="138">
        <f t="shared" si="189"/>
        <v>1</v>
      </c>
      <c r="AN364" s="160">
        <f t="shared" si="190"/>
        <v>0</v>
      </c>
      <c r="AO364" s="170">
        <f t="shared" si="202"/>
        <v>0</v>
      </c>
      <c r="AP364" s="6"/>
      <c r="AQ364" s="6"/>
      <c r="AR364" s="138">
        <f t="shared" si="191"/>
        <v>1</v>
      </c>
      <c r="AS364" s="160">
        <f t="shared" si="192"/>
        <v>0</v>
      </c>
      <c r="AT364" s="164">
        <f t="shared" si="193"/>
        <v>0</v>
      </c>
      <c r="AU364" s="165">
        <f t="shared" si="194"/>
        <v>0</v>
      </c>
    </row>
    <row r="365" spans="2:47" outlineLevel="1" x14ac:dyDescent="0.35">
      <c r="B365" s="48" t="s">
        <v>111</v>
      </c>
      <c r="C365" s="62" t="s">
        <v>141</v>
      </c>
      <c r="D365" s="81">
        <v>0</v>
      </c>
      <c r="E365" s="4">
        <v>0</v>
      </c>
      <c r="F365" s="70">
        <v>0</v>
      </c>
      <c r="G365" s="4">
        <v>0</v>
      </c>
      <c r="H365" s="185">
        <f t="shared" si="180"/>
        <v>0</v>
      </c>
      <c r="I365" s="70">
        <v>0</v>
      </c>
      <c r="J365" s="4">
        <v>0</v>
      </c>
      <c r="K365" s="167">
        <f t="shared" si="181"/>
        <v>0</v>
      </c>
      <c r="L365" s="70">
        <v>0</v>
      </c>
      <c r="M365" s="4"/>
      <c r="N365" s="167">
        <f t="shared" si="182"/>
        <v>0</v>
      </c>
      <c r="O365" s="70"/>
      <c r="P365" s="4"/>
      <c r="Q365" s="167">
        <f t="shared" si="195"/>
        <v>0</v>
      </c>
      <c r="R365" s="164">
        <f t="shared" si="196"/>
        <v>0</v>
      </c>
      <c r="S365" s="165">
        <f t="shared" si="197"/>
        <v>0</v>
      </c>
      <c r="U365" s="170">
        <f t="shared" si="198"/>
        <v>0</v>
      </c>
      <c r="V365" s="6"/>
      <c r="W365" s="6"/>
      <c r="X365" s="138">
        <f t="shared" si="183"/>
        <v>0</v>
      </c>
      <c r="Y365" s="167">
        <f t="shared" si="184"/>
        <v>0</v>
      </c>
      <c r="Z365" s="170">
        <f t="shared" si="199"/>
        <v>0</v>
      </c>
      <c r="AA365" s="6"/>
      <c r="AB365" s="6"/>
      <c r="AC365" s="138">
        <f t="shared" si="185"/>
        <v>0</v>
      </c>
      <c r="AD365" s="160">
        <f t="shared" si="186"/>
        <v>0</v>
      </c>
      <c r="AE365" s="170">
        <f t="shared" si="200"/>
        <v>0</v>
      </c>
      <c r="AF365" s="6"/>
      <c r="AG365" s="6"/>
      <c r="AH365" s="138">
        <f t="shared" si="187"/>
        <v>0</v>
      </c>
      <c r="AI365" s="160">
        <f t="shared" si="188"/>
        <v>0</v>
      </c>
      <c r="AJ365" s="170">
        <f t="shared" si="201"/>
        <v>0</v>
      </c>
      <c r="AK365" s="6"/>
      <c r="AL365" s="6"/>
      <c r="AM365" s="138">
        <f t="shared" si="189"/>
        <v>0</v>
      </c>
      <c r="AN365" s="160">
        <f t="shared" si="190"/>
        <v>0</v>
      </c>
      <c r="AO365" s="170">
        <f t="shared" si="202"/>
        <v>0</v>
      </c>
      <c r="AP365" s="6"/>
      <c r="AQ365" s="6"/>
      <c r="AR365" s="138">
        <f t="shared" si="191"/>
        <v>0</v>
      </c>
      <c r="AS365" s="160">
        <f t="shared" si="192"/>
        <v>0</v>
      </c>
      <c r="AT365" s="164">
        <f t="shared" si="193"/>
        <v>0</v>
      </c>
      <c r="AU365" s="165">
        <f t="shared" si="194"/>
        <v>0</v>
      </c>
    </row>
    <row r="366" spans="2:47" outlineLevel="1" x14ac:dyDescent="0.35">
      <c r="B366" s="48" t="s">
        <v>112</v>
      </c>
      <c r="C366" s="62" t="s">
        <v>141</v>
      </c>
      <c r="D366" s="81">
        <v>0</v>
      </c>
      <c r="E366" s="4">
        <v>1</v>
      </c>
      <c r="F366" s="70">
        <v>0</v>
      </c>
      <c r="G366" s="4">
        <v>1</v>
      </c>
      <c r="H366" s="185">
        <f t="shared" si="180"/>
        <v>0</v>
      </c>
      <c r="I366" s="70">
        <v>0</v>
      </c>
      <c r="J366" s="4">
        <v>1</v>
      </c>
      <c r="K366" s="167">
        <f t="shared" si="181"/>
        <v>0</v>
      </c>
      <c r="L366" s="70">
        <v>0</v>
      </c>
      <c r="M366" s="4">
        <v>1</v>
      </c>
      <c r="N366" s="167">
        <f t="shared" si="182"/>
        <v>0</v>
      </c>
      <c r="O366" s="70"/>
      <c r="P366" s="4">
        <v>1</v>
      </c>
      <c r="Q366" s="167">
        <f t="shared" si="195"/>
        <v>0</v>
      </c>
      <c r="R366" s="164">
        <f t="shared" si="196"/>
        <v>0</v>
      </c>
      <c r="S366" s="165">
        <f t="shared" si="197"/>
        <v>0</v>
      </c>
      <c r="U366" s="170">
        <f t="shared" si="198"/>
        <v>0</v>
      </c>
      <c r="V366" s="6"/>
      <c r="W366" s="6"/>
      <c r="X366" s="138">
        <f t="shared" si="183"/>
        <v>1</v>
      </c>
      <c r="Y366" s="167">
        <f t="shared" si="184"/>
        <v>0</v>
      </c>
      <c r="Z366" s="170">
        <f t="shared" si="199"/>
        <v>0</v>
      </c>
      <c r="AA366" s="6"/>
      <c r="AB366" s="6"/>
      <c r="AC366" s="138">
        <f t="shared" si="185"/>
        <v>1</v>
      </c>
      <c r="AD366" s="160">
        <f t="shared" si="186"/>
        <v>0</v>
      </c>
      <c r="AE366" s="170">
        <f t="shared" si="200"/>
        <v>0</v>
      </c>
      <c r="AF366" s="6"/>
      <c r="AG366" s="6"/>
      <c r="AH366" s="138">
        <f t="shared" si="187"/>
        <v>1</v>
      </c>
      <c r="AI366" s="160">
        <f t="shared" si="188"/>
        <v>0</v>
      </c>
      <c r="AJ366" s="170">
        <f t="shared" si="201"/>
        <v>0</v>
      </c>
      <c r="AK366" s="6"/>
      <c r="AL366" s="6"/>
      <c r="AM366" s="138">
        <f t="shared" si="189"/>
        <v>1</v>
      </c>
      <c r="AN366" s="160">
        <f t="shared" si="190"/>
        <v>0</v>
      </c>
      <c r="AO366" s="170">
        <f t="shared" si="202"/>
        <v>0</v>
      </c>
      <c r="AP366" s="6"/>
      <c r="AQ366" s="6"/>
      <c r="AR366" s="138">
        <f t="shared" si="191"/>
        <v>1</v>
      </c>
      <c r="AS366" s="160">
        <f t="shared" si="192"/>
        <v>0</v>
      </c>
      <c r="AT366" s="164">
        <f t="shared" si="193"/>
        <v>0</v>
      </c>
      <c r="AU366" s="165">
        <f t="shared" si="194"/>
        <v>0</v>
      </c>
    </row>
    <row r="367" spans="2:47" outlineLevel="1" x14ac:dyDescent="0.35">
      <c r="B367" s="48" t="s">
        <v>113</v>
      </c>
      <c r="C367" s="62" t="s">
        <v>141</v>
      </c>
      <c r="D367" s="81">
        <v>0</v>
      </c>
      <c r="E367" s="4">
        <v>0</v>
      </c>
      <c r="F367" s="70">
        <v>0</v>
      </c>
      <c r="G367" s="4">
        <v>0</v>
      </c>
      <c r="H367" s="185">
        <f t="shared" si="180"/>
        <v>0</v>
      </c>
      <c r="I367" s="70">
        <v>0</v>
      </c>
      <c r="J367" s="4">
        <v>0</v>
      </c>
      <c r="K367" s="167">
        <f t="shared" si="181"/>
        <v>0</v>
      </c>
      <c r="L367" s="70">
        <v>0</v>
      </c>
      <c r="M367" s="4"/>
      <c r="N367" s="167">
        <f t="shared" si="182"/>
        <v>0</v>
      </c>
      <c r="O367" s="70"/>
      <c r="P367" s="4"/>
      <c r="Q367" s="167">
        <f t="shared" si="195"/>
        <v>0</v>
      </c>
      <c r="R367" s="164">
        <f t="shared" si="196"/>
        <v>0</v>
      </c>
      <c r="S367" s="165">
        <f t="shared" si="197"/>
        <v>0</v>
      </c>
      <c r="U367" s="170">
        <f t="shared" si="198"/>
        <v>0</v>
      </c>
      <c r="V367" s="6"/>
      <c r="W367" s="6"/>
      <c r="X367" s="138">
        <f t="shared" si="183"/>
        <v>0</v>
      </c>
      <c r="Y367" s="167">
        <f t="shared" si="184"/>
        <v>0</v>
      </c>
      <c r="Z367" s="170">
        <f t="shared" si="199"/>
        <v>0</v>
      </c>
      <c r="AA367" s="6"/>
      <c r="AB367" s="6"/>
      <c r="AC367" s="138">
        <f t="shared" si="185"/>
        <v>0</v>
      </c>
      <c r="AD367" s="160">
        <f t="shared" si="186"/>
        <v>0</v>
      </c>
      <c r="AE367" s="170">
        <f t="shared" si="200"/>
        <v>1</v>
      </c>
      <c r="AF367" s="6"/>
      <c r="AG367" s="6">
        <v>1</v>
      </c>
      <c r="AH367" s="138">
        <f t="shared" si="187"/>
        <v>1</v>
      </c>
      <c r="AI367" s="160">
        <f t="shared" si="188"/>
        <v>0</v>
      </c>
      <c r="AJ367" s="170">
        <f t="shared" si="201"/>
        <v>0</v>
      </c>
      <c r="AK367" s="6"/>
      <c r="AL367" s="6"/>
      <c r="AM367" s="138">
        <f t="shared" si="189"/>
        <v>1</v>
      </c>
      <c r="AN367" s="160">
        <f t="shared" si="190"/>
        <v>0</v>
      </c>
      <c r="AO367" s="170">
        <f t="shared" si="202"/>
        <v>0</v>
      </c>
      <c r="AP367" s="6"/>
      <c r="AQ367" s="6"/>
      <c r="AR367" s="138">
        <f t="shared" si="191"/>
        <v>1</v>
      </c>
      <c r="AS367" s="160">
        <f t="shared" si="192"/>
        <v>0</v>
      </c>
      <c r="AT367" s="164">
        <f t="shared" si="193"/>
        <v>1</v>
      </c>
      <c r="AU367" s="165">
        <f t="shared" si="194"/>
        <v>0</v>
      </c>
    </row>
    <row r="368" spans="2:47" outlineLevel="1" x14ac:dyDescent="0.35">
      <c r="B368" s="48" t="s">
        <v>114</v>
      </c>
      <c r="C368" s="62" t="s">
        <v>141</v>
      </c>
      <c r="D368" s="81">
        <v>0</v>
      </c>
      <c r="E368" s="4">
        <v>0</v>
      </c>
      <c r="F368" s="70">
        <v>0</v>
      </c>
      <c r="G368" s="4">
        <v>0</v>
      </c>
      <c r="H368" s="185">
        <f t="shared" si="180"/>
        <v>0</v>
      </c>
      <c r="I368" s="70">
        <v>0</v>
      </c>
      <c r="J368" s="4">
        <v>0</v>
      </c>
      <c r="K368" s="167">
        <f t="shared" si="181"/>
        <v>0</v>
      </c>
      <c r="L368" s="70">
        <v>0</v>
      </c>
      <c r="M368" s="4"/>
      <c r="N368" s="167">
        <f t="shared" si="182"/>
        <v>0</v>
      </c>
      <c r="O368" s="70"/>
      <c r="P368" s="4"/>
      <c r="Q368" s="167">
        <f t="shared" si="195"/>
        <v>0</v>
      </c>
      <c r="R368" s="164">
        <f t="shared" si="196"/>
        <v>0</v>
      </c>
      <c r="S368" s="165">
        <f t="shared" si="197"/>
        <v>0</v>
      </c>
      <c r="U368" s="170">
        <f t="shared" si="198"/>
        <v>1</v>
      </c>
      <c r="V368" s="6">
        <v>1</v>
      </c>
      <c r="W368" s="6"/>
      <c r="X368" s="138">
        <f t="shared" si="183"/>
        <v>1</v>
      </c>
      <c r="Y368" s="167">
        <f t="shared" si="184"/>
        <v>0</v>
      </c>
      <c r="Z368" s="170">
        <f t="shared" si="199"/>
        <v>0</v>
      </c>
      <c r="AA368" s="6"/>
      <c r="AB368" s="6"/>
      <c r="AC368" s="138">
        <f t="shared" si="185"/>
        <v>1</v>
      </c>
      <c r="AD368" s="160">
        <f t="shared" si="186"/>
        <v>0</v>
      </c>
      <c r="AE368" s="170">
        <f t="shared" si="200"/>
        <v>0</v>
      </c>
      <c r="AF368" s="6"/>
      <c r="AG368" s="6"/>
      <c r="AH368" s="138">
        <f t="shared" si="187"/>
        <v>1</v>
      </c>
      <c r="AI368" s="160">
        <f t="shared" si="188"/>
        <v>0</v>
      </c>
      <c r="AJ368" s="170">
        <f t="shared" si="201"/>
        <v>0</v>
      </c>
      <c r="AK368" s="6"/>
      <c r="AL368" s="6"/>
      <c r="AM368" s="138">
        <f t="shared" si="189"/>
        <v>1</v>
      </c>
      <c r="AN368" s="160">
        <f t="shared" si="190"/>
        <v>0</v>
      </c>
      <c r="AO368" s="170">
        <f t="shared" si="202"/>
        <v>0</v>
      </c>
      <c r="AP368" s="6"/>
      <c r="AQ368" s="6"/>
      <c r="AR368" s="138">
        <f t="shared" si="191"/>
        <v>1</v>
      </c>
      <c r="AS368" s="160">
        <f t="shared" si="192"/>
        <v>0</v>
      </c>
      <c r="AT368" s="164">
        <f t="shared" si="193"/>
        <v>1</v>
      </c>
      <c r="AU368" s="165">
        <f t="shared" si="194"/>
        <v>0</v>
      </c>
    </row>
    <row r="369" spans="2:47" outlineLevel="1" x14ac:dyDescent="0.35">
      <c r="B369" s="48" t="s">
        <v>115</v>
      </c>
      <c r="C369" s="62" t="s">
        <v>141</v>
      </c>
      <c r="D369" s="81">
        <v>0</v>
      </c>
      <c r="E369" s="4">
        <v>0</v>
      </c>
      <c r="F369" s="70">
        <v>0</v>
      </c>
      <c r="G369" s="4">
        <v>0</v>
      </c>
      <c r="H369" s="185">
        <f t="shared" si="180"/>
        <v>0</v>
      </c>
      <c r="I369" s="70">
        <v>0</v>
      </c>
      <c r="J369" s="4">
        <v>0</v>
      </c>
      <c r="K369" s="167">
        <f t="shared" si="181"/>
        <v>0</v>
      </c>
      <c r="L369" s="70">
        <v>0</v>
      </c>
      <c r="M369" s="4"/>
      <c r="N369" s="167">
        <f t="shared" si="182"/>
        <v>0</v>
      </c>
      <c r="O369" s="70"/>
      <c r="P369" s="4"/>
      <c r="Q369" s="167">
        <f t="shared" si="195"/>
        <v>0</v>
      </c>
      <c r="R369" s="164">
        <f t="shared" si="196"/>
        <v>0</v>
      </c>
      <c r="S369" s="165">
        <f t="shared" si="197"/>
        <v>0</v>
      </c>
      <c r="U369" s="170">
        <f t="shared" si="198"/>
        <v>0</v>
      </c>
      <c r="V369" s="6"/>
      <c r="W369" s="6"/>
      <c r="X369" s="138">
        <f t="shared" si="183"/>
        <v>0</v>
      </c>
      <c r="Y369" s="167">
        <f t="shared" si="184"/>
        <v>0</v>
      </c>
      <c r="Z369" s="170">
        <f t="shared" si="199"/>
        <v>0</v>
      </c>
      <c r="AA369" s="6"/>
      <c r="AB369" s="6"/>
      <c r="AC369" s="138">
        <f t="shared" si="185"/>
        <v>0</v>
      </c>
      <c r="AD369" s="160">
        <f t="shared" si="186"/>
        <v>0</v>
      </c>
      <c r="AE369" s="170">
        <f t="shared" si="200"/>
        <v>0</v>
      </c>
      <c r="AF369" s="6"/>
      <c r="AG369" s="6"/>
      <c r="AH369" s="138">
        <f t="shared" si="187"/>
        <v>0</v>
      </c>
      <c r="AI369" s="160">
        <f t="shared" si="188"/>
        <v>0</v>
      </c>
      <c r="AJ369" s="170">
        <f t="shared" si="201"/>
        <v>0</v>
      </c>
      <c r="AK369" s="6"/>
      <c r="AL369" s="6"/>
      <c r="AM369" s="138">
        <f t="shared" si="189"/>
        <v>0</v>
      </c>
      <c r="AN369" s="160">
        <f t="shared" si="190"/>
        <v>0</v>
      </c>
      <c r="AO369" s="170">
        <f t="shared" si="202"/>
        <v>0</v>
      </c>
      <c r="AP369" s="6"/>
      <c r="AQ369" s="6"/>
      <c r="AR369" s="138">
        <f t="shared" si="191"/>
        <v>0</v>
      </c>
      <c r="AS369" s="160">
        <f t="shared" si="192"/>
        <v>0</v>
      </c>
      <c r="AT369" s="164">
        <f t="shared" si="193"/>
        <v>0</v>
      </c>
      <c r="AU369" s="165">
        <f t="shared" si="194"/>
        <v>0</v>
      </c>
    </row>
    <row r="370" spans="2:47" outlineLevel="1" x14ac:dyDescent="0.35">
      <c r="B370" s="48" t="s">
        <v>116</v>
      </c>
      <c r="C370" s="62" t="s">
        <v>141</v>
      </c>
      <c r="D370" s="81">
        <v>0</v>
      </c>
      <c r="E370" s="4">
        <v>0</v>
      </c>
      <c r="F370" s="70">
        <v>0</v>
      </c>
      <c r="G370" s="4">
        <v>0</v>
      </c>
      <c r="H370" s="185">
        <f t="shared" si="180"/>
        <v>0</v>
      </c>
      <c r="I370" s="70">
        <v>0</v>
      </c>
      <c r="J370" s="4">
        <v>0</v>
      </c>
      <c r="K370" s="167">
        <f t="shared" si="181"/>
        <v>0</v>
      </c>
      <c r="L370" s="70">
        <v>0</v>
      </c>
      <c r="M370" s="4"/>
      <c r="N370" s="167">
        <f t="shared" si="182"/>
        <v>0</v>
      </c>
      <c r="O370" s="70"/>
      <c r="P370" s="4"/>
      <c r="Q370" s="167">
        <f t="shared" si="195"/>
        <v>0</v>
      </c>
      <c r="R370" s="164">
        <f t="shared" si="196"/>
        <v>0</v>
      </c>
      <c r="S370" s="165">
        <f t="shared" si="197"/>
        <v>0</v>
      </c>
      <c r="U370" s="170">
        <f t="shared" si="198"/>
        <v>0</v>
      </c>
      <c r="V370" s="6"/>
      <c r="W370" s="6"/>
      <c r="X370" s="138">
        <f t="shared" si="183"/>
        <v>0</v>
      </c>
      <c r="Y370" s="167">
        <f t="shared" si="184"/>
        <v>0</v>
      </c>
      <c r="Z370" s="170">
        <f t="shared" si="199"/>
        <v>0</v>
      </c>
      <c r="AA370" s="6"/>
      <c r="AB370" s="6"/>
      <c r="AC370" s="138">
        <f t="shared" si="185"/>
        <v>0</v>
      </c>
      <c r="AD370" s="160">
        <f t="shared" si="186"/>
        <v>0</v>
      </c>
      <c r="AE370" s="170">
        <f t="shared" si="200"/>
        <v>0</v>
      </c>
      <c r="AF370" s="6"/>
      <c r="AG370" s="6"/>
      <c r="AH370" s="138">
        <f t="shared" si="187"/>
        <v>0</v>
      </c>
      <c r="AI370" s="160">
        <f t="shared" si="188"/>
        <v>0</v>
      </c>
      <c r="AJ370" s="170">
        <f t="shared" si="201"/>
        <v>0</v>
      </c>
      <c r="AK370" s="6"/>
      <c r="AL370" s="6"/>
      <c r="AM370" s="138">
        <f t="shared" si="189"/>
        <v>0</v>
      </c>
      <c r="AN370" s="160">
        <f t="shared" si="190"/>
        <v>0</v>
      </c>
      <c r="AO370" s="170">
        <f t="shared" si="202"/>
        <v>0</v>
      </c>
      <c r="AP370" s="6"/>
      <c r="AQ370" s="6"/>
      <c r="AR370" s="138">
        <f t="shared" si="191"/>
        <v>0</v>
      </c>
      <c r="AS370" s="160">
        <f t="shared" si="192"/>
        <v>0</v>
      </c>
      <c r="AT370" s="164">
        <f t="shared" si="193"/>
        <v>0</v>
      </c>
      <c r="AU370" s="165">
        <f t="shared" si="194"/>
        <v>0</v>
      </c>
    </row>
    <row r="371" spans="2:47" outlineLevel="1" x14ac:dyDescent="0.35">
      <c r="B371" s="48" t="s">
        <v>117</v>
      </c>
      <c r="C371" s="62" t="s">
        <v>141</v>
      </c>
      <c r="D371" s="81">
        <v>0</v>
      </c>
      <c r="E371" s="4">
        <v>0</v>
      </c>
      <c r="F371" s="70">
        <v>0</v>
      </c>
      <c r="G371" s="4">
        <v>0</v>
      </c>
      <c r="H371" s="185">
        <f t="shared" si="180"/>
        <v>0</v>
      </c>
      <c r="I371" s="70">
        <v>0</v>
      </c>
      <c r="J371" s="4">
        <v>0</v>
      </c>
      <c r="K371" s="167">
        <f t="shared" si="181"/>
        <v>0</v>
      </c>
      <c r="L371" s="70">
        <v>0</v>
      </c>
      <c r="M371" s="4"/>
      <c r="N371" s="167">
        <f t="shared" si="182"/>
        <v>0</v>
      </c>
      <c r="O371" s="70"/>
      <c r="P371" s="4"/>
      <c r="Q371" s="167">
        <f t="shared" si="195"/>
        <v>0</v>
      </c>
      <c r="R371" s="164">
        <f t="shared" si="196"/>
        <v>0</v>
      </c>
      <c r="S371" s="165">
        <f t="shared" si="197"/>
        <v>0</v>
      </c>
      <c r="U371" s="170">
        <f t="shared" si="198"/>
        <v>0</v>
      </c>
      <c r="V371" s="6"/>
      <c r="W371" s="6"/>
      <c r="X371" s="138">
        <f t="shared" si="183"/>
        <v>0</v>
      </c>
      <c r="Y371" s="167">
        <f t="shared" si="184"/>
        <v>0</v>
      </c>
      <c r="Z371" s="170">
        <f t="shared" si="199"/>
        <v>0</v>
      </c>
      <c r="AA371" s="6"/>
      <c r="AB371" s="6"/>
      <c r="AC371" s="138">
        <f t="shared" si="185"/>
        <v>0</v>
      </c>
      <c r="AD371" s="160">
        <f t="shared" si="186"/>
        <v>0</v>
      </c>
      <c r="AE371" s="170">
        <f t="shared" si="200"/>
        <v>0</v>
      </c>
      <c r="AF371" s="6"/>
      <c r="AG371" s="6"/>
      <c r="AH371" s="138">
        <f t="shared" si="187"/>
        <v>0</v>
      </c>
      <c r="AI371" s="160">
        <f t="shared" si="188"/>
        <v>0</v>
      </c>
      <c r="AJ371" s="170">
        <f t="shared" si="201"/>
        <v>0</v>
      </c>
      <c r="AK371" s="6"/>
      <c r="AL371" s="6"/>
      <c r="AM371" s="138">
        <f t="shared" si="189"/>
        <v>0</v>
      </c>
      <c r="AN371" s="160">
        <f t="shared" si="190"/>
        <v>0</v>
      </c>
      <c r="AO371" s="170">
        <f t="shared" si="202"/>
        <v>0</v>
      </c>
      <c r="AP371" s="6"/>
      <c r="AQ371" s="6"/>
      <c r="AR371" s="138">
        <f t="shared" si="191"/>
        <v>0</v>
      </c>
      <c r="AS371" s="160">
        <f t="shared" si="192"/>
        <v>0</v>
      </c>
      <c r="AT371" s="164">
        <f t="shared" si="193"/>
        <v>0</v>
      </c>
      <c r="AU371" s="165">
        <f t="shared" si="194"/>
        <v>0</v>
      </c>
    </row>
    <row r="372" spans="2:47" outlineLevel="1" x14ac:dyDescent="0.35">
      <c r="B372" s="48" t="s">
        <v>118</v>
      </c>
      <c r="C372" s="62" t="s">
        <v>141</v>
      </c>
      <c r="D372" s="81">
        <v>0</v>
      </c>
      <c r="E372" s="4">
        <v>0</v>
      </c>
      <c r="F372" s="70">
        <v>0</v>
      </c>
      <c r="G372" s="4">
        <v>0</v>
      </c>
      <c r="H372" s="185">
        <f t="shared" si="180"/>
        <v>0</v>
      </c>
      <c r="I372" s="70">
        <v>0</v>
      </c>
      <c r="J372" s="4">
        <v>0</v>
      </c>
      <c r="K372" s="167">
        <f t="shared" si="181"/>
        <v>0</v>
      </c>
      <c r="L372" s="70">
        <v>0</v>
      </c>
      <c r="M372" s="4"/>
      <c r="N372" s="167">
        <f t="shared" si="182"/>
        <v>0</v>
      </c>
      <c r="O372" s="70"/>
      <c r="P372" s="4"/>
      <c r="Q372" s="167">
        <f t="shared" si="195"/>
        <v>0</v>
      </c>
      <c r="R372" s="164">
        <f t="shared" si="196"/>
        <v>0</v>
      </c>
      <c r="S372" s="165">
        <f t="shared" si="197"/>
        <v>0</v>
      </c>
      <c r="U372" s="170">
        <f t="shared" si="198"/>
        <v>0</v>
      </c>
      <c r="V372" s="6"/>
      <c r="W372" s="6"/>
      <c r="X372" s="138">
        <f t="shared" si="183"/>
        <v>0</v>
      </c>
      <c r="Y372" s="167">
        <f t="shared" si="184"/>
        <v>0</v>
      </c>
      <c r="Z372" s="170">
        <f t="shared" si="199"/>
        <v>0</v>
      </c>
      <c r="AA372" s="6"/>
      <c r="AB372" s="6"/>
      <c r="AC372" s="138">
        <f t="shared" si="185"/>
        <v>0</v>
      </c>
      <c r="AD372" s="160">
        <f t="shared" si="186"/>
        <v>0</v>
      </c>
      <c r="AE372" s="170">
        <f t="shared" si="200"/>
        <v>0</v>
      </c>
      <c r="AF372" s="6"/>
      <c r="AG372" s="6"/>
      <c r="AH372" s="138">
        <f t="shared" si="187"/>
        <v>0</v>
      </c>
      <c r="AI372" s="160">
        <f t="shared" si="188"/>
        <v>0</v>
      </c>
      <c r="AJ372" s="170">
        <f t="shared" si="201"/>
        <v>0</v>
      </c>
      <c r="AK372" s="6"/>
      <c r="AL372" s="6"/>
      <c r="AM372" s="138">
        <f t="shared" si="189"/>
        <v>0</v>
      </c>
      <c r="AN372" s="160">
        <f t="shared" si="190"/>
        <v>0</v>
      </c>
      <c r="AO372" s="170">
        <f t="shared" si="202"/>
        <v>0</v>
      </c>
      <c r="AP372" s="6"/>
      <c r="AQ372" s="6"/>
      <c r="AR372" s="138">
        <f t="shared" si="191"/>
        <v>0</v>
      </c>
      <c r="AS372" s="160">
        <f t="shared" si="192"/>
        <v>0</v>
      </c>
      <c r="AT372" s="164">
        <f t="shared" si="193"/>
        <v>0</v>
      </c>
      <c r="AU372" s="165">
        <f t="shared" si="194"/>
        <v>0</v>
      </c>
    </row>
    <row r="373" spans="2:47" outlineLevel="1" x14ac:dyDescent="0.35">
      <c r="B373" s="48" t="s">
        <v>119</v>
      </c>
      <c r="C373" s="62" t="s">
        <v>141</v>
      </c>
      <c r="D373" s="81">
        <v>0</v>
      </c>
      <c r="E373" s="4">
        <v>0</v>
      </c>
      <c r="F373" s="70">
        <v>0</v>
      </c>
      <c r="G373" s="4">
        <v>0</v>
      </c>
      <c r="H373" s="185">
        <f t="shared" si="180"/>
        <v>0</v>
      </c>
      <c r="I373" s="70">
        <v>0</v>
      </c>
      <c r="J373" s="4">
        <v>0</v>
      </c>
      <c r="K373" s="167">
        <f t="shared" si="181"/>
        <v>0</v>
      </c>
      <c r="L373" s="70">
        <v>0</v>
      </c>
      <c r="M373" s="4"/>
      <c r="N373" s="167">
        <f t="shared" si="182"/>
        <v>0</v>
      </c>
      <c r="O373" s="70"/>
      <c r="P373" s="4"/>
      <c r="Q373" s="167">
        <f t="shared" si="195"/>
        <v>0</v>
      </c>
      <c r="R373" s="164">
        <f t="shared" si="196"/>
        <v>0</v>
      </c>
      <c r="S373" s="165">
        <f t="shared" si="197"/>
        <v>0</v>
      </c>
      <c r="U373" s="170">
        <f t="shared" si="198"/>
        <v>0</v>
      </c>
      <c r="V373" s="6"/>
      <c r="W373" s="6"/>
      <c r="X373" s="138">
        <f t="shared" si="183"/>
        <v>0</v>
      </c>
      <c r="Y373" s="167">
        <f t="shared" si="184"/>
        <v>0</v>
      </c>
      <c r="Z373" s="170">
        <f t="shared" si="199"/>
        <v>0</v>
      </c>
      <c r="AA373" s="6"/>
      <c r="AB373" s="6"/>
      <c r="AC373" s="138">
        <f t="shared" si="185"/>
        <v>0</v>
      </c>
      <c r="AD373" s="160">
        <f t="shared" si="186"/>
        <v>0</v>
      </c>
      <c r="AE373" s="170">
        <f t="shared" si="200"/>
        <v>0</v>
      </c>
      <c r="AF373" s="6"/>
      <c r="AG373" s="6"/>
      <c r="AH373" s="138">
        <f t="shared" si="187"/>
        <v>0</v>
      </c>
      <c r="AI373" s="160">
        <f t="shared" si="188"/>
        <v>0</v>
      </c>
      <c r="AJ373" s="170">
        <f t="shared" si="201"/>
        <v>0</v>
      </c>
      <c r="AK373" s="6"/>
      <c r="AL373" s="6"/>
      <c r="AM373" s="138">
        <f t="shared" si="189"/>
        <v>0</v>
      </c>
      <c r="AN373" s="160">
        <f t="shared" si="190"/>
        <v>0</v>
      </c>
      <c r="AO373" s="170">
        <f t="shared" si="202"/>
        <v>0</v>
      </c>
      <c r="AP373" s="6"/>
      <c r="AQ373" s="6"/>
      <c r="AR373" s="138">
        <f t="shared" si="191"/>
        <v>0</v>
      </c>
      <c r="AS373" s="160">
        <f t="shared" si="192"/>
        <v>0</v>
      </c>
      <c r="AT373" s="164">
        <f t="shared" si="193"/>
        <v>0</v>
      </c>
      <c r="AU373" s="165">
        <f t="shared" si="194"/>
        <v>0</v>
      </c>
    </row>
    <row r="374" spans="2:47" outlineLevel="1" x14ac:dyDescent="0.35">
      <c r="B374" s="48" t="s">
        <v>120</v>
      </c>
      <c r="C374" s="62" t="s">
        <v>141</v>
      </c>
      <c r="D374" s="81">
        <v>0</v>
      </c>
      <c r="E374" s="4">
        <v>0</v>
      </c>
      <c r="F374" s="70">
        <v>0</v>
      </c>
      <c r="G374" s="4">
        <v>0</v>
      </c>
      <c r="H374" s="185">
        <f t="shared" si="180"/>
        <v>0</v>
      </c>
      <c r="I374" s="70">
        <v>0</v>
      </c>
      <c r="J374" s="4">
        <v>0</v>
      </c>
      <c r="K374" s="167">
        <f t="shared" si="181"/>
        <v>0</v>
      </c>
      <c r="L374" s="70">
        <v>0</v>
      </c>
      <c r="M374" s="4"/>
      <c r="N374" s="167">
        <f t="shared" si="182"/>
        <v>0</v>
      </c>
      <c r="O374" s="70"/>
      <c r="P374" s="4"/>
      <c r="Q374" s="167">
        <f t="shared" si="195"/>
        <v>0</v>
      </c>
      <c r="R374" s="164">
        <f t="shared" si="196"/>
        <v>0</v>
      </c>
      <c r="S374" s="165">
        <f t="shared" si="197"/>
        <v>0</v>
      </c>
      <c r="U374" s="170">
        <f t="shared" si="198"/>
        <v>1</v>
      </c>
      <c r="V374" s="6"/>
      <c r="W374" s="6">
        <v>1</v>
      </c>
      <c r="X374" s="138">
        <f t="shared" si="183"/>
        <v>1</v>
      </c>
      <c r="Y374" s="167">
        <f t="shared" si="184"/>
        <v>0</v>
      </c>
      <c r="Z374" s="170">
        <f t="shared" si="199"/>
        <v>0</v>
      </c>
      <c r="AA374" s="6"/>
      <c r="AB374" s="6"/>
      <c r="AC374" s="138">
        <f t="shared" si="185"/>
        <v>1</v>
      </c>
      <c r="AD374" s="160">
        <f t="shared" si="186"/>
        <v>0</v>
      </c>
      <c r="AE374" s="170">
        <f t="shared" si="200"/>
        <v>0</v>
      </c>
      <c r="AF374" s="6"/>
      <c r="AG374" s="6"/>
      <c r="AH374" s="138">
        <f t="shared" si="187"/>
        <v>1</v>
      </c>
      <c r="AI374" s="160">
        <f t="shared" si="188"/>
        <v>0</v>
      </c>
      <c r="AJ374" s="170">
        <f t="shared" si="201"/>
        <v>0</v>
      </c>
      <c r="AK374" s="6"/>
      <c r="AL374" s="6"/>
      <c r="AM374" s="138">
        <f t="shared" si="189"/>
        <v>1</v>
      </c>
      <c r="AN374" s="160">
        <f t="shared" si="190"/>
        <v>0</v>
      </c>
      <c r="AO374" s="170">
        <f t="shared" si="202"/>
        <v>1</v>
      </c>
      <c r="AP374" s="6"/>
      <c r="AQ374" s="6">
        <v>1</v>
      </c>
      <c r="AR374" s="138">
        <f t="shared" si="191"/>
        <v>2</v>
      </c>
      <c r="AS374" s="160">
        <f t="shared" si="192"/>
        <v>1</v>
      </c>
      <c r="AT374" s="164">
        <f t="shared" si="193"/>
        <v>2</v>
      </c>
      <c r="AU374" s="165">
        <f t="shared" si="194"/>
        <v>0.18920711500272103</v>
      </c>
    </row>
    <row r="375" spans="2:47" outlineLevel="1" x14ac:dyDescent="0.35">
      <c r="B375" s="48" t="s">
        <v>121</v>
      </c>
      <c r="C375" s="62" t="s">
        <v>141</v>
      </c>
      <c r="D375" s="81">
        <v>0</v>
      </c>
      <c r="E375" s="4">
        <v>0</v>
      </c>
      <c r="F375" s="70">
        <v>0</v>
      </c>
      <c r="G375" s="4">
        <v>0</v>
      </c>
      <c r="H375" s="185">
        <f t="shared" si="180"/>
        <v>0</v>
      </c>
      <c r="I375" s="70">
        <v>0</v>
      </c>
      <c r="J375" s="4">
        <v>0</v>
      </c>
      <c r="K375" s="167">
        <f t="shared" si="181"/>
        <v>0</v>
      </c>
      <c r="L375" s="70">
        <v>0</v>
      </c>
      <c r="M375" s="4"/>
      <c r="N375" s="167">
        <f t="shared" si="182"/>
        <v>0</v>
      </c>
      <c r="O375" s="70"/>
      <c r="P375" s="4"/>
      <c r="Q375" s="167">
        <f t="shared" si="195"/>
        <v>0</v>
      </c>
      <c r="R375" s="164">
        <f t="shared" si="196"/>
        <v>0</v>
      </c>
      <c r="S375" s="165">
        <f t="shared" si="197"/>
        <v>0</v>
      </c>
      <c r="U375" s="170">
        <f t="shared" si="198"/>
        <v>0</v>
      </c>
      <c r="V375" s="6"/>
      <c r="W375" s="6"/>
      <c r="X375" s="138">
        <f t="shared" si="183"/>
        <v>0</v>
      </c>
      <c r="Y375" s="167">
        <f t="shared" si="184"/>
        <v>0</v>
      </c>
      <c r="Z375" s="170">
        <f t="shared" si="199"/>
        <v>0</v>
      </c>
      <c r="AA375" s="6"/>
      <c r="AB375" s="6"/>
      <c r="AC375" s="138">
        <f t="shared" si="185"/>
        <v>0</v>
      </c>
      <c r="AD375" s="160">
        <f t="shared" si="186"/>
        <v>0</v>
      </c>
      <c r="AE375" s="170">
        <f t="shared" si="200"/>
        <v>0</v>
      </c>
      <c r="AF375" s="6"/>
      <c r="AG375" s="6"/>
      <c r="AH375" s="138">
        <f t="shared" si="187"/>
        <v>0</v>
      </c>
      <c r="AI375" s="160">
        <f t="shared" si="188"/>
        <v>0</v>
      </c>
      <c r="AJ375" s="170">
        <f t="shared" si="201"/>
        <v>0</v>
      </c>
      <c r="AK375" s="6"/>
      <c r="AL375" s="6"/>
      <c r="AM375" s="138">
        <f t="shared" si="189"/>
        <v>0</v>
      </c>
      <c r="AN375" s="160">
        <f t="shared" si="190"/>
        <v>0</v>
      </c>
      <c r="AO375" s="170">
        <f t="shared" si="202"/>
        <v>0</v>
      </c>
      <c r="AP375" s="6"/>
      <c r="AQ375" s="6"/>
      <c r="AR375" s="138">
        <f t="shared" si="191"/>
        <v>0</v>
      </c>
      <c r="AS375" s="160">
        <f t="shared" si="192"/>
        <v>0</v>
      </c>
      <c r="AT375" s="164">
        <f t="shared" si="193"/>
        <v>0</v>
      </c>
      <c r="AU375" s="165">
        <f t="shared" si="194"/>
        <v>0</v>
      </c>
    </row>
    <row r="376" spans="2:47" outlineLevel="1" x14ac:dyDescent="0.35">
      <c r="B376" s="48" t="s">
        <v>137</v>
      </c>
      <c r="C376" s="62" t="s">
        <v>141</v>
      </c>
      <c r="D376" s="81">
        <v>0</v>
      </c>
      <c r="E376" s="4">
        <v>0</v>
      </c>
      <c r="F376" s="70">
        <v>0</v>
      </c>
      <c r="G376" s="4">
        <v>0</v>
      </c>
      <c r="H376" s="185">
        <f t="shared" si="180"/>
        <v>0</v>
      </c>
      <c r="I376" s="70">
        <v>0</v>
      </c>
      <c r="J376" s="4">
        <v>0</v>
      </c>
      <c r="K376" s="167">
        <f t="shared" si="181"/>
        <v>0</v>
      </c>
      <c r="L376" s="70">
        <v>0</v>
      </c>
      <c r="M376" s="4"/>
      <c r="N376" s="167">
        <f t="shared" si="182"/>
        <v>0</v>
      </c>
      <c r="O376" s="70"/>
      <c r="P376" s="4"/>
      <c r="Q376" s="167">
        <f t="shared" si="195"/>
        <v>0</v>
      </c>
      <c r="R376" s="164">
        <f t="shared" si="196"/>
        <v>0</v>
      </c>
      <c r="S376" s="165">
        <f t="shared" si="197"/>
        <v>0</v>
      </c>
      <c r="U376" s="170">
        <f t="shared" si="198"/>
        <v>0</v>
      </c>
      <c r="V376" s="6"/>
      <c r="W376" s="6"/>
      <c r="X376" s="138">
        <f t="shared" si="183"/>
        <v>0</v>
      </c>
      <c r="Y376" s="167">
        <f t="shared" si="184"/>
        <v>0</v>
      </c>
      <c r="Z376" s="170">
        <f t="shared" si="199"/>
        <v>0</v>
      </c>
      <c r="AA376" s="6"/>
      <c r="AB376" s="6"/>
      <c r="AC376" s="138">
        <f t="shared" si="185"/>
        <v>0</v>
      </c>
      <c r="AD376" s="160">
        <f t="shared" si="186"/>
        <v>0</v>
      </c>
      <c r="AE376" s="170">
        <f t="shared" si="200"/>
        <v>0</v>
      </c>
      <c r="AF376" s="6"/>
      <c r="AG376" s="6"/>
      <c r="AH376" s="138">
        <f t="shared" si="187"/>
        <v>0</v>
      </c>
      <c r="AI376" s="160">
        <f t="shared" si="188"/>
        <v>0</v>
      </c>
      <c r="AJ376" s="170">
        <f t="shared" si="201"/>
        <v>0</v>
      </c>
      <c r="AK376" s="6"/>
      <c r="AL376" s="6"/>
      <c r="AM376" s="138">
        <f t="shared" si="189"/>
        <v>0</v>
      </c>
      <c r="AN376" s="160">
        <f t="shared" si="190"/>
        <v>0</v>
      </c>
      <c r="AO376" s="170">
        <f t="shared" si="202"/>
        <v>0</v>
      </c>
      <c r="AP376" s="6"/>
      <c r="AQ376" s="6"/>
      <c r="AR376" s="138">
        <f t="shared" si="191"/>
        <v>0</v>
      </c>
      <c r="AS376" s="160">
        <f t="shared" si="192"/>
        <v>0</v>
      </c>
      <c r="AT376" s="164">
        <f t="shared" si="193"/>
        <v>0</v>
      </c>
      <c r="AU376" s="165">
        <f t="shared" si="194"/>
        <v>0</v>
      </c>
    </row>
    <row r="377" spans="2:47" outlineLevel="1" x14ac:dyDescent="0.35">
      <c r="B377" s="48" t="s">
        <v>123</v>
      </c>
      <c r="C377" s="62" t="s">
        <v>141</v>
      </c>
      <c r="D377" s="81">
        <v>0</v>
      </c>
      <c r="E377" s="4">
        <v>0</v>
      </c>
      <c r="F377" s="70">
        <v>0</v>
      </c>
      <c r="G377" s="4">
        <v>0</v>
      </c>
      <c r="H377" s="185">
        <f t="shared" si="180"/>
        <v>0</v>
      </c>
      <c r="I377" s="70">
        <v>0</v>
      </c>
      <c r="J377" s="4">
        <v>0</v>
      </c>
      <c r="K377" s="167">
        <f t="shared" si="181"/>
        <v>0</v>
      </c>
      <c r="L377" s="70">
        <v>0</v>
      </c>
      <c r="M377" s="4"/>
      <c r="N377" s="167">
        <f t="shared" si="182"/>
        <v>0</v>
      </c>
      <c r="O377" s="70"/>
      <c r="P377" s="4"/>
      <c r="Q377" s="167">
        <f t="shared" si="195"/>
        <v>0</v>
      </c>
      <c r="R377" s="164">
        <f t="shared" si="196"/>
        <v>0</v>
      </c>
      <c r="S377" s="165">
        <f t="shared" si="197"/>
        <v>0</v>
      </c>
      <c r="U377" s="170">
        <f t="shared" si="198"/>
        <v>0</v>
      </c>
      <c r="V377" s="6"/>
      <c r="W377" s="6"/>
      <c r="X377" s="138">
        <f t="shared" si="183"/>
        <v>0</v>
      </c>
      <c r="Y377" s="167">
        <f t="shared" si="184"/>
        <v>0</v>
      </c>
      <c r="Z377" s="170">
        <f t="shared" si="199"/>
        <v>0</v>
      </c>
      <c r="AA377" s="6"/>
      <c r="AB377" s="6"/>
      <c r="AC377" s="138">
        <f t="shared" si="185"/>
        <v>0</v>
      </c>
      <c r="AD377" s="160">
        <f t="shared" si="186"/>
        <v>0</v>
      </c>
      <c r="AE377" s="170">
        <f t="shared" si="200"/>
        <v>0</v>
      </c>
      <c r="AF377" s="6"/>
      <c r="AG377" s="6"/>
      <c r="AH377" s="138">
        <f t="shared" si="187"/>
        <v>0</v>
      </c>
      <c r="AI377" s="160">
        <f t="shared" si="188"/>
        <v>0</v>
      </c>
      <c r="AJ377" s="170">
        <f t="shared" si="201"/>
        <v>0</v>
      </c>
      <c r="AK377" s="6"/>
      <c r="AL377" s="6"/>
      <c r="AM377" s="138">
        <f t="shared" si="189"/>
        <v>0</v>
      </c>
      <c r="AN377" s="160">
        <f t="shared" si="190"/>
        <v>0</v>
      </c>
      <c r="AO377" s="170">
        <f t="shared" si="202"/>
        <v>0</v>
      </c>
      <c r="AP377" s="6"/>
      <c r="AQ377" s="6"/>
      <c r="AR377" s="138">
        <f t="shared" si="191"/>
        <v>0</v>
      </c>
      <c r="AS377" s="160">
        <f t="shared" si="192"/>
        <v>0</v>
      </c>
      <c r="AT377" s="164">
        <f t="shared" si="193"/>
        <v>0</v>
      </c>
      <c r="AU377" s="165">
        <f t="shared" si="194"/>
        <v>0</v>
      </c>
    </row>
    <row r="378" spans="2:47" outlineLevel="1" x14ac:dyDescent="0.35">
      <c r="B378" s="48" t="s">
        <v>124</v>
      </c>
      <c r="C378" s="62" t="s">
        <v>141</v>
      </c>
      <c r="D378" s="81">
        <v>0</v>
      </c>
      <c r="E378" s="4">
        <v>0</v>
      </c>
      <c r="F378" s="70">
        <v>0</v>
      </c>
      <c r="G378" s="4">
        <v>0</v>
      </c>
      <c r="H378" s="185">
        <f t="shared" si="180"/>
        <v>0</v>
      </c>
      <c r="I378" s="70">
        <v>0</v>
      </c>
      <c r="J378" s="4">
        <v>0</v>
      </c>
      <c r="K378" s="167">
        <f t="shared" si="181"/>
        <v>0</v>
      </c>
      <c r="L378" s="70">
        <v>0</v>
      </c>
      <c r="M378" s="4"/>
      <c r="N378" s="167">
        <f t="shared" si="182"/>
        <v>0</v>
      </c>
      <c r="O378" s="70"/>
      <c r="P378" s="4"/>
      <c r="Q378" s="167">
        <f t="shared" si="195"/>
        <v>0</v>
      </c>
      <c r="R378" s="164">
        <f t="shared" si="196"/>
        <v>0</v>
      </c>
      <c r="S378" s="165">
        <f t="shared" si="197"/>
        <v>0</v>
      </c>
      <c r="U378" s="170">
        <f t="shared" si="198"/>
        <v>0</v>
      </c>
      <c r="V378" s="6"/>
      <c r="W378" s="6"/>
      <c r="X378" s="138">
        <f t="shared" si="183"/>
        <v>0</v>
      </c>
      <c r="Y378" s="167">
        <f t="shared" si="184"/>
        <v>0</v>
      </c>
      <c r="Z378" s="170">
        <f t="shared" si="199"/>
        <v>0</v>
      </c>
      <c r="AA378" s="6"/>
      <c r="AB378" s="6"/>
      <c r="AC378" s="138">
        <f t="shared" si="185"/>
        <v>0</v>
      </c>
      <c r="AD378" s="160">
        <f t="shared" si="186"/>
        <v>0</v>
      </c>
      <c r="AE378" s="170">
        <f t="shared" si="200"/>
        <v>0</v>
      </c>
      <c r="AF378" s="6"/>
      <c r="AG378" s="6"/>
      <c r="AH378" s="138">
        <f t="shared" si="187"/>
        <v>0</v>
      </c>
      <c r="AI378" s="160">
        <f t="shared" si="188"/>
        <v>0</v>
      </c>
      <c r="AJ378" s="170">
        <f t="shared" si="201"/>
        <v>0</v>
      </c>
      <c r="AK378" s="6"/>
      <c r="AL378" s="6"/>
      <c r="AM378" s="138">
        <f t="shared" si="189"/>
        <v>0</v>
      </c>
      <c r="AN378" s="160">
        <f t="shared" si="190"/>
        <v>0</v>
      </c>
      <c r="AO378" s="170">
        <f t="shared" si="202"/>
        <v>0</v>
      </c>
      <c r="AP378" s="6"/>
      <c r="AQ378" s="6"/>
      <c r="AR378" s="138">
        <f t="shared" si="191"/>
        <v>0</v>
      </c>
      <c r="AS378" s="160">
        <f t="shared" si="192"/>
        <v>0</v>
      </c>
      <c r="AT378" s="164">
        <f t="shared" si="193"/>
        <v>0</v>
      </c>
      <c r="AU378" s="165">
        <f t="shared" si="194"/>
        <v>0</v>
      </c>
    </row>
    <row r="379" spans="2:47" outlineLevel="1" x14ac:dyDescent="0.35">
      <c r="B379" s="48" t="s">
        <v>125</v>
      </c>
      <c r="C379" s="62" t="s">
        <v>141</v>
      </c>
      <c r="D379" s="81">
        <v>0</v>
      </c>
      <c r="E379" s="4">
        <v>0</v>
      </c>
      <c r="F379" s="70">
        <v>0</v>
      </c>
      <c r="G379" s="4">
        <v>0</v>
      </c>
      <c r="H379" s="185">
        <f t="shared" si="180"/>
        <v>0</v>
      </c>
      <c r="I379" s="70">
        <v>1</v>
      </c>
      <c r="J379" s="4">
        <v>1</v>
      </c>
      <c r="K379" s="167">
        <f t="shared" si="181"/>
        <v>0</v>
      </c>
      <c r="L379" s="70">
        <v>0</v>
      </c>
      <c r="M379" s="4">
        <v>1</v>
      </c>
      <c r="N379" s="167">
        <f t="shared" si="182"/>
        <v>0</v>
      </c>
      <c r="O379" s="70"/>
      <c r="P379" s="4">
        <v>1</v>
      </c>
      <c r="Q379" s="167">
        <f t="shared" si="195"/>
        <v>0</v>
      </c>
      <c r="R379" s="164">
        <f t="shared" si="196"/>
        <v>1</v>
      </c>
      <c r="S379" s="165">
        <f t="shared" si="197"/>
        <v>0</v>
      </c>
      <c r="U379" s="170">
        <f t="shared" si="198"/>
        <v>0</v>
      </c>
      <c r="V379" s="6"/>
      <c r="W379" s="6"/>
      <c r="X379" s="138">
        <f t="shared" si="183"/>
        <v>1</v>
      </c>
      <c r="Y379" s="167">
        <f t="shared" si="184"/>
        <v>0</v>
      </c>
      <c r="Z379" s="170">
        <f>AA379+AB379</f>
        <v>0</v>
      </c>
      <c r="AA379" s="6"/>
      <c r="AB379" s="6"/>
      <c r="AC379" s="138">
        <f t="shared" si="185"/>
        <v>1</v>
      </c>
      <c r="AD379" s="160">
        <f t="shared" si="186"/>
        <v>0</v>
      </c>
      <c r="AE379" s="170">
        <f>AF379+AG379</f>
        <v>0</v>
      </c>
      <c r="AF379" s="6"/>
      <c r="AG379" s="6"/>
      <c r="AH379" s="138">
        <f t="shared" si="187"/>
        <v>1</v>
      </c>
      <c r="AI379" s="160">
        <f t="shared" si="188"/>
        <v>0</v>
      </c>
      <c r="AJ379" s="170">
        <f t="shared" si="201"/>
        <v>0</v>
      </c>
      <c r="AK379" s="6"/>
      <c r="AL379" s="6"/>
      <c r="AM379" s="138">
        <f t="shared" si="189"/>
        <v>1</v>
      </c>
      <c r="AN379" s="160">
        <f t="shared" si="190"/>
        <v>0</v>
      </c>
      <c r="AO379" s="170">
        <f>AP379+AQ379</f>
        <v>0</v>
      </c>
      <c r="AP379" s="6"/>
      <c r="AQ379" s="6"/>
      <c r="AR379" s="138">
        <f t="shared" si="191"/>
        <v>1</v>
      </c>
      <c r="AS379" s="160">
        <f t="shared" si="192"/>
        <v>0</v>
      </c>
      <c r="AT379" s="164">
        <f t="shared" si="193"/>
        <v>0</v>
      </c>
      <c r="AU379" s="165">
        <f t="shared" si="194"/>
        <v>0</v>
      </c>
    </row>
    <row r="380" spans="2:47" outlineLevel="1" x14ac:dyDescent="0.35">
      <c r="B380" s="48" t="s">
        <v>126</v>
      </c>
      <c r="C380" s="62" t="s">
        <v>141</v>
      </c>
      <c r="D380" s="81">
        <v>0</v>
      </c>
      <c r="E380" s="4">
        <v>0</v>
      </c>
      <c r="F380" s="70">
        <v>0</v>
      </c>
      <c r="G380" s="4">
        <v>0</v>
      </c>
      <c r="H380" s="185">
        <f t="shared" si="180"/>
        <v>0</v>
      </c>
      <c r="I380" s="70">
        <v>0</v>
      </c>
      <c r="J380" s="4">
        <v>0</v>
      </c>
      <c r="K380" s="167">
        <f t="shared" si="181"/>
        <v>0</v>
      </c>
      <c r="L380" s="70">
        <v>0</v>
      </c>
      <c r="M380" s="4">
        <v>0</v>
      </c>
      <c r="N380" s="167">
        <f t="shared" si="182"/>
        <v>0</v>
      </c>
      <c r="O380" s="70"/>
      <c r="P380" s="4"/>
      <c r="Q380" s="167">
        <f t="shared" si="195"/>
        <v>0</v>
      </c>
      <c r="R380" s="164">
        <f t="shared" si="196"/>
        <v>0</v>
      </c>
      <c r="S380" s="165">
        <f t="shared" si="197"/>
        <v>0</v>
      </c>
      <c r="U380" s="170">
        <f t="shared" si="198"/>
        <v>0</v>
      </c>
      <c r="V380" s="6"/>
      <c r="W380" s="6"/>
      <c r="X380" s="138">
        <f t="shared" si="183"/>
        <v>0</v>
      </c>
      <c r="Y380" s="167">
        <f t="shared" si="184"/>
        <v>0</v>
      </c>
      <c r="Z380" s="170">
        <f t="shared" ref="Z380:Z381" si="203">AA380+AB380</f>
        <v>0</v>
      </c>
      <c r="AA380" s="6"/>
      <c r="AB380" s="6"/>
      <c r="AC380" s="138">
        <f t="shared" si="185"/>
        <v>0</v>
      </c>
      <c r="AD380" s="160">
        <f t="shared" si="186"/>
        <v>0</v>
      </c>
      <c r="AE380" s="170">
        <f t="shared" ref="AE380:AE381" si="204">AF380+AG380</f>
        <v>0</v>
      </c>
      <c r="AF380" s="6"/>
      <c r="AG380" s="6"/>
      <c r="AH380" s="138">
        <f t="shared" si="187"/>
        <v>0</v>
      </c>
      <c r="AI380" s="160">
        <f t="shared" si="188"/>
        <v>0</v>
      </c>
      <c r="AJ380" s="170">
        <f t="shared" si="201"/>
        <v>0</v>
      </c>
      <c r="AK380" s="6"/>
      <c r="AL380" s="6"/>
      <c r="AM380" s="138">
        <f t="shared" si="189"/>
        <v>0</v>
      </c>
      <c r="AN380" s="160">
        <f t="shared" si="190"/>
        <v>0</v>
      </c>
      <c r="AO380" s="170">
        <f t="shared" ref="AO380:AO381" si="205">AP380+AQ380</f>
        <v>0</v>
      </c>
      <c r="AP380" s="6"/>
      <c r="AQ380" s="6"/>
      <c r="AR380" s="138">
        <f t="shared" si="191"/>
        <v>0</v>
      </c>
      <c r="AS380" s="160">
        <f t="shared" si="192"/>
        <v>0</v>
      </c>
      <c r="AT380" s="164">
        <f t="shared" si="193"/>
        <v>0</v>
      </c>
      <c r="AU380" s="165">
        <f t="shared" si="194"/>
        <v>0</v>
      </c>
    </row>
    <row r="381" spans="2:47" ht="15" customHeight="1" outlineLevel="1" x14ac:dyDescent="0.35">
      <c r="B381" s="48" t="s">
        <v>127</v>
      </c>
      <c r="C381" s="59" t="s">
        <v>141</v>
      </c>
      <c r="D381" s="81">
        <v>0</v>
      </c>
      <c r="E381" s="4">
        <v>0</v>
      </c>
      <c r="F381" s="70">
        <v>0</v>
      </c>
      <c r="G381" s="4">
        <v>0</v>
      </c>
      <c r="H381" s="185">
        <f t="shared" si="180"/>
        <v>0</v>
      </c>
      <c r="I381" s="70">
        <v>0</v>
      </c>
      <c r="J381" s="4">
        <v>0</v>
      </c>
      <c r="K381" s="167">
        <f t="shared" si="181"/>
        <v>0</v>
      </c>
      <c r="L381" s="70">
        <v>0</v>
      </c>
      <c r="M381" s="4">
        <v>0</v>
      </c>
      <c r="N381" s="167">
        <f t="shared" si="182"/>
        <v>0</v>
      </c>
      <c r="O381" s="70"/>
      <c r="P381" s="4"/>
      <c r="Q381" s="167">
        <f t="shared" si="195"/>
        <v>0</v>
      </c>
      <c r="R381" s="164">
        <f t="shared" si="196"/>
        <v>0</v>
      </c>
      <c r="S381" s="165">
        <f t="shared" si="197"/>
        <v>0</v>
      </c>
      <c r="U381" s="170">
        <f t="shared" si="198"/>
        <v>0</v>
      </c>
      <c r="V381" s="6"/>
      <c r="W381" s="6"/>
      <c r="X381" s="138">
        <f t="shared" si="183"/>
        <v>0</v>
      </c>
      <c r="Y381" s="167">
        <f t="shared" si="184"/>
        <v>0</v>
      </c>
      <c r="Z381" s="170">
        <f t="shared" si="203"/>
        <v>0</v>
      </c>
      <c r="AA381" s="6"/>
      <c r="AB381" s="6"/>
      <c r="AC381" s="138">
        <f t="shared" si="185"/>
        <v>0</v>
      </c>
      <c r="AD381" s="160">
        <f t="shared" si="186"/>
        <v>0</v>
      </c>
      <c r="AE381" s="170">
        <f t="shared" si="204"/>
        <v>0</v>
      </c>
      <c r="AF381" s="6"/>
      <c r="AG381" s="6"/>
      <c r="AH381" s="138">
        <f t="shared" si="187"/>
        <v>0</v>
      </c>
      <c r="AI381" s="160">
        <f t="shared" si="188"/>
        <v>0</v>
      </c>
      <c r="AJ381" s="170">
        <f t="shared" si="201"/>
        <v>0</v>
      </c>
      <c r="AK381" s="6"/>
      <c r="AL381" s="6"/>
      <c r="AM381" s="138">
        <f t="shared" si="189"/>
        <v>0</v>
      </c>
      <c r="AN381" s="160">
        <f t="shared" si="190"/>
        <v>0</v>
      </c>
      <c r="AO381" s="170">
        <f t="shared" si="205"/>
        <v>0</v>
      </c>
      <c r="AP381" s="6"/>
      <c r="AQ381" s="6"/>
      <c r="AR381" s="138">
        <f t="shared" si="191"/>
        <v>0</v>
      </c>
      <c r="AS381" s="160">
        <f t="shared" si="192"/>
        <v>0</v>
      </c>
      <c r="AT381" s="164">
        <f t="shared" si="193"/>
        <v>0</v>
      </c>
      <c r="AU381" s="165">
        <f t="shared" si="194"/>
        <v>0</v>
      </c>
    </row>
    <row r="382" spans="2:47" s="245" customFormat="1" ht="15" customHeight="1" outlineLevel="1" x14ac:dyDescent="0.35">
      <c r="B382" s="246" t="s">
        <v>138</v>
      </c>
      <c r="C382" s="247" t="s">
        <v>141</v>
      </c>
      <c r="D382" s="248">
        <f>SUM(D328:D381)</f>
        <v>2</v>
      </c>
      <c r="E382" s="248">
        <f t="shared" ref="E382:P382" si="206">SUM(E328:E381)</f>
        <v>6</v>
      </c>
      <c r="F382" s="248">
        <f t="shared" si="206"/>
        <v>1</v>
      </c>
      <c r="G382" s="248">
        <f t="shared" si="206"/>
        <v>7</v>
      </c>
      <c r="H382" s="249">
        <f>IFERROR((G382-E382)/E382,0)</f>
        <v>0.16666666666666666</v>
      </c>
      <c r="I382" s="248">
        <f t="shared" si="206"/>
        <v>1</v>
      </c>
      <c r="J382" s="248">
        <f t="shared" si="206"/>
        <v>8</v>
      </c>
      <c r="K382" s="250">
        <f t="shared" si="181"/>
        <v>0.14285714285714285</v>
      </c>
      <c r="L382" s="248">
        <f t="shared" si="206"/>
        <v>-1</v>
      </c>
      <c r="M382" s="248">
        <f t="shared" si="206"/>
        <v>7</v>
      </c>
      <c r="N382" s="250">
        <f t="shared" si="182"/>
        <v>-0.125</v>
      </c>
      <c r="O382" s="248">
        <f t="shared" si="206"/>
        <v>1</v>
      </c>
      <c r="P382" s="248">
        <f t="shared" si="206"/>
        <v>8</v>
      </c>
      <c r="Q382" s="250">
        <f>IFERROR((P382-M382)/M382,0)</f>
        <v>0.14285714285714285</v>
      </c>
      <c r="R382" s="251">
        <f>D382+F382+I382+L382+O382</f>
        <v>4</v>
      </c>
      <c r="S382" s="252">
        <f>IFERROR((P382/E382)^(1/4)-1,0)</f>
        <v>7.4569931823541991E-2</v>
      </c>
      <c r="U382" s="248">
        <f t="shared" ref="U382:AR382" si="207">SUM(U328:U381)</f>
        <v>4</v>
      </c>
      <c r="V382" s="248">
        <f t="shared" si="207"/>
        <v>3</v>
      </c>
      <c r="W382" s="248">
        <f t="shared" si="207"/>
        <v>1</v>
      </c>
      <c r="X382" s="248">
        <f t="shared" si="207"/>
        <v>12</v>
      </c>
      <c r="Y382" s="250">
        <f>IFERROR((X382-P382)/P382,0)</f>
        <v>0.5</v>
      </c>
      <c r="Z382" s="248">
        <f t="shared" si="207"/>
        <v>0</v>
      </c>
      <c r="AA382" s="248">
        <f t="shared" si="207"/>
        <v>0</v>
      </c>
      <c r="AB382" s="248">
        <f t="shared" si="207"/>
        <v>0</v>
      </c>
      <c r="AC382" s="248">
        <f t="shared" si="207"/>
        <v>12</v>
      </c>
      <c r="AD382" s="250">
        <f t="shared" si="186"/>
        <v>0</v>
      </c>
      <c r="AE382" s="248">
        <f t="shared" si="207"/>
        <v>1</v>
      </c>
      <c r="AF382" s="248">
        <f t="shared" si="207"/>
        <v>0</v>
      </c>
      <c r="AG382" s="248">
        <f t="shared" si="207"/>
        <v>1</v>
      </c>
      <c r="AH382" s="248">
        <f t="shared" si="207"/>
        <v>13</v>
      </c>
      <c r="AI382" s="250">
        <f t="shared" si="188"/>
        <v>8.3333333333333329E-2</v>
      </c>
      <c r="AJ382" s="248">
        <f t="shared" si="207"/>
        <v>0</v>
      </c>
      <c r="AK382" s="248">
        <f t="shared" si="207"/>
        <v>0</v>
      </c>
      <c r="AL382" s="248">
        <f t="shared" si="207"/>
        <v>0</v>
      </c>
      <c r="AM382" s="248">
        <f t="shared" si="207"/>
        <v>13</v>
      </c>
      <c r="AN382" s="250">
        <f t="shared" si="190"/>
        <v>0</v>
      </c>
      <c r="AO382" s="248">
        <f t="shared" si="207"/>
        <v>1</v>
      </c>
      <c r="AP382" s="248">
        <f t="shared" si="207"/>
        <v>0</v>
      </c>
      <c r="AQ382" s="248">
        <f t="shared" si="207"/>
        <v>1</v>
      </c>
      <c r="AR382" s="248">
        <f t="shared" si="207"/>
        <v>14</v>
      </c>
      <c r="AS382" s="250">
        <f>IFERROR((AR382-AM382)/AM382,0)</f>
        <v>7.6923076923076927E-2</v>
      </c>
      <c r="AT382" s="253">
        <f>SUM(AT328:AT381)</f>
        <v>6</v>
      </c>
      <c r="AU382" s="252">
        <f t="shared" si="194"/>
        <v>3.9289877625411807E-2</v>
      </c>
    </row>
    <row r="384" spans="2:47" x14ac:dyDescent="0.35">
      <c r="U384" s="17"/>
    </row>
    <row r="385" spans="20:20" ht="15.5" x14ac:dyDescent="0.35">
      <c r="T385" s="103"/>
    </row>
  </sheetData>
  <mergeCells count="123">
    <mergeCell ref="F12:H12"/>
    <mergeCell ref="I12:K12"/>
    <mergeCell ref="L12:N12"/>
    <mergeCell ref="O12:Q12"/>
    <mergeCell ref="C2:H2"/>
    <mergeCell ref="B11:B13"/>
    <mergeCell ref="C11:C13"/>
    <mergeCell ref="J2:L2"/>
    <mergeCell ref="B5:I5"/>
    <mergeCell ref="D11:Q11"/>
    <mergeCell ref="D12:E12"/>
    <mergeCell ref="B9:AU9"/>
    <mergeCell ref="R11:S12"/>
    <mergeCell ref="U11:AU11"/>
    <mergeCell ref="U12:Y12"/>
    <mergeCell ref="Z12:AD12"/>
    <mergeCell ref="AE12:AI12"/>
    <mergeCell ref="AJ12:AN12"/>
    <mergeCell ref="AO12:AS12"/>
    <mergeCell ref="AT12:AU12"/>
    <mergeCell ref="U74:Y74"/>
    <mergeCell ref="Z74:AD74"/>
    <mergeCell ref="AE74:AI74"/>
    <mergeCell ref="AJ74:AN74"/>
    <mergeCell ref="B71:AU71"/>
    <mergeCell ref="B73:B75"/>
    <mergeCell ref="C73:C75"/>
    <mergeCell ref="D73:Q73"/>
    <mergeCell ref="R73:S74"/>
    <mergeCell ref="U73:AU73"/>
    <mergeCell ref="AO74:AS74"/>
    <mergeCell ref="AT74:AU74"/>
    <mergeCell ref="D74:E74"/>
    <mergeCell ref="F74:H74"/>
    <mergeCell ref="I74:K74"/>
    <mergeCell ref="L74:N74"/>
    <mergeCell ref="O74:Q74"/>
    <mergeCell ref="B132:AU132"/>
    <mergeCell ref="B134:B136"/>
    <mergeCell ref="C134:C136"/>
    <mergeCell ref="D134:Q134"/>
    <mergeCell ref="R134:S135"/>
    <mergeCell ref="U134:AU134"/>
    <mergeCell ref="D135:E135"/>
    <mergeCell ref="I135:K135"/>
    <mergeCell ref="L135:N135"/>
    <mergeCell ref="O135:Q135"/>
    <mergeCell ref="U135:Y135"/>
    <mergeCell ref="Z135:AD135"/>
    <mergeCell ref="AE135:AI135"/>
    <mergeCell ref="AJ135:AN135"/>
    <mergeCell ref="AO135:AS135"/>
    <mergeCell ref="AT135:AU135"/>
    <mergeCell ref="F135:G135"/>
    <mergeCell ref="B193:AU193"/>
    <mergeCell ref="B195:B197"/>
    <mergeCell ref="C195:C197"/>
    <mergeCell ref="D195:Q195"/>
    <mergeCell ref="R195:S196"/>
    <mergeCell ref="U195:AU195"/>
    <mergeCell ref="D196:E196"/>
    <mergeCell ref="F196:H196"/>
    <mergeCell ref="I196:K196"/>
    <mergeCell ref="L196:N196"/>
    <mergeCell ref="O196:Q196"/>
    <mergeCell ref="U196:Y196"/>
    <mergeCell ref="Z196:AD196"/>
    <mergeCell ref="AE196:AI196"/>
    <mergeCell ref="AJ196:AN196"/>
    <mergeCell ref="AO196:AS196"/>
    <mergeCell ref="AT196:AU196"/>
    <mergeCell ref="B254:AU254"/>
    <mergeCell ref="B256:B258"/>
    <mergeCell ref="C256:C258"/>
    <mergeCell ref="D256:N256"/>
    <mergeCell ref="O256:Q256"/>
    <mergeCell ref="R256:S257"/>
    <mergeCell ref="U256:AU256"/>
    <mergeCell ref="D257:E257"/>
    <mergeCell ref="F257:H257"/>
    <mergeCell ref="I257:K257"/>
    <mergeCell ref="L257:N257"/>
    <mergeCell ref="O257:Q257"/>
    <mergeCell ref="U257:Y257"/>
    <mergeCell ref="Z257:AD257"/>
    <mergeCell ref="AE257:AI257"/>
    <mergeCell ref="AJ257:AN257"/>
    <mergeCell ref="AO257:AS257"/>
    <mergeCell ref="AT257:AU257"/>
    <mergeCell ref="B262:AU262"/>
    <mergeCell ref="B264:B266"/>
    <mergeCell ref="C264:C266"/>
    <mergeCell ref="D264:Q264"/>
    <mergeCell ref="R264:S265"/>
    <mergeCell ref="U264:AU264"/>
    <mergeCell ref="D265:E265"/>
    <mergeCell ref="F265:H265"/>
    <mergeCell ref="I265:K265"/>
    <mergeCell ref="L265:N265"/>
    <mergeCell ref="O265:Q265"/>
    <mergeCell ref="U265:Y265"/>
    <mergeCell ref="Z265:AD265"/>
    <mergeCell ref="AE265:AI265"/>
    <mergeCell ref="AJ265:AN265"/>
    <mergeCell ref="AO265:AS265"/>
    <mergeCell ref="AT265:AU265"/>
    <mergeCell ref="B323:AU323"/>
    <mergeCell ref="B325:B327"/>
    <mergeCell ref="C325:C327"/>
    <mergeCell ref="D325:Q325"/>
    <mergeCell ref="R325:S326"/>
    <mergeCell ref="U325:AU325"/>
    <mergeCell ref="D326:E326"/>
    <mergeCell ref="F326:H326"/>
    <mergeCell ref="I326:K326"/>
    <mergeCell ref="L326:N326"/>
    <mergeCell ref="O326:Q326"/>
    <mergeCell ref="U326:Y326"/>
    <mergeCell ref="Z326:AD326"/>
    <mergeCell ref="AE326:AI326"/>
    <mergeCell ref="AJ326:AN326"/>
    <mergeCell ref="AO326:AS326"/>
    <mergeCell ref="AT326:AU326"/>
  </mergeCells>
  <hyperlinks>
    <hyperlink ref="J2" location="'Αρχική σελίδα'!A1" display="Πίσω στην αρχική σελίδα" xr:uid="{0D6203C3-8796-4423-AD5A-2DDAB5D86B55}"/>
  </hyperlinks>
  <pageMargins left="0.7" right="0.7" top="0.75" bottom="0.75" header="0.3" footer="0.3"/>
  <pageSetup orientation="portrait" r:id="rId1"/>
  <customProperties>
    <customPr name="_pios_id" r:id="rId2"/>
  </customPropertie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8403E-5147-4B11-9A53-E5FC26095D74}">
  <sheetPr codeName="Sheet8">
    <tabColor theme="4" tint="0.79998168889431442"/>
  </sheetPr>
  <dimension ref="A2:AU382"/>
  <sheetViews>
    <sheetView showGridLines="0" topLeftCell="A104" zoomScale="70" zoomScaleNormal="70" workbookViewId="0">
      <pane xSplit="2" topLeftCell="P1" activePane="topRight" state="frozen"/>
      <selection pane="topRight" activeCell="P267" sqref="P267"/>
    </sheetView>
  </sheetViews>
  <sheetFormatPr defaultColWidth="8.54296875" defaultRowHeight="14.5" outlineLevelRow="1" x14ac:dyDescent="0.35"/>
  <cols>
    <col min="1" max="1" width="2.54296875" customWidth="1"/>
    <col min="2" max="2" width="37.453125" customWidth="1"/>
    <col min="3" max="13" width="13.453125" customWidth="1"/>
    <col min="14" max="14" width="13.54296875" customWidth="1"/>
    <col min="15" max="18" width="13.453125" customWidth="1"/>
    <col min="19" max="19" width="18.453125" customWidth="1"/>
    <col min="20" max="20" width="1.453125" customWidth="1"/>
    <col min="21" max="31" width="13.453125" customWidth="1"/>
    <col min="32" max="32" width="12.54296875" customWidth="1"/>
    <col min="33" max="36" width="13.453125" customWidth="1"/>
    <col min="37" max="37" width="18.453125" customWidth="1"/>
  </cols>
  <sheetData>
    <row r="2" spans="2:37" ht="18.5" x14ac:dyDescent="0.45">
      <c r="B2" s="1" t="s">
        <v>0</v>
      </c>
      <c r="C2" s="420"/>
      <c r="D2" s="420"/>
      <c r="E2" s="420"/>
      <c r="F2" s="420"/>
      <c r="G2" s="420"/>
      <c r="H2" s="98"/>
      <c r="J2" s="421" t="s">
        <v>58</v>
      </c>
      <c r="K2" s="421"/>
      <c r="L2" s="421"/>
    </row>
    <row r="3" spans="2:37" ht="18.5" x14ac:dyDescent="0.45">
      <c r="B3" s="2" t="s">
        <v>1</v>
      </c>
      <c r="C3" s="99">
        <v>2024</v>
      </c>
      <c r="D3" s="46" t="s">
        <v>2</v>
      </c>
      <c r="E3" s="46">
        <f>C3+4</f>
        <v>2028</v>
      </c>
    </row>
    <row r="4" spans="2:37" ht="14.9" customHeight="1" x14ac:dyDescent="0.45">
      <c r="C4" s="2"/>
      <c r="D4" s="46"/>
      <c r="E4" s="46"/>
    </row>
    <row r="5" spans="2:37" ht="56.9" customHeight="1" x14ac:dyDescent="0.35">
      <c r="B5" s="422" t="s">
        <v>208</v>
      </c>
      <c r="C5" s="422"/>
      <c r="D5" s="422"/>
      <c r="E5" s="422"/>
      <c r="F5" s="422"/>
      <c r="G5" s="422"/>
      <c r="H5" s="422"/>
      <c r="I5" s="422"/>
      <c r="L5" s="320"/>
      <c r="M5" s="320"/>
    </row>
    <row r="6" spans="2:37" x14ac:dyDescent="0.35">
      <c r="B6" s="226"/>
      <c r="C6" s="226"/>
      <c r="D6" s="226"/>
      <c r="E6" s="226"/>
      <c r="F6" s="226"/>
      <c r="G6" s="226"/>
      <c r="H6" s="226"/>
    </row>
    <row r="7" spans="2:37" ht="18.5" x14ac:dyDescent="0.45">
      <c r="B7" s="100" t="str">
        <f>"Εξέλιξη ενεργών πελατών στο υφιστάμενο δίκτυο διανομής ("&amp;(C3-5)&amp;" - "&amp;(C3-1)&amp;") και εξέλιξη σύμφωνα με το Πρόγραμμα Ανάπτυξης  "&amp;C3&amp;" - "&amp;E3</f>
        <v>Εξέλιξη ενεργών πελατών στο υφιστάμενο δίκτυο διανομής (2019 - 2023) και εξέλιξη σύμφωνα με το Πρόγραμμα Ανάπτυξης  2024 - 2028</v>
      </c>
      <c r="C7" s="101"/>
      <c r="D7" s="101"/>
      <c r="E7" s="101"/>
      <c r="F7" s="101"/>
      <c r="G7" s="101"/>
      <c r="H7" s="101"/>
      <c r="I7" s="101"/>
      <c r="J7" s="102"/>
      <c r="K7" s="98"/>
      <c r="L7" s="98"/>
    </row>
    <row r="8" spans="2:37" ht="18.5" x14ac:dyDescent="0.45">
      <c r="B8" s="232"/>
      <c r="C8" s="54"/>
      <c r="D8" s="54"/>
      <c r="E8" s="54"/>
      <c r="F8" s="54"/>
      <c r="G8" s="54"/>
      <c r="H8" s="54"/>
      <c r="I8" s="54"/>
      <c r="J8" s="23"/>
    </row>
    <row r="9" spans="2:37" ht="15.5" x14ac:dyDescent="0.35">
      <c r="B9" s="419" t="s">
        <v>209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row>
    <row r="10" spans="2:37" ht="5.9" customHeight="1" outlineLevel="1" x14ac:dyDescent="0.3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row>
    <row r="11" spans="2:37" ht="15" outlineLevel="1" thickBot="1" x14ac:dyDescent="0.4">
      <c r="B11" s="459"/>
      <c r="C11" s="450" t="s">
        <v>134</v>
      </c>
      <c r="D11" s="435" t="s">
        <v>169</v>
      </c>
      <c r="E11" s="436"/>
      <c r="F11" s="436"/>
      <c r="G11" s="436"/>
      <c r="H11" s="436"/>
      <c r="I11" s="436"/>
      <c r="J11" s="436"/>
      <c r="K11" s="436"/>
      <c r="L11" s="436"/>
      <c r="M11" s="436"/>
      <c r="N11" s="436"/>
      <c r="O11" s="435" t="s">
        <v>210</v>
      </c>
      <c r="P11" s="436"/>
      <c r="Q11" s="437"/>
      <c r="R11" s="431" t="str">
        <f xml:space="preserve"> D12&amp;" - "&amp;O12</f>
        <v>2019 - 2023</v>
      </c>
      <c r="S11" s="456"/>
      <c r="U11" s="476" t="s">
        <v>211</v>
      </c>
      <c r="V11" s="469"/>
      <c r="W11" s="469"/>
      <c r="X11" s="469"/>
      <c r="Y11" s="469"/>
      <c r="Z11" s="469"/>
      <c r="AA11" s="469"/>
      <c r="AB11" s="469"/>
      <c r="AC11" s="469"/>
      <c r="AD11" s="469"/>
      <c r="AE11" s="469"/>
      <c r="AF11" s="469"/>
      <c r="AG11" s="469"/>
      <c r="AH11" s="469"/>
      <c r="AI11" s="469"/>
      <c r="AJ11" s="469"/>
      <c r="AK11" s="470"/>
    </row>
    <row r="12" spans="2:37" outlineLevel="1" x14ac:dyDescent="0.35">
      <c r="B12" s="460"/>
      <c r="C12" s="451"/>
      <c r="D12" s="435">
        <f>$C$3-5</f>
        <v>2019</v>
      </c>
      <c r="E12" s="437"/>
      <c r="F12" s="436">
        <f>$C$3-4</f>
        <v>2020</v>
      </c>
      <c r="G12" s="436"/>
      <c r="H12" s="436"/>
      <c r="I12" s="435">
        <f>$C$3-3</f>
        <v>2021</v>
      </c>
      <c r="J12" s="436"/>
      <c r="K12" s="437"/>
      <c r="L12" s="435">
        <f>$C$3-2</f>
        <v>2022</v>
      </c>
      <c r="M12" s="436"/>
      <c r="N12" s="437"/>
      <c r="O12" s="435">
        <f>$C$3-1</f>
        <v>2023</v>
      </c>
      <c r="P12" s="436"/>
      <c r="Q12" s="437"/>
      <c r="R12" s="433"/>
      <c r="S12" s="457"/>
      <c r="U12" s="471">
        <f>$C$3</f>
        <v>2024</v>
      </c>
      <c r="V12" s="472"/>
      <c r="W12" s="473"/>
      <c r="X12" s="472">
        <f>$C$3+1</f>
        <v>2025</v>
      </c>
      <c r="Y12" s="472"/>
      <c r="Z12" s="473"/>
      <c r="AA12" s="471">
        <f>$C$3+2</f>
        <v>2026</v>
      </c>
      <c r="AB12" s="472"/>
      <c r="AC12" s="473"/>
      <c r="AD12" s="472">
        <f>$C$3+3</f>
        <v>2027</v>
      </c>
      <c r="AE12" s="472"/>
      <c r="AF12" s="472"/>
      <c r="AG12" s="471">
        <f>$C$3+4</f>
        <v>2028</v>
      </c>
      <c r="AH12" s="472"/>
      <c r="AI12" s="473"/>
      <c r="AJ12" s="474" t="str">
        <f>U12&amp;" - "&amp;AG12</f>
        <v>2024 - 2028</v>
      </c>
      <c r="AK12" s="475"/>
    </row>
    <row r="13" spans="2:37" ht="29" outlineLevel="1" x14ac:dyDescent="0.35">
      <c r="B13" s="461"/>
      <c r="C13" s="452"/>
      <c r="D13" s="66" t="s">
        <v>192</v>
      </c>
      <c r="E13" s="67" t="s">
        <v>193</v>
      </c>
      <c r="F13" s="313" t="s">
        <v>192</v>
      </c>
      <c r="G13" s="9" t="s">
        <v>193</v>
      </c>
      <c r="H13" s="67" t="s">
        <v>173</v>
      </c>
      <c r="I13" s="313" t="s">
        <v>192</v>
      </c>
      <c r="J13" s="9" t="s">
        <v>193</v>
      </c>
      <c r="K13" s="67" t="s">
        <v>173</v>
      </c>
      <c r="L13" s="313" t="s">
        <v>192</v>
      </c>
      <c r="M13" s="9" t="s">
        <v>193</v>
      </c>
      <c r="N13" s="67" t="s">
        <v>173</v>
      </c>
      <c r="O13" s="313" t="s">
        <v>192</v>
      </c>
      <c r="P13" s="9" t="s">
        <v>193</v>
      </c>
      <c r="Q13" s="67" t="s">
        <v>173</v>
      </c>
      <c r="R13" s="66" t="s">
        <v>164</v>
      </c>
      <c r="S13" s="134" t="s">
        <v>174</v>
      </c>
      <c r="U13" s="66" t="s">
        <v>192</v>
      </c>
      <c r="V13" s="9" t="s">
        <v>193</v>
      </c>
      <c r="W13" s="67" t="s">
        <v>173</v>
      </c>
      <c r="X13" s="313" t="s">
        <v>192</v>
      </c>
      <c r="Y13" s="9" t="s">
        <v>193</v>
      </c>
      <c r="Z13" s="67" t="s">
        <v>173</v>
      </c>
      <c r="AA13" s="66" t="s">
        <v>192</v>
      </c>
      <c r="AB13" s="9" t="s">
        <v>193</v>
      </c>
      <c r="AC13" s="67" t="s">
        <v>173</v>
      </c>
      <c r="AD13" s="313" t="s">
        <v>192</v>
      </c>
      <c r="AE13" s="9" t="s">
        <v>193</v>
      </c>
      <c r="AF13" s="67" t="s">
        <v>173</v>
      </c>
      <c r="AG13" s="66" t="s">
        <v>192</v>
      </c>
      <c r="AH13" s="9" t="s">
        <v>193</v>
      </c>
      <c r="AI13" s="67" t="s">
        <v>173</v>
      </c>
      <c r="AJ13" s="66" t="s">
        <v>164</v>
      </c>
      <c r="AK13" s="134" t="s">
        <v>174</v>
      </c>
    </row>
    <row r="14" spans="2:37" outlineLevel="1" x14ac:dyDescent="0.35">
      <c r="B14" s="48" t="s">
        <v>74</v>
      </c>
      <c r="C14" s="62" t="s">
        <v>141</v>
      </c>
      <c r="D14" s="157">
        <f>D76+D137+D198+D267+D328</f>
        <v>93</v>
      </c>
      <c r="E14" s="157">
        <f>E76+E137+E198+E267+E328</f>
        <v>1206</v>
      </c>
      <c r="F14" s="157">
        <f t="shared" ref="F14:P14" si="0">F76+F137+F198+F267+F328</f>
        <v>115</v>
      </c>
      <c r="G14" s="157">
        <f t="shared" si="0"/>
        <v>1321</v>
      </c>
      <c r="H14" s="160">
        <f t="shared" ref="H14:H67" si="1">IFERROR((G14-E14)/E14,0)</f>
        <v>9.5356550580431174E-2</v>
      </c>
      <c r="I14" s="157">
        <f t="shared" si="0"/>
        <v>73</v>
      </c>
      <c r="J14" s="157">
        <f t="shared" si="0"/>
        <v>1394</v>
      </c>
      <c r="K14" s="160">
        <f t="shared" ref="K14:K68" si="2">IFERROR((J14-G14)/G14,0)</f>
        <v>5.5261165783497351E-2</v>
      </c>
      <c r="L14" s="157">
        <f t="shared" si="0"/>
        <v>52</v>
      </c>
      <c r="M14" s="157">
        <f t="shared" si="0"/>
        <v>1446</v>
      </c>
      <c r="N14" s="160">
        <f t="shared" ref="N14:N68" si="3">IFERROR((M14-J14)/J14,0)</f>
        <v>3.7302725968436153E-2</v>
      </c>
      <c r="O14" s="157">
        <f t="shared" si="0"/>
        <v>6</v>
      </c>
      <c r="P14" s="157">
        <f t="shared" si="0"/>
        <v>1452</v>
      </c>
      <c r="Q14" s="160">
        <f>IFERROR((P14-M14)/M14,0)</f>
        <v>4.1493775933609959E-3</v>
      </c>
      <c r="R14" s="164">
        <f>D14+F14+I14+L14+O14</f>
        <v>339</v>
      </c>
      <c r="S14" s="165">
        <f>IFERROR((P14/E14)^(1/4)-1,0)</f>
        <v>4.7501918718240832E-2</v>
      </c>
      <c r="U14" s="157">
        <f t="shared" ref="U14:AH14" si="4">U76+U137+U198+U267+U328</f>
        <v>43</v>
      </c>
      <c r="V14" s="157">
        <f t="shared" si="4"/>
        <v>1495</v>
      </c>
      <c r="W14" s="174">
        <f t="shared" ref="W14:W67" si="5">IFERROR((V14-P14)/P14,0)</f>
        <v>2.9614325068870524E-2</v>
      </c>
      <c r="X14" s="157">
        <f t="shared" si="4"/>
        <v>99</v>
      </c>
      <c r="Y14" s="157">
        <f t="shared" si="4"/>
        <v>1594</v>
      </c>
      <c r="Z14" s="160">
        <f>IFERROR((Y14-V14)/V14,0)</f>
        <v>6.622073578595318E-2</v>
      </c>
      <c r="AA14" s="157">
        <f t="shared" si="4"/>
        <v>177</v>
      </c>
      <c r="AB14" s="157">
        <f t="shared" si="4"/>
        <v>1771</v>
      </c>
      <c r="AC14" s="160">
        <f>IFERROR((AB14-Y14)/Y14,0)</f>
        <v>0.11104140526976161</v>
      </c>
      <c r="AD14" s="157">
        <f t="shared" si="4"/>
        <v>165</v>
      </c>
      <c r="AE14" s="157">
        <f t="shared" si="4"/>
        <v>1936</v>
      </c>
      <c r="AF14" s="174">
        <f>IFERROR((AE14-AB14)/AB14,0)</f>
        <v>9.3167701863354033E-2</v>
      </c>
      <c r="AG14" s="157">
        <f t="shared" si="4"/>
        <v>131</v>
      </c>
      <c r="AH14" s="157">
        <f t="shared" si="4"/>
        <v>2067</v>
      </c>
      <c r="AI14" s="160">
        <f>IFERROR((AH14-AE14)/AE14,0)</f>
        <v>6.7665289256198344E-2</v>
      </c>
      <c r="AJ14" s="164">
        <f>U14+X14+AA14+AD14+AG14</f>
        <v>615</v>
      </c>
      <c r="AK14" s="165">
        <f>IFERROR((AH14/V14)^(1/4)-1,0)</f>
        <v>8.4363326019001761E-2</v>
      </c>
    </row>
    <row r="15" spans="2:37" outlineLevel="1" x14ac:dyDescent="0.35">
      <c r="B15" s="48" t="s">
        <v>75</v>
      </c>
      <c r="C15" s="62" t="s">
        <v>141</v>
      </c>
      <c r="D15" s="157">
        <f t="shared" ref="D15:G15" si="6">D77+D138+D199+D268+D329</f>
        <v>993</v>
      </c>
      <c r="E15" s="157">
        <f t="shared" si="6"/>
        <v>13052</v>
      </c>
      <c r="F15" s="157">
        <f t="shared" si="6"/>
        <v>1319</v>
      </c>
      <c r="G15" s="157">
        <f t="shared" si="6"/>
        <v>14371</v>
      </c>
      <c r="H15" s="160">
        <f t="shared" si="1"/>
        <v>0.1010573092246399</v>
      </c>
      <c r="I15" s="157">
        <f t="shared" ref="I15:J15" si="7">I77+I138+I199+I268+I329</f>
        <v>902</v>
      </c>
      <c r="J15" s="157">
        <f t="shared" si="7"/>
        <v>15273</v>
      </c>
      <c r="K15" s="160">
        <f t="shared" si="2"/>
        <v>6.2765291211467539E-2</v>
      </c>
      <c r="L15" s="157">
        <f t="shared" ref="L15:M15" si="8">L77+L138+L199+L268+L329</f>
        <v>331</v>
      </c>
      <c r="M15" s="157">
        <f t="shared" si="8"/>
        <v>15604</v>
      </c>
      <c r="N15" s="160">
        <f t="shared" si="3"/>
        <v>2.1672232043475414E-2</v>
      </c>
      <c r="O15" s="157">
        <f t="shared" ref="O15:P15" si="9">O77+O138+O199+O268+O329</f>
        <v>141</v>
      </c>
      <c r="P15" s="157">
        <f t="shared" si="9"/>
        <v>15745</v>
      </c>
      <c r="Q15" s="160">
        <f t="shared" ref="Q15:Q67" si="10">IFERROR((P15-M15)/M15,0)</f>
        <v>9.0361445783132526E-3</v>
      </c>
      <c r="R15" s="164">
        <f t="shared" ref="R15:R67" si="11">D15+F15+I15+L15+O15</f>
        <v>3686</v>
      </c>
      <c r="S15" s="165">
        <f t="shared" ref="S15:S67" si="12">IFERROR((P15/E15)^(1/4)-1,0)</f>
        <v>4.8012348716098829E-2</v>
      </c>
      <c r="U15" s="157">
        <f t="shared" ref="U15:V15" si="13">U77+U138+U199+U268+U329</f>
        <v>539</v>
      </c>
      <c r="V15" s="157">
        <f t="shared" si="13"/>
        <v>16284</v>
      </c>
      <c r="W15" s="160">
        <f t="shared" si="5"/>
        <v>3.4233089869799935E-2</v>
      </c>
      <c r="X15" s="157">
        <f t="shared" ref="X15:Y15" si="14">X77+X138+X199+X268+X329</f>
        <v>681</v>
      </c>
      <c r="Y15" s="157">
        <f t="shared" si="14"/>
        <v>16965</v>
      </c>
      <c r="Z15" s="160">
        <f t="shared" ref="Z15:Z68" si="15">IFERROR((Y15-V15)/V15,0)</f>
        <v>4.1820191599115694E-2</v>
      </c>
      <c r="AA15" s="157">
        <f t="shared" ref="AA15:AB15" si="16">AA77+AA138+AA199+AA268+AA329</f>
        <v>751</v>
      </c>
      <c r="AB15" s="157">
        <f t="shared" si="16"/>
        <v>17716</v>
      </c>
      <c r="AC15" s="160">
        <f t="shared" ref="AC15:AC68" si="17">IFERROR((AB15-Y15)/Y15,0)</f>
        <v>4.4267609784851163E-2</v>
      </c>
      <c r="AD15" s="157">
        <f t="shared" ref="AD15:AE15" si="18">AD77+AD138+AD199+AD268+AD329</f>
        <v>675</v>
      </c>
      <c r="AE15" s="157">
        <f t="shared" si="18"/>
        <v>18391</v>
      </c>
      <c r="AF15" s="174">
        <f t="shared" ref="AF15:AF68" si="19">IFERROR((AE15-AB15)/AB15,0)</f>
        <v>3.8101151501467603E-2</v>
      </c>
      <c r="AG15" s="157">
        <f t="shared" ref="AG15:AH15" si="20">AG77+AG138+AG199+AG268+AG329</f>
        <v>539</v>
      </c>
      <c r="AH15" s="157">
        <f t="shared" si="20"/>
        <v>18930</v>
      </c>
      <c r="AI15" s="160">
        <f t="shared" ref="AI15:AI68" si="21">IFERROR((AH15-AE15)/AE15,0)</f>
        <v>2.9307813604480454E-2</v>
      </c>
      <c r="AJ15" s="164">
        <f t="shared" ref="AJ15:AJ67" si="22">U15+X15+AA15+AD15+AG15</f>
        <v>3185</v>
      </c>
      <c r="AK15" s="165">
        <f t="shared" ref="AK15:AK68" si="23">IFERROR((AH15/V15)^(1/4)-1,0)</f>
        <v>3.8358637901650283E-2</v>
      </c>
    </row>
    <row r="16" spans="2:37" outlineLevel="1" x14ac:dyDescent="0.35">
      <c r="B16" s="48" t="s">
        <v>76</v>
      </c>
      <c r="C16" s="62" t="s">
        <v>141</v>
      </c>
      <c r="D16" s="157">
        <f t="shared" ref="D16:G16" si="24">D78+D139+D200+D269+D330</f>
        <v>286</v>
      </c>
      <c r="E16" s="157">
        <f t="shared" si="24"/>
        <v>3135</v>
      </c>
      <c r="F16" s="157">
        <f t="shared" si="24"/>
        <v>355</v>
      </c>
      <c r="G16" s="157">
        <f t="shared" si="24"/>
        <v>3490</v>
      </c>
      <c r="H16" s="160">
        <f t="shared" si="1"/>
        <v>0.11323763955342903</v>
      </c>
      <c r="I16" s="157">
        <f t="shared" ref="I16:J16" si="25">I78+I139+I200+I269+I330</f>
        <v>369</v>
      </c>
      <c r="J16" s="157">
        <f t="shared" si="25"/>
        <v>3859</v>
      </c>
      <c r="K16" s="160">
        <f t="shared" si="2"/>
        <v>0.10573065902578796</v>
      </c>
      <c r="L16" s="157">
        <f t="shared" ref="L16:M16" si="26">L78+L139+L200+L269+L330</f>
        <v>304</v>
      </c>
      <c r="M16" s="157">
        <f t="shared" si="26"/>
        <v>4163</v>
      </c>
      <c r="N16" s="160">
        <f t="shared" si="3"/>
        <v>7.8776885203420577E-2</v>
      </c>
      <c r="O16" s="157">
        <f t="shared" ref="O16:P16" si="27">O78+O139+O200+O269+O330</f>
        <v>115</v>
      </c>
      <c r="P16" s="157">
        <f t="shared" si="27"/>
        <v>4278</v>
      </c>
      <c r="Q16" s="160">
        <f t="shared" si="10"/>
        <v>2.7624309392265192E-2</v>
      </c>
      <c r="R16" s="164">
        <f t="shared" si="11"/>
        <v>1429</v>
      </c>
      <c r="S16" s="165">
        <f t="shared" si="12"/>
        <v>8.0813619765377265E-2</v>
      </c>
      <c r="U16" s="157">
        <f t="shared" ref="U16:V16" si="28">U78+U139+U200+U269+U330</f>
        <v>239</v>
      </c>
      <c r="V16" s="157">
        <f t="shared" si="28"/>
        <v>4517</v>
      </c>
      <c r="W16" s="160">
        <f t="shared" si="5"/>
        <v>5.5867227676484339E-2</v>
      </c>
      <c r="X16" s="157">
        <f t="shared" ref="X16:Y16" si="29">X78+X139+X200+X269+X330</f>
        <v>329</v>
      </c>
      <c r="Y16" s="157">
        <f t="shared" si="29"/>
        <v>4846</v>
      </c>
      <c r="Z16" s="160">
        <f t="shared" si="15"/>
        <v>7.2835953066194378E-2</v>
      </c>
      <c r="AA16" s="157">
        <f t="shared" ref="AA16:AB16" si="30">AA78+AA139+AA200+AA269+AA330</f>
        <v>488</v>
      </c>
      <c r="AB16" s="157">
        <f t="shared" si="30"/>
        <v>5334</v>
      </c>
      <c r="AC16" s="160">
        <f t="shared" si="17"/>
        <v>0.10070160957490713</v>
      </c>
      <c r="AD16" s="157">
        <f t="shared" ref="AD16:AE16" si="31">AD78+AD139+AD200+AD269+AD330</f>
        <v>496</v>
      </c>
      <c r="AE16" s="157">
        <f t="shared" si="31"/>
        <v>5830</v>
      </c>
      <c r="AF16" s="174">
        <f t="shared" si="19"/>
        <v>9.2988376452943389E-2</v>
      </c>
      <c r="AG16" s="157">
        <f t="shared" ref="AG16:AH16" si="32">AG78+AG139+AG200+AG269+AG330</f>
        <v>453</v>
      </c>
      <c r="AH16" s="157">
        <f t="shared" si="32"/>
        <v>6283</v>
      </c>
      <c r="AI16" s="160">
        <f t="shared" si="21"/>
        <v>7.7701543739279594E-2</v>
      </c>
      <c r="AJ16" s="164">
        <f t="shared" si="22"/>
        <v>2005</v>
      </c>
      <c r="AK16" s="165">
        <f t="shared" si="23"/>
        <v>8.59985422363998E-2</v>
      </c>
    </row>
    <row r="17" spans="2:37" outlineLevel="1" x14ac:dyDescent="0.35">
      <c r="B17" s="48" t="s">
        <v>77</v>
      </c>
      <c r="C17" s="62" t="s">
        <v>141</v>
      </c>
      <c r="D17" s="157">
        <f t="shared" ref="D17:G17" si="33">D79+D140+D201+D270+D331</f>
        <v>49</v>
      </c>
      <c r="E17" s="157">
        <f t="shared" si="33"/>
        <v>639</v>
      </c>
      <c r="F17" s="157">
        <f t="shared" si="33"/>
        <v>82</v>
      </c>
      <c r="G17" s="157">
        <f t="shared" si="33"/>
        <v>721</v>
      </c>
      <c r="H17" s="160">
        <f t="shared" si="1"/>
        <v>0.12832550860719874</v>
      </c>
      <c r="I17" s="157">
        <f t="shared" ref="I17:J17" si="34">I79+I140+I201+I270+I331</f>
        <v>99</v>
      </c>
      <c r="J17" s="157">
        <f t="shared" si="34"/>
        <v>820</v>
      </c>
      <c r="K17" s="160">
        <f t="shared" si="2"/>
        <v>0.13730929264909847</v>
      </c>
      <c r="L17" s="157">
        <f t="shared" ref="L17:M17" si="35">L79+L140+L201+L270+L331</f>
        <v>121</v>
      </c>
      <c r="M17" s="157">
        <f t="shared" si="35"/>
        <v>941</v>
      </c>
      <c r="N17" s="160">
        <f t="shared" si="3"/>
        <v>0.14756097560975609</v>
      </c>
      <c r="O17" s="157">
        <f t="shared" ref="O17:P17" si="36">O79+O140+O201+O270+O331</f>
        <v>6</v>
      </c>
      <c r="P17" s="157">
        <f t="shared" si="36"/>
        <v>947</v>
      </c>
      <c r="Q17" s="160">
        <f t="shared" si="10"/>
        <v>6.376195536663124E-3</v>
      </c>
      <c r="R17" s="164">
        <f t="shared" si="11"/>
        <v>357</v>
      </c>
      <c r="S17" s="165">
        <f t="shared" si="12"/>
        <v>0.10334741083247945</v>
      </c>
      <c r="U17" s="157">
        <f t="shared" ref="U17:V17" si="37">U79+U140+U201+U270+U331</f>
        <v>50</v>
      </c>
      <c r="V17" s="157">
        <f t="shared" si="37"/>
        <v>997</v>
      </c>
      <c r="W17" s="160">
        <f t="shared" si="5"/>
        <v>5.2798310454065467E-2</v>
      </c>
      <c r="X17" s="157">
        <f t="shared" ref="X17:Y17" si="38">X79+X140+X201+X270+X331</f>
        <v>55</v>
      </c>
      <c r="Y17" s="157">
        <f t="shared" si="38"/>
        <v>1052</v>
      </c>
      <c r="Z17" s="160">
        <f t="shared" si="15"/>
        <v>5.5165496489468405E-2</v>
      </c>
      <c r="AA17" s="157">
        <f t="shared" ref="AA17:AB17" si="39">AA79+AA140+AA201+AA270+AA331</f>
        <v>73</v>
      </c>
      <c r="AB17" s="157">
        <f t="shared" si="39"/>
        <v>1125</v>
      </c>
      <c r="AC17" s="160">
        <f t="shared" si="17"/>
        <v>6.939163498098859E-2</v>
      </c>
      <c r="AD17" s="157">
        <f t="shared" ref="AD17:AE17" si="40">AD79+AD140+AD201+AD270+AD331</f>
        <v>77</v>
      </c>
      <c r="AE17" s="157">
        <f t="shared" si="40"/>
        <v>1202</v>
      </c>
      <c r="AF17" s="174">
        <f t="shared" si="19"/>
        <v>6.8444444444444447E-2</v>
      </c>
      <c r="AG17" s="157">
        <f t="shared" ref="AG17:AH17" si="41">AG79+AG140+AG201+AG270+AG331</f>
        <v>60</v>
      </c>
      <c r="AH17" s="157">
        <f t="shared" si="41"/>
        <v>1262</v>
      </c>
      <c r="AI17" s="160">
        <f t="shared" si="21"/>
        <v>4.9916805324459232E-2</v>
      </c>
      <c r="AJ17" s="164">
        <f t="shared" si="22"/>
        <v>315</v>
      </c>
      <c r="AK17" s="165">
        <f t="shared" si="23"/>
        <v>6.0696288357897865E-2</v>
      </c>
    </row>
    <row r="18" spans="2:37" outlineLevel="1" x14ac:dyDescent="0.35">
      <c r="B18" s="48" t="s">
        <v>78</v>
      </c>
      <c r="C18" s="62" t="s">
        <v>141</v>
      </c>
      <c r="D18" s="157">
        <f t="shared" ref="D18:G18" si="42">D80+D141+D202+D271+D332</f>
        <v>4097</v>
      </c>
      <c r="E18" s="157">
        <f t="shared" si="42"/>
        <v>131499</v>
      </c>
      <c r="F18" s="157">
        <f t="shared" si="42"/>
        <v>3587</v>
      </c>
      <c r="G18" s="157">
        <f t="shared" si="42"/>
        <v>135086</v>
      </c>
      <c r="H18" s="160">
        <f t="shared" si="1"/>
        <v>2.7277773975467493E-2</v>
      </c>
      <c r="I18" s="157">
        <f t="shared" ref="I18:J18" si="43">I80+I141+I202+I271+I332</f>
        <v>3081</v>
      </c>
      <c r="J18" s="157">
        <f t="shared" si="43"/>
        <v>138167</v>
      </c>
      <c r="K18" s="160">
        <f t="shared" si="2"/>
        <v>2.2807692877130123E-2</v>
      </c>
      <c r="L18" s="157">
        <f t="shared" ref="L18:M18" si="44">L80+L141+L202+L271+L332</f>
        <v>-4672</v>
      </c>
      <c r="M18" s="157">
        <f t="shared" si="44"/>
        <v>133495</v>
      </c>
      <c r="N18" s="160">
        <f t="shared" si="3"/>
        <v>-3.3814152438715467E-2</v>
      </c>
      <c r="O18" s="157">
        <f t="shared" ref="O18:P18" si="45">O80+O141+O202+O271+O332</f>
        <v>148</v>
      </c>
      <c r="P18" s="157">
        <f t="shared" si="45"/>
        <v>133643</v>
      </c>
      <c r="Q18" s="160">
        <f t="shared" si="10"/>
        <v>1.1086557548971871E-3</v>
      </c>
      <c r="R18" s="164">
        <f t="shared" si="11"/>
        <v>6241</v>
      </c>
      <c r="S18" s="165">
        <f t="shared" si="12"/>
        <v>4.0513894238893844E-3</v>
      </c>
      <c r="U18" s="157">
        <f t="shared" ref="U18:V18" si="46">U80+U141+U202+U271+U332</f>
        <v>3184</v>
      </c>
      <c r="V18" s="157">
        <f t="shared" si="46"/>
        <v>136827</v>
      </c>
      <c r="W18" s="160">
        <f t="shared" si="5"/>
        <v>2.3824667210403837E-2</v>
      </c>
      <c r="X18" s="157">
        <f t="shared" ref="X18:Y18" si="47">X80+X141+X202+X271+X332</f>
        <v>3853</v>
      </c>
      <c r="Y18" s="157">
        <f t="shared" si="47"/>
        <v>140680</v>
      </c>
      <c r="Z18" s="160">
        <f t="shared" si="15"/>
        <v>2.8159646853325733E-2</v>
      </c>
      <c r="AA18" s="157">
        <f t="shared" ref="AA18:AB18" si="48">AA80+AA141+AA202+AA271+AA332</f>
        <v>4383</v>
      </c>
      <c r="AB18" s="157">
        <f t="shared" si="48"/>
        <v>145063</v>
      </c>
      <c r="AC18" s="160">
        <f t="shared" si="17"/>
        <v>3.1155814614728463E-2</v>
      </c>
      <c r="AD18" s="157">
        <f t="shared" ref="AD18:AE18" si="49">AD80+AD141+AD202+AD271+AD332</f>
        <v>4281</v>
      </c>
      <c r="AE18" s="157">
        <f t="shared" si="49"/>
        <v>149344</v>
      </c>
      <c r="AF18" s="174">
        <f t="shared" si="19"/>
        <v>2.9511315773146838E-2</v>
      </c>
      <c r="AG18" s="157">
        <f t="shared" ref="AG18:AH18" si="50">AG80+AG141+AG202+AG271+AG332</f>
        <v>3762</v>
      </c>
      <c r="AH18" s="157">
        <f t="shared" si="50"/>
        <v>153106</v>
      </c>
      <c r="AI18" s="160">
        <f t="shared" si="21"/>
        <v>2.5190164988215129E-2</v>
      </c>
      <c r="AJ18" s="164">
        <f t="shared" si="22"/>
        <v>19463</v>
      </c>
      <c r="AK18" s="165">
        <f t="shared" si="23"/>
        <v>2.8501907197955534E-2</v>
      </c>
    </row>
    <row r="19" spans="2:37" outlineLevel="1" x14ac:dyDescent="0.35">
      <c r="B19" s="48" t="s">
        <v>79</v>
      </c>
      <c r="C19" s="62" t="s">
        <v>141</v>
      </c>
      <c r="D19" s="157">
        <f t="shared" ref="D19:G19" si="51">D81+D142+D203+D272+D333</f>
        <v>406</v>
      </c>
      <c r="E19" s="157">
        <f t="shared" si="51"/>
        <v>5750</v>
      </c>
      <c r="F19" s="157">
        <f t="shared" si="51"/>
        <v>597</v>
      </c>
      <c r="G19" s="157">
        <f t="shared" si="51"/>
        <v>6347</v>
      </c>
      <c r="H19" s="160">
        <f t="shared" si="1"/>
        <v>0.10382608695652173</v>
      </c>
      <c r="I19" s="157">
        <f t="shared" ref="I19:J19" si="52">I81+I142+I203+I272+I333</f>
        <v>501</v>
      </c>
      <c r="J19" s="157">
        <f t="shared" si="52"/>
        <v>6848</v>
      </c>
      <c r="K19" s="160">
        <f t="shared" si="2"/>
        <v>7.8934929888136121E-2</v>
      </c>
      <c r="L19" s="157">
        <f t="shared" ref="L19:M19" si="53">L81+L142+L203+L272+L333</f>
        <v>335</v>
      </c>
      <c r="M19" s="157">
        <f t="shared" si="53"/>
        <v>7183</v>
      </c>
      <c r="N19" s="160">
        <f t="shared" si="3"/>
        <v>4.8919392523364483E-2</v>
      </c>
      <c r="O19" s="157">
        <f t="shared" ref="O19:P19" si="54">O81+O142+O203+O272+O333</f>
        <v>122</v>
      </c>
      <c r="P19" s="157">
        <f t="shared" si="54"/>
        <v>7305</v>
      </c>
      <c r="Q19" s="160">
        <f t="shared" si="10"/>
        <v>1.6984546846721425E-2</v>
      </c>
      <c r="R19" s="164">
        <f t="shared" si="11"/>
        <v>1961</v>
      </c>
      <c r="S19" s="165">
        <f t="shared" si="12"/>
        <v>6.1666451405633094E-2</v>
      </c>
      <c r="U19" s="157">
        <f t="shared" ref="U19:V19" si="55">U81+U142+U203+U272+U333</f>
        <v>288</v>
      </c>
      <c r="V19" s="157">
        <f t="shared" si="55"/>
        <v>7593</v>
      </c>
      <c r="W19" s="160">
        <f t="shared" si="5"/>
        <v>3.9425051334702262E-2</v>
      </c>
      <c r="X19" s="157">
        <f t="shared" ref="X19:Y19" si="56">X81+X142+X203+X272+X333</f>
        <v>319</v>
      </c>
      <c r="Y19" s="157">
        <f t="shared" si="56"/>
        <v>7912</v>
      </c>
      <c r="Z19" s="160">
        <f t="shared" si="15"/>
        <v>4.2012379823521663E-2</v>
      </c>
      <c r="AA19" s="157">
        <f t="shared" ref="AA19:AB19" si="57">AA81+AA142+AA203+AA272+AA333</f>
        <v>334</v>
      </c>
      <c r="AB19" s="157">
        <f t="shared" si="57"/>
        <v>8246</v>
      </c>
      <c r="AC19" s="160">
        <f t="shared" si="17"/>
        <v>4.2214357937310418E-2</v>
      </c>
      <c r="AD19" s="157">
        <f t="shared" ref="AD19:AE19" si="58">AD81+AD142+AD203+AD272+AD333</f>
        <v>292</v>
      </c>
      <c r="AE19" s="157">
        <f t="shared" si="58"/>
        <v>8538</v>
      </c>
      <c r="AF19" s="174">
        <f t="shared" si="19"/>
        <v>3.5411108416201792E-2</v>
      </c>
      <c r="AG19" s="157">
        <f t="shared" ref="AG19:AH19" si="59">AG81+AG142+AG203+AG272+AG333</f>
        <v>280</v>
      </c>
      <c r="AH19" s="157">
        <f t="shared" si="59"/>
        <v>8818</v>
      </c>
      <c r="AI19" s="160">
        <f t="shared" si="21"/>
        <v>3.2794565472007493E-2</v>
      </c>
      <c r="AJ19" s="164">
        <f t="shared" si="22"/>
        <v>1513</v>
      </c>
      <c r="AK19" s="165">
        <f t="shared" si="23"/>
        <v>3.8099958433542191E-2</v>
      </c>
    </row>
    <row r="20" spans="2:37" outlineLevel="1" x14ac:dyDescent="0.35">
      <c r="B20" s="48" t="s">
        <v>80</v>
      </c>
      <c r="C20" s="62" t="s">
        <v>141</v>
      </c>
      <c r="D20" s="157">
        <f t="shared" ref="D20:G20" si="60">D82+D143+D204+D273+D334</f>
        <v>368</v>
      </c>
      <c r="E20" s="157">
        <f t="shared" si="60"/>
        <v>3437</v>
      </c>
      <c r="F20" s="157">
        <f t="shared" si="60"/>
        <v>438</v>
      </c>
      <c r="G20" s="157">
        <f t="shared" si="60"/>
        <v>3875</v>
      </c>
      <c r="H20" s="160">
        <f t="shared" si="1"/>
        <v>0.12743671806808263</v>
      </c>
      <c r="I20" s="157">
        <f t="shared" ref="I20:J20" si="61">I82+I143+I204+I273+I334</f>
        <v>484</v>
      </c>
      <c r="J20" s="157">
        <f t="shared" si="61"/>
        <v>4359</v>
      </c>
      <c r="K20" s="160">
        <f t="shared" si="2"/>
        <v>0.12490322580645161</v>
      </c>
      <c r="L20" s="157">
        <f t="shared" ref="L20:M20" si="62">L82+L143+L204+L273+L334</f>
        <v>702</v>
      </c>
      <c r="M20" s="157">
        <f t="shared" si="62"/>
        <v>5061</v>
      </c>
      <c r="N20" s="160">
        <f t="shared" si="3"/>
        <v>0.16104611149346179</v>
      </c>
      <c r="O20" s="157">
        <f t="shared" ref="O20:P20" si="63">O82+O143+O204+O273+O334</f>
        <v>194</v>
      </c>
      <c r="P20" s="157">
        <f t="shared" si="63"/>
        <v>5255</v>
      </c>
      <c r="Q20" s="160">
        <f t="shared" si="10"/>
        <v>3.8332345386287298E-2</v>
      </c>
      <c r="R20" s="164">
        <f t="shared" si="11"/>
        <v>2186</v>
      </c>
      <c r="S20" s="165">
        <f t="shared" si="12"/>
        <v>0.11198338215921866</v>
      </c>
      <c r="U20" s="157">
        <f t="shared" ref="U20:V20" si="64">U82+U143+U204+U273+U334</f>
        <v>318</v>
      </c>
      <c r="V20" s="157">
        <f t="shared" si="64"/>
        <v>5573</v>
      </c>
      <c r="W20" s="160">
        <f t="shared" si="5"/>
        <v>6.0513796384395815E-2</v>
      </c>
      <c r="X20" s="157">
        <f t="shared" ref="X20:Y20" si="65">X82+X143+X204+X273+X334</f>
        <v>372</v>
      </c>
      <c r="Y20" s="157">
        <f t="shared" si="65"/>
        <v>5945</v>
      </c>
      <c r="Z20" s="160">
        <f t="shared" si="15"/>
        <v>6.6750403732280639E-2</v>
      </c>
      <c r="AA20" s="157">
        <f t="shared" ref="AA20:AB20" si="66">AA82+AA143+AA204+AA273+AA334</f>
        <v>390</v>
      </c>
      <c r="AB20" s="157">
        <f t="shared" si="66"/>
        <v>6335</v>
      </c>
      <c r="AC20" s="160">
        <f t="shared" si="17"/>
        <v>6.5601345668629102E-2</v>
      </c>
      <c r="AD20" s="157">
        <f t="shared" ref="AD20:AE20" si="67">AD82+AD143+AD204+AD273+AD334</f>
        <v>335</v>
      </c>
      <c r="AE20" s="157">
        <f t="shared" si="67"/>
        <v>6670</v>
      </c>
      <c r="AF20" s="174">
        <f t="shared" si="19"/>
        <v>5.288082083662194E-2</v>
      </c>
      <c r="AG20" s="157">
        <f t="shared" ref="AG20:AH20" si="68">AG82+AG143+AG204+AG273+AG334</f>
        <v>283</v>
      </c>
      <c r="AH20" s="157">
        <f t="shared" si="68"/>
        <v>6953</v>
      </c>
      <c r="AI20" s="160">
        <f t="shared" si="21"/>
        <v>4.2428785607196401E-2</v>
      </c>
      <c r="AJ20" s="164">
        <f t="shared" si="22"/>
        <v>1698</v>
      </c>
      <c r="AK20" s="165">
        <f t="shared" si="23"/>
        <v>5.6868117083457292E-2</v>
      </c>
    </row>
    <row r="21" spans="2:37" outlineLevel="1" x14ac:dyDescent="0.35">
      <c r="B21" s="48" t="s">
        <v>81</v>
      </c>
      <c r="C21" s="62" t="s">
        <v>141</v>
      </c>
      <c r="D21" s="157">
        <f t="shared" ref="D21:G21" si="69">D83+D144+D205+D274+D335</f>
        <v>886</v>
      </c>
      <c r="E21" s="157">
        <f t="shared" si="69"/>
        <v>20318</v>
      </c>
      <c r="F21" s="157">
        <f t="shared" si="69"/>
        <v>497</v>
      </c>
      <c r="G21" s="157">
        <f t="shared" si="69"/>
        <v>20815</v>
      </c>
      <c r="H21" s="160">
        <f t="shared" si="1"/>
        <v>2.4461069002854611E-2</v>
      </c>
      <c r="I21" s="157">
        <f t="shared" ref="I21:J21" si="70">I83+I144+I205+I274+I335</f>
        <v>629</v>
      </c>
      <c r="J21" s="157">
        <f t="shared" si="70"/>
        <v>21444</v>
      </c>
      <c r="K21" s="160">
        <f t="shared" si="2"/>
        <v>3.0218592361277923E-2</v>
      </c>
      <c r="L21" s="157">
        <f t="shared" ref="L21:M21" si="71">L83+L144+L205+L274+L335</f>
        <v>-890</v>
      </c>
      <c r="M21" s="157">
        <f t="shared" si="71"/>
        <v>20554</v>
      </c>
      <c r="N21" s="160">
        <f t="shared" si="3"/>
        <v>-4.1503450848722256E-2</v>
      </c>
      <c r="O21" s="157">
        <f t="shared" ref="O21:P21" si="72">O83+O144+O205+O274+O335</f>
        <v>94</v>
      </c>
      <c r="P21" s="157">
        <f t="shared" si="72"/>
        <v>20648</v>
      </c>
      <c r="Q21" s="160">
        <f t="shared" si="10"/>
        <v>4.573319061983069E-3</v>
      </c>
      <c r="R21" s="164">
        <f t="shared" si="11"/>
        <v>1216</v>
      </c>
      <c r="S21" s="165">
        <f t="shared" si="12"/>
        <v>4.0359399951244157E-3</v>
      </c>
      <c r="U21" s="157">
        <f t="shared" ref="U21:V21" si="73">U83+U144+U205+U274+U335</f>
        <v>497</v>
      </c>
      <c r="V21" s="157">
        <f t="shared" si="73"/>
        <v>21145</v>
      </c>
      <c r="W21" s="160">
        <f t="shared" si="5"/>
        <v>2.4070127857419604E-2</v>
      </c>
      <c r="X21" s="157">
        <f t="shared" ref="X21:Y21" si="74">X83+X144+X205+X274+X335</f>
        <v>560</v>
      </c>
      <c r="Y21" s="157">
        <f t="shared" si="74"/>
        <v>21705</v>
      </c>
      <c r="Z21" s="160">
        <f t="shared" si="15"/>
        <v>2.6483802317332703E-2</v>
      </c>
      <c r="AA21" s="157">
        <f t="shared" ref="AA21:AB21" si="75">AA83+AA144+AA205+AA274+AA335</f>
        <v>590</v>
      </c>
      <c r="AB21" s="157">
        <f t="shared" si="75"/>
        <v>22295</v>
      </c>
      <c r="AC21" s="160">
        <f t="shared" si="17"/>
        <v>2.718267680258005E-2</v>
      </c>
      <c r="AD21" s="157">
        <f t="shared" ref="AD21:AE21" si="76">AD83+AD144+AD205+AD274+AD335</f>
        <v>512</v>
      </c>
      <c r="AE21" s="157">
        <f t="shared" si="76"/>
        <v>22807</v>
      </c>
      <c r="AF21" s="174">
        <f t="shared" si="19"/>
        <v>2.2964790311729086E-2</v>
      </c>
      <c r="AG21" s="157">
        <f t="shared" ref="AG21:AH21" si="77">AG83+AG144+AG205+AG274+AG335</f>
        <v>407</v>
      </c>
      <c r="AH21" s="157">
        <f t="shared" si="77"/>
        <v>23214</v>
      </c>
      <c r="AI21" s="160">
        <f t="shared" si="21"/>
        <v>1.7845398342614109E-2</v>
      </c>
      <c r="AJ21" s="164">
        <f t="shared" si="22"/>
        <v>2566</v>
      </c>
      <c r="AK21" s="165">
        <f t="shared" si="23"/>
        <v>2.3612481037657007E-2</v>
      </c>
    </row>
    <row r="22" spans="2:37" outlineLevel="1" x14ac:dyDescent="0.35">
      <c r="B22" s="48" t="s">
        <v>82</v>
      </c>
      <c r="C22" s="62" t="s">
        <v>141</v>
      </c>
      <c r="D22" s="157">
        <f t="shared" ref="D22:G22" si="78">D84+D145+D206+D275+D336</f>
        <v>3</v>
      </c>
      <c r="E22" s="157">
        <f t="shared" si="78"/>
        <v>19</v>
      </c>
      <c r="F22" s="157">
        <f t="shared" si="78"/>
        <v>1</v>
      </c>
      <c r="G22" s="157">
        <f t="shared" si="78"/>
        <v>20</v>
      </c>
      <c r="H22" s="160">
        <f t="shared" si="1"/>
        <v>5.2631578947368418E-2</v>
      </c>
      <c r="I22" s="157">
        <f t="shared" ref="I22:J22" si="79">I84+I145+I206+I275+I336</f>
        <v>0</v>
      </c>
      <c r="J22" s="157">
        <f t="shared" si="79"/>
        <v>20</v>
      </c>
      <c r="K22" s="160">
        <f t="shared" si="2"/>
        <v>0</v>
      </c>
      <c r="L22" s="157">
        <f t="shared" ref="L22:M22" si="80">L84+L145+L206+L275+L336</f>
        <v>-1</v>
      </c>
      <c r="M22" s="157">
        <f t="shared" si="80"/>
        <v>19</v>
      </c>
      <c r="N22" s="160">
        <f t="shared" si="3"/>
        <v>-0.05</v>
      </c>
      <c r="O22" s="157">
        <f t="shared" ref="O22:P22" si="81">O84+O145+O206+O275+O336</f>
        <v>0</v>
      </c>
      <c r="P22" s="157">
        <f t="shared" si="81"/>
        <v>19</v>
      </c>
      <c r="Q22" s="160">
        <f t="shared" si="10"/>
        <v>0</v>
      </c>
      <c r="R22" s="164">
        <f t="shared" si="11"/>
        <v>3</v>
      </c>
      <c r="S22" s="165">
        <f t="shared" si="12"/>
        <v>0</v>
      </c>
      <c r="U22" s="157">
        <f t="shared" ref="U22:V22" si="82">U84+U145+U206+U275+U336</f>
        <v>0</v>
      </c>
      <c r="V22" s="157">
        <f t="shared" si="82"/>
        <v>19</v>
      </c>
      <c r="W22" s="160">
        <f t="shared" si="5"/>
        <v>0</v>
      </c>
      <c r="X22" s="157">
        <f t="shared" ref="X22:Y22" si="83">X84+X145+X206+X275+X336</f>
        <v>0</v>
      </c>
      <c r="Y22" s="157">
        <f t="shared" si="83"/>
        <v>19</v>
      </c>
      <c r="Z22" s="160">
        <f t="shared" si="15"/>
        <v>0</v>
      </c>
      <c r="AA22" s="157">
        <f t="shared" ref="AA22:AB22" si="84">AA84+AA145+AA206+AA275+AA336</f>
        <v>0</v>
      </c>
      <c r="AB22" s="157">
        <f t="shared" si="84"/>
        <v>19</v>
      </c>
      <c r="AC22" s="160">
        <f t="shared" si="17"/>
        <v>0</v>
      </c>
      <c r="AD22" s="157">
        <f t="shared" ref="AD22:AE22" si="85">AD84+AD145+AD206+AD275+AD336</f>
        <v>0</v>
      </c>
      <c r="AE22" s="157">
        <f t="shared" si="85"/>
        <v>19</v>
      </c>
      <c r="AF22" s="174">
        <f t="shared" si="19"/>
        <v>0</v>
      </c>
      <c r="AG22" s="157">
        <f t="shared" ref="AG22:AH22" si="86">AG84+AG145+AG206+AG275+AG336</f>
        <v>0</v>
      </c>
      <c r="AH22" s="157">
        <f t="shared" si="86"/>
        <v>19</v>
      </c>
      <c r="AI22" s="160">
        <f t="shared" si="21"/>
        <v>0</v>
      </c>
      <c r="AJ22" s="164">
        <f t="shared" si="22"/>
        <v>0</v>
      </c>
      <c r="AK22" s="165">
        <f t="shared" si="23"/>
        <v>0</v>
      </c>
    </row>
    <row r="23" spans="2:37" outlineLevel="1" x14ac:dyDescent="0.35">
      <c r="B23" s="48" t="s">
        <v>83</v>
      </c>
      <c r="C23" s="62" t="s">
        <v>141</v>
      </c>
      <c r="D23" s="157">
        <f t="shared" ref="D23:G23" si="87">D85+D146+D207+D276+D337</f>
        <v>66</v>
      </c>
      <c r="E23" s="157">
        <f t="shared" si="87"/>
        <v>3054</v>
      </c>
      <c r="F23" s="157">
        <f t="shared" si="87"/>
        <v>162</v>
      </c>
      <c r="G23" s="157">
        <f t="shared" si="87"/>
        <v>3216</v>
      </c>
      <c r="H23" s="160">
        <f t="shared" si="1"/>
        <v>5.304518664047151E-2</v>
      </c>
      <c r="I23" s="157">
        <f t="shared" ref="I23:J23" si="88">I85+I146+I207+I276+I337</f>
        <v>79</v>
      </c>
      <c r="J23" s="157">
        <f t="shared" si="88"/>
        <v>3295</v>
      </c>
      <c r="K23" s="160">
        <f t="shared" si="2"/>
        <v>2.4564676616915422E-2</v>
      </c>
      <c r="L23" s="157">
        <f t="shared" ref="L23:M23" si="89">L85+L146+L207+L276+L337</f>
        <v>36</v>
      </c>
      <c r="M23" s="157">
        <f t="shared" si="89"/>
        <v>3331</v>
      </c>
      <c r="N23" s="160">
        <f t="shared" si="3"/>
        <v>1.0925644916540212E-2</v>
      </c>
      <c r="O23" s="157">
        <f t="shared" ref="O23:P23" si="90">O85+O146+O207+O276+O337</f>
        <v>14</v>
      </c>
      <c r="P23" s="157">
        <f t="shared" si="90"/>
        <v>3345</v>
      </c>
      <c r="Q23" s="160">
        <f t="shared" si="10"/>
        <v>4.2029420594416091E-3</v>
      </c>
      <c r="R23" s="164">
        <f t="shared" si="11"/>
        <v>357</v>
      </c>
      <c r="S23" s="165">
        <f t="shared" si="12"/>
        <v>2.3014459927350073E-2</v>
      </c>
      <c r="U23" s="157">
        <f t="shared" ref="U23:V23" si="91">U85+U146+U207+U276+U337</f>
        <v>62</v>
      </c>
      <c r="V23" s="157">
        <f t="shared" si="91"/>
        <v>3407</v>
      </c>
      <c r="W23" s="160">
        <f t="shared" si="5"/>
        <v>1.8535127055306428E-2</v>
      </c>
      <c r="X23" s="157">
        <f t="shared" ref="X23:Y23" si="92">X85+X146+X207+X276+X337</f>
        <v>114</v>
      </c>
      <c r="Y23" s="157">
        <f t="shared" si="92"/>
        <v>3521</v>
      </c>
      <c r="Z23" s="160">
        <f t="shared" si="15"/>
        <v>3.3460522453771645E-2</v>
      </c>
      <c r="AA23" s="157">
        <f t="shared" ref="AA23:AB23" si="93">AA85+AA146+AA207+AA276+AA337</f>
        <v>140</v>
      </c>
      <c r="AB23" s="157">
        <f t="shared" si="93"/>
        <v>3661</v>
      </c>
      <c r="AC23" s="160">
        <f t="shared" si="17"/>
        <v>3.9761431411530816E-2</v>
      </c>
      <c r="AD23" s="157">
        <f t="shared" ref="AD23:AE23" si="94">AD85+AD146+AD207+AD276+AD337</f>
        <v>149</v>
      </c>
      <c r="AE23" s="157">
        <f t="shared" si="94"/>
        <v>3810</v>
      </c>
      <c r="AF23" s="174">
        <f t="shared" si="19"/>
        <v>4.0699262496585634E-2</v>
      </c>
      <c r="AG23" s="157">
        <f t="shared" ref="AG23:AH23" si="95">AG85+AG146+AG207+AG276+AG337</f>
        <v>139</v>
      </c>
      <c r="AH23" s="157">
        <f t="shared" si="95"/>
        <v>3949</v>
      </c>
      <c r="AI23" s="160">
        <f t="shared" si="21"/>
        <v>3.6482939632545931E-2</v>
      </c>
      <c r="AJ23" s="164">
        <f t="shared" si="22"/>
        <v>604</v>
      </c>
      <c r="AK23" s="165">
        <f t="shared" si="23"/>
        <v>3.7597101869296878E-2</v>
      </c>
    </row>
    <row r="24" spans="2:37" outlineLevel="1" x14ac:dyDescent="0.35">
      <c r="B24" s="48" t="s">
        <v>84</v>
      </c>
      <c r="C24" s="62" t="s">
        <v>141</v>
      </c>
      <c r="D24" s="157">
        <f t="shared" ref="D24:G24" si="96">D86+D147+D208+D277+D338</f>
        <v>220</v>
      </c>
      <c r="E24" s="157">
        <f t="shared" si="96"/>
        <v>2600</v>
      </c>
      <c r="F24" s="157">
        <f t="shared" si="96"/>
        <v>215</v>
      </c>
      <c r="G24" s="157">
        <f t="shared" si="96"/>
        <v>2815</v>
      </c>
      <c r="H24" s="160">
        <f t="shared" si="1"/>
        <v>8.269230769230769E-2</v>
      </c>
      <c r="I24" s="157">
        <f t="shared" ref="I24:J24" si="97">I86+I147+I208+I277+I338</f>
        <v>159</v>
      </c>
      <c r="J24" s="157">
        <f t="shared" si="97"/>
        <v>2974</v>
      </c>
      <c r="K24" s="160">
        <f t="shared" si="2"/>
        <v>5.6483126110124335E-2</v>
      </c>
      <c r="L24" s="157">
        <f t="shared" ref="L24:M24" si="98">L86+L147+L208+L277+L338</f>
        <v>170</v>
      </c>
      <c r="M24" s="157">
        <f t="shared" si="98"/>
        <v>3144</v>
      </c>
      <c r="N24" s="160">
        <f t="shared" si="3"/>
        <v>5.716207128446537E-2</v>
      </c>
      <c r="O24" s="157">
        <f t="shared" ref="O24:P24" si="99">O86+O147+O208+O277+O338</f>
        <v>50</v>
      </c>
      <c r="P24" s="157">
        <f t="shared" si="99"/>
        <v>3194</v>
      </c>
      <c r="Q24" s="160">
        <f t="shared" si="10"/>
        <v>1.5903307888040712E-2</v>
      </c>
      <c r="R24" s="164">
        <f t="shared" si="11"/>
        <v>814</v>
      </c>
      <c r="S24" s="165">
        <f t="shared" si="12"/>
        <v>5.2786702801413288E-2</v>
      </c>
      <c r="U24" s="157">
        <f t="shared" ref="U24:V24" si="100">U86+U147+U208+U277+U338</f>
        <v>130</v>
      </c>
      <c r="V24" s="157">
        <f t="shared" si="100"/>
        <v>3324</v>
      </c>
      <c r="W24" s="160">
        <f t="shared" si="5"/>
        <v>4.0701314965560426E-2</v>
      </c>
      <c r="X24" s="157">
        <f t="shared" ref="X24:Y24" si="101">X86+X147+X208+X277+X338</f>
        <v>191</v>
      </c>
      <c r="Y24" s="157">
        <f t="shared" si="101"/>
        <v>3515</v>
      </c>
      <c r="Z24" s="160">
        <f t="shared" si="15"/>
        <v>5.7460890493381468E-2</v>
      </c>
      <c r="AA24" s="157">
        <f t="shared" ref="AA24:AB24" si="102">AA86+AA147+AA208+AA277+AA338</f>
        <v>289</v>
      </c>
      <c r="AB24" s="157">
        <f t="shared" si="102"/>
        <v>3804</v>
      </c>
      <c r="AC24" s="160">
        <f t="shared" si="17"/>
        <v>8.2219061166429588E-2</v>
      </c>
      <c r="AD24" s="157">
        <f t="shared" ref="AD24:AE24" si="103">AD86+AD147+AD208+AD277+AD338</f>
        <v>327</v>
      </c>
      <c r="AE24" s="157">
        <f t="shared" si="103"/>
        <v>4131</v>
      </c>
      <c r="AF24" s="174">
        <f t="shared" si="19"/>
        <v>8.5962145110410101E-2</v>
      </c>
      <c r="AG24" s="157">
        <f t="shared" ref="AG24:AH24" si="104">AG86+AG147+AG208+AG277+AG338</f>
        <v>281</v>
      </c>
      <c r="AH24" s="157">
        <f t="shared" si="104"/>
        <v>4412</v>
      </c>
      <c r="AI24" s="160">
        <f t="shared" si="21"/>
        <v>6.8022270636649715E-2</v>
      </c>
      <c r="AJ24" s="164">
        <f t="shared" si="22"/>
        <v>1218</v>
      </c>
      <c r="AK24" s="165">
        <f t="shared" si="23"/>
        <v>7.335558935754305E-2</v>
      </c>
    </row>
    <row r="25" spans="2:37" outlineLevel="1" x14ac:dyDescent="0.35">
      <c r="B25" s="48" t="s">
        <v>85</v>
      </c>
      <c r="C25" s="62" t="s">
        <v>141</v>
      </c>
      <c r="D25" s="157">
        <f t="shared" ref="D25:G25" si="105">D87+D148+D209+D278+D339</f>
        <v>980</v>
      </c>
      <c r="E25" s="157">
        <f t="shared" si="105"/>
        <v>5519</v>
      </c>
      <c r="F25" s="157">
        <f t="shared" si="105"/>
        <v>1360</v>
      </c>
      <c r="G25" s="157">
        <f t="shared" si="105"/>
        <v>6879</v>
      </c>
      <c r="H25" s="160">
        <f t="shared" si="1"/>
        <v>0.24642145316180467</v>
      </c>
      <c r="I25" s="157">
        <f t="shared" ref="I25:J25" si="106">I87+I148+I209+I278+I339</f>
        <v>620</v>
      </c>
      <c r="J25" s="157">
        <f t="shared" si="106"/>
        <v>7499</v>
      </c>
      <c r="K25" s="160">
        <f t="shared" si="2"/>
        <v>9.0129379270242768E-2</v>
      </c>
      <c r="L25" s="157">
        <f t="shared" ref="L25:M25" si="107">L87+L148+L209+L278+L339</f>
        <v>320</v>
      </c>
      <c r="M25" s="157">
        <f t="shared" si="107"/>
        <v>7819</v>
      </c>
      <c r="N25" s="160">
        <f t="shared" si="3"/>
        <v>4.2672356314175222E-2</v>
      </c>
      <c r="O25" s="157">
        <f t="shared" ref="O25:P25" si="108">O87+O148+O209+O278+O339</f>
        <v>150</v>
      </c>
      <c r="P25" s="157">
        <f t="shared" si="108"/>
        <v>7969</v>
      </c>
      <c r="Q25" s="160">
        <f t="shared" si="10"/>
        <v>1.9184038879652129E-2</v>
      </c>
      <c r="R25" s="164">
        <f t="shared" si="11"/>
        <v>3430</v>
      </c>
      <c r="S25" s="165">
        <f t="shared" si="12"/>
        <v>9.61900562610849E-2</v>
      </c>
      <c r="U25" s="157">
        <f t="shared" ref="U25:V25" si="109">U87+U148+U209+U278+U339</f>
        <v>245</v>
      </c>
      <c r="V25" s="157">
        <f t="shared" si="109"/>
        <v>8214</v>
      </c>
      <c r="W25" s="160">
        <f t="shared" si="5"/>
        <v>3.0744133517379847E-2</v>
      </c>
      <c r="X25" s="157">
        <f t="shared" ref="X25:Y25" si="110">X87+X148+X209+X278+X339</f>
        <v>303</v>
      </c>
      <c r="Y25" s="157">
        <f t="shared" si="110"/>
        <v>8517</v>
      </c>
      <c r="Z25" s="160">
        <f t="shared" si="15"/>
        <v>3.6888239590942291E-2</v>
      </c>
      <c r="AA25" s="157">
        <f t="shared" ref="AA25:AB25" si="111">AA87+AA148+AA209+AA278+AA339</f>
        <v>321</v>
      </c>
      <c r="AB25" s="157">
        <f t="shared" si="111"/>
        <v>8838</v>
      </c>
      <c r="AC25" s="160">
        <f t="shared" si="17"/>
        <v>3.7689327227897147E-2</v>
      </c>
      <c r="AD25" s="157">
        <f t="shared" ref="AD25:AE25" si="112">AD87+AD148+AD209+AD278+AD339</f>
        <v>276</v>
      </c>
      <c r="AE25" s="157">
        <f t="shared" si="112"/>
        <v>9114</v>
      </c>
      <c r="AF25" s="174">
        <f t="shared" si="19"/>
        <v>3.1228784792939578E-2</v>
      </c>
      <c r="AG25" s="157">
        <f t="shared" ref="AG25:AH25" si="113">AG87+AG148+AG209+AG278+AG339</f>
        <v>222</v>
      </c>
      <c r="AH25" s="157">
        <f t="shared" si="113"/>
        <v>9336</v>
      </c>
      <c r="AI25" s="160">
        <f t="shared" si="21"/>
        <v>2.4358130348913758E-2</v>
      </c>
      <c r="AJ25" s="164">
        <f t="shared" si="22"/>
        <v>1367</v>
      </c>
      <c r="AK25" s="165">
        <f t="shared" si="23"/>
        <v>3.2527283150190822E-2</v>
      </c>
    </row>
    <row r="26" spans="2:37" outlineLevel="1" x14ac:dyDescent="0.35">
      <c r="B26" s="48" t="s">
        <v>86</v>
      </c>
      <c r="C26" s="62" t="s">
        <v>141</v>
      </c>
      <c r="D26" s="157">
        <f t="shared" ref="D26:G26" si="114">D88+D149+D210+D279+D340</f>
        <v>243</v>
      </c>
      <c r="E26" s="157">
        <f t="shared" si="114"/>
        <v>3642</v>
      </c>
      <c r="F26" s="157">
        <f t="shared" si="114"/>
        <v>348</v>
      </c>
      <c r="G26" s="157">
        <f t="shared" si="114"/>
        <v>3990</v>
      </c>
      <c r="H26" s="160">
        <f t="shared" si="1"/>
        <v>9.5551894563426693E-2</v>
      </c>
      <c r="I26" s="157">
        <f t="shared" ref="I26:J26" si="115">I88+I149+I210+I279+I340</f>
        <v>448</v>
      </c>
      <c r="J26" s="157">
        <f t="shared" si="115"/>
        <v>4438</v>
      </c>
      <c r="K26" s="160">
        <f t="shared" si="2"/>
        <v>0.11228070175438597</v>
      </c>
      <c r="L26" s="157">
        <f t="shared" ref="L26:M26" si="116">L88+L149+L210+L279+L340</f>
        <v>468</v>
      </c>
      <c r="M26" s="157">
        <f t="shared" si="116"/>
        <v>4906</v>
      </c>
      <c r="N26" s="160">
        <f t="shared" si="3"/>
        <v>0.10545290671473637</v>
      </c>
      <c r="O26" s="157">
        <f t="shared" ref="O26:P26" si="117">O88+O149+O210+O279+O340</f>
        <v>116</v>
      </c>
      <c r="P26" s="157">
        <f t="shared" si="117"/>
        <v>5022</v>
      </c>
      <c r="Q26" s="160">
        <f t="shared" si="10"/>
        <v>2.3644516918059518E-2</v>
      </c>
      <c r="R26" s="164">
        <f t="shared" si="11"/>
        <v>1623</v>
      </c>
      <c r="S26" s="165">
        <f t="shared" si="12"/>
        <v>8.3637914341331498E-2</v>
      </c>
      <c r="U26" s="157">
        <f t="shared" ref="U26:V26" si="118">U88+U149+U210+U279+U340</f>
        <v>275</v>
      </c>
      <c r="V26" s="157">
        <f t="shared" si="118"/>
        <v>5297</v>
      </c>
      <c r="W26" s="160">
        <f t="shared" si="5"/>
        <v>5.4759060135404221E-2</v>
      </c>
      <c r="X26" s="157">
        <f t="shared" ref="X26:Y26" si="119">X88+X149+X210+X279+X340</f>
        <v>528</v>
      </c>
      <c r="Y26" s="157">
        <f t="shared" si="119"/>
        <v>5825</v>
      </c>
      <c r="Z26" s="160">
        <f t="shared" si="15"/>
        <v>9.9679063620917496E-2</v>
      </c>
      <c r="AA26" s="157">
        <f t="shared" ref="AA26:AB26" si="120">AA88+AA149+AA210+AA279+AA340</f>
        <v>775</v>
      </c>
      <c r="AB26" s="157">
        <f t="shared" si="120"/>
        <v>6600</v>
      </c>
      <c r="AC26" s="160">
        <f t="shared" si="17"/>
        <v>0.13304721030042918</v>
      </c>
      <c r="AD26" s="157">
        <f t="shared" ref="AD26:AE26" si="121">AD88+AD149+AD210+AD279+AD340</f>
        <v>761</v>
      </c>
      <c r="AE26" s="157">
        <f t="shared" si="121"/>
        <v>7361</v>
      </c>
      <c r="AF26" s="174">
        <f t="shared" si="19"/>
        <v>0.1153030303030303</v>
      </c>
      <c r="AG26" s="157">
        <f t="shared" ref="AG26:AH26" si="122">AG88+AG149+AG210+AG279+AG340</f>
        <v>625</v>
      </c>
      <c r="AH26" s="157">
        <f t="shared" si="122"/>
        <v>7986</v>
      </c>
      <c r="AI26" s="160">
        <f t="shared" si="21"/>
        <v>8.4906941991577237E-2</v>
      </c>
      <c r="AJ26" s="164">
        <f t="shared" si="22"/>
        <v>2964</v>
      </c>
      <c r="AK26" s="165">
        <f t="shared" si="23"/>
        <v>0.10808948369280347</v>
      </c>
    </row>
    <row r="27" spans="2:37" outlineLevel="1" x14ac:dyDescent="0.35">
      <c r="B27" s="48" t="s">
        <v>87</v>
      </c>
      <c r="C27" s="62" t="s">
        <v>141</v>
      </c>
      <c r="D27" s="157">
        <f t="shared" ref="D27:G27" si="123">D89+D150+D211+D280+D341</f>
        <v>571</v>
      </c>
      <c r="E27" s="157">
        <f t="shared" si="123"/>
        <v>8802</v>
      </c>
      <c r="F27" s="157">
        <f t="shared" si="123"/>
        <v>683</v>
      </c>
      <c r="G27" s="157">
        <f t="shared" si="123"/>
        <v>9485</v>
      </c>
      <c r="H27" s="160">
        <f t="shared" si="1"/>
        <v>7.7596000908884341E-2</v>
      </c>
      <c r="I27" s="157">
        <f t="shared" ref="I27:J27" si="124">I89+I150+I211+I280+I341</f>
        <v>347</v>
      </c>
      <c r="J27" s="157">
        <f t="shared" si="124"/>
        <v>9832</v>
      </c>
      <c r="K27" s="160">
        <f t="shared" si="2"/>
        <v>3.6584080126515553E-2</v>
      </c>
      <c r="L27" s="157">
        <f t="shared" ref="L27:M27" si="125">L89+L150+L211+L280+L341</f>
        <v>257</v>
      </c>
      <c r="M27" s="157">
        <f t="shared" si="125"/>
        <v>10089</v>
      </c>
      <c r="N27" s="160">
        <f t="shared" si="3"/>
        <v>2.6139137510170871E-2</v>
      </c>
      <c r="O27" s="157">
        <f t="shared" ref="O27:P27" si="126">O89+O150+O211+O280+O341</f>
        <v>95</v>
      </c>
      <c r="P27" s="157">
        <f t="shared" si="126"/>
        <v>10184</v>
      </c>
      <c r="Q27" s="160">
        <f t="shared" si="10"/>
        <v>9.4161958568738224E-3</v>
      </c>
      <c r="R27" s="164">
        <f t="shared" si="11"/>
        <v>1953</v>
      </c>
      <c r="S27" s="165">
        <f t="shared" si="12"/>
        <v>3.7132530814159237E-2</v>
      </c>
      <c r="U27" s="157">
        <f t="shared" ref="U27:V27" si="127">U89+U150+U211+U280+U341</f>
        <v>239</v>
      </c>
      <c r="V27" s="157">
        <f t="shared" si="127"/>
        <v>10423</v>
      </c>
      <c r="W27" s="160">
        <f t="shared" si="5"/>
        <v>2.3468185388845247E-2</v>
      </c>
      <c r="X27" s="157">
        <f t="shared" ref="X27:Y27" si="128">X89+X150+X211+X280+X341</f>
        <v>399</v>
      </c>
      <c r="Y27" s="157">
        <f t="shared" si="128"/>
        <v>10822</v>
      </c>
      <c r="Z27" s="160">
        <f t="shared" si="15"/>
        <v>3.8280725319006045E-2</v>
      </c>
      <c r="AA27" s="157">
        <f t="shared" ref="AA27:AB27" si="129">AA89+AA150+AA211+AA280+AA341</f>
        <v>440</v>
      </c>
      <c r="AB27" s="157">
        <f t="shared" si="129"/>
        <v>11262</v>
      </c>
      <c r="AC27" s="160">
        <f t="shared" si="17"/>
        <v>4.0657919053779336E-2</v>
      </c>
      <c r="AD27" s="157">
        <f t="shared" ref="AD27:AE27" si="130">AD89+AD150+AD211+AD280+AD341</f>
        <v>347</v>
      </c>
      <c r="AE27" s="157">
        <f t="shared" si="130"/>
        <v>11609</v>
      </c>
      <c r="AF27" s="174">
        <f t="shared" si="19"/>
        <v>3.0811578760433316E-2</v>
      </c>
      <c r="AG27" s="157">
        <f t="shared" ref="AG27:AH27" si="131">AG89+AG150+AG211+AG280+AG341</f>
        <v>365</v>
      </c>
      <c r="AH27" s="157">
        <f t="shared" si="131"/>
        <v>11974</v>
      </c>
      <c r="AI27" s="160">
        <f t="shared" si="21"/>
        <v>3.1441123266431219E-2</v>
      </c>
      <c r="AJ27" s="164">
        <f t="shared" si="22"/>
        <v>1790</v>
      </c>
      <c r="AK27" s="165">
        <f t="shared" si="23"/>
        <v>3.5289070029683067E-2</v>
      </c>
    </row>
    <row r="28" spans="2:37" outlineLevel="1" x14ac:dyDescent="0.35">
      <c r="B28" s="48" t="s">
        <v>88</v>
      </c>
      <c r="C28" s="62" t="s">
        <v>141</v>
      </c>
      <c r="D28" s="157">
        <f t="shared" ref="D28:G28" si="132">D90+D151+D212+D281+D342</f>
        <v>466</v>
      </c>
      <c r="E28" s="157">
        <f t="shared" si="132"/>
        <v>5754</v>
      </c>
      <c r="F28" s="157">
        <f t="shared" si="132"/>
        <v>706</v>
      </c>
      <c r="G28" s="157">
        <f t="shared" si="132"/>
        <v>6460</v>
      </c>
      <c r="H28" s="160">
        <f t="shared" si="1"/>
        <v>0.1226972540841154</v>
      </c>
      <c r="I28" s="157">
        <f t="shared" ref="I28:J28" si="133">I90+I151+I212+I281+I342</f>
        <v>544</v>
      </c>
      <c r="J28" s="157">
        <f t="shared" si="133"/>
        <v>7004</v>
      </c>
      <c r="K28" s="160">
        <f t="shared" si="2"/>
        <v>8.4210526315789472E-2</v>
      </c>
      <c r="L28" s="157">
        <f t="shared" ref="L28:M28" si="134">L90+L151+L212+L281+L342</f>
        <v>421</v>
      </c>
      <c r="M28" s="157">
        <f t="shared" si="134"/>
        <v>7425</v>
      </c>
      <c r="N28" s="160">
        <f t="shared" si="3"/>
        <v>6.0108509423186747E-2</v>
      </c>
      <c r="O28" s="157">
        <f t="shared" ref="O28:P28" si="135">O90+O151+O212+O281+O342</f>
        <v>300</v>
      </c>
      <c r="P28" s="157">
        <f t="shared" si="135"/>
        <v>7725</v>
      </c>
      <c r="Q28" s="160">
        <f t="shared" si="10"/>
        <v>4.0404040404040407E-2</v>
      </c>
      <c r="R28" s="164">
        <f t="shared" si="11"/>
        <v>2437</v>
      </c>
      <c r="S28" s="165">
        <f t="shared" si="12"/>
        <v>7.6420989512727022E-2</v>
      </c>
      <c r="U28" s="157">
        <f t="shared" ref="U28:V28" si="136">U90+U151+U212+U281+U342</f>
        <v>450</v>
      </c>
      <c r="V28" s="157">
        <f t="shared" si="136"/>
        <v>8175</v>
      </c>
      <c r="W28" s="160">
        <f t="shared" si="5"/>
        <v>5.8252427184466021E-2</v>
      </c>
      <c r="X28" s="157">
        <f t="shared" ref="X28:Y28" si="137">X90+X151+X212+X281+X342</f>
        <v>618</v>
      </c>
      <c r="Y28" s="157">
        <f t="shared" si="137"/>
        <v>8793</v>
      </c>
      <c r="Z28" s="160">
        <f t="shared" si="15"/>
        <v>7.5596330275229356E-2</v>
      </c>
      <c r="AA28" s="157">
        <f t="shared" ref="AA28:AB28" si="138">AA90+AA151+AA212+AA281+AA342</f>
        <v>774</v>
      </c>
      <c r="AB28" s="157">
        <f t="shared" si="138"/>
        <v>9567</v>
      </c>
      <c r="AC28" s="160">
        <f t="shared" si="17"/>
        <v>8.8024564994882287E-2</v>
      </c>
      <c r="AD28" s="157">
        <f t="shared" ref="AD28:AE28" si="139">AD90+AD151+AD212+AD281+AD342</f>
        <v>682</v>
      </c>
      <c r="AE28" s="157">
        <f t="shared" si="139"/>
        <v>10249</v>
      </c>
      <c r="AF28" s="174">
        <f t="shared" si="19"/>
        <v>7.1286714748615032E-2</v>
      </c>
      <c r="AG28" s="157">
        <f t="shared" ref="AG28:AH28" si="140">AG90+AG151+AG212+AG281+AG342</f>
        <v>634</v>
      </c>
      <c r="AH28" s="157">
        <f t="shared" si="140"/>
        <v>10883</v>
      </c>
      <c r="AI28" s="160">
        <f t="shared" si="21"/>
        <v>6.1859693628646698E-2</v>
      </c>
      <c r="AJ28" s="164">
        <f t="shared" si="22"/>
        <v>3158</v>
      </c>
      <c r="AK28" s="165">
        <f t="shared" si="23"/>
        <v>7.4150702863547968E-2</v>
      </c>
    </row>
    <row r="29" spans="2:37" outlineLevel="1" x14ac:dyDescent="0.35">
      <c r="B29" s="48" t="s">
        <v>89</v>
      </c>
      <c r="C29" s="62" t="s">
        <v>141</v>
      </c>
      <c r="D29" s="157">
        <f t="shared" ref="D29:G29" si="141">D91+D152+D213+D282+D343</f>
        <v>173</v>
      </c>
      <c r="E29" s="157">
        <f t="shared" si="141"/>
        <v>3750</v>
      </c>
      <c r="F29" s="157">
        <f t="shared" si="141"/>
        <v>348</v>
      </c>
      <c r="G29" s="157">
        <f t="shared" si="141"/>
        <v>4098</v>
      </c>
      <c r="H29" s="160">
        <f t="shared" si="1"/>
        <v>9.2799999999999994E-2</v>
      </c>
      <c r="I29" s="157">
        <f t="shared" ref="I29:J29" si="142">I91+I152+I213+I282+I343</f>
        <v>217</v>
      </c>
      <c r="J29" s="157">
        <f t="shared" si="142"/>
        <v>4315</v>
      </c>
      <c r="K29" s="160">
        <f t="shared" si="2"/>
        <v>5.2952659834065399E-2</v>
      </c>
      <c r="L29" s="157">
        <f t="shared" ref="L29:M29" si="143">L91+L152+L213+L282+L343</f>
        <v>53</v>
      </c>
      <c r="M29" s="157">
        <f t="shared" si="143"/>
        <v>4368</v>
      </c>
      <c r="N29" s="160">
        <f t="shared" si="3"/>
        <v>1.2282734646581691E-2</v>
      </c>
      <c r="O29" s="157">
        <f t="shared" ref="O29:P29" si="144">O91+O152+O213+O282+O343</f>
        <v>67</v>
      </c>
      <c r="P29" s="157">
        <f t="shared" si="144"/>
        <v>4435</v>
      </c>
      <c r="Q29" s="160">
        <f t="shared" si="10"/>
        <v>1.5338827838827838E-2</v>
      </c>
      <c r="R29" s="164">
        <f t="shared" si="11"/>
        <v>858</v>
      </c>
      <c r="S29" s="165">
        <f t="shared" si="12"/>
        <v>4.283497700330563E-2</v>
      </c>
      <c r="U29" s="157">
        <f t="shared" ref="U29:V29" si="145">U91+U152+U213+U282+U343</f>
        <v>168</v>
      </c>
      <c r="V29" s="157">
        <f t="shared" si="145"/>
        <v>4603</v>
      </c>
      <c r="W29" s="160">
        <f t="shared" si="5"/>
        <v>3.7880496054114997E-2</v>
      </c>
      <c r="X29" s="157">
        <f t="shared" ref="X29:Y29" si="146">X91+X152+X213+X282+X343</f>
        <v>209</v>
      </c>
      <c r="Y29" s="157">
        <f t="shared" si="146"/>
        <v>4812</v>
      </c>
      <c r="Z29" s="160">
        <f t="shared" si="15"/>
        <v>4.5405170540951556E-2</v>
      </c>
      <c r="AA29" s="157">
        <f t="shared" ref="AA29:AB29" si="147">AA91+AA152+AA213+AA282+AA343</f>
        <v>263</v>
      </c>
      <c r="AB29" s="157">
        <f t="shared" si="147"/>
        <v>5075</v>
      </c>
      <c r="AC29" s="160">
        <f t="shared" si="17"/>
        <v>5.4655029093931835E-2</v>
      </c>
      <c r="AD29" s="157">
        <f t="shared" ref="AD29:AE29" si="148">AD91+AD152+AD213+AD282+AD343</f>
        <v>299</v>
      </c>
      <c r="AE29" s="157">
        <f t="shared" si="148"/>
        <v>5374</v>
      </c>
      <c r="AF29" s="174">
        <f t="shared" si="19"/>
        <v>5.8916256157635467E-2</v>
      </c>
      <c r="AG29" s="157">
        <f t="shared" ref="AG29:AH29" si="149">AG91+AG152+AG213+AG282+AG343</f>
        <v>275</v>
      </c>
      <c r="AH29" s="157">
        <f t="shared" si="149"/>
        <v>5649</v>
      </c>
      <c r="AI29" s="160">
        <f t="shared" si="21"/>
        <v>5.1172311127651658E-2</v>
      </c>
      <c r="AJ29" s="164">
        <f t="shared" si="22"/>
        <v>1214</v>
      </c>
      <c r="AK29" s="165">
        <f t="shared" si="23"/>
        <v>5.2525556907525139E-2</v>
      </c>
    </row>
    <row r="30" spans="2:37" outlineLevel="1" x14ac:dyDescent="0.35">
      <c r="B30" s="48" t="s">
        <v>90</v>
      </c>
      <c r="C30" s="62" t="s">
        <v>141</v>
      </c>
      <c r="D30" s="157">
        <f t="shared" ref="D30:G30" si="150">D92+D153+D214+D283+D344</f>
        <v>1</v>
      </c>
      <c r="E30" s="157">
        <f t="shared" si="150"/>
        <v>27</v>
      </c>
      <c r="F30" s="157">
        <f t="shared" si="150"/>
        <v>1</v>
      </c>
      <c r="G30" s="157">
        <f t="shared" si="150"/>
        <v>28</v>
      </c>
      <c r="H30" s="160">
        <f t="shared" si="1"/>
        <v>3.7037037037037035E-2</v>
      </c>
      <c r="I30" s="157">
        <f t="shared" ref="I30:J30" si="151">I92+I153+I214+I283+I344</f>
        <v>0</v>
      </c>
      <c r="J30" s="157">
        <f t="shared" si="151"/>
        <v>28</v>
      </c>
      <c r="K30" s="160">
        <f t="shared" si="2"/>
        <v>0</v>
      </c>
      <c r="L30" s="157">
        <f t="shared" ref="L30:M30" si="152">L92+L153+L214+L283+L344</f>
        <v>0</v>
      </c>
      <c r="M30" s="157">
        <f t="shared" si="152"/>
        <v>28</v>
      </c>
      <c r="N30" s="160">
        <f t="shared" si="3"/>
        <v>0</v>
      </c>
      <c r="O30" s="157">
        <f t="shared" ref="O30:P30" si="153">O92+O153+O214+O283+O344</f>
        <v>-1</v>
      </c>
      <c r="P30" s="157">
        <f t="shared" si="153"/>
        <v>27</v>
      </c>
      <c r="Q30" s="160">
        <f t="shared" si="10"/>
        <v>-3.5714285714285712E-2</v>
      </c>
      <c r="R30" s="164">
        <f t="shared" si="11"/>
        <v>1</v>
      </c>
      <c r="S30" s="165">
        <f t="shared" si="12"/>
        <v>0</v>
      </c>
      <c r="U30" s="157">
        <f t="shared" ref="U30:V30" si="154">U92+U153+U214+U283+U344</f>
        <v>2</v>
      </c>
      <c r="V30" s="157">
        <f t="shared" si="154"/>
        <v>29</v>
      </c>
      <c r="W30" s="160">
        <f t="shared" si="5"/>
        <v>7.407407407407407E-2</v>
      </c>
      <c r="X30" s="157">
        <f t="shared" ref="X30:Y30" si="155">X92+X153+X214+X283+X344</f>
        <v>8</v>
      </c>
      <c r="Y30" s="157">
        <f t="shared" si="155"/>
        <v>37</v>
      </c>
      <c r="Z30" s="160">
        <f t="shared" si="15"/>
        <v>0.27586206896551724</v>
      </c>
      <c r="AA30" s="157">
        <f t="shared" ref="AA30:AB30" si="156">AA92+AA153+AA214+AA283+AA344</f>
        <v>10</v>
      </c>
      <c r="AB30" s="157">
        <f t="shared" si="156"/>
        <v>47</v>
      </c>
      <c r="AC30" s="160">
        <f t="shared" si="17"/>
        <v>0.27027027027027029</v>
      </c>
      <c r="AD30" s="157">
        <f t="shared" ref="AD30:AE30" si="157">AD92+AD153+AD214+AD283+AD344</f>
        <v>18</v>
      </c>
      <c r="AE30" s="157">
        <f t="shared" si="157"/>
        <v>65</v>
      </c>
      <c r="AF30" s="174">
        <f t="shared" si="19"/>
        <v>0.38297872340425532</v>
      </c>
      <c r="AG30" s="157">
        <f t="shared" ref="AG30:AH30" si="158">AG92+AG153+AG214+AG283+AG344</f>
        <v>19</v>
      </c>
      <c r="AH30" s="157">
        <f t="shared" si="158"/>
        <v>84</v>
      </c>
      <c r="AI30" s="160">
        <f t="shared" si="21"/>
        <v>0.29230769230769232</v>
      </c>
      <c r="AJ30" s="164">
        <f t="shared" si="22"/>
        <v>57</v>
      </c>
      <c r="AK30" s="165">
        <f t="shared" si="23"/>
        <v>0.30457881586109092</v>
      </c>
    </row>
    <row r="31" spans="2:37" outlineLevel="1" x14ac:dyDescent="0.35">
      <c r="B31" s="48" t="s">
        <v>91</v>
      </c>
      <c r="C31" s="62" t="s">
        <v>141</v>
      </c>
      <c r="D31" s="157">
        <f t="shared" ref="D31:G31" si="159">D93+D154+D215+D284+D345</f>
        <v>33</v>
      </c>
      <c r="E31" s="157">
        <f t="shared" si="159"/>
        <v>321</v>
      </c>
      <c r="F31" s="157">
        <f t="shared" si="159"/>
        <v>23</v>
      </c>
      <c r="G31" s="157">
        <f t="shared" si="159"/>
        <v>344</v>
      </c>
      <c r="H31" s="160">
        <f t="shared" si="1"/>
        <v>7.1651090342679122E-2</v>
      </c>
      <c r="I31" s="157">
        <f t="shared" ref="I31:J31" si="160">I93+I154+I215+I284+I345</f>
        <v>48</v>
      </c>
      <c r="J31" s="157">
        <f t="shared" si="160"/>
        <v>392</v>
      </c>
      <c r="K31" s="160">
        <f t="shared" si="2"/>
        <v>0.13953488372093023</v>
      </c>
      <c r="L31" s="157">
        <f t="shared" ref="L31:M31" si="161">L93+L154+L215+L284+L345</f>
        <v>181</v>
      </c>
      <c r="M31" s="157">
        <f t="shared" si="161"/>
        <v>573</v>
      </c>
      <c r="N31" s="160">
        <f t="shared" si="3"/>
        <v>0.46173469387755101</v>
      </c>
      <c r="O31" s="157">
        <f t="shared" ref="O31:P31" si="162">O93+O154+O215+O284+O345</f>
        <v>12</v>
      </c>
      <c r="P31" s="157">
        <f t="shared" si="162"/>
        <v>585</v>
      </c>
      <c r="Q31" s="160">
        <f t="shared" si="10"/>
        <v>2.0942408376963352E-2</v>
      </c>
      <c r="R31" s="164">
        <f t="shared" si="11"/>
        <v>297</v>
      </c>
      <c r="S31" s="165">
        <f t="shared" si="12"/>
        <v>0.16188383206343171</v>
      </c>
      <c r="U31" s="157">
        <f t="shared" ref="U31:V31" si="163">U93+U154+U215+U284+U345</f>
        <v>10</v>
      </c>
      <c r="V31" s="157">
        <f t="shared" si="163"/>
        <v>595</v>
      </c>
      <c r="W31" s="160">
        <f t="shared" si="5"/>
        <v>1.7094017094017096E-2</v>
      </c>
      <c r="X31" s="157">
        <f t="shared" ref="X31:Y31" si="164">X93+X154+X215+X284+X345</f>
        <v>16</v>
      </c>
      <c r="Y31" s="157">
        <f t="shared" si="164"/>
        <v>611</v>
      </c>
      <c r="Z31" s="160">
        <f t="shared" si="15"/>
        <v>2.689075630252101E-2</v>
      </c>
      <c r="AA31" s="157">
        <f t="shared" ref="AA31:AB31" si="165">AA93+AA154+AA215+AA284+AA345</f>
        <v>23</v>
      </c>
      <c r="AB31" s="157">
        <f t="shared" si="165"/>
        <v>634</v>
      </c>
      <c r="AC31" s="160">
        <f t="shared" si="17"/>
        <v>3.7643207855973811E-2</v>
      </c>
      <c r="AD31" s="157">
        <f t="shared" ref="AD31:AE31" si="166">AD93+AD154+AD215+AD284+AD345</f>
        <v>21</v>
      </c>
      <c r="AE31" s="157">
        <f t="shared" si="166"/>
        <v>655</v>
      </c>
      <c r="AF31" s="174">
        <f t="shared" si="19"/>
        <v>3.3123028391167195E-2</v>
      </c>
      <c r="AG31" s="157">
        <f t="shared" ref="AG31:AH31" si="167">AG93+AG154+AG215+AG284+AG345</f>
        <v>20</v>
      </c>
      <c r="AH31" s="157">
        <f t="shared" si="167"/>
        <v>675</v>
      </c>
      <c r="AI31" s="160">
        <f t="shared" si="21"/>
        <v>3.0534351145038167E-2</v>
      </c>
      <c r="AJ31" s="164">
        <f t="shared" si="22"/>
        <v>90</v>
      </c>
      <c r="AK31" s="165">
        <f t="shared" si="23"/>
        <v>3.2040408000137077E-2</v>
      </c>
    </row>
    <row r="32" spans="2:37" outlineLevel="1" x14ac:dyDescent="0.35">
      <c r="B32" s="48" t="s">
        <v>92</v>
      </c>
      <c r="C32" s="62" t="s">
        <v>141</v>
      </c>
      <c r="D32" s="157">
        <f t="shared" ref="D32:G32" si="168">D94+D155+D216+D285+D346</f>
        <v>198</v>
      </c>
      <c r="E32" s="157">
        <f t="shared" si="168"/>
        <v>2345</v>
      </c>
      <c r="F32" s="157">
        <f t="shared" si="168"/>
        <v>388</v>
      </c>
      <c r="G32" s="157">
        <f t="shared" si="168"/>
        <v>2733</v>
      </c>
      <c r="H32" s="160">
        <f t="shared" si="1"/>
        <v>0.16545842217484008</v>
      </c>
      <c r="I32" s="157">
        <f t="shared" ref="I32:J32" si="169">I94+I155+I216+I285+I346</f>
        <v>642</v>
      </c>
      <c r="J32" s="157">
        <f t="shared" si="169"/>
        <v>3375</v>
      </c>
      <c r="K32" s="160">
        <f t="shared" si="2"/>
        <v>0.23490669593852909</v>
      </c>
      <c r="L32" s="157">
        <f t="shared" ref="L32:M32" si="170">L94+L155+L216+L285+L346</f>
        <v>577</v>
      </c>
      <c r="M32" s="157">
        <f t="shared" si="170"/>
        <v>3952</v>
      </c>
      <c r="N32" s="160">
        <f t="shared" si="3"/>
        <v>0.17096296296296296</v>
      </c>
      <c r="O32" s="157">
        <f t="shared" ref="O32:P32" si="171">O94+O155+O216+O285+O346</f>
        <v>220</v>
      </c>
      <c r="P32" s="157">
        <f t="shared" si="171"/>
        <v>4172</v>
      </c>
      <c r="Q32" s="160">
        <f t="shared" si="10"/>
        <v>5.5668016194331982E-2</v>
      </c>
      <c r="R32" s="164">
        <f t="shared" si="11"/>
        <v>2025</v>
      </c>
      <c r="S32" s="165">
        <f t="shared" si="12"/>
        <v>0.1549159073223807</v>
      </c>
      <c r="U32" s="157">
        <f t="shared" ref="U32:V32" si="172">U94+U155+U216+U285+U346</f>
        <v>310</v>
      </c>
      <c r="V32" s="157">
        <f t="shared" si="172"/>
        <v>4482</v>
      </c>
      <c r="W32" s="160">
        <f t="shared" si="5"/>
        <v>7.430488974113135E-2</v>
      </c>
      <c r="X32" s="157">
        <f t="shared" ref="X32:Y32" si="173">X94+X155+X216+X285+X346</f>
        <v>395</v>
      </c>
      <c r="Y32" s="157">
        <f t="shared" si="173"/>
        <v>4877</v>
      </c>
      <c r="Z32" s="160">
        <f t="shared" si="15"/>
        <v>8.8130298973672472E-2</v>
      </c>
      <c r="AA32" s="157">
        <f t="shared" ref="AA32:AB32" si="174">AA94+AA155+AA216+AA285+AA346</f>
        <v>475</v>
      </c>
      <c r="AB32" s="157">
        <f t="shared" si="174"/>
        <v>5352</v>
      </c>
      <c r="AC32" s="160">
        <f t="shared" si="17"/>
        <v>9.7395940127127337E-2</v>
      </c>
      <c r="AD32" s="157">
        <f t="shared" ref="AD32:AE32" si="175">AD94+AD155+AD216+AD285+AD346</f>
        <v>420</v>
      </c>
      <c r="AE32" s="157">
        <f t="shared" si="175"/>
        <v>5772</v>
      </c>
      <c r="AF32" s="174">
        <f t="shared" si="19"/>
        <v>7.847533632286996E-2</v>
      </c>
      <c r="AG32" s="157">
        <f t="shared" ref="AG32:AH32" si="176">AG94+AG155+AG216+AG285+AG346</f>
        <v>334</v>
      </c>
      <c r="AH32" s="157">
        <f t="shared" si="176"/>
        <v>6106</v>
      </c>
      <c r="AI32" s="160">
        <f t="shared" si="21"/>
        <v>5.7865557865557866E-2</v>
      </c>
      <c r="AJ32" s="164">
        <f t="shared" si="22"/>
        <v>1934</v>
      </c>
      <c r="AK32" s="165">
        <f t="shared" si="23"/>
        <v>8.0366817965222159E-2</v>
      </c>
    </row>
    <row r="33" spans="2:37" outlineLevel="1" x14ac:dyDescent="0.35">
      <c r="B33" s="48" t="s">
        <v>93</v>
      </c>
      <c r="C33" s="62" t="s">
        <v>141</v>
      </c>
      <c r="D33" s="157">
        <f t="shared" ref="D33:G33" si="177">D95+D156+D217+D286+D347</f>
        <v>322</v>
      </c>
      <c r="E33" s="157">
        <f t="shared" si="177"/>
        <v>3863</v>
      </c>
      <c r="F33" s="157">
        <f t="shared" si="177"/>
        <v>820</v>
      </c>
      <c r="G33" s="157">
        <f t="shared" si="177"/>
        <v>4683</v>
      </c>
      <c r="H33" s="160">
        <f t="shared" si="1"/>
        <v>0.21227025627750454</v>
      </c>
      <c r="I33" s="157">
        <f t="shared" ref="I33:J33" si="178">I95+I156+I217+I286+I347</f>
        <v>667</v>
      </c>
      <c r="J33" s="157">
        <f t="shared" si="178"/>
        <v>5350</v>
      </c>
      <c r="K33" s="160">
        <f t="shared" si="2"/>
        <v>0.14243006619688234</v>
      </c>
      <c r="L33" s="157">
        <f t="shared" ref="L33:M33" si="179">L95+L156+L217+L286+L347</f>
        <v>1029</v>
      </c>
      <c r="M33" s="157">
        <f t="shared" si="179"/>
        <v>6379</v>
      </c>
      <c r="N33" s="160">
        <f t="shared" si="3"/>
        <v>0.19233644859813084</v>
      </c>
      <c r="O33" s="157">
        <f t="shared" ref="O33:P33" si="180">O95+O156+O217+O286+O347</f>
        <v>338</v>
      </c>
      <c r="P33" s="157">
        <f t="shared" si="180"/>
        <v>6717</v>
      </c>
      <c r="Q33" s="160">
        <f t="shared" si="10"/>
        <v>5.2986361498667506E-2</v>
      </c>
      <c r="R33" s="164">
        <f t="shared" si="11"/>
        <v>3176</v>
      </c>
      <c r="S33" s="165">
        <f t="shared" si="12"/>
        <v>0.14831928913332248</v>
      </c>
      <c r="U33" s="157">
        <f t="shared" ref="U33:V33" si="181">U95+U156+U217+U286+U347</f>
        <v>469</v>
      </c>
      <c r="V33" s="157">
        <f t="shared" si="181"/>
        <v>7186</v>
      </c>
      <c r="W33" s="160">
        <f t="shared" si="5"/>
        <v>6.9822837576298938E-2</v>
      </c>
      <c r="X33" s="157">
        <f t="shared" ref="X33:Y33" si="182">X95+X156+X217+X286+X347</f>
        <v>644</v>
      </c>
      <c r="Y33" s="157">
        <f t="shared" si="182"/>
        <v>7830</v>
      </c>
      <c r="Z33" s="160">
        <f t="shared" si="15"/>
        <v>8.9618703033676597E-2</v>
      </c>
      <c r="AA33" s="157">
        <f t="shared" ref="AA33:AB33" si="183">AA95+AA156+AA217+AA286+AA347</f>
        <v>1087</v>
      </c>
      <c r="AB33" s="157">
        <f t="shared" si="183"/>
        <v>8917</v>
      </c>
      <c r="AC33" s="160">
        <f t="shared" si="17"/>
        <v>0.1388250319284802</v>
      </c>
      <c r="AD33" s="157">
        <f t="shared" ref="AD33:AE33" si="184">AD95+AD156+AD217+AD286+AD347</f>
        <v>1151</v>
      </c>
      <c r="AE33" s="157">
        <f t="shared" si="184"/>
        <v>10068</v>
      </c>
      <c r="AF33" s="174">
        <f t="shared" si="19"/>
        <v>0.12907928675563529</v>
      </c>
      <c r="AG33" s="157">
        <f t="shared" ref="AG33:AH33" si="185">AG95+AG156+AG217+AG286+AG347</f>
        <v>979</v>
      </c>
      <c r="AH33" s="157">
        <f t="shared" si="185"/>
        <v>11047</v>
      </c>
      <c r="AI33" s="160">
        <f t="shared" si="21"/>
        <v>9.7238776321017087E-2</v>
      </c>
      <c r="AJ33" s="164">
        <f t="shared" si="22"/>
        <v>4330</v>
      </c>
      <c r="AK33" s="165">
        <f t="shared" si="23"/>
        <v>0.11349759994733555</v>
      </c>
    </row>
    <row r="34" spans="2:37" outlineLevel="1" x14ac:dyDescent="0.35">
      <c r="B34" s="48" t="s">
        <v>94</v>
      </c>
      <c r="C34" s="62" t="s">
        <v>141</v>
      </c>
      <c r="D34" s="157">
        <f t="shared" ref="D34:G34" si="186">D96+D157+D218+D287+D348</f>
        <v>369</v>
      </c>
      <c r="E34" s="157">
        <f t="shared" si="186"/>
        <v>5658</v>
      </c>
      <c r="F34" s="157">
        <f t="shared" si="186"/>
        <v>509</v>
      </c>
      <c r="G34" s="157">
        <f t="shared" si="186"/>
        <v>6167</v>
      </c>
      <c r="H34" s="160">
        <f t="shared" si="1"/>
        <v>8.9961117002474375E-2</v>
      </c>
      <c r="I34" s="157">
        <f t="shared" ref="I34:J34" si="187">I96+I157+I218+I287+I348</f>
        <v>374</v>
      </c>
      <c r="J34" s="157">
        <f t="shared" si="187"/>
        <v>6541</v>
      </c>
      <c r="K34" s="160">
        <f t="shared" si="2"/>
        <v>6.0645370520512408E-2</v>
      </c>
      <c r="L34" s="157">
        <f t="shared" ref="L34:M34" si="188">L96+L157+L218+L287+L348</f>
        <v>174</v>
      </c>
      <c r="M34" s="157">
        <f t="shared" si="188"/>
        <v>6715</v>
      </c>
      <c r="N34" s="160">
        <f t="shared" si="3"/>
        <v>2.6601437089130101E-2</v>
      </c>
      <c r="O34" s="157">
        <f t="shared" ref="O34:P34" si="189">O96+O157+O218+O287+O348</f>
        <v>173</v>
      </c>
      <c r="P34" s="157">
        <f t="shared" si="189"/>
        <v>6888</v>
      </c>
      <c r="Q34" s="160">
        <f t="shared" si="10"/>
        <v>2.5763216679076693E-2</v>
      </c>
      <c r="R34" s="164">
        <f t="shared" si="11"/>
        <v>1599</v>
      </c>
      <c r="S34" s="165">
        <f t="shared" si="12"/>
        <v>5.0406858667031429E-2</v>
      </c>
      <c r="U34" s="157">
        <f t="shared" ref="U34:V34" si="190">U96+U157+U218+U287+U348</f>
        <v>316</v>
      </c>
      <c r="V34" s="157">
        <f t="shared" si="190"/>
        <v>7204</v>
      </c>
      <c r="W34" s="160">
        <f t="shared" si="5"/>
        <v>4.5876887340301972E-2</v>
      </c>
      <c r="X34" s="157">
        <f t="shared" ref="X34:Y34" si="191">X96+X157+X218+X287+X348</f>
        <v>431</v>
      </c>
      <c r="Y34" s="157">
        <f t="shared" si="191"/>
        <v>7635</v>
      </c>
      <c r="Z34" s="160">
        <f t="shared" si="15"/>
        <v>5.9827873403664633E-2</v>
      </c>
      <c r="AA34" s="157">
        <f t="shared" ref="AA34:AB34" si="192">AA96+AA157+AA218+AA287+AA348</f>
        <v>523</v>
      </c>
      <c r="AB34" s="157">
        <f t="shared" si="192"/>
        <v>8158</v>
      </c>
      <c r="AC34" s="160">
        <f t="shared" si="17"/>
        <v>6.8500327439423706E-2</v>
      </c>
      <c r="AD34" s="157">
        <f t="shared" ref="AD34:AE34" si="193">AD96+AD157+AD218+AD287+AD348</f>
        <v>511</v>
      </c>
      <c r="AE34" s="157">
        <f t="shared" si="193"/>
        <v>8669</v>
      </c>
      <c r="AF34" s="174">
        <f t="shared" si="19"/>
        <v>6.2637901446432956E-2</v>
      </c>
      <c r="AG34" s="157">
        <f t="shared" ref="AG34:AH34" si="194">AG96+AG157+AG218+AG287+AG348</f>
        <v>458</v>
      </c>
      <c r="AH34" s="157">
        <f t="shared" si="194"/>
        <v>9127</v>
      </c>
      <c r="AI34" s="160">
        <f t="shared" si="21"/>
        <v>5.2831929865036334E-2</v>
      </c>
      <c r="AJ34" s="164">
        <f t="shared" si="22"/>
        <v>2239</v>
      </c>
      <c r="AK34" s="165">
        <f t="shared" si="23"/>
        <v>6.0934535055454653E-2</v>
      </c>
    </row>
    <row r="35" spans="2:37" outlineLevel="1" x14ac:dyDescent="0.35">
      <c r="B35" s="48" t="s">
        <v>95</v>
      </c>
      <c r="C35" s="62" t="s">
        <v>141</v>
      </c>
      <c r="D35" s="157">
        <f t="shared" ref="D35:G35" si="195">D97+D158+D219+D288+D349</f>
        <v>406</v>
      </c>
      <c r="E35" s="157">
        <f t="shared" si="195"/>
        <v>6582</v>
      </c>
      <c r="F35" s="157">
        <f t="shared" si="195"/>
        <v>366</v>
      </c>
      <c r="G35" s="157">
        <f t="shared" si="195"/>
        <v>6948</v>
      </c>
      <c r="H35" s="160">
        <f t="shared" si="1"/>
        <v>5.5606198723792161E-2</v>
      </c>
      <c r="I35" s="157">
        <f t="shared" ref="I35:J35" si="196">I97+I158+I219+I288+I349</f>
        <v>382</v>
      </c>
      <c r="J35" s="157">
        <f t="shared" si="196"/>
        <v>7330</v>
      </c>
      <c r="K35" s="160">
        <f t="shared" si="2"/>
        <v>5.4979850316637879E-2</v>
      </c>
      <c r="L35" s="157">
        <f t="shared" ref="L35:M35" si="197">L97+L158+L219+L288+L349</f>
        <v>265</v>
      </c>
      <c r="M35" s="157">
        <f t="shared" si="197"/>
        <v>7595</v>
      </c>
      <c r="N35" s="160">
        <f t="shared" si="3"/>
        <v>3.6152796725784447E-2</v>
      </c>
      <c r="O35" s="157">
        <f t="shared" ref="O35:P35" si="198">O97+O158+O219+O288+O349</f>
        <v>104</v>
      </c>
      <c r="P35" s="157">
        <f t="shared" si="198"/>
        <v>7699</v>
      </c>
      <c r="Q35" s="160">
        <f t="shared" si="10"/>
        <v>1.3693219223173141E-2</v>
      </c>
      <c r="R35" s="164">
        <f t="shared" si="11"/>
        <v>1523</v>
      </c>
      <c r="S35" s="165">
        <f t="shared" si="12"/>
        <v>3.9965926820202613E-2</v>
      </c>
      <c r="U35" s="157">
        <f t="shared" ref="U35:V35" si="199">U97+U158+U219+U288+U349</f>
        <v>161</v>
      </c>
      <c r="V35" s="157">
        <f t="shared" si="199"/>
        <v>7860</v>
      </c>
      <c r="W35" s="160">
        <f t="shared" si="5"/>
        <v>2.0911806728146513E-2</v>
      </c>
      <c r="X35" s="157">
        <f t="shared" ref="X35:Y35" si="200">X97+X158+X219+X288+X349</f>
        <v>211</v>
      </c>
      <c r="Y35" s="157">
        <f t="shared" si="200"/>
        <v>8071</v>
      </c>
      <c r="Z35" s="160">
        <f t="shared" si="15"/>
        <v>2.6844783715012723E-2</v>
      </c>
      <c r="AA35" s="157">
        <f t="shared" ref="AA35:AB35" si="201">AA97+AA158+AA219+AA288+AA349</f>
        <v>280</v>
      </c>
      <c r="AB35" s="157">
        <f t="shared" si="201"/>
        <v>8351</v>
      </c>
      <c r="AC35" s="160">
        <f t="shared" si="17"/>
        <v>3.4692107545533389E-2</v>
      </c>
      <c r="AD35" s="157">
        <f t="shared" ref="AD35:AE35" si="202">AD97+AD158+AD219+AD288+AD349</f>
        <v>298</v>
      </c>
      <c r="AE35" s="157">
        <f t="shared" si="202"/>
        <v>8649</v>
      </c>
      <c r="AF35" s="174">
        <f t="shared" si="19"/>
        <v>3.568434917973895E-2</v>
      </c>
      <c r="AG35" s="157">
        <f t="shared" ref="AG35:AH35" si="203">AG97+AG158+AG219+AG288+AG349</f>
        <v>238</v>
      </c>
      <c r="AH35" s="157">
        <f t="shared" si="203"/>
        <v>8887</v>
      </c>
      <c r="AI35" s="160">
        <f t="shared" si="21"/>
        <v>2.7517632096196093E-2</v>
      </c>
      <c r="AJ35" s="164">
        <f t="shared" si="22"/>
        <v>1188</v>
      </c>
      <c r="AK35" s="165">
        <f t="shared" si="23"/>
        <v>3.1176859550010594E-2</v>
      </c>
    </row>
    <row r="36" spans="2:37" outlineLevel="1" x14ac:dyDescent="0.35">
      <c r="B36" s="48" t="s">
        <v>96</v>
      </c>
      <c r="C36" s="62" t="s">
        <v>141</v>
      </c>
      <c r="D36" s="157">
        <f t="shared" ref="D36:G36" si="204">D98+D159+D220+D289+D350</f>
        <v>278</v>
      </c>
      <c r="E36" s="157">
        <f t="shared" si="204"/>
        <v>5396</v>
      </c>
      <c r="F36" s="157">
        <f t="shared" si="204"/>
        <v>229</v>
      </c>
      <c r="G36" s="157">
        <f t="shared" si="204"/>
        <v>5625</v>
      </c>
      <c r="H36" s="160">
        <f t="shared" si="1"/>
        <v>4.2438843587842848E-2</v>
      </c>
      <c r="I36" s="157">
        <f t="shared" ref="I36:J36" si="205">I98+I159+I220+I289+I350</f>
        <v>200</v>
      </c>
      <c r="J36" s="157">
        <f t="shared" si="205"/>
        <v>5825</v>
      </c>
      <c r="K36" s="160">
        <f t="shared" si="2"/>
        <v>3.5555555555555556E-2</v>
      </c>
      <c r="L36" s="157">
        <f t="shared" ref="L36:M36" si="206">L98+L159+L220+L289+L350</f>
        <v>-138</v>
      </c>
      <c r="M36" s="157">
        <f t="shared" si="206"/>
        <v>5687</v>
      </c>
      <c r="N36" s="160">
        <f t="shared" si="3"/>
        <v>-2.369098712446352E-2</v>
      </c>
      <c r="O36" s="157">
        <f t="shared" ref="O36:P36" si="207">O98+O159+O220+O289+O350</f>
        <v>99</v>
      </c>
      <c r="P36" s="157">
        <f t="shared" si="207"/>
        <v>5786</v>
      </c>
      <c r="Q36" s="160">
        <f t="shared" si="10"/>
        <v>1.7408123791102514E-2</v>
      </c>
      <c r="R36" s="164">
        <f t="shared" si="11"/>
        <v>668</v>
      </c>
      <c r="S36" s="165">
        <f t="shared" si="12"/>
        <v>1.7598884149691241E-2</v>
      </c>
      <c r="U36" s="157">
        <f t="shared" ref="U36:V36" si="208">U98+U159+U220+U289+U350</f>
        <v>179</v>
      </c>
      <c r="V36" s="157">
        <f t="shared" si="208"/>
        <v>5965</v>
      </c>
      <c r="W36" s="160">
        <f t="shared" si="5"/>
        <v>3.0936743864500519E-2</v>
      </c>
      <c r="X36" s="157">
        <f t="shared" ref="X36:Y36" si="209">X98+X159+X220+X289+X350</f>
        <v>241</v>
      </c>
      <c r="Y36" s="157">
        <f t="shared" si="209"/>
        <v>6206</v>
      </c>
      <c r="Z36" s="160">
        <f t="shared" si="15"/>
        <v>4.0402347024308463E-2</v>
      </c>
      <c r="AA36" s="157">
        <f t="shared" ref="AA36:AB36" si="210">AA98+AA159+AA220+AA289+AA350</f>
        <v>329</v>
      </c>
      <c r="AB36" s="157">
        <f t="shared" si="210"/>
        <v>6535</v>
      </c>
      <c r="AC36" s="160">
        <f t="shared" si="17"/>
        <v>5.3013213019658396E-2</v>
      </c>
      <c r="AD36" s="157">
        <f t="shared" ref="AD36:AE36" si="211">AD98+AD159+AD220+AD289+AD350</f>
        <v>301</v>
      </c>
      <c r="AE36" s="157">
        <f t="shared" si="211"/>
        <v>6836</v>
      </c>
      <c r="AF36" s="174">
        <f t="shared" si="19"/>
        <v>4.6059678653404747E-2</v>
      </c>
      <c r="AG36" s="157">
        <f t="shared" ref="AG36:AH36" si="212">AG98+AG159+AG220+AG289+AG350</f>
        <v>261</v>
      </c>
      <c r="AH36" s="157">
        <f t="shared" si="212"/>
        <v>7097</v>
      </c>
      <c r="AI36" s="160">
        <f t="shared" si="21"/>
        <v>3.8180222352252782E-2</v>
      </c>
      <c r="AJ36" s="164">
        <f t="shared" si="22"/>
        <v>1311</v>
      </c>
      <c r="AK36" s="165">
        <f t="shared" si="23"/>
        <v>4.4398139043162921E-2</v>
      </c>
    </row>
    <row r="37" spans="2:37" outlineLevel="1" x14ac:dyDescent="0.35">
      <c r="B37" s="48" t="s">
        <v>97</v>
      </c>
      <c r="C37" s="62" t="s">
        <v>141</v>
      </c>
      <c r="D37" s="157">
        <f t="shared" ref="D37:G37" si="213">D99+D160+D221+D290+D351</f>
        <v>568</v>
      </c>
      <c r="E37" s="157">
        <f t="shared" si="213"/>
        <v>9058</v>
      </c>
      <c r="F37" s="157">
        <f t="shared" si="213"/>
        <v>853</v>
      </c>
      <c r="G37" s="157">
        <f t="shared" si="213"/>
        <v>9911</v>
      </c>
      <c r="H37" s="160">
        <f t="shared" si="1"/>
        <v>9.4170898653124308E-2</v>
      </c>
      <c r="I37" s="157">
        <f t="shared" ref="I37:J37" si="214">I99+I160+I221+I290+I351</f>
        <v>459</v>
      </c>
      <c r="J37" s="157">
        <f t="shared" si="214"/>
        <v>10370</v>
      </c>
      <c r="K37" s="160">
        <f t="shared" si="2"/>
        <v>4.6312178387650088E-2</v>
      </c>
      <c r="L37" s="157">
        <f t="shared" ref="L37:M37" si="215">L99+L160+L221+L290+L351</f>
        <v>633</v>
      </c>
      <c r="M37" s="157">
        <f t="shared" si="215"/>
        <v>11003</v>
      </c>
      <c r="N37" s="160">
        <f t="shared" si="3"/>
        <v>6.1041465766634523E-2</v>
      </c>
      <c r="O37" s="157">
        <f t="shared" ref="O37:P37" si="216">O99+O160+O221+O290+O351</f>
        <v>117</v>
      </c>
      <c r="P37" s="157">
        <f t="shared" si="216"/>
        <v>11120</v>
      </c>
      <c r="Q37" s="160">
        <f t="shared" si="10"/>
        <v>1.0633463600836135E-2</v>
      </c>
      <c r="R37" s="164">
        <f t="shared" si="11"/>
        <v>2630</v>
      </c>
      <c r="S37" s="165">
        <f t="shared" si="12"/>
        <v>5.2611517595962498E-2</v>
      </c>
      <c r="U37" s="157">
        <f t="shared" ref="U37:V37" si="217">U99+U160+U221+U290+U351</f>
        <v>419</v>
      </c>
      <c r="V37" s="157">
        <f t="shared" si="217"/>
        <v>11539</v>
      </c>
      <c r="W37" s="160">
        <f t="shared" si="5"/>
        <v>3.7679856115107914E-2</v>
      </c>
      <c r="X37" s="157">
        <f t="shared" ref="X37:Y37" si="218">X99+X160+X221+X290+X351</f>
        <v>698</v>
      </c>
      <c r="Y37" s="157">
        <f t="shared" si="218"/>
        <v>12237</v>
      </c>
      <c r="Z37" s="160">
        <f t="shared" si="15"/>
        <v>6.0490510442846E-2</v>
      </c>
      <c r="AA37" s="157">
        <f t="shared" ref="AA37:AB37" si="219">AA99+AA160+AA221+AA290+AA351</f>
        <v>800</v>
      </c>
      <c r="AB37" s="157">
        <f t="shared" si="219"/>
        <v>13037</v>
      </c>
      <c r="AC37" s="160">
        <f t="shared" si="17"/>
        <v>6.537550053117594E-2</v>
      </c>
      <c r="AD37" s="157">
        <f t="shared" ref="AD37:AE37" si="220">AD99+AD160+AD221+AD290+AD351</f>
        <v>645</v>
      </c>
      <c r="AE37" s="157">
        <f t="shared" si="220"/>
        <v>13682</v>
      </c>
      <c r="AF37" s="174">
        <f t="shared" si="19"/>
        <v>4.9474572370944235E-2</v>
      </c>
      <c r="AG37" s="157">
        <f t="shared" ref="AG37:AH37" si="221">AG99+AG160+AG221+AG290+AG351</f>
        <v>684</v>
      </c>
      <c r="AH37" s="157">
        <f t="shared" si="221"/>
        <v>14366</v>
      </c>
      <c r="AI37" s="160">
        <f t="shared" si="21"/>
        <v>4.9992691127028213E-2</v>
      </c>
      <c r="AJ37" s="164">
        <f t="shared" si="22"/>
        <v>3246</v>
      </c>
      <c r="AK37" s="165">
        <f t="shared" si="23"/>
        <v>5.6311291392974194E-2</v>
      </c>
    </row>
    <row r="38" spans="2:37" outlineLevel="1" x14ac:dyDescent="0.35">
      <c r="B38" s="48" t="s">
        <v>98</v>
      </c>
      <c r="C38" s="62" t="s">
        <v>141</v>
      </c>
      <c r="D38" s="157">
        <f t="shared" ref="D38:G38" si="222">D100+D161+D222+D291+D352</f>
        <v>138</v>
      </c>
      <c r="E38" s="157">
        <f t="shared" si="222"/>
        <v>1763</v>
      </c>
      <c r="F38" s="157">
        <f t="shared" si="222"/>
        <v>141</v>
      </c>
      <c r="G38" s="157">
        <f t="shared" si="222"/>
        <v>1904</v>
      </c>
      <c r="H38" s="160">
        <f t="shared" si="1"/>
        <v>7.997731140102099E-2</v>
      </c>
      <c r="I38" s="157">
        <f t="shared" ref="I38:J38" si="223">I100+I161+I222+I291+I352</f>
        <v>85</v>
      </c>
      <c r="J38" s="157">
        <f t="shared" si="223"/>
        <v>1989</v>
      </c>
      <c r="K38" s="160">
        <f t="shared" si="2"/>
        <v>4.4642857142857144E-2</v>
      </c>
      <c r="L38" s="157">
        <f t="shared" ref="L38:M38" si="224">L100+L161+L222+L291+L352</f>
        <v>169</v>
      </c>
      <c r="M38" s="157">
        <f t="shared" si="224"/>
        <v>2158</v>
      </c>
      <c r="N38" s="160">
        <f t="shared" si="3"/>
        <v>8.4967320261437912E-2</v>
      </c>
      <c r="O38" s="157">
        <f t="shared" ref="O38:P38" si="225">O100+O161+O222+O291+O352</f>
        <v>10</v>
      </c>
      <c r="P38" s="157">
        <f t="shared" si="225"/>
        <v>2168</v>
      </c>
      <c r="Q38" s="160">
        <f t="shared" si="10"/>
        <v>4.6339202965708986E-3</v>
      </c>
      <c r="R38" s="164">
        <f t="shared" si="11"/>
        <v>543</v>
      </c>
      <c r="S38" s="165">
        <f t="shared" si="12"/>
        <v>5.3056665443296458E-2</v>
      </c>
      <c r="U38" s="157">
        <f t="shared" ref="U38:V38" si="226">U100+U161+U222+U291+U352</f>
        <v>86</v>
      </c>
      <c r="V38" s="157">
        <f t="shared" si="226"/>
        <v>2254</v>
      </c>
      <c r="W38" s="160">
        <f t="shared" si="5"/>
        <v>3.9667896678966787E-2</v>
      </c>
      <c r="X38" s="157">
        <f t="shared" ref="X38:Y38" si="227">X100+X161+X222+X291+X352</f>
        <v>167</v>
      </c>
      <c r="Y38" s="157">
        <f t="shared" si="227"/>
        <v>2421</v>
      </c>
      <c r="Z38" s="160">
        <f t="shared" si="15"/>
        <v>7.4090505767524406E-2</v>
      </c>
      <c r="AA38" s="157">
        <f t="shared" ref="AA38:AB38" si="228">AA100+AA161+AA222+AA291+AA352</f>
        <v>241</v>
      </c>
      <c r="AB38" s="157">
        <f t="shared" si="228"/>
        <v>2662</v>
      </c>
      <c r="AC38" s="160">
        <f t="shared" si="17"/>
        <v>9.954564229657166E-2</v>
      </c>
      <c r="AD38" s="157">
        <f t="shared" ref="AD38:AE38" si="229">AD100+AD161+AD222+AD291+AD352</f>
        <v>246</v>
      </c>
      <c r="AE38" s="157">
        <f t="shared" si="229"/>
        <v>2908</v>
      </c>
      <c r="AF38" s="174">
        <f t="shared" si="19"/>
        <v>9.2411720510894066E-2</v>
      </c>
      <c r="AG38" s="157">
        <f t="shared" ref="AG38:AH38" si="230">AG100+AG161+AG222+AG291+AG352</f>
        <v>253</v>
      </c>
      <c r="AH38" s="157">
        <f t="shared" si="230"/>
        <v>3161</v>
      </c>
      <c r="AI38" s="160">
        <f t="shared" si="21"/>
        <v>8.7001375515818435E-2</v>
      </c>
      <c r="AJ38" s="164">
        <f t="shared" si="22"/>
        <v>993</v>
      </c>
      <c r="AK38" s="165">
        <f t="shared" si="23"/>
        <v>8.8222362015331512E-2</v>
      </c>
    </row>
    <row r="39" spans="2:37" outlineLevel="1" x14ac:dyDescent="0.35">
      <c r="B39" s="48" t="s">
        <v>99</v>
      </c>
      <c r="C39" s="62" t="s">
        <v>141</v>
      </c>
      <c r="D39" s="157">
        <f t="shared" ref="D39:G39" si="231">D101+D162+D223+D292+D353</f>
        <v>754</v>
      </c>
      <c r="E39" s="157">
        <f t="shared" si="231"/>
        <v>10333</v>
      </c>
      <c r="F39" s="157">
        <f t="shared" si="231"/>
        <v>1164</v>
      </c>
      <c r="G39" s="157">
        <f t="shared" si="231"/>
        <v>11497</v>
      </c>
      <c r="H39" s="160">
        <f t="shared" si="1"/>
        <v>0.1126487951224233</v>
      </c>
      <c r="I39" s="157">
        <f t="shared" ref="I39:J39" si="232">I101+I162+I223+I292+I353</f>
        <v>978</v>
      </c>
      <c r="J39" s="157">
        <f t="shared" si="232"/>
        <v>12475</v>
      </c>
      <c r="K39" s="160">
        <f t="shared" si="2"/>
        <v>8.506566930503609E-2</v>
      </c>
      <c r="L39" s="157">
        <f t="shared" ref="L39:M39" si="233">L101+L162+L223+L292+L353</f>
        <v>344</v>
      </c>
      <c r="M39" s="157">
        <f t="shared" si="233"/>
        <v>12819</v>
      </c>
      <c r="N39" s="160">
        <f t="shared" si="3"/>
        <v>2.7575150300601203E-2</v>
      </c>
      <c r="O39" s="157">
        <f t="shared" ref="O39:P39" si="234">O101+O162+O223+O292+O353</f>
        <v>188</v>
      </c>
      <c r="P39" s="157">
        <f t="shared" si="234"/>
        <v>13007</v>
      </c>
      <c r="Q39" s="160">
        <f t="shared" si="10"/>
        <v>1.4665730556205632E-2</v>
      </c>
      <c r="R39" s="164">
        <f t="shared" si="11"/>
        <v>3428</v>
      </c>
      <c r="S39" s="165">
        <f t="shared" si="12"/>
        <v>5.9223671278536782E-2</v>
      </c>
      <c r="U39" s="157">
        <f t="shared" ref="U39:V39" si="235">U101+U162+U223+U292+U353</f>
        <v>395</v>
      </c>
      <c r="V39" s="157">
        <f t="shared" si="235"/>
        <v>13402</v>
      </c>
      <c r="W39" s="160">
        <f t="shared" si="5"/>
        <v>3.0368263242869224E-2</v>
      </c>
      <c r="X39" s="157">
        <f t="shared" ref="X39:Y39" si="236">X101+X162+X223+X292+X353</f>
        <v>483</v>
      </c>
      <c r="Y39" s="157">
        <f t="shared" si="236"/>
        <v>13885</v>
      </c>
      <c r="Z39" s="160">
        <f t="shared" si="15"/>
        <v>3.6039397104909714E-2</v>
      </c>
      <c r="AA39" s="157">
        <f t="shared" ref="AA39:AB39" si="237">AA101+AA162+AA223+AA292+AA353</f>
        <v>551</v>
      </c>
      <c r="AB39" s="157">
        <f t="shared" si="237"/>
        <v>14436</v>
      </c>
      <c r="AC39" s="160">
        <f t="shared" si="17"/>
        <v>3.9683111271155924E-2</v>
      </c>
      <c r="AD39" s="157">
        <f t="shared" ref="AD39:AE39" si="238">AD101+AD162+AD223+AD292+AD353</f>
        <v>552</v>
      </c>
      <c r="AE39" s="157">
        <f t="shared" si="238"/>
        <v>14988</v>
      </c>
      <c r="AF39" s="174">
        <f t="shared" si="19"/>
        <v>3.8237738985868665E-2</v>
      </c>
      <c r="AG39" s="157">
        <f t="shared" ref="AG39:AH39" si="239">AG101+AG162+AG223+AG292+AG353</f>
        <v>464</v>
      </c>
      <c r="AH39" s="157">
        <f t="shared" si="239"/>
        <v>15452</v>
      </c>
      <c r="AI39" s="160">
        <f t="shared" si="21"/>
        <v>3.0958099813183881E-2</v>
      </c>
      <c r="AJ39" s="164">
        <f t="shared" si="22"/>
        <v>2445</v>
      </c>
      <c r="AK39" s="165">
        <f t="shared" si="23"/>
        <v>3.6224297532194027E-2</v>
      </c>
    </row>
    <row r="40" spans="2:37" outlineLevel="1" x14ac:dyDescent="0.35">
      <c r="B40" s="48" t="s">
        <v>100</v>
      </c>
      <c r="C40" s="62" t="s">
        <v>141</v>
      </c>
      <c r="D40" s="157">
        <f t="shared" ref="D40:G40" si="240">D102+D163+D224+D293+D354</f>
        <v>124</v>
      </c>
      <c r="E40" s="157">
        <f t="shared" si="240"/>
        <v>2005</v>
      </c>
      <c r="F40" s="157">
        <f t="shared" si="240"/>
        <v>163</v>
      </c>
      <c r="G40" s="157">
        <f t="shared" si="240"/>
        <v>2168</v>
      </c>
      <c r="H40" s="160">
        <f t="shared" si="1"/>
        <v>8.1296758104738159E-2</v>
      </c>
      <c r="I40" s="157">
        <f t="shared" ref="I40:J40" si="241">I102+I163+I224+I293+I354</f>
        <v>138</v>
      </c>
      <c r="J40" s="157">
        <f t="shared" si="241"/>
        <v>2306</v>
      </c>
      <c r="K40" s="160">
        <f t="shared" si="2"/>
        <v>6.3653136531365312E-2</v>
      </c>
      <c r="L40" s="157">
        <f t="shared" ref="L40:M40" si="242">L102+L163+L224+L293+L354</f>
        <v>14</v>
      </c>
      <c r="M40" s="157">
        <f t="shared" si="242"/>
        <v>2320</v>
      </c>
      <c r="N40" s="160">
        <f t="shared" si="3"/>
        <v>6.0711188204683438E-3</v>
      </c>
      <c r="O40" s="157">
        <f t="shared" ref="O40:P40" si="243">O102+O163+O224+O293+O354</f>
        <v>9</v>
      </c>
      <c r="P40" s="157">
        <f t="shared" si="243"/>
        <v>2329</v>
      </c>
      <c r="Q40" s="160">
        <f t="shared" si="10"/>
        <v>3.8793103448275862E-3</v>
      </c>
      <c r="R40" s="164">
        <f t="shared" si="11"/>
        <v>448</v>
      </c>
      <c r="S40" s="165">
        <f t="shared" si="12"/>
        <v>3.8158771949925452E-2</v>
      </c>
      <c r="U40" s="157">
        <f t="shared" ref="U40:V40" si="244">U102+U163+U224+U293+U354</f>
        <v>115</v>
      </c>
      <c r="V40" s="157">
        <f t="shared" si="244"/>
        <v>2444</v>
      </c>
      <c r="W40" s="160">
        <f t="shared" si="5"/>
        <v>4.9377415199656507E-2</v>
      </c>
      <c r="X40" s="157">
        <f t="shared" ref="X40:Y40" si="245">X102+X163+X224+X293+X354</f>
        <v>234</v>
      </c>
      <c r="Y40" s="157">
        <f t="shared" si="245"/>
        <v>2678</v>
      </c>
      <c r="Z40" s="160">
        <f t="shared" si="15"/>
        <v>9.5744680851063829E-2</v>
      </c>
      <c r="AA40" s="157">
        <f t="shared" ref="AA40:AB40" si="246">AA102+AA163+AA224+AA293+AA354</f>
        <v>324</v>
      </c>
      <c r="AB40" s="157">
        <f t="shared" si="246"/>
        <v>3002</v>
      </c>
      <c r="AC40" s="160">
        <f t="shared" si="17"/>
        <v>0.12098581030619865</v>
      </c>
      <c r="AD40" s="157">
        <f t="shared" ref="AD40:AE40" si="247">AD102+AD163+AD224+AD293+AD354</f>
        <v>314</v>
      </c>
      <c r="AE40" s="157">
        <f t="shared" si="247"/>
        <v>3316</v>
      </c>
      <c r="AF40" s="174">
        <f t="shared" si="19"/>
        <v>0.10459693537641572</v>
      </c>
      <c r="AG40" s="157">
        <f t="shared" ref="AG40:AH40" si="248">AG102+AG163+AG224+AG293+AG354</f>
        <v>420</v>
      </c>
      <c r="AH40" s="157">
        <f t="shared" si="248"/>
        <v>3736</v>
      </c>
      <c r="AI40" s="160">
        <f t="shared" si="21"/>
        <v>0.12665862484921592</v>
      </c>
      <c r="AJ40" s="164">
        <f t="shared" si="22"/>
        <v>1407</v>
      </c>
      <c r="AK40" s="165">
        <f t="shared" si="23"/>
        <v>0.1119273597894197</v>
      </c>
    </row>
    <row r="41" spans="2:37" outlineLevel="1" x14ac:dyDescent="0.35">
      <c r="B41" s="48" t="s">
        <v>101</v>
      </c>
      <c r="C41" s="62" t="s">
        <v>141</v>
      </c>
      <c r="D41" s="157">
        <f t="shared" ref="D41:G41" si="249">D103+D164+D225+D294+D355</f>
        <v>6</v>
      </c>
      <c r="E41" s="157">
        <f t="shared" si="249"/>
        <v>52</v>
      </c>
      <c r="F41" s="157">
        <f t="shared" si="249"/>
        <v>9</v>
      </c>
      <c r="G41" s="157">
        <f t="shared" si="249"/>
        <v>61</v>
      </c>
      <c r="H41" s="160">
        <f t="shared" si="1"/>
        <v>0.17307692307692307</v>
      </c>
      <c r="I41" s="157">
        <f t="shared" ref="I41:J41" si="250">I103+I164+I225+I294+I355</f>
        <v>7</v>
      </c>
      <c r="J41" s="157">
        <f t="shared" si="250"/>
        <v>68</v>
      </c>
      <c r="K41" s="160">
        <f t="shared" si="2"/>
        <v>0.11475409836065574</v>
      </c>
      <c r="L41" s="157">
        <f t="shared" ref="L41:M41" si="251">L103+L164+L225+L294+L355</f>
        <v>2</v>
      </c>
      <c r="M41" s="157">
        <f t="shared" si="251"/>
        <v>70</v>
      </c>
      <c r="N41" s="160">
        <f t="shared" si="3"/>
        <v>2.9411764705882353E-2</v>
      </c>
      <c r="O41" s="157">
        <f t="shared" ref="O41:P41" si="252">O103+O164+O225+O294+O355</f>
        <v>2</v>
      </c>
      <c r="P41" s="157">
        <f t="shared" si="252"/>
        <v>72</v>
      </c>
      <c r="Q41" s="160">
        <f t="shared" si="10"/>
        <v>2.8571428571428571E-2</v>
      </c>
      <c r="R41" s="164">
        <f t="shared" si="11"/>
        <v>26</v>
      </c>
      <c r="S41" s="165">
        <f t="shared" si="12"/>
        <v>8.4756567543660566E-2</v>
      </c>
      <c r="U41" s="157">
        <f t="shared" ref="U41:V41" si="253">U103+U164+U225+U294+U355</f>
        <v>6</v>
      </c>
      <c r="V41" s="157">
        <f t="shared" si="253"/>
        <v>78</v>
      </c>
      <c r="W41" s="160">
        <f t="shared" si="5"/>
        <v>8.3333333333333329E-2</v>
      </c>
      <c r="X41" s="157">
        <f t="shared" ref="X41:Y41" si="254">X103+X164+X225+X294+X355</f>
        <v>4</v>
      </c>
      <c r="Y41" s="157">
        <f t="shared" si="254"/>
        <v>82</v>
      </c>
      <c r="Z41" s="160">
        <f t="shared" si="15"/>
        <v>5.128205128205128E-2</v>
      </c>
      <c r="AA41" s="157">
        <f t="shared" ref="AA41:AB41" si="255">AA103+AA164+AA225+AA294+AA355</f>
        <v>5</v>
      </c>
      <c r="AB41" s="157">
        <f t="shared" si="255"/>
        <v>87</v>
      </c>
      <c r="AC41" s="160">
        <f t="shared" si="17"/>
        <v>6.097560975609756E-2</v>
      </c>
      <c r="AD41" s="157">
        <f t="shared" ref="AD41:AE41" si="256">AD103+AD164+AD225+AD294+AD355</f>
        <v>4</v>
      </c>
      <c r="AE41" s="157">
        <f t="shared" si="256"/>
        <v>91</v>
      </c>
      <c r="AF41" s="174">
        <f t="shared" si="19"/>
        <v>4.5977011494252873E-2</v>
      </c>
      <c r="AG41" s="157">
        <f t="shared" ref="AG41:AH41" si="257">AG103+AG164+AG225+AG294+AG355</f>
        <v>3</v>
      </c>
      <c r="AH41" s="157">
        <f t="shared" si="257"/>
        <v>94</v>
      </c>
      <c r="AI41" s="160">
        <f t="shared" si="21"/>
        <v>3.2967032967032968E-2</v>
      </c>
      <c r="AJ41" s="164">
        <f t="shared" si="22"/>
        <v>22</v>
      </c>
      <c r="AK41" s="165">
        <f t="shared" si="23"/>
        <v>4.7751551794399161E-2</v>
      </c>
    </row>
    <row r="42" spans="2:37" outlineLevel="1" x14ac:dyDescent="0.35">
      <c r="B42" s="48" t="s">
        <v>102</v>
      </c>
      <c r="C42" s="62" t="s">
        <v>141</v>
      </c>
      <c r="D42" s="157">
        <f t="shared" ref="D42:G42" si="258">D104+D165+D226+D295+D356</f>
        <v>447</v>
      </c>
      <c r="E42" s="157">
        <f t="shared" si="258"/>
        <v>7182</v>
      </c>
      <c r="F42" s="157">
        <f t="shared" si="258"/>
        <v>436</v>
      </c>
      <c r="G42" s="157">
        <f t="shared" si="258"/>
        <v>7618</v>
      </c>
      <c r="H42" s="160">
        <f t="shared" si="1"/>
        <v>6.0707323865218599E-2</v>
      </c>
      <c r="I42" s="157">
        <f t="shared" ref="I42:J42" si="259">I104+I165+I226+I295+I356</f>
        <v>318</v>
      </c>
      <c r="J42" s="157">
        <f t="shared" si="259"/>
        <v>7936</v>
      </c>
      <c r="K42" s="160">
        <f t="shared" si="2"/>
        <v>4.1743239695458123E-2</v>
      </c>
      <c r="L42" s="157">
        <f t="shared" ref="L42:M42" si="260">L104+L165+L226+L295+L356</f>
        <v>-143</v>
      </c>
      <c r="M42" s="157">
        <f t="shared" si="260"/>
        <v>7793</v>
      </c>
      <c r="N42" s="160">
        <f t="shared" si="3"/>
        <v>-1.8019153225806453E-2</v>
      </c>
      <c r="O42" s="157">
        <f t="shared" ref="O42:P42" si="261">O104+O165+O226+O295+O356</f>
        <v>76</v>
      </c>
      <c r="P42" s="157">
        <f t="shared" si="261"/>
        <v>7869</v>
      </c>
      <c r="Q42" s="160">
        <f t="shared" si="10"/>
        <v>9.752341845245734E-3</v>
      </c>
      <c r="R42" s="164">
        <f t="shared" si="11"/>
        <v>1134</v>
      </c>
      <c r="S42" s="165">
        <f t="shared" si="12"/>
        <v>2.3101063548280898E-2</v>
      </c>
      <c r="U42" s="157">
        <f t="shared" ref="U42:V42" si="262">U104+U165+U226+U295+U356</f>
        <v>160</v>
      </c>
      <c r="V42" s="157">
        <f t="shared" si="262"/>
        <v>8029</v>
      </c>
      <c r="W42" s="160">
        <f t="shared" si="5"/>
        <v>2.0332952090481637E-2</v>
      </c>
      <c r="X42" s="157">
        <f t="shared" ref="X42:Y42" si="263">X104+X165+X226+X295+X356</f>
        <v>177</v>
      </c>
      <c r="Y42" s="157">
        <f t="shared" si="263"/>
        <v>8206</v>
      </c>
      <c r="Z42" s="160">
        <f t="shared" si="15"/>
        <v>2.2045086561215593E-2</v>
      </c>
      <c r="AA42" s="157">
        <f t="shared" ref="AA42:AB42" si="264">AA104+AA165+AA226+AA295+AA356</f>
        <v>195</v>
      </c>
      <c r="AB42" s="157">
        <f t="shared" si="264"/>
        <v>8401</v>
      </c>
      <c r="AC42" s="160">
        <f t="shared" si="17"/>
        <v>2.3763100170606875E-2</v>
      </c>
      <c r="AD42" s="157">
        <f t="shared" ref="AD42:AE42" si="265">AD104+AD165+AD226+AD295+AD356</f>
        <v>174</v>
      </c>
      <c r="AE42" s="157">
        <f t="shared" si="265"/>
        <v>8575</v>
      </c>
      <c r="AF42" s="174">
        <f t="shared" si="19"/>
        <v>2.071182002142602E-2</v>
      </c>
      <c r="AG42" s="157">
        <f t="shared" ref="AG42:AH42" si="266">AG104+AG165+AG226+AG295+AG356</f>
        <v>134</v>
      </c>
      <c r="AH42" s="157">
        <f t="shared" si="266"/>
        <v>8709</v>
      </c>
      <c r="AI42" s="160">
        <f t="shared" si="21"/>
        <v>1.5626822157434401E-2</v>
      </c>
      <c r="AJ42" s="164">
        <f t="shared" si="22"/>
        <v>840</v>
      </c>
      <c r="AK42" s="165">
        <f t="shared" si="23"/>
        <v>2.0532190505811787E-2</v>
      </c>
    </row>
    <row r="43" spans="2:37" outlineLevel="1" x14ac:dyDescent="0.35">
      <c r="B43" s="48" t="s">
        <v>103</v>
      </c>
      <c r="C43" s="62" t="s">
        <v>141</v>
      </c>
      <c r="D43" s="157">
        <f t="shared" ref="D43:G43" si="267">D105+D166+D227+D296+D357</f>
        <v>-1</v>
      </c>
      <c r="E43" s="157">
        <f t="shared" si="267"/>
        <v>17</v>
      </c>
      <c r="F43" s="157">
        <f t="shared" si="267"/>
        <v>0</v>
      </c>
      <c r="G43" s="157">
        <f t="shared" si="267"/>
        <v>17</v>
      </c>
      <c r="H43" s="160">
        <f t="shared" si="1"/>
        <v>0</v>
      </c>
      <c r="I43" s="157">
        <f t="shared" ref="I43:J43" si="268">I105+I166+I227+I296+I357</f>
        <v>0</v>
      </c>
      <c r="J43" s="157">
        <f t="shared" si="268"/>
        <v>17</v>
      </c>
      <c r="K43" s="160">
        <f t="shared" si="2"/>
        <v>0</v>
      </c>
      <c r="L43" s="157">
        <f t="shared" ref="L43:M43" si="269">L105+L166+L227+L296+L357</f>
        <v>1</v>
      </c>
      <c r="M43" s="157">
        <f t="shared" si="269"/>
        <v>18</v>
      </c>
      <c r="N43" s="160">
        <f t="shared" si="3"/>
        <v>5.8823529411764705E-2</v>
      </c>
      <c r="O43" s="157">
        <f t="shared" ref="O43:P43" si="270">O105+O166+O227+O296+O357</f>
        <v>0</v>
      </c>
      <c r="P43" s="157">
        <f t="shared" si="270"/>
        <v>18</v>
      </c>
      <c r="Q43" s="160">
        <f t="shared" si="10"/>
        <v>0</v>
      </c>
      <c r="R43" s="164">
        <f t="shared" si="11"/>
        <v>0</v>
      </c>
      <c r="S43" s="165">
        <f t="shared" si="12"/>
        <v>1.4392187891376196E-2</v>
      </c>
      <c r="U43" s="157">
        <f t="shared" ref="U43:V43" si="271">U105+U166+U227+U296+U357</f>
        <v>0</v>
      </c>
      <c r="V43" s="157">
        <f t="shared" si="271"/>
        <v>18</v>
      </c>
      <c r="W43" s="160">
        <f t="shared" si="5"/>
        <v>0</v>
      </c>
      <c r="X43" s="157">
        <f t="shared" ref="X43:Y43" si="272">X105+X166+X227+X296+X357</f>
        <v>0</v>
      </c>
      <c r="Y43" s="157">
        <f t="shared" si="272"/>
        <v>18</v>
      </c>
      <c r="Z43" s="160">
        <f t="shared" si="15"/>
        <v>0</v>
      </c>
      <c r="AA43" s="157">
        <f t="shared" ref="AA43:AB43" si="273">AA105+AA166+AA227+AA296+AA357</f>
        <v>0</v>
      </c>
      <c r="AB43" s="157">
        <f t="shared" si="273"/>
        <v>18</v>
      </c>
      <c r="AC43" s="160">
        <f t="shared" si="17"/>
        <v>0</v>
      </c>
      <c r="AD43" s="157">
        <f t="shared" ref="AD43:AE43" si="274">AD105+AD166+AD227+AD296+AD357</f>
        <v>0</v>
      </c>
      <c r="AE43" s="157">
        <f t="shared" si="274"/>
        <v>18</v>
      </c>
      <c r="AF43" s="174">
        <f t="shared" si="19"/>
        <v>0</v>
      </c>
      <c r="AG43" s="157">
        <f t="shared" ref="AG43:AH43" si="275">AG105+AG166+AG227+AG296+AG357</f>
        <v>0</v>
      </c>
      <c r="AH43" s="157">
        <f t="shared" si="275"/>
        <v>18</v>
      </c>
      <c r="AI43" s="160">
        <f t="shared" si="21"/>
        <v>0</v>
      </c>
      <c r="AJ43" s="164">
        <f t="shared" si="22"/>
        <v>0</v>
      </c>
      <c r="AK43" s="165">
        <f t="shared" si="23"/>
        <v>0</v>
      </c>
    </row>
    <row r="44" spans="2:37" outlineLevel="1" x14ac:dyDescent="0.35">
      <c r="B44" s="48" t="s">
        <v>104</v>
      </c>
      <c r="C44" s="62" t="s">
        <v>141</v>
      </c>
      <c r="D44" s="157">
        <f t="shared" ref="D44:G44" si="276">D106+D167+D228+D297+D358</f>
        <v>0</v>
      </c>
      <c r="E44" s="157">
        <f t="shared" si="276"/>
        <v>1</v>
      </c>
      <c r="F44" s="157">
        <f t="shared" si="276"/>
        <v>0</v>
      </c>
      <c r="G44" s="157">
        <f t="shared" si="276"/>
        <v>1</v>
      </c>
      <c r="H44" s="160">
        <f t="shared" si="1"/>
        <v>0</v>
      </c>
      <c r="I44" s="157">
        <f t="shared" ref="I44:J44" si="277">I106+I167+I228+I297+I358</f>
        <v>0</v>
      </c>
      <c r="J44" s="157">
        <f t="shared" si="277"/>
        <v>1</v>
      </c>
      <c r="K44" s="160">
        <f t="shared" si="2"/>
        <v>0</v>
      </c>
      <c r="L44" s="157">
        <f t="shared" ref="L44:M44" si="278">L106+L167+L228+L297+L358</f>
        <v>0</v>
      </c>
      <c r="M44" s="157">
        <f t="shared" si="278"/>
        <v>1</v>
      </c>
      <c r="N44" s="160">
        <f t="shared" si="3"/>
        <v>0</v>
      </c>
      <c r="O44" s="157">
        <f t="shared" ref="O44:P44" si="279">O106+O167+O228+O297+O358</f>
        <v>0</v>
      </c>
      <c r="P44" s="157">
        <f t="shared" si="279"/>
        <v>1</v>
      </c>
      <c r="Q44" s="160">
        <f t="shared" si="10"/>
        <v>0</v>
      </c>
      <c r="R44" s="164">
        <f t="shared" si="11"/>
        <v>0</v>
      </c>
      <c r="S44" s="165">
        <f t="shared" si="12"/>
        <v>0</v>
      </c>
      <c r="U44" s="157">
        <f t="shared" ref="U44:V44" si="280">U106+U167+U228+U297+U358</f>
        <v>0</v>
      </c>
      <c r="V44" s="157">
        <f t="shared" si="280"/>
        <v>1</v>
      </c>
      <c r="W44" s="160">
        <f t="shared" si="5"/>
        <v>0</v>
      </c>
      <c r="X44" s="157">
        <f t="shared" ref="X44:Y44" si="281">X106+X167+X228+X297+X358</f>
        <v>0</v>
      </c>
      <c r="Y44" s="157">
        <f t="shared" si="281"/>
        <v>1</v>
      </c>
      <c r="Z44" s="160">
        <f t="shared" si="15"/>
        <v>0</v>
      </c>
      <c r="AA44" s="157">
        <f t="shared" ref="AA44:AB44" si="282">AA106+AA167+AA228+AA297+AA358</f>
        <v>0</v>
      </c>
      <c r="AB44" s="157">
        <f t="shared" si="282"/>
        <v>1</v>
      </c>
      <c r="AC44" s="160">
        <f t="shared" si="17"/>
        <v>0</v>
      </c>
      <c r="AD44" s="157">
        <f t="shared" ref="AD44:AE44" si="283">AD106+AD167+AD228+AD297+AD358</f>
        <v>48</v>
      </c>
      <c r="AE44" s="157">
        <f t="shared" si="283"/>
        <v>49</v>
      </c>
      <c r="AF44" s="174">
        <f t="shared" si="19"/>
        <v>48</v>
      </c>
      <c r="AG44" s="157">
        <f t="shared" ref="AG44:AH44" si="284">AG106+AG167+AG228+AG297+AG358</f>
        <v>92</v>
      </c>
      <c r="AH44" s="157">
        <f t="shared" si="284"/>
        <v>141</v>
      </c>
      <c r="AI44" s="160">
        <f t="shared" si="21"/>
        <v>1.8775510204081634</v>
      </c>
      <c r="AJ44" s="164">
        <f t="shared" si="22"/>
        <v>140</v>
      </c>
      <c r="AK44" s="165">
        <f t="shared" si="23"/>
        <v>2.4459167266545947</v>
      </c>
    </row>
    <row r="45" spans="2:37" outlineLevel="1" x14ac:dyDescent="0.35">
      <c r="B45" s="48" t="s">
        <v>136</v>
      </c>
      <c r="C45" s="62" t="s">
        <v>141</v>
      </c>
      <c r="D45" s="157">
        <f t="shared" ref="D45:G45" si="285">D107+D168+D229+D298+D359</f>
        <v>0</v>
      </c>
      <c r="E45" s="157">
        <f t="shared" si="285"/>
        <v>0</v>
      </c>
      <c r="F45" s="157">
        <f t="shared" si="285"/>
        <v>0</v>
      </c>
      <c r="G45" s="157">
        <f t="shared" si="285"/>
        <v>0</v>
      </c>
      <c r="H45" s="160"/>
      <c r="I45" s="157">
        <f t="shared" ref="I45:J45" si="286">I107+I168+I229+I298+I359</f>
        <v>0</v>
      </c>
      <c r="J45" s="157">
        <f t="shared" si="286"/>
        <v>0</v>
      </c>
      <c r="K45" s="160"/>
      <c r="L45" s="157">
        <f t="shared" ref="L45:M45" si="287">L107+L168+L229+L298+L359</f>
        <v>0</v>
      </c>
      <c r="M45" s="157">
        <f t="shared" si="287"/>
        <v>0</v>
      </c>
      <c r="N45" s="160"/>
      <c r="O45" s="157">
        <f t="shared" ref="O45:P45" si="288">O107+O168+O229+O298+O359</f>
        <v>0</v>
      </c>
      <c r="P45" s="157">
        <f t="shared" si="288"/>
        <v>0</v>
      </c>
      <c r="Q45" s="160"/>
      <c r="R45" s="164">
        <f t="shared" si="11"/>
        <v>0</v>
      </c>
      <c r="S45" s="165"/>
      <c r="U45" s="157">
        <f t="shared" ref="U45:V45" si="289">U107+U168+U229+U298+U359</f>
        <v>0</v>
      </c>
      <c r="V45" s="157">
        <f t="shared" si="289"/>
        <v>0</v>
      </c>
      <c r="W45" s="160">
        <f t="shared" si="5"/>
        <v>0</v>
      </c>
      <c r="X45" s="157">
        <f t="shared" ref="X45:Y45" si="290">X107+X168+X229+X298+X359</f>
        <v>0</v>
      </c>
      <c r="Y45" s="157">
        <f t="shared" si="290"/>
        <v>0</v>
      </c>
      <c r="Z45" s="160">
        <f t="shared" si="15"/>
        <v>0</v>
      </c>
      <c r="AA45" s="157">
        <f t="shared" ref="AA45:AB45" si="291">AA107+AA168+AA229+AA298+AA359</f>
        <v>0</v>
      </c>
      <c r="AB45" s="157">
        <f t="shared" si="291"/>
        <v>0</v>
      </c>
      <c r="AC45" s="160">
        <f t="shared" si="17"/>
        <v>0</v>
      </c>
      <c r="AD45" s="157">
        <f t="shared" ref="AD45:AE45" si="292">AD107+AD168+AD229+AD298+AD359</f>
        <v>48</v>
      </c>
      <c r="AE45" s="157">
        <f t="shared" si="292"/>
        <v>48</v>
      </c>
      <c r="AF45" s="174">
        <f t="shared" si="19"/>
        <v>0</v>
      </c>
      <c r="AG45" s="157">
        <f t="shared" ref="AG45:AH45" si="293">AG107+AG168+AG229+AG298+AG359</f>
        <v>81</v>
      </c>
      <c r="AH45" s="157">
        <f t="shared" si="293"/>
        <v>129</v>
      </c>
      <c r="AI45" s="160">
        <f t="shared" si="21"/>
        <v>1.6875</v>
      </c>
      <c r="AJ45" s="164">
        <f t="shared" si="22"/>
        <v>129</v>
      </c>
      <c r="AK45" s="165">
        <f t="shared" si="23"/>
        <v>0</v>
      </c>
    </row>
    <row r="46" spans="2:37" outlineLevel="1" x14ac:dyDescent="0.35">
      <c r="B46" s="48" t="s">
        <v>106</v>
      </c>
      <c r="C46" s="62" t="s">
        <v>141</v>
      </c>
      <c r="D46" s="157">
        <f t="shared" ref="D46:G46" si="294">D108+D169+D230+D299+D360</f>
        <v>258</v>
      </c>
      <c r="E46" s="157">
        <f t="shared" si="294"/>
        <v>2157</v>
      </c>
      <c r="F46" s="157">
        <f t="shared" si="294"/>
        <v>231</v>
      </c>
      <c r="G46" s="157">
        <f t="shared" si="294"/>
        <v>2388</v>
      </c>
      <c r="H46" s="160">
        <f t="shared" si="1"/>
        <v>0.1070931849791377</v>
      </c>
      <c r="I46" s="157">
        <f t="shared" ref="I46:J46" si="295">I108+I169+I230+I299+I360</f>
        <v>182</v>
      </c>
      <c r="J46" s="157">
        <f t="shared" si="295"/>
        <v>2570</v>
      </c>
      <c r="K46" s="160">
        <f t="shared" si="2"/>
        <v>7.6214405360134005E-2</v>
      </c>
      <c r="L46" s="157">
        <f t="shared" ref="L46:M46" si="296">L108+L169+L230+L299+L360</f>
        <v>163</v>
      </c>
      <c r="M46" s="157">
        <f t="shared" si="296"/>
        <v>2733</v>
      </c>
      <c r="N46" s="160">
        <f t="shared" si="3"/>
        <v>6.3424124513618674E-2</v>
      </c>
      <c r="O46" s="157">
        <f t="shared" ref="O46:P46" si="297">O108+O169+O230+O299+O360</f>
        <v>59</v>
      </c>
      <c r="P46" s="157">
        <f t="shared" si="297"/>
        <v>2792</v>
      </c>
      <c r="Q46" s="160">
        <f t="shared" si="10"/>
        <v>2.1587998536406878E-2</v>
      </c>
      <c r="R46" s="164">
        <f t="shared" si="11"/>
        <v>893</v>
      </c>
      <c r="S46" s="165">
        <f t="shared" si="12"/>
        <v>6.6636195886647043E-2</v>
      </c>
      <c r="U46" s="157">
        <f t="shared" ref="U46:V46" si="298">U108+U169+U230+U299+U360</f>
        <v>79</v>
      </c>
      <c r="V46" s="157">
        <f t="shared" si="298"/>
        <v>2871</v>
      </c>
      <c r="W46" s="160">
        <f t="shared" si="5"/>
        <v>2.8295128939828079E-2</v>
      </c>
      <c r="X46" s="157">
        <f t="shared" ref="X46:Y46" si="299">X108+X169+X230+X299+X360</f>
        <v>105</v>
      </c>
      <c r="Y46" s="157">
        <f t="shared" si="299"/>
        <v>2976</v>
      </c>
      <c r="Z46" s="160">
        <f t="shared" si="15"/>
        <v>3.657262277951933E-2</v>
      </c>
      <c r="AA46" s="157">
        <f t="shared" ref="AA46:AB46" si="300">AA108+AA169+AA230+AA299+AA360</f>
        <v>111</v>
      </c>
      <c r="AB46" s="157">
        <f t="shared" si="300"/>
        <v>3087</v>
      </c>
      <c r="AC46" s="160">
        <f t="shared" si="17"/>
        <v>3.7298387096774195E-2</v>
      </c>
      <c r="AD46" s="157">
        <f t="shared" ref="AD46:AE46" si="301">AD108+AD169+AD230+AD299+AD360</f>
        <v>102</v>
      </c>
      <c r="AE46" s="157">
        <f t="shared" si="301"/>
        <v>3189</v>
      </c>
      <c r="AF46" s="174">
        <f t="shared" si="19"/>
        <v>3.3041788143828958E-2</v>
      </c>
      <c r="AG46" s="157">
        <f t="shared" ref="AG46:AH46" si="302">AG108+AG169+AG230+AG299+AG360</f>
        <v>140</v>
      </c>
      <c r="AH46" s="157">
        <f t="shared" si="302"/>
        <v>3329</v>
      </c>
      <c r="AI46" s="160">
        <f t="shared" si="21"/>
        <v>4.390090937597993E-2</v>
      </c>
      <c r="AJ46" s="164">
        <f t="shared" si="22"/>
        <v>537</v>
      </c>
      <c r="AK46" s="165">
        <f t="shared" si="23"/>
        <v>3.7696019114817014E-2</v>
      </c>
    </row>
    <row r="47" spans="2:37" outlineLevel="1" x14ac:dyDescent="0.35">
      <c r="B47" s="48" t="s">
        <v>107</v>
      </c>
      <c r="C47" s="62" t="s">
        <v>141</v>
      </c>
      <c r="D47" s="157">
        <f t="shared" ref="D47:G47" si="303">D109+D170+D231+D300+D361</f>
        <v>96</v>
      </c>
      <c r="E47" s="157">
        <f t="shared" si="303"/>
        <v>2648</v>
      </c>
      <c r="F47" s="157">
        <f t="shared" si="303"/>
        <v>267</v>
      </c>
      <c r="G47" s="157">
        <f t="shared" si="303"/>
        <v>2915</v>
      </c>
      <c r="H47" s="160">
        <f t="shared" si="1"/>
        <v>0.10083081570996978</v>
      </c>
      <c r="I47" s="157">
        <f t="shared" ref="I47:J47" si="304">I109+I170+I231+I300+I361</f>
        <v>251</v>
      </c>
      <c r="J47" s="157">
        <f t="shared" si="304"/>
        <v>3166</v>
      </c>
      <c r="K47" s="160">
        <f t="shared" si="2"/>
        <v>8.6106346483704979E-2</v>
      </c>
      <c r="L47" s="157">
        <f t="shared" ref="L47:M47" si="305">L109+L170+L231+L300+L361</f>
        <v>194</v>
      </c>
      <c r="M47" s="157">
        <f t="shared" si="305"/>
        <v>3360</v>
      </c>
      <c r="N47" s="160">
        <f t="shared" si="3"/>
        <v>6.1276058117498422E-2</v>
      </c>
      <c r="O47" s="157">
        <f t="shared" ref="O47:P47" si="306">O109+O170+O231+O300+O361</f>
        <v>87</v>
      </c>
      <c r="P47" s="157">
        <f t="shared" si="306"/>
        <v>3447</v>
      </c>
      <c r="Q47" s="160">
        <f t="shared" si="10"/>
        <v>2.5892857142857145E-2</v>
      </c>
      <c r="R47" s="164">
        <f t="shared" si="11"/>
        <v>895</v>
      </c>
      <c r="S47" s="165">
        <f t="shared" si="12"/>
        <v>6.8146509559485979E-2</v>
      </c>
      <c r="U47" s="157">
        <f t="shared" ref="U47:V47" si="307">U109+U170+U231+U300+U361</f>
        <v>154</v>
      </c>
      <c r="V47" s="157">
        <f t="shared" si="307"/>
        <v>3601</v>
      </c>
      <c r="W47" s="160">
        <f t="shared" si="5"/>
        <v>4.4676530316217003E-2</v>
      </c>
      <c r="X47" s="157">
        <f t="shared" ref="X47:Y47" si="308">X109+X170+X231+X300+X361</f>
        <v>220</v>
      </c>
      <c r="Y47" s="157">
        <f t="shared" si="308"/>
        <v>3821</v>
      </c>
      <c r="Z47" s="160">
        <f t="shared" si="15"/>
        <v>6.109414051652319E-2</v>
      </c>
      <c r="AA47" s="157">
        <f t="shared" ref="AA47:AB47" si="309">AA109+AA170+AA231+AA300+AA361</f>
        <v>241</v>
      </c>
      <c r="AB47" s="157">
        <f t="shared" si="309"/>
        <v>4062</v>
      </c>
      <c r="AC47" s="160">
        <f t="shared" si="17"/>
        <v>6.3072494111489144E-2</v>
      </c>
      <c r="AD47" s="157">
        <f t="shared" ref="AD47:AE47" si="310">AD109+AD170+AD231+AD300+AD361</f>
        <v>200</v>
      </c>
      <c r="AE47" s="157">
        <f t="shared" si="310"/>
        <v>4262</v>
      </c>
      <c r="AF47" s="174">
        <f t="shared" si="19"/>
        <v>4.9236829148202856E-2</v>
      </c>
      <c r="AG47" s="157">
        <f t="shared" ref="AG47:AH47" si="311">AG109+AG170+AG231+AG300+AG361</f>
        <v>157</v>
      </c>
      <c r="AH47" s="157">
        <f t="shared" si="311"/>
        <v>4419</v>
      </c>
      <c r="AI47" s="160">
        <f t="shared" si="21"/>
        <v>3.6837165649929608E-2</v>
      </c>
      <c r="AJ47" s="164">
        <f t="shared" si="22"/>
        <v>972</v>
      </c>
      <c r="AK47" s="165">
        <f t="shared" si="23"/>
        <v>5.2507550447442819E-2</v>
      </c>
    </row>
    <row r="48" spans="2:37" outlineLevel="1" x14ac:dyDescent="0.35">
      <c r="B48" s="48" t="s">
        <v>108</v>
      </c>
      <c r="C48" s="62" t="s">
        <v>141</v>
      </c>
      <c r="D48" s="157">
        <f t="shared" ref="D48:G48" si="312">D110+D171+D232+D301+D362</f>
        <v>319</v>
      </c>
      <c r="E48" s="157">
        <f t="shared" si="312"/>
        <v>4788</v>
      </c>
      <c r="F48" s="157">
        <f t="shared" si="312"/>
        <v>567</v>
      </c>
      <c r="G48" s="157">
        <f t="shared" si="312"/>
        <v>5355</v>
      </c>
      <c r="H48" s="160">
        <f t="shared" si="1"/>
        <v>0.11842105263157894</v>
      </c>
      <c r="I48" s="157">
        <f t="shared" ref="I48:J48" si="313">I110+I171+I232+I301+I362</f>
        <v>398</v>
      </c>
      <c r="J48" s="157">
        <f t="shared" si="313"/>
        <v>5753</v>
      </c>
      <c r="K48" s="160">
        <f t="shared" si="2"/>
        <v>7.4323062558356676E-2</v>
      </c>
      <c r="L48" s="157">
        <f t="shared" ref="L48:M48" si="314">L110+L171+L232+L301+L362</f>
        <v>367</v>
      </c>
      <c r="M48" s="157">
        <f t="shared" si="314"/>
        <v>6120</v>
      </c>
      <c r="N48" s="160">
        <f t="shared" si="3"/>
        <v>6.3792803754562838E-2</v>
      </c>
      <c r="O48" s="157">
        <f t="shared" ref="O48:P48" si="315">O110+O171+O232+O301+O362</f>
        <v>104</v>
      </c>
      <c r="P48" s="157">
        <f t="shared" si="315"/>
        <v>6224</v>
      </c>
      <c r="Q48" s="160">
        <f t="shared" si="10"/>
        <v>1.699346405228758E-2</v>
      </c>
      <c r="R48" s="164">
        <f t="shared" si="11"/>
        <v>1755</v>
      </c>
      <c r="S48" s="165">
        <f t="shared" si="12"/>
        <v>6.777281705296101E-2</v>
      </c>
      <c r="U48" s="157">
        <f t="shared" ref="U48:V48" si="316">U110+U171+U232+U301+U362</f>
        <v>278</v>
      </c>
      <c r="V48" s="157">
        <f t="shared" si="316"/>
        <v>6502</v>
      </c>
      <c r="W48" s="160">
        <f t="shared" si="5"/>
        <v>4.4665809768637529E-2</v>
      </c>
      <c r="X48" s="157">
        <f t="shared" ref="X48:Y48" si="317">X110+X171+X232+X301+X362</f>
        <v>313</v>
      </c>
      <c r="Y48" s="157">
        <f t="shared" si="317"/>
        <v>6815</v>
      </c>
      <c r="Z48" s="160">
        <f t="shared" si="15"/>
        <v>4.813903414334051E-2</v>
      </c>
      <c r="AA48" s="157">
        <f t="shared" ref="AA48:AB48" si="318">AA110+AA171+AA232+AA301+AA362</f>
        <v>493</v>
      </c>
      <c r="AB48" s="157">
        <f t="shared" si="318"/>
        <v>7308</v>
      </c>
      <c r="AC48" s="160">
        <f t="shared" si="17"/>
        <v>7.2340425531914887E-2</v>
      </c>
      <c r="AD48" s="157">
        <f t="shared" ref="AD48:AE48" si="319">AD110+AD171+AD232+AD301+AD362</f>
        <v>632</v>
      </c>
      <c r="AE48" s="157">
        <f t="shared" si="319"/>
        <v>7940</v>
      </c>
      <c r="AF48" s="174">
        <f t="shared" si="19"/>
        <v>8.6480569239189925E-2</v>
      </c>
      <c r="AG48" s="157">
        <f t="shared" ref="AG48:AH48" si="320">AG110+AG171+AG232+AG301+AG362</f>
        <v>572</v>
      </c>
      <c r="AH48" s="157">
        <f t="shared" si="320"/>
        <v>8512</v>
      </c>
      <c r="AI48" s="160">
        <f t="shared" si="21"/>
        <v>7.2040302267002518E-2</v>
      </c>
      <c r="AJ48" s="164">
        <f t="shared" si="22"/>
        <v>2288</v>
      </c>
      <c r="AK48" s="165">
        <f t="shared" si="23"/>
        <v>6.9661001962094682E-2</v>
      </c>
    </row>
    <row r="49" spans="2:37" outlineLevel="1" x14ac:dyDescent="0.35">
      <c r="B49" s="48" t="s">
        <v>109</v>
      </c>
      <c r="C49" s="62" t="s">
        <v>141</v>
      </c>
      <c r="D49" s="157">
        <f t="shared" ref="D49:G49" si="321">D111+D172+D233+D302+D363</f>
        <v>699</v>
      </c>
      <c r="E49" s="157">
        <f t="shared" si="321"/>
        <v>17740</v>
      </c>
      <c r="F49" s="157">
        <f t="shared" si="321"/>
        <v>831</v>
      </c>
      <c r="G49" s="157">
        <f t="shared" si="321"/>
        <v>18571</v>
      </c>
      <c r="H49" s="160">
        <f t="shared" si="1"/>
        <v>4.6843291995490415E-2</v>
      </c>
      <c r="I49" s="157">
        <f t="shared" ref="I49:J49" si="322">I111+I172+I233+I302+I363</f>
        <v>608</v>
      </c>
      <c r="J49" s="157">
        <f t="shared" si="322"/>
        <v>19179</v>
      </c>
      <c r="K49" s="160">
        <f t="shared" si="2"/>
        <v>3.2739217058855206E-2</v>
      </c>
      <c r="L49" s="157">
        <f t="shared" ref="L49:M49" si="323">L111+L172+L233+L302+L363</f>
        <v>42</v>
      </c>
      <c r="M49" s="157">
        <f t="shared" si="323"/>
        <v>19221</v>
      </c>
      <c r="N49" s="160">
        <f t="shared" si="3"/>
        <v>2.1898951978726734E-3</v>
      </c>
      <c r="O49" s="157">
        <f t="shared" ref="O49:P49" si="324">O111+O172+O233+O302+O363</f>
        <v>248</v>
      </c>
      <c r="P49" s="157">
        <f t="shared" si="324"/>
        <v>19469</v>
      </c>
      <c r="Q49" s="160">
        <f t="shared" si="10"/>
        <v>1.2902554497684824E-2</v>
      </c>
      <c r="R49" s="164">
        <f t="shared" si="11"/>
        <v>2428</v>
      </c>
      <c r="S49" s="165">
        <f t="shared" si="12"/>
        <v>2.3522766894715552E-2</v>
      </c>
      <c r="U49" s="157">
        <f t="shared" ref="U49:V49" si="325">U111+U172+U233+U302+U363</f>
        <v>606</v>
      </c>
      <c r="V49" s="157">
        <f t="shared" si="325"/>
        <v>20075</v>
      </c>
      <c r="W49" s="160">
        <f t="shared" si="5"/>
        <v>3.1126406081462839E-2</v>
      </c>
      <c r="X49" s="157">
        <f t="shared" ref="X49:Y49" si="326">X111+X172+X233+X302+X363</f>
        <v>668</v>
      </c>
      <c r="Y49" s="157">
        <f t="shared" si="326"/>
        <v>20743</v>
      </c>
      <c r="Z49" s="160">
        <f t="shared" si="15"/>
        <v>3.3275217932752177E-2</v>
      </c>
      <c r="AA49" s="157">
        <f t="shared" ref="AA49:AB49" si="327">AA111+AA172+AA233+AA302+AA363</f>
        <v>730</v>
      </c>
      <c r="AB49" s="157">
        <f t="shared" si="327"/>
        <v>21473</v>
      </c>
      <c r="AC49" s="160">
        <f t="shared" si="17"/>
        <v>3.5192595092320297E-2</v>
      </c>
      <c r="AD49" s="157">
        <f t="shared" ref="AD49:AE49" si="328">AD111+AD172+AD233+AD302+AD363</f>
        <v>650</v>
      </c>
      <c r="AE49" s="157">
        <f t="shared" si="328"/>
        <v>22123</v>
      </c>
      <c r="AF49" s="174">
        <f t="shared" si="19"/>
        <v>3.0270572346667909E-2</v>
      </c>
      <c r="AG49" s="157">
        <f t="shared" ref="AG49:AH49" si="329">AG111+AG172+AG233+AG302+AG363</f>
        <v>507</v>
      </c>
      <c r="AH49" s="157">
        <f t="shared" si="329"/>
        <v>22630</v>
      </c>
      <c r="AI49" s="160">
        <f t="shared" si="21"/>
        <v>2.2917325859964744E-2</v>
      </c>
      <c r="AJ49" s="164">
        <f t="shared" si="22"/>
        <v>3161</v>
      </c>
      <c r="AK49" s="165">
        <f t="shared" si="23"/>
        <v>3.0403321587546994E-2</v>
      </c>
    </row>
    <row r="50" spans="2:37" outlineLevel="1" x14ac:dyDescent="0.35">
      <c r="B50" s="48" t="s">
        <v>110</v>
      </c>
      <c r="C50" s="62" t="s">
        <v>141</v>
      </c>
      <c r="D50" s="157">
        <f t="shared" ref="D50:G50" si="330">D112+D173+D234+D303+D364</f>
        <v>150</v>
      </c>
      <c r="E50" s="157">
        <f t="shared" si="330"/>
        <v>1990</v>
      </c>
      <c r="F50" s="157">
        <f t="shared" si="330"/>
        <v>219</v>
      </c>
      <c r="G50" s="157">
        <f t="shared" si="330"/>
        <v>2209</v>
      </c>
      <c r="H50" s="160">
        <f t="shared" si="1"/>
        <v>0.1100502512562814</v>
      </c>
      <c r="I50" s="157">
        <f t="shared" ref="I50:J50" si="331">I112+I173+I234+I303+I364</f>
        <v>121</v>
      </c>
      <c r="J50" s="157">
        <f t="shared" si="331"/>
        <v>2330</v>
      </c>
      <c r="K50" s="160">
        <f t="shared" si="2"/>
        <v>5.477591670439113E-2</v>
      </c>
      <c r="L50" s="157">
        <f t="shared" ref="L50:M50" si="332">L112+L173+L234+L303+L364</f>
        <v>204</v>
      </c>
      <c r="M50" s="157">
        <f t="shared" si="332"/>
        <v>2534</v>
      </c>
      <c r="N50" s="160">
        <f t="shared" si="3"/>
        <v>8.7553648068669526E-2</v>
      </c>
      <c r="O50" s="157">
        <f t="shared" ref="O50:P50" si="333">O112+O173+O234+O303+O364</f>
        <v>35</v>
      </c>
      <c r="P50" s="157">
        <f t="shared" si="333"/>
        <v>2569</v>
      </c>
      <c r="Q50" s="160">
        <f t="shared" si="10"/>
        <v>1.3812154696132596E-2</v>
      </c>
      <c r="R50" s="164">
        <f t="shared" si="11"/>
        <v>729</v>
      </c>
      <c r="S50" s="165">
        <f t="shared" si="12"/>
        <v>6.5927721365546255E-2</v>
      </c>
      <c r="U50" s="157">
        <f t="shared" ref="U50:V50" si="334">U112+U173+U234+U303+U364</f>
        <v>67</v>
      </c>
      <c r="V50" s="157">
        <f t="shared" si="334"/>
        <v>2636</v>
      </c>
      <c r="W50" s="160">
        <f t="shared" si="5"/>
        <v>2.6080186843129623E-2</v>
      </c>
      <c r="X50" s="157">
        <f t="shared" ref="X50:Y50" si="335">X112+X173+X234+X303+X364</f>
        <v>74</v>
      </c>
      <c r="Y50" s="157">
        <f t="shared" si="335"/>
        <v>2710</v>
      </c>
      <c r="Z50" s="160">
        <f t="shared" si="15"/>
        <v>2.8072837632776935E-2</v>
      </c>
      <c r="AA50" s="157">
        <f t="shared" ref="AA50:AB50" si="336">AA112+AA173+AA234+AA303+AA364</f>
        <v>89</v>
      </c>
      <c r="AB50" s="157">
        <f t="shared" si="336"/>
        <v>2799</v>
      </c>
      <c r="AC50" s="160">
        <f t="shared" si="17"/>
        <v>3.2841328413284132E-2</v>
      </c>
      <c r="AD50" s="157">
        <f t="shared" ref="AD50:AE50" si="337">AD112+AD173+AD234+AD303+AD364</f>
        <v>83</v>
      </c>
      <c r="AE50" s="157">
        <f t="shared" si="337"/>
        <v>2882</v>
      </c>
      <c r="AF50" s="174">
        <f t="shared" si="19"/>
        <v>2.965344765987853E-2</v>
      </c>
      <c r="AG50" s="157">
        <f t="shared" ref="AG50:AH50" si="338">AG112+AG173+AG234+AG303+AG364</f>
        <v>98</v>
      </c>
      <c r="AH50" s="157">
        <f t="shared" si="338"/>
        <v>2980</v>
      </c>
      <c r="AI50" s="160">
        <f t="shared" si="21"/>
        <v>3.4004163775156145E-2</v>
      </c>
      <c r="AJ50" s="164">
        <f t="shared" si="22"/>
        <v>411</v>
      </c>
      <c r="AK50" s="165">
        <f t="shared" si="23"/>
        <v>3.1140190408751822E-2</v>
      </c>
    </row>
    <row r="51" spans="2:37" outlineLevel="1" x14ac:dyDescent="0.35">
      <c r="B51" s="48" t="s">
        <v>111</v>
      </c>
      <c r="C51" s="62" t="s">
        <v>141</v>
      </c>
      <c r="D51" s="157">
        <f t="shared" ref="D51:G51" si="339">D113+D174+D235+D304+D365</f>
        <v>153</v>
      </c>
      <c r="E51" s="157">
        <f t="shared" si="339"/>
        <v>1713</v>
      </c>
      <c r="F51" s="157">
        <f t="shared" si="339"/>
        <v>267</v>
      </c>
      <c r="G51" s="157">
        <f t="shared" si="339"/>
        <v>1980</v>
      </c>
      <c r="H51" s="160">
        <f t="shared" si="1"/>
        <v>0.15586690017513136</v>
      </c>
      <c r="I51" s="157">
        <f t="shared" ref="I51:J51" si="340">I113+I174+I235+I304+I365</f>
        <v>194</v>
      </c>
      <c r="J51" s="157">
        <f t="shared" si="340"/>
        <v>2174</v>
      </c>
      <c r="K51" s="160">
        <f t="shared" si="2"/>
        <v>9.7979797979797986E-2</v>
      </c>
      <c r="L51" s="157">
        <f t="shared" ref="L51:M51" si="341">L113+L174+L235+L304+L365</f>
        <v>102</v>
      </c>
      <c r="M51" s="157">
        <f t="shared" si="341"/>
        <v>2276</v>
      </c>
      <c r="N51" s="160">
        <f t="shared" si="3"/>
        <v>4.6918123275068994E-2</v>
      </c>
      <c r="O51" s="157">
        <f t="shared" ref="O51:P51" si="342">O113+O174+O235+O304+O365</f>
        <v>64</v>
      </c>
      <c r="P51" s="157">
        <f t="shared" si="342"/>
        <v>2340</v>
      </c>
      <c r="Q51" s="160">
        <f t="shared" si="10"/>
        <v>2.8119507908611598E-2</v>
      </c>
      <c r="R51" s="164">
        <f t="shared" si="11"/>
        <v>780</v>
      </c>
      <c r="S51" s="165">
        <f t="shared" si="12"/>
        <v>8.1096903939786191E-2</v>
      </c>
      <c r="U51" s="157">
        <f t="shared" ref="U51:V51" si="343">U113+U174+U235+U304+U365</f>
        <v>99</v>
      </c>
      <c r="V51" s="157">
        <f t="shared" si="343"/>
        <v>2439</v>
      </c>
      <c r="W51" s="160">
        <f t="shared" si="5"/>
        <v>4.230769230769231E-2</v>
      </c>
      <c r="X51" s="157">
        <f t="shared" ref="X51:Y51" si="344">X113+X174+X235+X304+X365</f>
        <v>142</v>
      </c>
      <c r="Y51" s="157">
        <f t="shared" si="344"/>
        <v>2581</v>
      </c>
      <c r="Z51" s="160">
        <f t="shared" si="15"/>
        <v>5.8220582205822061E-2</v>
      </c>
      <c r="AA51" s="157">
        <f t="shared" ref="AA51:AB51" si="345">AA113+AA174+AA235+AA304+AA365</f>
        <v>208</v>
      </c>
      <c r="AB51" s="157">
        <f t="shared" si="345"/>
        <v>2789</v>
      </c>
      <c r="AC51" s="160">
        <f t="shared" si="17"/>
        <v>8.0588919023634256E-2</v>
      </c>
      <c r="AD51" s="157">
        <f t="shared" ref="AD51:AE51" si="346">AD113+AD174+AD235+AD304+AD365</f>
        <v>193</v>
      </c>
      <c r="AE51" s="157">
        <f t="shared" si="346"/>
        <v>2982</v>
      </c>
      <c r="AF51" s="174">
        <f t="shared" si="19"/>
        <v>6.9200430261742565E-2</v>
      </c>
      <c r="AG51" s="157">
        <f t="shared" ref="AG51:AH51" si="347">AG113+AG174+AG235+AG304+AG365</f>
        <v>152</v>
      </c>
      <c r="AH51" s="157">
        <f t="shared" si="347"/>
        <v>3134</v>
      </c>
      <c r="AI51" s="160">
        <f t="shared" si="21"/>
        <v>5.0972501676727032E-2</v>
      </c>
      <c r="AJ51" s="164">
        <f t="shared" si="22"/>
        <v>794</v>
      </c>
      <c r="AK51" s="165">
        <f t="shared" si="23"/>
        <v>6.4686624083937438E-2</v>
      </c>
    </row>
    <row r="52" spans="2:37" outlineLevel="1" x14ac:dyDescent="0.35">
      <c r="B52" s="48" t="s">
        <v>112</v>
      </c>
      <c r="C52" s="62" t="s">
        <v>141</v>
      </c>
      <c r="D52" s="157">
        <f t="shared" ref="D52:G52" si="348">D114+D175+D236+D305+D366</f>
        <v>245</v>
      </c>
      <c r="E52" s="157">
        <f t="shared" si="348"/>
        <v>3231</v>
      </c>
      <c r="F52" s="157">
        <f t="shared" si="348"/>
        <v>278</v>
      </c>
      <c r="G52" s="157">
        <f t="shared" si="348"/>
        <v>3509</v>
      </c>
      <c r="H52" s="160">
        <f t="shared" si="1"/>
        <v>8.6041473228102752E-2</v>
      </c>
      <c r="I52" s="157">
        <f t="shared" ref="I52:J52" si="349">I114+I175+I236+I305+I366</f>
        <v>237</v>
      </c>
      <c r="J52" s="157">
        <f t="shared" si="349"/>
        <v>3746</v>
      </c>
      <c r="K52" s="160">
        <f t="shared" si="2"/>
        <v>6.7540609860359077E-2</v>
      </c>
      <c r="L52" s="157">
        <f t="shared" ref="L52:M52" si="350">L114+L175+L236+L305+L366</f>
        <v>195</v>
      </c>
      <c r="M52" s="157">
        <f t="shared" si="350"/>
        <v>3941</v>
      </c>
      <c r="N52" s="160">
        <f t="shared" si="3"/>
        <v>5.205552589428724E-2</v>
      </c>
      <c r="O52" s="157">
        <f t="shared" ref="O52:P52" si="351">O114+O175+O236+O305+O366</f>
        <v>54</v>
      </c>
      <c r="P52" s="157">
        <f t="shared" si="351"/>
        <v>3995</v>
      </c>
      <c r="Q52" s="160">
        <f t="shared" si="10"/>
        <v>1.3702106064450647E-2</v>
      </c>
      <c r="R52" s="164">
        <f t="shared" si="11"/>
        <v>1009</v>
      </c>
      <c r="S52" s="165">
        <f t="shared" si="12"/>
        <v>5.4496047907254486E-2</v>
      </c>
      <c r="U52" s="157">
        <f t="shared" ref="U52:V52" si="352">U114+U175+U236+U305+U366</f>
        <v>170</v>
      </c>
      <c r="V52" s="157">
        <f t="shared" si="352"/>
        <v>4165</v>
      </c>
      <c r="W52" s="160">
        <f t="shared" si="5"/>
        <v>4.2553191489361701E-2</v>
      </c>
      <c r="X52" s="157">
        <f t="shared" ref="X52:Y52" si="353">X114+X175+X236+X305+X366</f>
        <v>254</v>
      </c>
      <c r="Y52" s="157">
        <f t="shared" si="353"/>
        <v>4419</v>
      </c>
      <c r="Z52" s="160">
        <f t="shared" si="15"/>
        <v>6.0984393757503003E-2</v>
      </c>
      <c r="AA52" s="157">
        <f t="shared" ref="AA52:AB52" si="354">AA114+AA175+AA236+AA305+AA366</f>
        <v>328</v>
      </c>
      <c r="AB52" s="157">
        <f t="shared" si="354"/>
        <v>4747</v>
      </c>
      <c r="AC52" s="160">
        <f t="shared" si="17"/>
        <v>7.4224937768725963E-2</v>
      </c>
      <c r="AD52" s="157">
        <f t="shared" ref="AD52:AE52" si="355">AD114+AD175+AD236+AD305+AD366</f>
        <v>328</v>
      </c>
      <c r="AE52" s="157">
        <f t="shared" si="355"/>
        <v>5075</v>
      </c>
      <c r="AF52" s="174">
        <f t="shared" si="19"/>
        <v>6.9096271329260592E-2</v>
      </c>
      <c r="AG52" s="157">
        <f t="shared" ref="AG52:AH52" si="356">AG114+AG175+AG236+AG305+AG366</f>
        <v>332</v>
      </c>
      <c r="AH52" s="157">
        <f t="shared" si="356"/>
        <v>5407</v>
      </c>
      <c r="AI52" s="160">
        <f t="shared" si="21"/>
        <v>6.5418719211822657E-2</v>
      </c>
      <c r="AJ52" s="164">
        <f t="shared" si="22"/>
        <v>1412</v>
      </c>
      <c r="AK52" s="165">
        <f t="shared" si="23"/>
        <v>6.7420012632771087E-2</v>
      </c>
    </row>
    <row r="53" spans="2:37" outlineLevel="1" x14ac:dyDescent="0.35">
      <c r="B53" s="48" t="s">
        <v>113</v>
      </c>
      <c r="C53" s="62" t="s">
        <v>141</v>
      </c>
      <c r="D53" s="157">
        <f t="shared" ref="D53:G53" si="357">D115+D176+D237+D306+D367</f>
        <v>0</v>
      </c>
      <c r="E53" s="157">
        <f t="shared" si="357"/>
        <v>0</v>
      </c>
      <c r="F53" s="157">
        <f t="shared" si="357"/>
        <v>0</v>
      </c>
      <c r="G53" s="157">
        <f t="shared" si="357"/>
        <v>0</v>
      </c>
      <c r="H53" s="160">
        <f t="shared" si="1"/>
        <v>0</v>
      </c>
      <c r="I53" s="157">
        <f t="shared" ref="I53:J53" si="358">I115+I176+I237+I306+I367</f>
        <v>0</v>
      </c>
      <c r="J53" s="157">
        <f t="shared" si="358"/>
        <v>0</v>
      </c>
      <c r="K53" s="160">
        <f t="shared" si="2"/>
        <v>0</v>
      </c>
      <c r="L53" s="157">
        <f t="shared" ref="L53:M53" si="359">L115+L176+L237+L306+L367</f>
        <v>0</v>
      </c>
      <c r="M53" s="157">
        <f t="shared" si="359"/>
        <v>0</v>
      </c>
      <c r="N53" s="160">
        <f t="shared" si="3"/>
        <v>0</v>
      </c>
      <c r="O53" s="157">
        <f t="shared" ref="O53:P53" si="360">O115+O176+O237+O306+O367</f>
        <v>1</v>
      </c>
      <c r="P53" s="157">
        <f t="shared" si="360"/>
        <v>1</v>
      </c>
      <c r="Q53" s="160">
        <f t="shared" si="10"/>
        <v>0</v>
      </c>
      <c r="R53" s="164">
        <f t="shared" si="11"/>
        <v>1</v>
      </c>
      <c r="S53" s="165">
        <f t="shared" si="12"/>
        <v>0</v>
      </c>
      <c r="U53" s="157">
        <f t="shared" ref="U53:V53" si="361">U115+U176+U237+U306+U367</f>
        <v>0</v>
      </c>
      <c r="V53" s="157">
        <f t="shared" si="361"/>
        <v>1</v>
      </c>
      <c r="W53" s="160">
        <f t="shared" si="5"/>
        <v>0</v>
      </c>
      <c r="X53" s="157">
        <f t="shared" ref="X53:Y53" si="362">X115+X176+X237+X306+X367</f>
        <v>0</v>
      </c>
      <c r="Y53" s="157">
        <f t="shared" si="362"/>
        <v>1</v>
      </c>
      <c r="Z53" s="160">
        <f t="shared" si="15"/>
        <v>0</v>
      </c>
      <c r="AA53" s="157">
        <f t="shared" ref="AA53:AB53" si="363">AA115+AA176+AA237+AA306+AA367</f>
        <v>1</v>
      </c>
      <c r="AB53" s="157">
        <f t="shared" si="363"/>
        <v>2</v>
      </c>
      <c r="AC53" s="160">
        <f t="shared" si="17"/>
        <v>1</v>
      </c>
      <c r="AD53" s="157">
        <f t="shared" ref="AD53:AE53" si="364">AD115+AD176+AD237+AD306+AD367</f>
        <v>0</v>
      </c>
      <c r="AE53" s="157">
        <f t="shared" si="364"/>
        <v>2</v>
      </c>
      <c r="AF53" s="174">
        <f t="shared" si="19"/>
        <v>0</v>
      </c>
      <c r="AG53" s="157">
        <f t="shared" ref="AG53:AH53" si="365">AG115+AG176+AG237+AG306+AG367</f>
        <v>0</v>
      </c>
      <c r="AH53" s="157">
        <f t="shared" si="365"/>
        <v>2</v>
      </c>
      <c r="AI53" s="160">
        <f t="shared" si="21"/>
        <v>0</v>
      </c>
      <c r="AJ53" s="164">
        <f t="shared" si="22"/>
        <v>1</v>
      </c>
      <c r="AK53" s="165">
        <f t="shared" si="23"/>
        <v>0.18920711500272103</v>
      </c>
    </row>
    <row r="54" spans="2:37" outlineLevel="1" x14ac:dyDescent="0.35">
      <c r="B54" s="48" t="s">
        <v>114</v>
      </c>
      <c r="C54" s="62" t="s">
        <v>141</v>
      </c>
      <c r="D54" s="157">
        <f t="shared" ref="D54:G54" si="366">D116+D177+D238+D307+D368</f>
        <v>585</v>
      </c>
      <c r="E54" s="157">
        <f t="shared" si="366"/>
        <v>17311</v>
      </c>
      <c r="F54" s="157">
        <f t="shared" si="366"/>
        <v>630</v>
      </c>
      <c r="G54" s="157">
        <f t="shared" si="366"/>
        <v>17941</v>
      </c>
      <c r="H54" s="160">
        <f t="shared" si="1"/>
        <v>3.6393044884755359E-2</v>
      </c>
      <c r="I54" s="157">
        <f t="shared" ref="I54:J54" si="367">I116+I177+I238+I307+I368</f>
        <v>571</v>
      </c>
      <c r="J54" s="157">
        <f t="shared" si="367"/>
        <v>18512</v>
      </c>
      <c r="K54" s="160">
        <f t="shared" si="2"/>
        <v>3.1826542556156287E-2</v>
      </c>
      <c r="L54" s="157">
        <f t="shared" ref="L54:M54" si="368">L116+L177+L238+L307+L368</f>
        <v>-948</v>
      </c>
      <c r="M54" s="157">
        <f t="shared" si="368"/>
        <v>17564</v>
      </c>
      <c r="N54" s="160">
        <f t="shared" si="3"/>
        <v>-5.1210025929127052E-2</v>
      </c>
      <c r="O54" s="157">
        <f t="shared" ref="O54:P54" si="369">O116+O177+O238+O307+O368</f>
        <v>48</v>
      </c>
      <c r="P54" s="157">
        <f t="shared" si="369"/>
        <v>17612</v>
      </c>
      <c r="Q54" s="160">
        <f t="shared" si="10"/>
        <v>2.7328626736506491E-3</v>
      </c>
      <c r="R54" s="164">
        <f t="shared" si="11"/>
        <v>886</v>
      </c>
      <c r="S54" s="165">
        <f t="shared" si="12"/>
        <v>4.3188872016473034E-3</v>
      </c>
      <c r="U54" s="157">
        <f t="shared" ref="U54:V54" si="370">U116+U177+U238+U307+U368</f>
        <v>592</v>
      </c>
      <c r="V54" s="157">
        <f t="shared" si="370"/>
        <v>18204</v>
      </c>
      <c r="W54" s="160">
        <f t="shared" si="5"/>
        <v>3.3613445378151259E-2</v>
      </c>
      <c r="X54" s="157">
        <f t="shared" ref="X54:Y54" si="371">X116+X177+X238+X307+X368</f>
        <v>653</v>
      </c>
      <c r="Y54" s="157">
        <f t="shared" si="371"/>
        <v>18857</v>
      </c>
      <c r="Z54" s="160">
        <f t="shared" si="15"/>
        <v>3.5871237090749283E-2</v>
      </c>
      <c r="AA54" s="157">
        <f t="shared" ref="AA54:AB54" si="372">AA116+AA177+AA238+AA307+AA368</f>
        <v>686</v>
      </c>
      <c r="AB54" s="157">
        <f t="shared" si="372"/>
        <v>19543</v>
      </c>
      <c r="AC54" s="160">
        <f t="shared" si="17"/>
        <v>3.6379063477753618E-2</v>
      </c>
      <c r="AD54" s="157">
        <f t="shared" ref="AD54:AE54" si="373">AD116+AD177+AD238+AD307+AD368</f>
        <v>601</v>
      </c>
      <c r="AE54" s="157">
        <f t="shared" si="373"/>
        <v>20144</v>
      </c>
      <c r="AF54" s="174">
        <f t="shared" si="19"/>
        <v>3.0752699176175614E-2</v>
      </c>
      <c r="AG54" s="157">
        <f t="shared" ref="AG54:AH54" si="374">AG116+AG177+AG238+AG307+AG368</f>
        <v>473</v>
      </c>
      <c r="AH54" s="157">
        <f t="shared" si="374"/>
        <v>20617</v>
      </c>
      <c r="AI54" s="160">
        <f t="shared" si="21"/>
        <v>2.3480937251787133E-2</v>
      </c>
      <c r="AJ54" s="164">
        <f t="shared" si="22"/>
        <v>3005</v>
      </c>
      <c r="AK54" s="165">
        <f t="shared" si="23"/>
        <v>3.1607904132413989E-2</v>
      </c>
    </row>
    <row r="55" spans="2:37" outlineLevel="1" x14ac:dyDescent="0.35">
      <c r="B55" s="48" t="s">
        <v>115</v>
      </c>
      <c r="C55" s="62" t="s">
        <v>141</v>
      </c>
      <c r="D55" s="157">
        <f t="shared" ref="D55:G55" si="375">D117+D178+D239+D308+D369</f>
        <v>632</v>
      </c>
      <c r="E55" s="157">
        <f t="shared" si="375"/>
        <v>845</v>
      </c>
      <c r="F55" s="157">
        <f t="shared" si="375"/>
        <v>1317</v>
      </c>
      <c r="G55" s="157">
        <f t="shared" si="375"/>
        <v>2162</v>
      </c>
      <c r="H55" s="160">
        <f t="shared" si="1"/>
        <v>1.5585798816568048</v>
      </c>
      <c r="I55" s="157">
        <f t="shared" ref="I55:J55" si="376">I117+I178+I239+I308+I369</f>
        <v>523</v>
      </c>
      <c r="J55" s="157">
        <f t="shared" si="376"/>
        <v>2685</v>
      </c>
      <c r="K55" s="160">
        <f t="shared" si="2"/>
        <v>0.24190564292321926</v>
      </c>
      <c r="L55" s="157">
        <f t="shared" ref="L55:M55" si="377">L117+L178+L239+L308+L369</f>
        <v>578</v>
      </c>
      <c r="M55" s="157">
        <f t="shared" si="377"/>
        <v>3263</v>
      </c>
      <c r="N55" s="160">
        <f t="shared" si="3"/>
        <v>0.21527001862197392</v>
      </c>
      <c r="O55" s="157">
        <f t="shared" ref="O55:P55" si="378">O117+O178+O239+O308+O369</f>
        <v>149</v>
      </c>
      <c r="P55" s="157">
        <f t="shared" si="378"/>
        <v>3412</v>
      </c>
      <c r="Q55" s="160">
        <f t="shared" si="10"/>
        <v>4.5663499846766778E-2</v>
      </c>
      <c r="R55" s="164">
        <f t="shared" si="11"/>
        <v>3199</v>
      </c>
      <c r="S55" s="165">
        <f t="shared" si="12"/>
        <v>0.41754899488271957</v>
      </c>
      <c r="U55" s="157">
        <f t="shared" ref="U55:V55" si="379">U117+U178+U239+U308+U369</f>
        <v>229</v>
      </c>
      <c r="V55" s="157">
        <f t="shared" si="379"/>
        <v>3641</v>
      </c>
      <c r="W55" s="160">
        <f t="shared" si="5"/>
        <v>6.7116060961313007E-2</v>
      </c>
      <c r="X55" s="157">
        <f t="shared" ref="X55:Y55" si="380">X117+X178+X239+X308+X369</f>
        <v>297</v>
      </c>
      <c r="Y55" s="157">
        <f t="shared" si="380"/>
        <v>3938</v>
      </c>
      <c r="Z55" s="160">
        <f t="shared" si="15"/>
        <v>8.1570996978851965E-2</v>
      </c>
      <c r="AA55" s="157">
        <f t="shared" ref="AA55:AB55" si="381">AA117+AA178+AA239+AA308+AA369</f>
        <v>338</v>
      </c>
      <c r="AB55" s="157">
        <f t="shared" si="381"/>
        <v>4276</v>
      </c>
      <c r="AC55" s="160">
        <f t="shared" si="17"/>
        <v>8.5830370746571863E-2</v>
      </c>
      <c r="AD55" s="157">
        <f t="shared" ref="AD55:AE55" si="382">AD117+AD178+AD239+AD308+AD369</f>
        <v>329</v>
      </c>
      <c r="AE55" s="157">
        <f t="shared" si="382"/>
        <v>4605</v>
      </c>
      <c r="AF55" s="174">
        <f t="shared" si="19"/>
        <v>7.694106641721235E-2</v>
      </c>
      <c r="AG55" s="157">
        <f t="shared" ref="AG55:AH55" si="383">AG117+AG178+AG239+AG308+AG369</f>
        <v>300</v>
      </c>
      <c r="AH55" s="157">
        <f t="shared" si="383"/>
        <v>4905</v>
      </c>
      <c r="AI55" s="160">
        <f t="shared" si="21"/>
        <v>6.5146579804560262E-2</v>
      </c>
      <c r="AJ55" s="164">
        <f t="shared" si="22"/>
        <v>1493</v>
      </c>
      <c r="AK55" s="165">
        <f t="shared" si="23"/>
        <v>7.7344461129384978E-2</v>
      </c>
    </row>
    <row r="56" spans="2:37" outlineLevel="1" x14ac:dyDescent="0.35">
      <c r="B56" s="48" t="s">
        <v>116</v>
      </c>
      <c r="C56" s="62" t="s">
        <v>141</v>
      </c>
      <c r="D56" s="157">
        <f t="shared" ref="D56:G56" si="384">D118+D179+D240+D309+D370</f>
        <v>601</v>
      </c>
      <c r="E56" s="157">
        <f t="shared" si="384"/>
        <v>15992</v>
      </c>
      <c r="F56" s="157">
        <f t="shared" si="384"/>
        <v>386</v>
      </c>
      <c r="G56" s="157">
        <f t="shared" si="384"/>
        <v>16378</v>
      </c>
      <c r="H56" s="160">
        <f t="shared" si="1"/>
        <v>2.4137068534267135E-2</v>
      </c>
      <c r="I56" s="157">
        <f t="shared" ref="I56:J56" si="385">I118+I179+I240+I309+I370</f>
        <v>523</v>
      </c>
      <c r="J56" s="157">
        <f t="shared" si="385"/>
        <v>16901</v>
      </c>
      <c r="K56" s="160">
        <f t="shared" si="2"/>
        <v>3.1933080962266457E-2</v>
      </c>
      <c r="L56" s="157">
        <f t="shared" ref="L56:M56" si="386">L118+L179+L240+L309+L370</f>
        <v>-422</v>
      </c>
      <c r="M56" s="157">
        <f t="shared" si="386"/>
        <v>16479</v>
      </c>
      <c r="N56" s="160">
        <f t="shared" si="3"/>
        <v>-2.4968936749304775E-2</v>
      </c>
      <c r="O56" s="157">
        <f t="shared" ref="O56:P56" si="387">O118+O179+O240+O309+O370</f>
        <v>125</v>
      </c>
      <c r="P56" s="157">
        <f t="shared" si="387"/>
        <v>16604</v>
      </c>
      <c r="Q56" s="160">
        <f t="shared" si="10"/>
        <v>7.5854117361490378E-3</v>
      </c>
      <c r="R56" s="164">
        <f t="shared" si="11"/>
        <v>1213</v>
      </c>
      <c r="S56" s="165">
        <f t="shared" si="12"/>
        <v>9.4329708978619919E-3</v>
      </c>
      <c r="U56" s="157">
        <f t="shared" ref="U56:V56" si="388">U118+U179+U240+U309+U370</f>
        <v>442</v>
      </c>
      <c r="V56" s="157">
        <f t="shared" si="388"/>
        <v>17046</v>
      </c>
      <c r="W56" s="160">
        <f t="shared" si="5"/>
        <v>2.6620091544206217E-2</v>
      </c>
      <c r="X56" s="157">
        <f t="shared" ref="X56:Y56" si="389">X118+X179+X240+X309+X370</f>
        <v>486</v>
      </c>
      <c r="Y56" s="157">
        <f t="shared" si="389"/>
        <v>17532</v>
      </c>
      <c r="Z56" s="160">
        <f t="shared" si="15"/>
        <v>2.8511087645195353E-2</v>
      </c>
      <c r="AA56" s="157">
        <f t="shared" ref="AA56:AB56" si="390">AA118+AA179+AA240+AA309+AA370</f>
        <v>509</v>
      </c>
      <c r="AB56" s="157">
        <f t="shared" si="390"/>
        <v>18041</v>
      </c>
      <c r="AC56" s="160">
        <f t="shared" si="17"/>
        <v>2.9032626055213326E-2</v>
      </c>
      <c r="AD56" s="157">
        <f t="shared" ref="AD56:AE56" si="391">AD118+AD179+AD240+AD309+AD370</f>
        <v>445</v>
      </c>
      <c r="AE56" s="157">
        <f t="shared" si="391"/>
        <v>18486</v>
      </c>
      <c r="AF56" s="174">
        <f t="shared" si="19"/>
        <v>2.4666038467934151E-2</v>
      </c>
      <c r="AG56" s="157">
        <f t="shared" ref="AG56:AH56" si="392">AG118+AG179+AG240+AG309+AG370</f>
        <v>350</v>
      </c>
      <c r="AH56" s="157">
        <f t="shared" si="392"/>
        <v>18836</v>
      </c>
      <c r="AI56" s="160">
        <f t="shared" si="21"/>
        <v>1.8933246781348046E-2</v>
      </c>
      <c r="AJ56" s="164">
        <f t="shared" si="22"/>
        <v>2232</v>
      </c>
      <c r="AK56" s="165">
        <f t="shared" si="23"/>
        <v>2.5277789552583974E-2</v>
      </c>
    </row>
    <row r="57" spans="2:37" outlineLevel="1" x14ac:dyDescent="0.35">
      <c r="B57" s="48" t="s">
        <v>117</v>
      </c>
      <c r="C57" s="62" t="s">
        <v>141</v>
      </c>
      <c r="D57" s="157">
        <f t="shared" ref="D57:G57" si="393">D119+D180+D241+D310+D371</f>
        <v>448</v>
      </c>
      <c r="E57" s="157">
        <f t="shared" si="393"/>
        <v>10079</v>
      </c>
      <c r="F57" s="157">
        <f t="shared" si="393"/>
        <v>669</v>
      </c>
      <c r="G57" s="157">
        <f t="shared" si="393"/>
        <v>10748</v>
      </c>
      <c r="H57" s="160">
        <f t="shared" si="1"/>
        <v>6.6375632503224521E-2</v>
      </c>
      <c r="I57" s="157">
        <f t="shared" ref="I57:J57" si="394">I119+I180+I241+I310+I371</f>
        <v>476</v>
      </c>
      <c r="J57" s="157">
        <f t="shared" si="394"/>
        <v>11224</v>
      </c>
      <c r="K57" s="160">
        <f t="shared" si="2"/>
        <v>4.4287309266840345E-2</v>
      </c>
      <c r="L57" s="157">
        <f t="shared" ref="L57:M57" si="395">L119+L180+L241+L310+L371</f>
        <v>316</v>
      </c>
      <c r="M57" s="157">
        <f t="shared" si="395"/>
        <v>11540</v>
      </c>
      <c r="N57" s="160">
        <f t="shared" si="3"/>
        <v>2.8153955808980755E-2</v>
      </c>
      <c r="O57" s="157">
        <f t="shared" ref="O57:P57" si="396">O119+O180+O241+O310+O371</f>
        <v>86</v>
      </c>
      <c r="P57" s="157">
        <f t="shared" si="396"/>
        <v>11626</v>
      </c>
      <c r="Q57" s="160">
        <f t="shared" si="10"/>
        <v>7.4523396880415947E-3</v>
      </c>
      <c r="R57" s="164">
        <f t="shared" si="11"/>
        <v>1995</v>
      </c>
      <c r="S57" s="165">
        <f t="shared" si="12"/>
        <v>3.6342284253559676E-2</v>
      </c>
      <c r="U57" s="157">
        <f t="shared" ref="U57:V57" si="397">U119+U180+U241+U310+U371</f>
        <v>508</v>
      </c>
      <c r="V57" s="157">
        <f t="shared" si="397"/>
        <v>12134</v>
      </c>
      <c r="W57" s="160">
        <f t="shared" si="5"/>
        <v>4.3695166007225186E-2</v>
      </c>
      <c r="X57" s="157">
        <f t="shared" ref="X57:Y57" si="398">X119+X180+X241+X310+X371</f>
        <v>779</v>
      </c>
      <c r="Y57" s="157">
        <f t="shared" si="398"/>
        <v>12913</v>
      </c>
      <c r="Z57" s="160">
        <f t="shared" si="15"/>
        <v>6.4199769243448168E-2</v>
      </c>
      <c r="AA57" s="157">
        <f t="shared" ref="AA57:AB57" si="399">AA119+AA180+AA241+AA310+AA371</f>
        <v>957</v>
      </c>
      <c r="AB57" s="157">
        <f t="shared" si="399"/>
        <v>13870</v>
      </c>
      <c r="AC57" s="160">
        <f t="shared" si="17"/>
        <v>7.4111360644311938E-2</v>
      </c>
      <c r="AD57" s="157">
        <f t="shared" ref="AD57:AE57" si="400">AD119+AD180+AD241+AD310+AD371</f>
        <v>1067</v>
      </c>
      <c r="AE57" s="157">
        <f t="shared" si="400"/>
        <v>14937</v>
      </c>
      <c r="AF57" s="174">
        <f t="shared" si="19"/>
        <v>7.6928622927180973E-2</v>
      </c>
      <c r="AG57" s="157">
        <f t="shared" ref="AG57:AH57" si="401">AG119+AG180+AG241+AG310+AG371</f>
        <v>987</v>
      </c>
      <c r="AH57" s="157">
        <f t="shared" si="401"/>
        <v>15924</v>
      </c>
      <c r="AI57" s="160">
        <f t="shared" si="21"/>
        <v>6.6077525607551715E-2</v>
      </c>
      <c r="AJ57" s="164">
        <f t="shared" si="22"/>
        <v>4298</v>
      </c>
      <c r="AK57" s="165">
        <f t="shared" si="23"/>
        <v>7.0316066282892331E-2</v>
      </c>
    </row>
    <row r="58" spans="2:37" outlineLevel="1" x14ac:dyDescent="0.35">
      <c r="B58" s="48" t="s">
        <v>118</v>
      </c>
      <c r="C58" s="62" t="s">
        <v>141</v>
      </c>
      <c r="D58" s="157">
        <f t="shared" ref="D58:G58" si="402">D120+D181+D242+D311+D372</f>
        <v>462</v>
      </c>
      <c r="E58" s="157">
        <f t="shared" si="402"/>
        <v>4286</v>
      </c>
      <c r="F58" s="157">
        <f t="shared" si="402"/>
        <v>993</v>
      </c>
      <c r="G58" s="157">
        <f t="shared" si="402"/>
        <v>5279</v>
      </c>
      <c r="H58" s="160">
        <f t="shared" si="1"/>
        <v>0.23168455436304247</v>
      </c>
      <c r="I58" s="157">
        <f t="shared" ref="I58:J58" si="403">I120+I181+I242+I311+I372</f>
        <v>458</v>
      </c>
      <c r="J58" s="157">
        <f t="shared" si="403"/>
        <v>5737</v>
      </c>
      <c r="K58" s="160">
        <f t="shared" si="2"/>
        <v>8.6758855843909827E-2</v>
      </c>
      <c r="L58" s="157">
        <f t="shared" ref="L58:M58" si="404">L120+L181+L242+L311+L372</f>
        <v>303</v>
      </c>
      <c r="M58" s="157">
        <f t="shared" si="404"/>
        <v>6040</v>
      </c>
      <c r="N58" s="160">
        <f t="shared" si="3"/>
        <v>5.281506013595956E-2</v>
      </c>
      <c r="O58" s="157">
        <f t="shared" ref="O58:P58" si="405">O120+O181+O242+O311+O372</f>
        <v>201</v>
      </c>
      <c r="P58" s="157">
        <f t="shared" si="405"/>
        <v>6241</v>
      </c>
      <c r="Q58" s="160">
        <f t="shared" si="10"/>
        <v>3.327814569536424E-2</v>
      </c>
      <c r="R58" s="164">
        <f t="shared" si="11"/>
        <v>2417</v>
      </c>
      <c r="S58" s="165">
        <f t="shared" si="12"/>
        <v>9.8501119792359315E-2</v>
      </c>
      <c r="U58" s="157">
        <f t="shared" ref="U58:V58" si="406">U120+U181+U242+U311+U372</f>
        <v>203</v>
      </c>
      <c r="V58" s="157">
        <f t="shared" si="406"/>
        <v>6444</v>
      </c>
      <c r="W58" s="160">
        <f t="shared" si="5"/>
        <v>3.2526838647652621E-2</v>
      </c>
      <c r="X58" s="157">
        <f t="shared" ref="X58:Y58" si="407">X120+X181+X242+X311+X372</f>
        <v>224</v>
      </c>
      <c r="Y58" s="157">
        <f t="shared" si="407"/>
        <v>6668</v>
      </c>
      <c r="Z58" s="160">
        <f t="shared" si="15"/>
        <v>3.4761018001241463E-2</v>
      </c>
      <c r="AA58" s="157">
        <f t="shared" ref="AA58:AB58" si="408">AA120+AA181+AA242+AA311+AA372</f>
        <v>232</v>
      </c>
      <c r="AB58" s="157">
        <f t="shared" si="408"/>
        <v>6900</v>
      </c>
      <c r="AC58" s="160">
        <f t="shared" si="17"/>
        <v>3.4793041391721659E-2</v>
      </c>
      <c r="AD58" s="157">
        <f t="shared" ref="AD58:AE58" si="409">AD120+AD181+AD242+AD311+AD372</f>
        <v>203</v>
      </c>
      <c r="AE58" s="157">
        <f t="shared" si="409"/>
        <v>7103</v>
      </c>
      <c r="AF58" s="174">
        <f t="shared" si="19"/>
        <v>2.9420289855072463E-2</v>
      </c>
      <c r="AG58" s="157">
        <f t="shared" ref="AG58:AH58" si="410">AG120+AG181+AG242+AG311+AG372</f>
        <v>175</v>
      </c>
      <c r="AH58" s="157">
        <f t="shared" si="410"/>
        <v>7278</v>
      </c>
      <c r="AI58" s="160">
        <f t="shared" si="21"/>
        <v>2.4637477122342672E-2</v>
      </c>
      <c r="AJ58" s="164">
        <f t="shared" si="22"/>
        <v>1037</v>
      </c>
      <c r="AK58" s="165">
        <f t="shared" si="23"/>
        <v>3.0894279911149347E-2</v>
      </c>
    </row>
    <row r="59" spans="2:37" outlineLevel="1" x14ac:dyDescent="0.35">
      <c r="B59" s="48" t="s">
        <v>119</v>
      </c>
      <c r="C59" s="62" t="s">
        <v>141</v>
      </c>
      <c r="D59" s="157">
        <f t="shared" ref="D59:G59" si="411">D121+D182+D243+D312+D373</f>
        <v>0</v>
      </c>
      <c r="E59" s="157">
        <f t="shared" si="411"/>
        <v>7</v>
      </c>
      <c r="F59" s="157">
        <f t="shared" si="411"/>
        <v>1</v>
      </c>
      <c r="G59" s="157">
        <f t="shared" si="411"/>
        <v>8</v>
      </c>
      <c r="H59" s="160">
        <f t="shared" si="1"/>
        <v>0.14285714285714285</v>
      </c>
      <c r="I59" s="157">
        <f t="shared" ref="I59:J59" si="412">I121+I182+I243+I312+I373</f>
        <v>3</v>
      </c>
      <c r="J59" s="157">
        <f t="shared" si="412"/>
        <v>11</v>
      </c>
      <c r="K59" s="160">
        <f t="shared" si="2"/>
        <v>0.375</v>
      </c>
      <c r="L59" s="157">
        <f t="shared" ref="L59:M59" si="413">L121+L182+L243+L312+L373</f>
        <v>-1</v>
      </c>
      <c r="M59" s="157">
        <f t="shared" si="413"/>
        <v>10</v>
      </c>
      <c r="N59" s="160">
        <f t="shared" si="3"/>
        <v>-9.0909090909090912E-2</v>
      </c>
      <c r="O59" s="157">
        <f t="shared" ref="O59:P59" si="414">O121+O182+O243+O312+O373</f>
        <v>0</v>
      </c>
      <c r="P59" s="157">
        <f t="shared" si="414"/>
        <v>10</v>
      </c>
      <c r="Q59" s="160">
        <f t="shared" si="10"/>
        <v>0</v>
      </c>
      <c r="R59" s="164">
        <f t="shared" si="11"/>
        <v>3</v>
      </c>
      <c r="S59" s="165">
        <f t="shared" si="12"/>
        <v>9.3265113929093424E-2</v>
      </c>
      <c r="U59" s="157">
        <f t="shared" ref="U59:V59" si="415">U121+U182+U243+U312+U373</f>
        <v>0</v>
      </c>
      <c r="V59" s="157">
        <f t="shared" si="415"/>
        <v>10</v>
      </c>
      <c r="W59" s="160">
        <f t="shared" si="5"/>
        <v>0</v>
      </c>
      <c r="X59" s="157">
        <f t="shared" ref="X59:Y59" si="416">X121+X182+X243+X312+X373</f>
        <v>0</v>
      </c>
      <c r="Y59" s="157">
        <f t="shared" si="416"/>
        <v>10</v>
      </c>
      <c r="Z59" s="160">
        <f t="shared" si="15"/>
        <v>0</v>
      </c>
      <c r="AA59" s="157">
        <f t="shared" ref="AA59:AB59" si="417">AA121+AA182+AA243+AA312+AA373</f>
        <v>0</v>
      </c>
      <c r="AB59" s="157">
        <f t="shared" si="417"/>
        <v>10</v>
      </c>
      <c r="AC59" s="160">
        <f t="shared" si="17"/>
        <v>0</v>
      </c>
      <c r="AD59" s="157">
        <f t="shared" ref="AD59:AE59" si="418">AD121+AD182+AD243+AD312+AD373</f>
        <v>0</v>
      </c>
      <c r="AE59" s="157">
        <f t="shared" si="418"/>
        <v>10</v>
      </c>
      <c r="AF59" s="174">
        <f t="shared" si="19"/>
        <v>0</v>
      </c>
      <c r="AG59" s="157">
        <f t="shared" ref="AG59:AH59" si="419">AG121+AG182+AG243+AG312+AG373</f>
        <v>0</v>
      </c>
      <c r="AH59" s="157">
        <f t="shared" si="419"/>
        <v>10</v>
      </c>
      <c r="AI59" s="160">
        <f t="shared" si="21"/>
        <v>0</v>
      </c>
      <c r="AJ59" s="164">
        <f t="shared" si="22"/>
        <v>0</v>
      </c>
      <c r="AK59" s="165">
        <f t="shared" si="23"/>
        <v>0</v>
      </c>
    </row>
    <row r="60" spans="2:37" outlineLevel="1" x14ac:dyDescent="0.35">
      <c r="B60" s="48" t="s">
        <v>120</v>
      </c>
      <c r="C60" s="62" t="s">
        <v>141</v>
      </c>
      <c r="D60" s="157">
        <f t="shared" ref="D60:G60" si="420">D122+D183+D244+D313+D374</f>
        <v>544</v>
      </c>
      <c r="E60" s="157">
        <f t="shared" si="420"/>
        <v>7926</v>
      </c>
      <c r="F60" s="157">
        <f t="shared" si="420"/>
        <v>728</v>
      </c>
      <c r="G60" s="157">
        <f t="shared" si="420"/>
        <v>8654</v>
      </c>
      <c r="H60" s="160">
        <f t="shared" si="1"/>
        <v>9.1849608882159983E-2</v>
      </c>
      <c r="I60" s="157">
        <f t="shared" ref="I60:J60" si="421">I122+I183+I244+I313+I374</f>
        <v>651</v>
      </c>
      <c r="J60" s="157">
        <f t="shared" si="421"/>
        <v>9305</v>
      </c>
      <c r="K60" s="160">
        <f t="shared" si="2"/>
        <v>7.5225329327478621E-2</v>
      </c>
      <c r="L60" s="157">
        <f t="shared" ref="L60:M60" si="422">L122+L183+L244+L313+L374</f>
        <v>455</v>
      </c>
      <c r="M60" s="157">
        <f t="shared" si="422"/>
        <v>9760</v>
      </c>
      <c r="N60" s="160">
        <f t="shared" si="3"/>
        <v>4.8898441698011823E-2</v>
      </c>
      <c r="O60" s="157">
        <f t="shared" ref="O60:P60" si="423">O122+O183+O244+O313+O374</f>
        <v>272</v>
      </c>
      <c r="P60" s="157">
        <f t="shared" si="423"/>
        <v>10032</v>
      </c>
      <c r="Q60" s="160">
        <f t="shared" si="10"/>
        <v>2.7868852459016394E-2</v>
      </c>
      <c r="R60" s="164">
        <f t="shared" si="11"/>
        <v>2650</v>
      </c>
      <c r="S60" s="165">
        <f t="shared" si="12"/>
        <v>6.0677518437948441E-2</v>
      </c>
      <c r="U60" s="157">
        <f t="shared" ref="U60:V60" si="424">U122+U183+U244+U313+U374</f>
        <v>506</v>
      </c>
      <c r="V60" s="157">
        <f t="shared" si="424"/>
        <v>10538</v>
      </c>
      <c r="W60" s="160">
        <f t="shared" si="5"/>
        <v>5.0438596491228067E-2</v>
      </c>
      <c r="X60" s="157">
        <f t="shared" ref="X60:Y60" si="425">X122+X183+X244+X313+X374</f>
        <v>603</v>
      </c>
      <c r="Y60" s="157">
        <f t="shared" si="425"/>
        <v>11141</v>
      </c>
      <c r="Z60" s="160">
        <f t="shared" si="15"/>
        <v>5.7221484152590624E-2</v>
      </c>
      <c r="AA60" s="157">
        <f t="shared" ref="AA60:AB60" si="426">AA122+AA183+AA244+AA313+AA374</f>
        <v>694</v>
      </c>
      <c r="AB60" s="157">
        <f t="shared" si="426"/>
        <v>11835</v>
      </c>
      <c r="AC60" s="160">
        <f t="shared" si="17"/>
        <v>6.2292433354276998E-2</v>
      </c>
      <c r="AD60" s="157">
        <f t="shared" ref="AD60:AE60" si="427">AD122+AD183+AD244+AD313+AD374</f>
        <v>635</v>
      </c>
      <c r="AE60" s="157">
        <f t="shared" si="427"/>
        <v>12470</v>
      </c>
      <c r="AF60" s="174">
        <f t="shared" si="19"/>
        <v>5.3654414871144911E-2</v>
      </c>
      <c r="AG60" s="157">
        <f t="shared" ref="AG60:AH60" si="428">AG122+AG183+AG244+AG313+AG374</f>
        <v>557</v>
      </c>
      <c r="AH60" s="157">
        <f t="shared" si="428"/>
        <v>13027</v>
      </c>
      <c r="AI60" s="160">
        <f t="shared" si="21"/>
        <v>4.466720128307939E-2</v>
      </c>
      <c r="AJ60" s="164">
        <f t="shared" si="22"/>
        <v>2995</v>
      </c>
      <c r="AK60" s="165">
        <f t="shared" si="23"/>
        <v>5.4439228591451672E-2</v>
      </c>
    </row>
    <row r="61" spans="2:37" outlineLevel="1" x14ac:dyDescent="0.35">
      <c r="B61" s="48" t="s">
        <v>121</v>
      </c>
      <c r="C61" s="62" t="s">
        <v>141</v>
      </c>
      <c r="D61" s="157">
        <f t="shared" ref="D61:G61" si="429">D123+D184+D245+D314+D375</f>
        <v>116</v>
      </c>
      <c r="E61" s="157">
        <f t="shared" si="429"/>
        <v>857</v>
      </c>
      <c r="F61" s="157">
        <f t="shared" si="429"/>
        <v>238</v>
      </c>
      <c r="G61" s="157">
        <f t="shared" si="429"/>
        <v>1095</v>
      </c>
      <c r="H61" s="160">
        <f t="shared" si="1"/>
        <v>0.27771295215869313</v>
      </c>
      <c r="I61" s="157">
        <f t="shared" ref="I61:J61" si="430">I123+I184+I245+I314+I375</f>
        <v>316</v>
      </c>
      <c r="J61" s="157">
        <f t="shared" si="430"/>
        <v>1411</v>
      </c>
      <c r="K61" s="160">
        <f t="shared" si="2"/>
        <v>0.28858447488584477</v>
      </c>
      <c r="L61" s="157">
        <f t="shared" ref="L61:M61" si="431">L123+L184+L245+L314+L375</f>
        <v>304</v>
      </c>
      <c r="M61" s="157">
        <f t="shared" si="431"/>
        <v>1715</v>
      </c>
      <c r="N61" s="160">
        <f t="shared" si="3"/>
        <v>0.21545003543586108</v>
      </c>
      <c r="O61" s="157">
        <f t="shared" ref="O61:P61" si="432">O123+O184+O245+O314+O375</f>
        <v>88</v>
      </c>
      <c r="P61" s="157">
        <f t="shared" si="432"/>
        <v>1803</v>
      </c>
      <c r="Q61" s="160">
        <f t="shared" si="10"/>
        <v>5.1311953352769682E-2</v>
      </c>
      <c r="R61" s="164">
        <f t="shared" si="11"/>
        <v>1062</v>
      </c>
      <c r="S61" s="165">
        <f t="shared" si="12"/>
        <v>0.20435279871359535</v>
      </c>
      <c r="U61" s="157">
        <f t="shared" ref="U61:V61" si="433">U123+U184+U245+U314+U375</f>
        <v>164</v>
      </c>
      <c r="V61" s="157">
        <f t="shared" si="433"/>
        <v>1967</v>
      </c>
      <c r="W61" s="160">
        <f t="shared" si="5"/>
        <v>9.0959511924570163E-2</v>
      </c>
      <c r="X61" s="157">
        <f t="shared" ref="X61:Y61" si="434">X123+X184+X245+X314+X375</f>
        <v>221</v>
      </c>
      <c r="Y61" s="157">
        <f t="shared" si="434"/>
        <v>2188</v>
      </c>
      <c r="Z61" s="160">
        <f t="shared" si="15"/>
        <v>0.11235383833248602</v>
      </c>
      <c r="AA61" s="157">
        <f t="shared" ref="AA61:AB61" si="435">AA123+AA184+AA245+AA314+AA375</f>
        <v>288</v>
      </c>
      <c r="AB61" s="157">
        <f t="shared" si="435"/>
        <v>2476</v>
      </c>
      <c r="AC61" s="160">
        <f t="shared" si="17"/>
        <v>0.13162705667276051</v>
      </c>
      <c r="AD61" s="157">
        <f t="shared" ref="AD61:AE61" si="436">AD123+AD184+AD245+AD314+AD375</f>
        <v>288</v>
      </c>
      <c r="AE61" s="157">
        <f t="shared" si="436"/>
        <v>2764</v>
      </c>
      <c r="AF61" s="174">
        <f t="shared" si="19"/>
        <v>0.11631663974151858</v>
      </c>
      <c r="AG61" s="157">
        <f t="shared" ref="AG61:AH61" si="437">AG123+AG184+AG245+AG314+AG375</f>
        <v>314</v>
      </c>
      <c r="AH61" s="157">
        <f t="shared" si="437"/>
        <v>3078</v>
      </c>
      <c r="AI61" s="160">
        <f t="shared" si="21"/>
        <v>0.11360347322720694</v>
      </c>
      <c r="AJ61" s="164">
        <f t="shared" si="22"/>
        <v>1275</v>
      </c>
      <c r="AK61" s="165">
        <f t="shared" si="23"/>
        <v>0.11844868669492326</v>
      </c>
    </row>
    <row r="62" spans="2:37" outlineLevel="1" x14ac:dyDescent="0.35">
      <c r="B62" s="48" t="s">
        <v>137</v>
      </c>
      <c r="C62" s="62" t="s">
        <v>141</v>
      </c>
      <c r="D62" s="157">
        <f t="shared" ref="D62:G62" si="438">D124+D185+D246+D315+D376</f>
        <v>0</v>
      </c>
      <c r="E62" s="157">
        <f t="shared" si="438"/>
        <v>0</v>
      </c>
      <c r="F62" s="157">
        <f t="shared" si="438"/>
        <v>0</v>
      </c>
      <c r="G62" s="157">
        <f t="shared" si="438"/>
        <v>0</v>
      </c>
      <c r="H62" s="160">
        <f t="shared" si="1"/>
        <v>0</v>
      </c>
      <c r="I62" s="157">
        <f t="shared" ref="I62:J62" si="439">I124+I185+I246+I315+I376</f>
        <v>0</v>
      </c>
      <c r="J62" s="157">
        <f t="shared" si="439"/>
        <v>0</v>
      </c>
      <c r="K62" s="160">
        <f t="shared" si="2"/>
        <v>0</v>
      </c>
      <c r="L62" s="157">
        <f t="shared" ref="L62:M62" si="440">L124+L185+L246+L315+L376</f>
        <v>0</v>
      </c>
      <c r="M62" s="157">
        <f t="shared" si="440"/>
        <v>0</v>
      </c>
      <c r="N62" s="160">
        <f t="shared" si="3"/>
        <v>0</v>
      </c>
      <c r="O62" s="157">
        <f t="shared" ref="O62:P62" si="441">O124+O185+O246+O315+O376</f>
        <v>0</v>
      </c>
      <c r="P62" s="157">
        <f t="shared" si="441"/>
        <v>0</v>
      </c>
      <c r="Q62" s="160">
        <f t="shared" si="10"/>
        <v>0</v>
      </c>
      <c r="R62" s="164">
        <f t="shared" si="11"/>
        <v>0</v>
      </c>
      <c r="S62" s="165">
        <f t="shared" si="12"/>
        <v>0</v>
      </c>
      <c r="U62" s="157">
        <f t="shared" ref="U62:V62" si="442">U124+U185+U246+U315+U376</f>
        <v>0</v>
      </c>
      <c r="V62" s="157">
        <f t="shared" si="442"/>
        <v>0</v>
      </c>
      <c r="W62" s="160">
        <f t="shared" si="5"/>
        <v>0</v>
      </c>
      <c r="X62" s="157">
        <f t="shared" ref="X62:Y62" si="443">X124+X185+X246+X315+X376</f>
        <v>0</v>
      </c>
      <c r="Y62" s="157">
        <f t="shared" si="443"/>
        <v>0</v>
      </c>
      <c r="Z62" s="160">
        <f t="shared" si="15"/>
        <v>0</v>
      </c>
      <c r="AA62" s="157">
        <f t="shared" ref="AA62:AB62" si="444">AA124+AA185+AA246+AA315+AA376</f>
        <v>0</v>
      </c>
      <c r="AB62" s="157">
        <f t="shared" si="444"/>
        <v>0</v>
      </c>
      <c r="AC62" s="160">
        <f t="shared" si="17"/>
        <v>0</v>
      </c>
      <c r="AD62" s="157">
        <f t="shared" ref="AD62:AE62" si="445">AD124+AD185+AD246+AD315+AD376</f>
        <v>0</v>
      </c>
      <c r="AE62" s="157">
        <f t="shared" si="445"/>
        <v>0</v>
      </c>
      <c r="AF62" s="174">
        <f t="shared" si="19"/>
        <v>0</v>
      </c>
      <c r="AG62" s="157">
        <f t="shared" ref="AG62:AH62" si="446">AG124+AG185+AG246+AG315+AG376</f>
        <v>0</v>
      </c>
      <c r="AH62" s="157">
        <f t="shared" si="446"/>
        <v>0</v>
      </c>
      <c r="AI62" s="160">
        <f t="shared" si="21"/>
        <v>0</v>
      </c>
      <c r="AJ62" s="164">
        <f t="shared" si="22"/>
        <v>0</v>
      </c>
      <c r="AK62" s="165">
        <f t="shared" si="23"/>
        <v>0</v>
      </c>
    </row>
    <row r="63" spans="2:37" outlineLevel="1" x14ac:dyDescent="0.35">
      <c r="B63" s="48" t="s">
        <v>123</v>
      </c>
      <c r="C63" s="62" t="s">
        <v>141</v>
      </c>
      <c r="D63" s="157">
        <f t="shared" ref="D63:G63" si="447">D125+D186+D247+D316+D377</f>
        <v>322</v>
      </c>
      <c r="E63" s="157">
        <f t="shared" si="447"/>
        <v>5555</v>
      </c>
      <c r="F63" s="157">
        <f t="shared" si="447"/>
        <v>433</v>
      </c>
      <c r="G63" s="157">
        <f t="shared" si="447"/>
        <v>5988</v>
      </c>
      <c r="H63" s="160">
        <f t="shared" si="1"/>
        <v>7.7947794779477941E-2</v>
      </c>
      <c r="I63" s="157">
        <f t="shared" ref="I63:J63" si="448">I125+I186+I247+I316+I377</f>
        <v>357</v>
      </c>
      <c r="J63" s="157">
        <f t="shared" si="448"/>
        <v>6345</v>
      </c>
      <c r="K63" s="160">
        <f t="shared" si="2"/>
        <v>5.9619238476953905E-2</v>
      </c>
      <c r="L63" s="157">
        <f t="shared" ref="L63:M63" si="449">L125+L186+L247+L316+L377</f>
        <v>298</v>
      </c>
      <c r="M63" s="157">
        <f t="shared" si="449"/>
        <v>6643</v>
      </c>
      <c r="N63" s="160">
        <f t="shared" si="3"/>
        <v>4.6966115051221433E-2</v>
      </c>
      <c r="O63" s="157">
        <f t="shared" ref="O63:P63" si="450">O125+O186+O247+O316+O377</f>
        <v>71</v>
      </c>
      <c r="P63" s="157">
        <f t="shared" si="450"/>
        <v>6714</v>
      </c>
      <c r="Q63" s="160">
        <f t="shared" si="10"/>
        <v>1.068794219479151E-2</v>
      </c>
      <c r="R63" s="164">
        <f t="shared" si="11"/>
        <v>1481</v>
      </c>
      <c r="S63" s="165">
        <f t="shared" si="12"/>
        <v>4.8514204657019722E-2</v>
      </c>
      <c r="U63" s="157">
        <f t="shared" ref="U63:V63" si="451">U125+U186+U247+U316+U377</f>
        <v>239</v>
      </c>
      <c r="V63" s="157">
        <f t="shared" si="451"/>
        <v>6953</v>
      </c>
      <c r="W63" s="160">
        <f t="shared" si="5"/>
        <v>3.5597259457849272E-2</v>
      </c>
      <c r="X63" s="157">
        <f t="shared" ref="X63:Y63" si="452">X125+X186+X247+X316+X377</f>
        <v>281</v>
      </c>
      <c r="Y63" s="157">
        <f t="shared" si="452"/>
        <v>7234</v>
      </c>
      <c r="Z63" s="160">
        <f t="shared" si="15"/>
        <v>4.0414209693657416E-2</v>
      </c>
      <c r="AA63" s="157">
        <f t="shared" ref="AA63:AB63" si="453">AA125+AA186+AA247+AA316+AA377</f>
        <v>336</v>
      </c>
      <c r="AB63" s="157">
        <f t="shared" si="453"/>
        <v>7570</v>
      </c>
      <c r="AC63" s="160">
        <f t="shared" si="17"/>
        <v>4.6447332043129667E-2</v>
      </c>
      <c r="AD63" s="157">
        <f t="shared" ref="AD63:AE63" si="454">AD125+AD186+AD247+AD316+AD377</f>
        <v>304</v>
      </c>
      <c r="AE63" s="157">
        <f t="shared" si="454"/>
        <v>7874</v>
      </c>
      <c r="AF63" s="174">
        <f t="shared" si="19"/>
        <v>4.0158520475561427E-2</v>
      </c>
      <c r="AG63" s="157">
        <f t="shared" ref="AG63:AH63" si="455">AG125+AG186+AG247+AG316+AG377</f>
        <v>264</v>
      </c>
      <c r="AH63" s="157">
        <f t="shared" si="455"/>
        <v>8138</v>
      </c>
      <c r="AI63" s="160">
        <f t="shared" si="21"/>
        <v>3.3528067056134113E-2</v>
      </c>
      <c r="AJ63" s="164">
        <f t="shared" si="22"/>
        <v>1424</v>
      </c>
      <c r="AK63" s="165">
        <f t="shared" si="23"/>
        <v>4.0126985472789922E-2</v>
      </c>
    </row>
    <row r="64" spans="2:37" outlineLevel="1" x14ac:dyDescent="0.35">
      <c r="B64" s="48" t="s">
        <v>124</v>
      </c>
      <c r="C64" s="62" t="s">
        <v>141</v>
      </c>
      <c r="D64" s="157">
        <f t="shared" ref="D64:G64" si="456">D126+D187+D248+D317+D378</f>
        <v>47</v>
      </c>
      <c r="E64" s="157">
        <f t="shared" si="456"/>
        <v>58</v>
      </c>
      <c r="F64" s="157">
        <f t="shared" si="456"/>
        <v>58</v>
      </c>
      <c r="G64" s="157">
        <f t="shared" si="456"/>
        <v>116</v>
      </c>
      <c r="H64" s="160"/>
      <c r="I64" s="157">
        <f t="shared" ref="I64:J64" si="457">I126+I187+I248+I317+I378</f>
        <v>30</v>
      </c>
      <c r="J64" s="157">
        <f t="shared" si="457"/>
        <v>146</v>
      </c>
      <c r="K64" s="160"/>
      <c r="L64" s="157">
        <f t="shared" ref="L64:M64" si="458">L126+L187+L248+L317+L378</f>
        <v>24</v>
      </c>
      <c r="M64" s="157">
        <f t="shared" si="458"/>
        <v>170</v>
      </c>
      <c r="N64" s="160"/>
      <c r="O64" s="157">
        <f t="shared" ref="O64:P64" si="459">O126+O187+O248+O317+O378</f>
        <v>5</v>
      </c>
      <c r="P64" s="157">
        <f t="shared" si="459"/>
        <v>175</v>
      </c>
      <c r="Q64" s="160"/>
      <c r="R64" s="164">
        <f t="shared" si="11"/>
        <v>164</v>
      </c>
      <c r="S64" s="165"/>
      <c r="U64" s="157">
        <f t="shared" ref="U64:V64" si="460">U126+U187+U248+U317+U378</f>
        <v>9</v>
      </c>
      <c r="V64" s="157">
        <f t="shared" si="460"/>
        <v>184</v>
      </c>
      <c r="W64" s="160">
        <f t="shared" si="5"/>
        <v>5.1428571428571428E-2</v>
      </c>
      <c r="X64" s="157">
        <f t="shared" ref="X64:Y64" si="461">X126+X187+X248+X317+X378</f>
        <v>8</v>
      </c>
      <c r="Y64" s="157">
        <f t="shared" si="461"/>
        <v>192</v>
      </c>
      <c r="Z64" s="160">
        <f t="shared" si="15"/>
        <v>4.3478260869565216E-2</v>
      </c>
      <c r="AA64" s="157">
        <f t="shared" ref="AA64:AB64" si="462">AA126+AA187+AA248+AA317+AA378</f>
        <v>9</v>
      </c>
      <c r="AB64" s="157">
        <f t="shared" si="462"/>
        <v>201</v>
      </c>
      <c r="AC64" s="160">
        <f t="shared" si="17"/>
        <v>4.6875E-2</v>
      </c>
      <c r="AD64" s="157">
        <f t="shared" ref="AD64:AE64" si="463">AD126+AD187+AD248+AD317+AD378</f>
        <v>8</v>
      </c>
      <c r="AE64" s="157">
        <f t="shared" si="463"/>
        <v>209</v>
      </c>
      <c r="AF64" s="174">
        <f t="shared" si="19"/>
        <v>3.9800995024875621E-2</v>
      </c>
      <c r="AG64" s="157">
        <f t="shared" ref="AG64:AH64" si="464">AG126+AG187+AG248+AG317+AG378</f>
        <v>6</v>
      </c>
      <c r="AH64" s="157">
        <f t="shared" si="464"/>
        <v>215</v>
      </c>
      <c r="AI64" s="160">
        <f t="shared" si="21"/>
        <v>2.8708133971291867E-2</v>
      </c>
      <c r="AJ64" s="164">
        <f t="shared" si="22"/>
        <v>40</v>
      </c>
      <c r="AK64" s="165">
        <f t="shared" si="23"/>
        <v>3.9693093948645064E-2</v>
      </c>
    </row>
    <row r="65" spans="1:37" outlineLevel="1" x14ac:dyDescent="0.35">
      <c r="B65" s="48" t="s">
        <v>125</v>
      </c>
      <c r="C65" s="62" t="s">
        <v>141</v>
      </c>
      <c r="D65" s="157">
        <f t="shared" ref="D65:G65" si="465">D127+D188+D249+D318+D379</f>
        <v>190</v>
      </c>
      <c r="E65" s="157">
        <f t="shared" si="465"/>
        <v>1749</v>
      </c>
      <c r="F65" s="157">
        <f t="shared" si="465"/>
        <v>157</v>
      </c>
      <c r="G65" s="157">
        <f t="shared" si="465"/>
        <v>1906</v>
      </c>
      <c r="H65" s="160">
        <f t="shared" si="1"/>
        <v>8.9765580331618064E-2</v>
      </c>
      <c r="I65" s="157">
        <f t="shared" ref="I65:J65" si="466">I127+I188+I249+I318+I379</f>
        <v>192</v>
      </c>
      <c r="J65" s="157">
        <f t="shared" si="466"/>
        <v>2098</v>
      </c>
      <c r="K65" s="160">
        <f t="shared" si="2"/>
        <v>0.10073452256033578</v>
      </c>
      <c r="L65" s="157">
        <f t="shared" ref="L65:M65" si="467">L127+L188+L249+L318+L379</f>
        <v>146</v>
      </c>
      <c r="M65" s="157">
        <f t="shared" si="467"/>
        <v>2244</v>
      </c>
      <c r="N65" s="160">
        <f t="shared" si="3"/>
        <v>6.9590085795996182E-2</v>
      </c>
      <c r="O65" s="157">
        <f t="shared" ref="O65:P65" si="468">O127+O188+O249+O318+O379</f>
        <v>53</v>
      </c>
      <c r="P65" s="157">
        <f t="shared" si="468"/>
        <v>2297</v>
      </c>
      <c r="Q65" s="160">
        <f t="shared" si="10"/>
        <v>2.3618538324420676E-2</v>
      </c>
      <c r="R65" s="164">
        <f t="shared" si="11"/>
        <v>738</v>
      </c>
      <c r="S65" s="165">
        <f t="shared" si="12"/>
        <v>7.0515097228817103E-2</v>
      </c>
      <c r="U65" s="157">
        <f t="shared" ref="U65:V65" si="469">U127+U188+U249+U318+U379</f>
        <v>102</v>
      </c>
      <c r="V65" s="157">
        <f t="shared" si="469"/>
        <v>2399</v>
      </c>
      <c r="W65" s="160">
        <f t="shared" si="5"/>
        <v>4.4405746626033957E-2</v>
      </c>
      <c r="X65" s="157">
        <f t="shared" ref="X65:Y65" si="470">X127+X188+X249+X318+X379</f>
        <v>118</v>
      </c>
      <c r="Y65" s="157">
        <f t="shared" si="470"/>
        <v>2517</v>
      </c>
      <c r="Z65" s="160">
        <f t="shared" si="15"/>
        <v>4.9187161317215504E-2</v>
      </c>
      <c r="AA65" s="157">
        <f t="shared" ref="AA65:AB65" si="471">AA127+AA188+AA249+AA318+AA379</f>
        <v>126</v>
      </c>
      <c r="AB65" s="157">
        <f t="shared" si="471"/>
        <v>2643</v>
      </c>
      <c r="AC65" s="160">
        <f t="shared" si="17"/>
        <v>5.0059594755661505E-2</v>
      </c>
      <c r="AD65" s="157">
        <f t="shared" ref="AD65:AE65" si="472">AD127+AD188+AD249+AD318+AD379</f>
        <v>114</v>
      </c>
      <c r="AE65" s="157">
        <f t="shared" si="472"/>
        <v>2757</v>
      </c>
      <c r="AF65" s="174">
        <f t="shared" si="19"/>
        <v>4.3132803632236094E-2</v>
      </c>
      <c r="AG65" s="157">
        <f t="shared" ref="AG65:AH65" si="473">AG127+AG188+AG249+AG318+AG379</f>
        <v>90</v>
      </c>
      <c r="AH65" s="157">
        <f t="shared" si="473"/>
        <v>2847</v>
      </c>
      <c r="AI65" s="160">
        <f t="shared" si="21"/>
        <v>3.2644178454842222E-2</v>
      </c>
      <c r="AJ65" s="164">
        <f t="shared" si="22"/>
        <v>550</v>
      </c>
      <c r="AK65" s="165">
        <f t="shared" si="23"/>
        <v>4.3732735397486788E-2</v>
      </c>
    </row>
    <row r="66" spans="1:37" outlineLevel="1" x14ac:dyDescent="0.35">
      <c r="B66" s="48" t="s">
        <v>126</v>
      </c>
      <c r="C66" s="62" t="s">
        <v>141</v>
      </c>
      <c r="D66" s="157">
        <f t="shared" ref="D66:G66" si="474">D128+D189+D250+D319+D380</f>
        <v>841</v>
      </c>
      <c r="E66" s="157">
        <f t="shared" si="474"/>
        <v>10209</v>
      </c>
      <c r="F66" s="157">
        <f t="shared" si="474"/>
        <v>1149</v>
      </c>
      <c r="G66" s="157">
        <f t="shared" si="474"/>
        <v>11358</v>
      </c>
      <c r="H66" s="160">
        <f t="shared" si="1"/>
        <v>0.11254775198354393</v>
      </c>
      <c r="I66" s="157">
        <f t="shared" ref="I66:J66" si="475">I128+I189+I250+I319+I380</f>
        <v>1170</v>
      </c>
      <c r="J66" s="157">
        <f t="shared" si="475"/>
        <v>12528</v>
      </c>
      <c r="K66" s="160">
        <f t="shared" si="2"/>
        <v>0.10301109350237718</v>
      </c>
      <c r="L66" s="157">
        <f t="shared" ref="L66:M66" si="476">L128+L189+L250+L319+L380</f>
        <v>830</v>
      </c>
      <c r="M66" s="157">
        <f t="shared" si="476"/>
        <v>13358</v>
      </c>
      <c r="N66" s="160">
        <f t="shared" si="3"/>
        <v>6.6251596424010212E-2</v>
      </c>
      <c r="O66" s="157">
        <f t="shared" ref="O66:P66" si="477">O128+O189+O250+O319+O380</f>
        <v>322</v>
      </c>
      <c r="P66" s="157">
        <f t="shared" si="477"/>
        <v>13680</v>
      </c>
      <c r="Q66" s="160">
        <f t="shared" si="10"/>
        <v>2.4105405000748616E-2</v>
      </c>
      <c r="R66" s="164">
        <f t="shared" si="11"/>
        <v>4312</v>
      </c>
      <c r="S66" s="165">
        <f t="shared" si="12"/>
        <v>7.5909453312242636E-2</v>
      </c>
      <c r="U66" s="157">
        <f t="shared" ref="U66:V66" si="478">U128+U189+U250+U319+U380</f>
        <v>563</v>
      </c>
      <c r="V66" s="157">
        <f t="shared" si="478"/>
        <v>14243</v>
      </c>
      <c r="W66" s="160">
        <f t="shared" si="5"/>
        <v>4.1154970760233917E-2</v>
      </c>
      <c r="X66" s="157">
        <f t="shared" ref="X66:Y66" si="479">X128+X189+X250+X319+X380</f>
        <v>678</v>
      </c>
      <c r="Y66" s="157">
        <f t="shared" si="479"/>
        <v>14921</v>
      </c>
      <c r="Z66" s="160">
        <f t="shared" si="15"/>
        <v>4.7602330969599101E-2</v>
      </c>
      <c r="AA66" s="157">
        <f t="shared" ref="AA66:AB66" si="480">AA128+AA189+AA250+AA319+AA380</f>
        <v>738</v>
      </c>
      <c r="AB66" s="157">
        <f t="shared" si="480"/>
        <v>15659</v>
      </c>
      <c r="AC66" s="160">
        <f t="shared" si="17"/>
        <v>4.9460491924133772E-2</v>
      </c>
      <c r="AD66" s="157">
        <f t="shared" ref="AD66:AE66" si="481">AD128+AD189+AD250+AD319+AD380</f>
        <v>635</v>
      </c>
      <c r="AE66" s="157">
        <f t="shared" si="481"/>
        <v>16294</v>
      </c>
      <c r="AF66" s="174">
        <f t="shared" si="19"/>
        <v>4.0551759371607383E-2</v>
      </c>
      <c r="AG66" s="157">
        <f t="shared" ref="AG66:AH66" si="482">AG128+AG189+AG250+AG319+AG380</f>
        <v>548</v>
      </c>
      <c r="AH66" s="157">
        <f t="shared" si="482"/>
        <v>16842</v>
      </c>
      <c r="AI66" s="160">
        <f t="shared" si="21"/>
        <v>3.3632011783478584E-2</v>
      </c>
      <c r="AJ66" s="164">
        <f t="shared" si="22"/>
        <v>3162</v>
      </c>
      <c r="AK66" s="165">
        <f t="shared" si="23"/>
        <v>4.2792855892007875E-2</v>
      </c>
    </row>
    <row r="67" spans="1:37" s="52" customFormat="1" outlineLevel="1" x14ac:dyDescent="0.35">
      <c r="A67"/>
      <c r="B67" s="48" t="s">
        <v>127</v>
      </c>
      <c r="C67" s="63" t="s">
        <v>141</v>
      </c>
      <c r="D67" s="157">
        <f t="shared" ref="D67:G67" si="483">D129+D190+D251+D320+D381</f>
        <v>0</v>
      </c>
      <c r="E67" s="157">
        <f t="shared" si="483"/>
        <v>1</v>
      </c>
      <c r="F67" s="157">
        <f t="shared" si="483"/>
        <v>0</v>
      </c>
      <c r="G67" s="157">
        <f t="shared" si="483"/>
        <v>1</v>
      </c>
      <c r="H67" s="160">
        <f t="shared" si="1"/>
        <v>0</v>
      </c>
      <c r="I67" s="157">
        <f t="shared" ref="I67:J67" si="484">I129+I190+I251+I320+I381</f>
        <v>0</v>
      </c>
      <c r="J67" s="157">
        <f t="shared" si="484"/>
        <v>1</v>
      </c>
      <c r="K67" s="160">
        <f t="shared" si="2"/>
        <v>0</v>
      </c>
      <c r="L67" s="157">
        <f t="shared" ref="L67:M67" si="485">L129+L190+L251+L320+L381</f>
        <v>0</v>
      </c>
      <c r="M67" s="157">
        <f t="shared" si="485"/>
        <v>1</v>
      </c>
      <c r="N67" s="160">
        <f t="shared" si="3"/>
        <v>0</v>
      </c>
      <c r="O67" s="157">
        <f t="shared" ref="O67:P67" si="486">O129+O190+O251+O320+O381</f>
        <v>0</v>
      </c>
      <c r="P67" s="157">
        <f t="shared" si="486"/>
        <v>1</v>
      </c>
      <c r="Q67" s="160">
        <f t="shared" si="10"/>
        <v>0</v>
      </c>
      <c r="R67" s="164">
        <f t="shared" si="11"/>
        <v>0</v>
      </c>
      <c r="S67" s="165">
        <f t="shared" si="12"/>
        <v>0</v>
      </c>
      <c r="U67" s="157">
        <f t="shared" ref="U67:V67" si="487">U129+U190+U251+U320+U381</f>
        <v>1</v>
      </c>
      <c r="V67" s="157">
        <f t="shared" si="487"/>
        <v>2</v>
      </c>
      <c r="W67" s="315">
        <f t="shared" si="5"/>
        <v>1</v>
      </c>
      <c r="X67" s="157">
        <f t="shared" ref="X67:Y67" si="488">X129+X190+X251+X320+X381</f>
        <v>0</v>
      </c>
      <c r="Y67" s="157">
        <f t="shared" si="488"/>
        <v>2</v>
      </c>
      <c r="Z67" s="160">
        <f t="shared" si="15"/>
        <v>0</v>
      </c>
      <c r="AA67" s="157">
        <f t="shared" ref="AA67:AB67" si="489">AA129+AA190+AA251+AA320+AA381</f>
        <v>0</v>
      </c>
      <c r="AB67" s="157">
        <f t="shared" si="489"/>
        <v>2</v>
      </c>
      <c r="AC67" s="160">
        <f t="shared" si="17"/>
        <v>0</v>
      </c>
      <c r="AD67" s="157">
        <f t="shared" ref="AD67:AE67" si="490">AD129+AD190+AD251+AD320+AD381</f>
        <v>0</v>
      </c>
      <c r="AE67" s="157">
        <f t="shared" si="490"/>
        <v>2</v>
      </c>
      <c r="AF67" s="174">
        <f t="shared" si="19"/>
        <v>0</v>
      </c>
      <c r="AG67" s="157">
        <f t="shared" ref="AG67:AH67" si="491">AG129+AG190+AG251+AG320+AG381</f>
        <v>0</v>
      </c>
      <c r="AH67" s="157">
        <f t="shared" si="491"/>
        <v>2</v>
      </c>
      <c r="AI67" s="160">
        <f t="shared" si="21"/>
        <v>0</v>
      </c>
      <c r="AJ67" s="164">
        <f t="shared" si="22"/>
        <v>1</v>
      </c>
      <c r="AK67" s="165">
        <f t="shared" si="23"/>
        <v>0</v>
      </c>
    </row>
    <row r="68" spans="1:37" s="245" customFormat="1" ht="15" customHeight="1" outlineLevel="1" thickBot="1" x14ac:dyDescent="0.4">
      <c r="B68" s="261" t="s">
        <v>138</v>
      </c>
      <c r="C68" s="262" t="s">
        <v>141</v>
      </c>
      <c r="D68" s="248">
        <f>SUM(D14:D67)</f>
        <v>20251</v>
      </c>
      <c r="E68" s="248">
        <f t="shared" ref="E68:G68" si="492">SUM(E14:E67)</f>
        <v>375921</v>
      </c>
      <c r="F68" s="248">
        <f t="shared" si="492"/>
        <v>25334</v>
      </c>
      <c r="G68" s="248">
        <f t="shared" si="492"/>
        <v>401255</v>
      </c>
      <c r="H68" s="250">
        <f>IFERROR((G68-E68)/E68,0)</f>
        <v>6.739181902580596E-2</v>
      </c>
      <c r="I68" s="248">
        <f t="shared" ref="I68:P68" si="493">SUM(I14:I67)</f>
        <v>20111</v>
      </c>
      <c r="J68" s="248">
        <f t="shared" si="493"/>
        <v>421366</v>
      </c>
      <c r="K68" s="250">
        <f t="shared" si="2"/>
        <v>5.0120247722769809E-2</v>
      </c>
      <c r="L68" s="248">
        <f t="shared" si="493"/>
        <v>4265</v>
      </c>
      <c r="M68" s="248">
        <f t="shared" si="493"/>
        <v>425631</v>
      </c>
      <c r="N68" s="250">
        <f t="shared" si="3"/>
        <v>1.0121841819226041E-2</v>
      </c>
      <c r="O68" s="248">
        <f t="shared" si="493"/>
        <v>5037</v>
      </c>
      <c r="P68" s="248">
        <f t="shared" si="493"/>
        <v>430668</v>
      </c>
      <c r="Q68" s="250">
        <f>IFERROR((P68-M68)/M68,0)</f>
        <v>1.1834194407832137E-2</v>
      </c>
      <c r="R68" s="251">
        <f>SUM(R14:R67)</f>
        <v>74998</v>
      </c>
      <c r="S68" s="252">
        <f>IFERROR((P68/E68)^(1/4)-1,0)</f>
        <v>3.4573866945577514E-2</v>
      </c>
      <c r="U68" s="308">
        <f>SUM(U14:U67)</f>
        <v>14366</v>
      </c>
      <c r="V68" s="270">
        <f>SUM(V14:V67)</f>
        <v>445034</v>
      </c>
      <c r="W68" s="273">
        <f>IFERROR((V68-P68)/P68,0)</f>
        <v>3.3357481865381219E-2</v>
      </c>
      <c r="X68" s="308">
        <f>SUM(X14:X67)</f>
        <v>18463</v>
      </c>
      <c r="Y68" s="270">
        <f>SUM(Y14:Y67)</f>
        <v>463497</v>
      </c>
      <c r="Z68" s="271">
        <f t="shared" si="15"/>
        <v>4.1486717868747108E-2</v>
      </c>
      <c r="AA68" s="308">
        <f>SUM(AA14:AA67)</f>
        <v>22145</v>
      </c>
      <c r="AB68" s="270">
        <f>SUM(AB14:AB67)</f>
        <v>485642</v>
      </c>
      <c r="AC68" s="309">
        <f t="shared" si="17"/>
        <v>4.777808702105947E-2</v>
      </c>
      <c r="AD68" s="308">
        <f>SUM(AD14:AD67)</f>
        <v>21242</v>
      </c>
      <c r="AE68" s="270">
        <f>SUM(AE14:AE67)</f>
        <v>506884</v>
      </c>
      <c r="AF68" s="309">
        <f t="shared" si="19"/>
        <v>4.3740038958739152E-2</v>
      </c>
      <c r="AG68" s="308">
        <f>SUM(AG14:AG67)</f>
        <v>18918</v>
      </c>
      <c r="AH68" s="270">
        <f>SUM(AH14:AH67)</f>
        <v>525802</v>
      </c>
      <c r="AI68" s="271">
        <f t="shared" si="21"/>
        <v>3.7322148657286482E-2</v>
      </c>
      <c r="AJ68" s="269">
        <f>SUM(AJ14:AJ67)</f>
        <v>95134</v>
      </c>
      <c r="AK68" s="316">
        <f t="shared" si="23"/>
        <v>4.2574888986030013E-2</v>
      </c>
    </row>
    <row r="69" spans="1:37" ht="15" customHeight="1" x14ac:dyDescent="0.35">
      <c r="O69" s="52"/>
      <c r="AJ69" s="39"/>
    </row>
    <row r="70" spans="1:37" ht="15" customHeight="1" x14ac:dyDescent="0.35">
      <c r="O70" s="52"/>
    </row>
    <row r="71" spans="1:37" ht="15.5" x14ac:dyDescent="0.35">
      <c r="B71" s="419" t="s">
        <v>212</v>
      </c>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c r="AJ71" s="419"/>
      <c r="AK71" s="419"/>
    </row>
    <row r="72" spans="1:37" ht="5.9" customHeight="1" outlineLevel="1" x14ac:dyDescent="0.35">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row>
    <row r="73" spans="1:37" outlineLevel="1" x14ac:dyDescent="0.35">
      <c r="B73" s="462"/>
      <c r="C73" s="465" t="s">
        <v>134</v>
      </c>
      <c r="D73" s="435" t="s">
        <v>169</v>
      </c>
      <c r="E73" s="436"/>
      <c r="F73" s="436"/>
      <c r="G73" s="436"/>
      <c r="H73" s="436"/>
      <c r="I73" s="436"/>
      <c r="J73" s="436"/>
      <c r="K73" s="436"/>
      <c r="L73" s="436"/>
      <c r="M73" s="436"/>
      <c r="N73" s="436"/>
      <c r="O73" s="435" t="s">
        <v>210</v>
      </c>
      <c r="P73" s="436"/>
      <c r="Q73" s="437"/>
      <c r="R73" s="431" t="str">
        <f xml:space="preserve"> D74&amp;" - "&amp;O74</f>
        <v>2019 - 2023</v>
      </c>
      <c r="S73" s="456"/>
      <c r="U73" s="435" t="s">
        <v>211</v>
      </c>
      <c r="V73" s="436"/>
      <c r="W73" s="436"/>
      <c r="X73" s="436"/>
      <c r="Y73" s="436"/>
      <c r="Z73" s="436"/>
      <c r="AA73" s="436"/>
      <c r="AB73" s="436"/>
      <c r="AC73" s="436"/>
      <c r="AD73" s="436"/>
      <c r="AE73" s="436"/>
      <c r="AF73" s="436"/>
      <c r="AG73" s="436"/>
      <c r="AH73" s="436"/>
      <c r="AI73" s="436"/>
      <c r="AJ73" s="436"/>
      <c r="AK73" s="437"/>
    </row>
    <row r="74" spans="1:37" outlineLevel="1" x14ac:dyDescent="0.35">
      <c r="B74" s="463"/>
      <c r="C74" s="465"/>
      <c r="D74" s="435">
        <f>$C$3-5</f>
        <v>2019</v>
      </c>
      <c r="E74" s="437"/>
      <c r="F74" s="436">
        <f>$C$3-4</f>
        <v>2020</v>
      </c>
      <c r="G74" s="436"/>
      <c r="H74" s="436"/>
      <c r="I74" s="435">
        <f>$C$3-3</f>
        <v>2021</v>
      </c>
      <c r="J74" s="436"/>
      <c r="K74" s="437"/>
      <c r="L74" s="435">
        <f>$C$3-2</f>
        <v>2022</v>
      </c>
      <c r="M74" s="436"/>
      <c r="N74" s="437"/>
      <c r="O74" s="435">
        <f>$C$3-1</f>
        <v>2023</v>
      </c>
      <c r="P74" s="436"/>
      <c r="Q74" s="437"/>
      <c r="R74" s="433"/>
      <c r="S74" s="457"/>
      <c r="U74" s="435">
        <f>$C$3</f>
        <v>2024</v>
      </c>
      <c r="V74" s="436"/>
      <c r="W74" s="437"/>
      <c r="X74" s="436">
        <f>$C$3+1</f>
        <v>2025</v>
      </c>
      <c r="Y74" s="436"/>
      <c r="Z74" s="436"/>
      <c r="AA74" s="435">
        <f>$C$3+2</f>
        <v>2026</v>
      </c>
      <c r="AB74" s="436"/>
      <c r="AC74" s="437"/>
      <c r="AD74" s="436">
        <f>$C$3+3</f>
        <v>2027</v>
      </c>
      <c r="AE74" s="436"/>
      <c r="AF74" s="436"/>
      <c r="AG74" s="435">
        <f>$C$3+4</f>
        <v>2028</v>
      </c>
      <c r="AH74" s="436"/>
      <c r="AI74" s="437"/>
      <c r="AJ74" s="439" t="str">
        <f>U74&amp;" - "&amp;AG74</f>
        <v>2024 - 2028</v>
      </c>
      <c r="AK74" s="458"/>
    </row>
    <row r="75" spans="1:37" ht="29" outlineLevel="1" x14ac:dyDescent="0.35">
      <c r="B75" s="464"/>
      <c r="C75" s="465"/>
      <c r="D75" s="66" t="s">
        <v>192</v>
      </c>
      <c r="E75" s="67" t="s">
        <v>193</v>
      </c>
      <c r="F75" s="313" t="s">
        <v>192</v>
      </c>
      <c r="G75" s="9" t="s">
        <v>193</v>
      </c>
      <c r="H75" s="67" t="s">
        <v>173</v>
      </c>
      <c r="I75" s="313" t="s">
        <v>192</v>
      </c>
      <c r="J75" s="9" t="s">
        <v>193</v>
      </c>
      <c r="K75" s="67" t="s">
        <v>173</v>
      </c>
      <c r="L75" s="313" t="s">
        <v>192</v>
      </c>
      <c r="M75" s="9" t="s">
        <v>193</v>
      </c>
      <c r="N75" s="67" t="s">
        <v>173</v>
      </c>
      <c r="O75" s="313" t="s">
        <v>192</v>
      </c>
      <c r="P75" s="9" t="s">
        <v>193</v>
      </c>
      <c r="Q75" s="67" t="s">
        <v>173</v>
      </c>
      <c r="R75" s="66" t="s">
        <v>164</v>
      </c>
      <c r="S75" s="134" t="s">
        <v>174</v>
      </c>
      <c r="U75" s="66" t="s">
        <v>192</v>
      </c>
      <c r="V75" s="9" t="s">
        <v>193</v>
      </c>
      <c r="W75" s="67" t="s">
        <v>173</v>
      </c>
      <c r="X75" s="313" t="s">
        <v>192</v>
      </c>
      <c r="Y75" s="9" t="s">
        <v>193</v>
      </c>
      <c r="Z75" s="67" t="s">
        <v>173</v>
      </c>
      <c r="AA75" s="313" t="s">
        <v>192</v>
      </c>
      <c r="AB75" s="9" t="s">
        <v>193</v>
      </c>
      <c r="AC75" s="67" t="s">
        <v>173</v>
      </c>
      <c r="AD75" s="313" t="s">
        <v>192</v>
      </c>
      <c r="AE75" s="9" t="s">
        <v>193</v>
      </c>
      <c r="AF75" s="67" t="s">
        <v>173</v>
      </c>
      <c r="AG75" s="313" t="s">
        <v>192</v>
      </c>
      <c r="AH75" s="9" t="s">
        <v>193</v>
      </c>
      <c r="AI75" s="67" t="s">
        <v>173</v>
      </c>
      <c r="AJ75" s="313" t="s">
        <v>164</v>
      </c>
      <c r="AK75" s="134" t="s">
        <v>174</v>
      </c>
    </row>
    <row r="76" spans="1:37" outlineLevel="1" x14ac:dyDescent="0.35">
      <c r="B76" s="48" t="s">
        <v>74</v>
      </c>
      <c r="C76" s="62" t="s">
        <v>141</v>
      </c>
      <c r="D76" s="70">
        <v>91</v>
      </c>
      <c r="E76" s="68">
        <v>1149</v>
      </c>
      <c r="F76" s="68">
        <v>113</v>
      </c>
      <c r="G76" s="68">
        <v>1262</v>
      </c>
      <c r="H76" s="181">
        <f t="shared" ref="H76:H130" si="494">IFERROR((G76-E76)/E76,0)</f>
        <v>9.8346388163620541E-2</v>
      </c>
      <c r="I76" s="70">
        <v>76</v>
      </c>
      <c r="J76" s="68">
        <v>1338</v>
      </c>
      <c r="K76" s="167">
        <f>IFERROR((J76-G76)/G76,0)</f>
        <v>6.0221870047543584E-2</v>
      </c>
      <c r="L76" s="70">
        <v>53</v>
      </c>
      <c r="M76" s="68">
        <v>1391</v>
      </c>
      <c r="N76" s="167">
        <f>IFERROR((M76-J76)/J76,0)</f>
        <v>3.9611360239162931E-2</v>
      </c>
      <c r="O76" s="70">
        <f>P76-M76</f>
        <v>6</v>
      </c>
      <c r="P76" s="68">
        <v>1397</v>
      </c>
      <c r="Q76" s="167">
        <f>IFERROR((P76-M76)/M76,0)</f>
        <v>4.3134435657800141E-3</v>
      </c>
      <c r="R76" s="175">
        <f>D76+F76+I76+L76+O76</f>
        <v>339</v>
      </c>
      <c r="S76" s="165">
        <f>IFERROR((P76/E76)^(1/4)-1,0)</f>
        <v>5.007203896288126E-2</v>
      </c>
      <c r="U76" s="70">
        <v>43</v>
      </c>
      <c r="V76" s="138">
        <f>P76+U76</f>
        <v>1440</v>
      </c>
      <c r="W76" s="167">
        <f>IFERROR((V76-P76)/P76,0)</f>
        <v>3.0780243378668574E-2</v>
      </c>
      <c r="X76" s="68">
        <v>98</v>
      </c>
      <c r="Y76" s="138">
        <f>V76+X76</f>
        <v>1538</v>
      </c>
      <c r="Z76" s="181">
        <f>IFERROR((Y76-V76)/V76,0)</f>
        <v>6.805555555555555E-2</v>
      </c>
      <c r="AA76" s="70">
        <v>173</v>
      </c>
      <c r="AB76" s="138">
        <f>Y76+AA76</f>
        <v>1711</v>
      </c>
      <c r="AC76" s="167">
        <f>IFERROR((AB76-Y76)/Y76,0)</f>
        <v>0.11248374512353707</v>
      </c>
      <c r="AD76" s="68">
        <v>161</v>
      </c>
      <c r="AE76" s="138">
        <f>AB76+AD76</f>
        <v>1872</v>
      </c>
      <c r="AF76" s="181">
        <f>IFERROR((AE76-AB76)/AB76,0)</f>
        <v>9.409701928696669E-2</v>
      </c>
      <c r="AG76" s="70">
        <v>128</v>
      </c>
      <c r="AH76" s="138">
        <f>AE76+AG76</f>
        <v>2000</v>
      </c>
      <c r="AI76" s="167">
        <f>IFERROR((AH76-AE76)/AE76,0)</f>
        <v>6.8376068376068383E-2</v>
      </c>
      <c r="AJ76" s="164">
        <f>U76+X76+AA76+AD76+AG76</f>
        <v>603</v>
      </c>
      <c r="AK76" s="165">
        <f>IFERROR((AH76/V76)^(1/4)-1,0)</f>
        <v>8.5592604054384402E-2</v>
      </c>
    </row>
    <row r="77" spans="1:37" outlineLevel="1" x14ac:dyDescent="0.35">
      <c r="B77" s="48" t="s">
        <v>75</v>
      </c>
      <c r="C77" s="62" t="s">
        <v>141</v>
      </c>
      <c r="D77" s="70">
        <v>990</v>
      </c>
      <c r="E77" s="68">
        <v>12861</v>
      </c>
      <c r="F77" s="68">
        <v>1310</v>
      </c>
      <c r="G77" s="68">
        <v>14171</v>
      </c>
      <c r="H77" s="181">
        <f t="shared" si="494"/>
        <v>0.10185833138947205</v>
      </c>
      <c r="I77" s="70">
        <v>899</v>
      </c>
      <c r="J77" s="68">
        <v>15070</v>
      </c>
      <c r="K77" s="167">
        <f t="shared" ref="K77:K130" si="495">IFERROR((J77-G77)/G77,0)</f>
        <v>6.3439418530802344E-2</v>
      </c>
      <c r="L77" s="70">
        <v>328</v>
      </c>
      <c r="M77" s="68">
        <v>15398</v>
      </c>
      <c r="N77" s="167">
        <f t="shared" ref="N77:N130" si="496">IFERROR((M77-J77)/J77,0)</f>
        <v>2.1765096217650961E-2</v>
      </c>
      <c r="O77" s="70">
        <f t="shared" ref="O77:O129" si="497">P77-M77</f>
        <v>142</v>
      </c>
      <c r="P77" s="68">
        <v>15540</v>
      </c>
      <c r="Q77" s="167">
        <f t="shared" ref="Q77:Q130" si="498">IFERROR((P77-M77)/M77,0)</f>
        <v>9.2219768801143007E-3</v>
      </c>
      <c r="R77" s="175">
        <f t="shared" ref="R77:R130" si="499">D77+F77+I77+L77+O77</f>
        <v>3669</v>
      </c>
      <c r="S77" s="165">
        <f t="shared" ref="S77:S130" si="500">IFERROR((P77/E77)^(1/4)-1,0)</f>
        <v>4.8441176400687569E-2</v>
      </c>
      <c r="U77" s="70">
        <v>536</v>
      </c>
      <c r="V77" s="138">
        <f t="shared" ref="V77:V129" si="501">P77+U77</f>
        <v>16076</v>
      </c>
      <c r="W77" s="167">
        <f t="shared" ref="W77:W130" si="502">IFERROR((V77-P77)/P77,0)</f>
        <v>3.449163449163449E-2</v>
      </c>
      <c r="X77" s="68">
        <v>676</v>
      </c>
      <c r="Y77" s="138">
        <f t="shared" ref="Y77:Y129" si="503">V77+X77</f>
        <v>16752</v>
      </c>
      <c r="Z77" s="181">
        <f t="shared" ref="Z77:Z129" si="504">IFERROR((Y77-V77)/V77,0)</f>
        <v>4.2050261259019658E-2</v>
      </c>
      <c r="AA77" s="70">
        <v>746</v>
      </c>
      <c r="AB77" s="138">
        <f t="shared" ref="AB77:AB129" si="505">Y77+AA77</f>
        <v>17498</v>
      </c>
      <c r="AC77" s="167">
        <f t="shared" ref="AC77:AC129" si="506">IFERROR((AB77-Y77)/Y77,0)</f>
        <v>4.4531996179560648E-2</v>
      </c>
      <c r="AD77" s="68">
        <v>670</v>
      </c>
      <c r="AE77" s="138">
        <f t="shared" ref="AE77:AE129" si="507">AB77+AD77</f>
        <v>18168</v>
      </c>
      <c r="AF77" s="181">
        <f t="shared" ref="AF77:AF129" si="508">IFERROR((AE77-AB77)/AB77,0)</f>
        <v>3.8290090296033835E-2</v>
      </c>
      <c r="AG77" s="70">
        <v>534</v>
      </c>
      <c r="AH77" s="138">
        <f t="shared" ref="AH77:AH129" si="509">AE77+AG77</f>
        <v>18702</v>
      </c>
      <c r="AI77" s="167">
        <f t="shared" ref="AI77:AI129" si="510">IFERROR((AH77-AE77)/AE77,0)</f>
        <v>2.9392338177014532E-2</v>
      </c>
      <c r="AJ77" s="164">
        <f t="shared" ref="AJ77:AJ129" si="511">U77+X77+AA77+AD77+AG77</f>
        <v>3162</v>
      </c>
      <c r="AK77" s="165">
        <f t="shared" ref="AK77:AK130" si="512">IFERROR((AH77/V77)^(1/4)-1,0)</f>
        <v>3.8550248023003997E-2</v>
      </c>
    </row>
    <row r="78" spans="1:37" outlineLevel="1" x14ac:dyDescent="0.35">
      <c r="B78" s="48" t="s">
        <v>76</v>
      </c>
      <c r="C78" s="62" t="s">
        <v>141</v>
      </c>
      <c r="D78" s="70">
        <v>283</v>
      </c>
      <c r="E78" s="68">
        <v>2991</v>
      </c>
      <c r="F78" s="68">
        <v>350</v>
      </c>
      <c r="G78" s="68">
        <v>3341</v>
      </c>
      <c r="H78" s="181">
        <f t="shared" si="494"/>
        <v>0.1170177198261451</v>
      </c>
      <c r="I78" s="70">
        <v>362</v>
      </c>
      <c r="J78" s="68">
        <v>3703</v>
      </c>
      <c r="K78" s="167">
        <f t="shared" si="495"/>
        <v>0.1083507931756959</v>
      </c>
      <c r="L78" s="70">
        <v>309</v>
      </c>
      <c r="M78" s="68">
        <v>4012</v>
      </c>
      <c r="N78" s="167">
        <f t="shared" si="496"/>
        <v>8.3445854712395351E-2</v>
      </c>
      <c r="O78" s="70">
        <f t="shared" si="497"/>
        <v>115</v>
      </c>
      <c r="P78" s="68">
        <v>4127</v>
      </c>
      <c r="Q78" s="167">
        <f t="shared" si="498"/>
        <v>2.8664007976071784E-2</v>
      </c>
      <c r="R78" s="175">
        <f t="shared" si="499"/>
        <v>1419</v>
      </c>
      <c r="S78" s="165">
        <f t="shared" si="500"/>
        <v>8.3813394366808902E-2</v>
      </c>
      <c r="U78" s="70">
        <v>233</v>
      </c>
      <c r="V78" s="138">
        <f t="shared" si="501"/>
        <v>4360</v>
      </c>
      <c r="W78" s="167">
        <f t="shared" si="502"/>
        <v>5.6457475163557064E-2</v>
      </c>
      <c r="X78" s="68">
        <v>322</v>
      </c>
      <c r="Y78" s="138">
        <f t="shared" si="503"/>
        <v>4682</v>
      </c>
      <c r="Z78" s="181">
        <f t="shared" si="504"/>
        <v>7.3853211009174316E-2</v>
      </c>
      <c r="AA78" s="70">
        <v>478</v>
      </c>
      <c r="AB78" s="138">
        <f t="shared" si="505"/>
        <v>5160</v>
      </c>
      <c r="AC78" s="167">
        <f t="shared" si="506"/>
        <v>0.10209312259718069</v>
      </c>
      <c r="AD78" s="68">
        <v>486</v>
      </c>
      <c r="AE78" s="138">
        <f t="shared" si="507"/>
        <v>5646</v>
      </c>
      <c r="AF78" s="181">
        <f t="shared" si="508"/>
        <v>9.4186046511627902E-2</v>
      </c>
      <c r="AG78" s="70">
        <v>442</v>
      </c>
      <c r="AH78" s="138">
        <f t="shared" si="509"/>
        <v>6088</v>
      </c>
      <c r="AI78" s="167">
        <f t="shared" si="510"/>
        <v>7.8285511866808363E-2</v>
      </c>
      <c r="AJ78" s="164">
        <f t="shared" si="511"/>
        <v>1961</v>
      </c>
      <c r="AK78" s="165">
        <f t="shared" si="512"/>
        <v>8.7043788133950306E-2</v>
      </c>
    </row>
    <row r="79" spans="1:37" outlineLevel="1" x14ac:dyDescent="0.35">
      <c r="B79" s="48" t="s">
        <v>77</v>
      </c>
      <c r="C79" s="62" t="s">
        <v>141</v>
      </c>
      <c r="D79" s="70">
        <v>49</v>
      </c>
      <c r="E79" s="68">
        <v>599</v>
      </c>
      <c r="F79" s="68">
        <v>81</v>
      </c>
      <c r="G79" s="68">
        <v>680</v>
      </c>
      <c r="H79" s="181">
        <f t="shared" si="494"/>
        <v>0.13522537562604339</v>
      </c>
      <c r="I79" s="70">
        <v>94</v>
      </c>
      <c r="J79" s="68">
        <v>774</v>
      </c>
      <c r="K79" s="167">
        <f t="shared" si="495"/>
        <v>0.13823529411764707</v>
      </c>
      <c r="L79" s="70">
        <v>119</v>
      </c>
      <c r="M79" s="68">
        <v>893</v>
      </c>
      <c r="N79" s="167">
        <f t="shared" si="496"/>
        <v>0.15374677002583978</v>
      </c>
      <c r="O79" s="70">
        <f t="shared" si="497"/>
        <v>9</v>
      </c>
      <c r="P79" s="68">
        <v>902</v>
      </c>
      <c r="Q79" s="167">
        <f t="shared" si="498"/>
        <v>1.0078387458006719E-2</v>
      </c>
      <c r="R79" s="175">
        <f t="shared" si="499"/>
        <v>352</v>
      </c>
      <c r="S79" s="165">
        <f t="shared" si="500"/>
        <v>0.10775808592804337</v>
      </c>
      <c r="U79" s="70">
        <v>49</v>
      </c>
      <c r="V79" s="138">
        <f t="shared" si="501"/>
        <v>951</v>
      </c>
      <c r="W79" s="167">
        <f t="shared" si="502"/>
        <v>5.432372505543237E-2</v>
      </c>
      <c r="X79" s="68">
        <v>54</v>
      </c>
      <c r="Y79" s="138">
        <f t="shared" si="503"/>
        <v>1005</v>
      </c>
      <c r="Z79" s="181">
        <f t="shared" si="504"/>
        <v>5.6782334384858045E-2</v>
      </c>
      <c r="AA79" s="70">
        <v>72</v>
      </c>
      <c r="AB79" s="138">
        <f t="shared" si="505"/>
        <v>1077</v>
      </c>
      <c r="AC79" s="167">
        <f t="shared" si="506"/>
        <v>7.1641791044776124E-2</v>
      </c>
      <c r="AD79" s="68">
        <v>75</v>
      </c>
      <c r="AE79" s="138">
        <f t="shared" si="507"/>
        <v>1152</v>
      </c>
      <c r="AF79" s="181">
        <f t="shared" si="508"/>
        <v>6.9637883008356549E-2</v>
      </c>
      <c r="AG79" s="70">
        <v>59</v>
      </c>
      <c r="AH79" s="138">
        <f t="shared" si="509"/>
        <v>1211</v>
      </c>
      <c r="AI79" s="167">
        <f t="shared" si="510"/>
        <v>5.1215277777777776E-2</v>
      </c>
      <c r="AJ79" s="164">
        <f t="shared" si="511"/>
        <v>309</v>
      </c>
      <c r="AK79" s="165">
        <f t="shared" si="512"/>
        <v>6.2284651414193704E-2</v>
      </c>
    </row>
    <row r="80" spans="1:37" outlineLevel="1" x14ac:dyDescent="0.35">
      <c r="B80" s="48" t="s">
        <v>78</v>
      </c>
      <c r="C80" s="62" t="s">
        <v>141</v>
      </c>
      <c r="D80" s="70">
        <v>4054</v>
      </c>
      <c r="E80" s="68">
        <v>126818</v>
      </c>
      <c r="F80" s="68">
        <v>3539</v>
      </c>
      <c r="G80" s="68">
        <v>130357</v>
      </c>
      <c r="H80" s="181">
        <f t="shared" si="494"/>
        <v>2.7906133198757274E-2</v>
      </c>
      <c r="I80" s="70">
        <v>3060</v>
      </c>
      <c r="J80" s="68">
        <v>133417</v>
      </c>
      <c r="K80" s="167">
        <f t="shared" si="495"/>
        <v>2.3473998327669401E-2</v>
      </c>
      <c r="L80" s="70">
        <v>-4633</v>
      </c>
      <c r="M80" s="68">
        <v>128784</v>
      </c>
      <c r="N80" s="167">
        <f t="shared" si="496"/>
        <v>-3.4725709617215196E-2</v>
      </c>
      <c r="O80" s="70">
        <f t="shared" si="497"/>
        <v>226</v>
      </c>
      <c r="P80" s="68">
        <v>129010</v>
      </c>
      <c r="Q80" s="167">
        <f t="shared" si="498"/>
        <v>1.7548763821592745E-3</v>
      </c>
      <c r="R80" s="175">
        <f t="shared" si="499"/>
        <v>6246</v>
      </c>
      <c r="S80" s="165">
        <f t="shared" si="500"/>
        <v>4.2934236904104139E-3</v>
      </c>
      <c r="U80" s="70">
        <v>3067</v>
      </c>
      <c r="V80" s="138">
        <f t="shared" si="501"/>
        <v>132077</v>
      </c>
      <c r="W80" s="167">
        <f t="shared" si="502"/>
        <v>2.3773350903030774E-2</v>
      </c>
      <c r="X80" s="68">
        <v>3747</v>
      </c>
      <c r="Y80" s="138">
        <f t="shared" si="503"/>
        <v>135824</v>
      </c>
      <c r="Z80" s="181">
        <f t="shared" si="504"/>
        <v>2.8369814577859885E-2</v>
      </c>
      <c r="AA80" s="70">
        <v>4283</v>
      </c>
      <c r="AB80" s="138">
        <f t="shared" si="505"/>
        <v>140107</v>
      </c>
      <c r="AC80" s="167">
        <f t="shared" si="506"/>
        <v>3.1533455059488749E-2</v>
      </c>
      <c r="AD80" s="68">
        <v>4187</v>
      </c>
      <c r="AE80" s="138">
        <f t="shared" si="507"/>
        <v>144294</v>
      </c>
      <c r="AF80" s="181">
        <f t="shared" si="508"/>
        <v>2.9884302711499069E-2</v>
      </c>
      <c r="AG80" s="70">
        <v>3680</v>
      </c>
      <c r="AH80" s="138">
        <f t="shared" si="509"/>
        <v>147974</v>
      </c>
      <c r="AI80" s="167">
        <f t="shared" si="510"/>
        <v>2.5503485938431259E-2</v>
      </c>
      <c r="AJ80" s="164">
        <f t="shared" si="511"/>
        <v>18964</v>
      </c>
      <c r="AK80" s="165">
        <f t="shared" si="512"/>
        <v>2.8820370134007511E-2</v>
      </c>
    </row>
    <row r="81" spans="2:37" outlineLevel="1" x14ac:dyDescent="0.35">
      <c r="B81" s="48" t="s">
        <v>79</v>
      </c>
      <c r="C81" s="62" t="s">
        <v>141</v>
      </c>
      <c r="D81" s="70">
        <v>398</v>
      </c>
      <c r="E81" s="68">
        <v>5559</v>
      </c>
      <c r="F81" s="68">
        <v>593</v>
      </c>
      <c r="G81" s="68">
        <v>6152</v>
      </c>
      <c r="H81" s="181">
        <f t="shared" si="494"/>
        <v>0.10667386220543264</v>
      </c>
      <c r="I81" s="70">
        <v>501</v>
      </c>
      <c r="J81" s="68">
        <v>6653</v>
      </c>
      <c r="K81" s="167">
        <f t="shared" si="495"/>
        <v>8.1436931079323802E-2</v>
      </c>
      <c r="L81" s="70">
        <v>343</v>
      </c>
      <c r="M81" s="68">
        <v>6996</v>
      </c>
      <c r="N81" s="167">
        <f t="shared" si="496"/>
        <v>5.1555689162783705E-2</v>
      </c>
      <c r="O81" s="70">
        <f t="shared" si="497"/>
        <v>125</v>
      </c>
      <c r="P81" s="68">
        <v>7121</v>
      </c>
      <c r="Q81" s="167">
        <f t="shared" si="498"/>
        <v>1.786735277301315E-2</v>
      </c>
      <c r="R81" s="175">
        <f t="shared" si="499"/>
        <v>1960</v>
      </c>
      <c r="S81" s="165">
        <f t="shared" si="500"/>
        <v>6.3863913886806678E-2</v>
      </c>
      <c r="U81" s="70">
        <v>286</v>
      </c>
      <c r="V81" s="138">
        <f t="shared" si="501"/>
        <v>7407</v>
      </c>
      <c r="W81" s="167">
        <f t="shared" si="502"/>
        <v>4.0162898469316109E-2</v>
      </c>
      <c r="X81" s="68">
        <v>317</v>
      </c>
      <c r="Y81" s="138">
        <f t="shared" si="503"/>
        <v>7724</v>
      </c>
      <c r="Z81" s="181">
        <f t="shared" si="504"/>
        <v>4.2797353854461997E-2</v>
      </c>
      <c r="AA81" s="70">
        <v>332</v>
      </c>
      <c r="AB81" s="138">
        <f t="shared" si="505"/>
        <v>8056</v>
      </c>
      <c r="AC81" s="167">
        <f t="shared" si="506"/>
        <v>4.298291040911445E-2</v>
      </c>
      <c r="AD81" s="68">
        <v>290</v>
      </c>
      <c r="AE81" s="138">
        <f t="shared" si="507"/>
        <v>8346</v>
      </c>
      <c r="AF81" s="181">
        <f t="shared" si="508"/>
        <v>3.5998013902681231E-2</v>
      </c>
      <c r="AG81" s="70">
        <v>277</v>
      </c>
      <c r="AH81" s="138">
        <f t="shared" si="509"/>
        <v>8623</v>
      </c>
      <c r="AI81" s="167">
        <f t="shared" si="510"/>
        <v>3.3189551881140665E-2</v>
      </c>
      <c r="AJ81" s="164">
        <f t="shared" si="511"/>
        <v>1502</v>
      </c>
      <c r="AK81" s="165">
        <f t="shared" si="512"/>
        <v>3.8733194248768532E-2</v>
      </c>
    </row>
    <row r="82" spans="2:37" outlineLevel="1" x14ac:dyDescent="0.35">
      <c r="B82" s="48" t="s">
        <v>80</v>
      </c>
      <c r="C82" s="62" t="s">
        <v>141</v>
      </c>
      <c r="D82" s="70">
        <v>364</v>
      </c>
      <c r="E82" s="68">
        <v>3339</v>
      </c>
      <c r="F82" s="68">
        <v>433</v>
      </c>
      <c r="G82" s="68">
        <v>3772</v>
      </c>
      <c r="H82" s="181">
        <f t="shared" si="494"/>
        <v>0.12967954477388441</v>
      </c>
      <c r="I82" s="70">
        <v>483</v>
      </c>
      <c r="J82" s="68">
        <v>4255</v>
      </c>
      <c r="K82" s="167">
        <f t="shared" si="495"/>
        <v>0.12804878048780488</v>
      </c>
      <c r="L82" s="70">
        <v>700</v>
      </c>
      <c r="M82" s="68">
        <v>4955</v>
      </c>
      <c r="N82" s="167">
        <f t="shared" si="496"/>
        <v>0.1645123384253819</v>
      </c>
      <c r="O82" s="70">
        <f t="shared" si="497"/>
        <v>185</v>
      </c>
      <c r="P82" s="68">
        <v>5140</v>
      </c>
      <c r="Q82" s="167">
        <f t="shared" si="498"/>
        <v>3.7336024217961658E-2</v>
      </c>
      <c r="R82" s="175">
        <f t="shared" si="499"/>
        <v>2165</v>
      </c>
      <c r="S82" s="165">
        <f t="shared" si="500"/>
        <v>0.11387555991797171</v>
      </c>
      <c r="U82" s="70">
        <v>307</v>
      </c>
      <c r="V82" s="138">
        <f t="shared" si="501"/>
        <v>5447</v>
      </c>
      <c r="W82" s="167">
        <f t="shared" si="502"/>
        <v>5.9727626459143972E-2</v>
      </c>
      <c r="X82" s="68">
        <v>360</v>
      </c>
      <c r="Y82" s="138">
        <f t="shared" si="503"/>
        <v>5807</v>
      </c>
      <c r="Z82" s="181">
        <f t="shared" si="504"/>
        <v>6.6091426473288042E-2</v>
      </c>
      <c r="AA82" s="70">
        <v>380</v>
      </c>
      <c r="AB82" s="138">
        <f t="shared" si="505"/>
        <v>6187</v>
      </c>
      <c r="AC82" s="167">
        <f t="shared" si="506"/>
        <v>6.5438264163940066E-2</v>
      </c>
      <c r="AD82" s="68">
        <v>326</v>
      </c>
      <c r="AE82" s="138">
        <f t="shared" si="507"/>
        <v>6513</v>
      </c>
      <c r="AF82" s="181">
        <f t="shared" si="508"/>
        <v>5.269112655568127E-2</v>
      </c>
      <c r="AG82" s="70">
        <v>276</v>
      </c>
      <c r="AH82" s="138">
        <f t="shared" si="509"/>
        <v>6789</v>
      </c>
      <c r="AI82" s="167">
        <f t="shared" si="510"/>
        <v>4.2376784891754948E-2</v>
      </c>
      <c r="AJ82" s="164">
        <f t="shared" si="511"/>
        <v>1649</v>
      </c>
      <c r="AK82" s="165">
        <f t="shared" si="512"/>
        <v>5.6603654237781909E-2</v>
      </c>
    </row>
    <row r="83" spans="2:37" outlineLevel="1" x14ac:dyDescent="0.35">
      <c r="B83" s="48" t="s">
        <v>81</v>
      </c>
      <c r="C83" s="62" t="s">
        <v>141</v>
      </c>
      <c r="D83" s="70">
        <v>873</v>
      </c>
      <c r="E83" s="68">
        <v>19787</v>
      </c>
      <c r="F83" s="68">
        <v>493</v>
      </c>
      <c r="G83" s="68">
        <v>20280</v>
      </c>
      <c r="H83" s="181">
        <f t="shared" si="494"/>
        <v>2.491534846111083E-2</v>
      </c>
      <c r="I83" s="70">
        <v>623</v>
      </c>
      <c r="J83" s="68">
        <v>20903</v>
      </c>
      <c r="K83" s="167">
        <f t="shared" si="495"/>
        <v>3.0719921104536488E-2</v>
      </c>
      <c r="L83" s="70">
        <v>-895</v>
      </c>
      <c r="M83" s="68">
        <v>20008</v>
      </c>
      <c r="N83" s="167">
        <f t="shared" si="496"/>
        <v>-4.2816820552073864E-2</v>
      </c>
      <c r="O83" s="70">
        <f t="shared" si="497"/>
        <v>101</v>
      </c>
      <c r="P83" s="68">
        <v>20109</v>
      </c>
      <c r="Q83" s="167">
        <f t="shared" si="498"/>
        <v>5.0479808076769293E-3</v>
      </c>
      <c r="R83" s="175">
        <f t="shared" si="499"/>
        <v>1195</v>
      </c>
      <c r="S83" s="165">
        <f t="shared" si="500"/>
        <v>4.0437338259109445E-3</v>
      </c>
      <c r="U83" s="70">
        <v>490</v>
      </c>
      <c r="V83" s="138">
        <f t="shared" si="501"/>
        <v>20599</v>
      </c>
      <c r="W83" s="167">
        <f t="shared" si="502"/>
        <v>2.436719876672137E-2</v>
      </c>
      <c r="X83" s="68">
        <v>554</v>
      </c>
      <c r="Y83" s="138">
        <f t="shared" si="503"/>
        <v>21153</v>
      </c>
      <c r="Z83" s="181">
        <f t="shared" si="504"/>
        <v>2.6894509442205932E-2</v>
      </c>
      <c r="AA83" s="70">
        <v>584</v>
      </c>
      <c r="AB83" s="138">
        <f t="shared" si="505"/>
        <v>21737</v>
      </c>
      <c r="AC83" s="167">
        <f t="shared" si="506"/>
        <v>2.7608377062355222E-2</v>
      </c>
      <c r="AD83" s="68">
        <v>508</v>
      </c>
      <c r="AE83" s="138">
        <f t="shared" si="507"/>
        <v>22245</v>
      </c>
      <c r="AF83" s="181">
        <f t="shared" si="508"/>
        <v>2.3370290288448267E-2</v>
      </c>
      <c r="AG83" s="70">
        <v>404</v>
      </c>
      <c r="AH83" s="138">
        <f t="shared" si="509"/>
        <v>22649</v>
      </c>
      <c r="AI83" s="167">
        <f t="shared" si="510"/>
        <v>1.8161384580804674E-2</v>
      </c>
      <c r="AJ83" s="164">
        <f t="shared" si="511"/>
        <v>2540</v>
      </c>
      <c r="AK83" s="165">
        <f t="shared" si="512"/>
        <v>2.4001808243984124E-2</v>
      </c>
    </row>
    <row r="84" spans="2:37" outlineLevel="1" x14ac:dyDescent="0.35">
      <c r="B84" s="48" t="s">
        <v>82</v>
      </c>
      <c r="C84" s="62" t="s">
        <v>141</v>
      </c>
      <c r="D84" s="70">
        <v>0</v>
      </c>
      <c r="E84" s="68"/>
      <c r="F84" s="68">
        <v>0</v>
      </c>
      <c r="G84" s="68"/>
      <c r="H84" s="181">
        <f t="shared" si="494"/>
        <v>0</v>
      </c>
      <c r="I84" s="70">
        <v>0</v>
      </c>
      <c r="J84" s="68">
        <v>0</v>
      </c>
      <c r="K84" s="167">
        <f t="shared" si="495"/>
        <v>0</v>
      </c>
      <c r="L84" s="70">
        <v>0</v>
      </c>
      <c r="M84" s="68"/>
      <c r="N84" s="167">
        <f t="shared" si="496"/>
        <v>0</v>
      </c>
      <c r="O84" s="70">
        <f t="shared" si="497"/>
        <v>0</v>
      </c>
      <c r="P84" s="68"/>
      <c r="Q84" s="167">
        <f t="shared" si="498"/>
        <v>0</v>
      </c>
      <c r="R84" s="175">
        <f t="shared" si="499"/>
        <v>0</v>
      </c>
      <c r="S84" s="165">
        <f t="shared" si="500"/>
        <v>0</v>
      </c>
      <c r="U84" s="70">
        <v>0</v>
      </c>
      <c r="V84" s="138">
        <f t="shared" si="501"/>
        <v>0</v>
      </c>
      <c r="W84" s="167">
        <f t="shared" si="502"/>
        <v>0</v>
      </c>
      <c r="X84" s="68">
        <v>0</v>
      </c>
      <c r="Y84" s="138">
        <f t="shared" si="503"/>
        <v>0</v>
      </c>
      <c r="Z84" s="181">
        <f t="shared" si="504"/>
        <v>0</v>
      </c>
      <c r="AA84" s="70">
        <v>0</v>
      </c>
      <c r="AB84" s="138">
        <f t="shared" si="505"/>
        <v>0</v>
      </c>
      <c r="AC84" s="167">
        <f t="shared" si="506"/>
        <v>0</v>
      </c>
      <c r="AD84" s="68">
        <v>0</v>
      </c>
      <c r="AE84" s="138">
        <f t="shared" si="507"/>
        <v>0</v>
      </c>
      <c r="AF84" s="181">
        <f t="shared" si="508"/>
        <v>0</v>
      </c>
      <c r="AG84" s="70">
        <v>0</v>
      </c>
      <c r="AH84" s="138">
        <f t="shared" si="509"/>
        <v>0</v>
      </c>
      <c r="AI84" s="167">
        <f t="shared" si="510"/>
        <v>0</v>
      </c>
      <c r="AJ84" s="164">
        <f t="shared" si="511"/>
        <v>0</v>
      </c>
      <c r="AK84" s="165">
        <f t="shared" si="512"/>
        <v>0</v>
      </c>
    </row>
    <row r="85" spans="2:37" outlineLevel="1" x14ac:dyDescent="0.35">
      <c r="B85" s="48" t="s">
        <v>83</v>
      </c>
      <c r="C85" s="62" t="s">
        <v>141</v>
      </c>
      <c r="D85" s="70">
        <v>62</v>
      </c>
      <c r="E85" s="68">
        <v>2792</v>
      </c>
      <c r="F85" s="68">
        <v>159</v>
      </c>
      <c r="G85" s="68">
        <v>2951</v>
      </c>
      <c r="H85" s="181">
        <f t="shared" si="494"/>
        <v>5.6948424068767906E-2</v>
      </c>
      <c r="I85" s="70">
        <v>75</v>
      </c>
      <c r="J85" s="68">
        <v>3026</v>
      </c>
      <c r="K85" s="167">
        <f t="shared" si="495"/>
        <v>2.5415113520840395E-2</v>
      </c>
      <c r="L85" s="70">
        <v>36</v>
      </c>
      <c r="M85" s="68">
        <v>3062</v>
      </c>
      <c r="N85" s="167">
        <f t="shared" si="496"/>
        <v>1.1896893588896233E-2</v>
      </c>
      <c r="O85" s="70">
        <f t="shared" si="497"/>
        <v>17</v>
      </c>
      <c r="P85" s="68">
        <v>3079</v>
      </c>
      <c r="Q85" s="167">
        <f t="shared" si="498"/>
        <v>5.5519268451992166E-3</v>
      </c>
      <c r="R85" s="175">
        <f t="shared" si="499"/>
        <v>349</v>
      </c>
      <c r="S85" s="165">
        <f t="shared" si="500"/>
        <v>2.476331221227035E-2</v>
      </c>
      <c r="U85" s="70">
        <v>57</v>
      </c>
      <c r="V85" s="138">
        <f t="shared" si="501"/>
        <v>3136</v>
      </c>
      <c r="W85" s="167">
        <f t="shared" si="502"/>
        <v>1.8512504059759662E-2</v>
      </c>
      <c r="X85" s="68">
        <v>110</v>
      </c>
      <c r="Y85" s="138">
        <f t="shared" si="503"/>
        <v>3246</v>
      </c>
      <c r="Z85" s="181">
        <f t="shared" si="504"/>
        <v>3.5076530612244895E-2</v>
      </c>
      <c r="AA85" s="70">
        <v>136</v>
      </c>
      <c r="AB85" s="138">
        <f t="shared" si="505"/>
        <v>3382</v>
      </c>
      <c r="AC85" s="167">
        <f t="shared" si="506"/>
        <v>4.1897720271102896E-2</v>
      </c>
      <c r="AD85" s="68">
        <v>145</v>
      </c>
      <c r="AE85" s="138">
        <f t="shared" si="507"/>
        <v>3527</v>
      </c>
      <c r="AF85" s="181">
        <f t="shared" si="508"/>
        <v>4.2874039030159669E-2</v>
      </c>
      <c r="AG85" s="70">
        <v>136</v>
      </c>
      <c r="AH85" s="138">
        <f t="shared" si="509"/>
        <v>3663</v>
      </c>
      <c r="AI85" s="167">
        <f t="shared" si="510"/>
        <v>3.8559682449673942E-2</v>
      </c>
      <c r="AJ85" s="164">
        <f t="shared" si="511"/>
        <v>584</v>
      </c>
      <c r="AK85" s="165">
        <f t="shared" si="512"/>
        <v>3.9597475378056801E-2</v>
      </c>
    </row>
    <row r="86" spans="2:37" outlineLevel="1" x14ac:dyDescent="0.35">
      <c r="B86" s="48" t="s">
        <v>84</v>
      </c>
      <c r="C86" s="62" t="s">
        <v>141</v>
      </c>
      <c r="D86" s="70">
        <v>220</v>
      </c>
      <c r="E86" s="68">
        <v>2512</v>
      </c>
      <c r="F86" s="68">
        <v>215</v>
      </c>
      <c r="G86" s="68">
        <v>2727</v>
      </c>
      <c r="H86" s="181">
        <f t="shared" si="494"/>
        <v>8.5589171974522288E-2</v>
      </c>
      <c r="I86" s="70">
        <v>158</v>
      </c>
      <c r="J86" s="68">
        <v>2885</v>
      </c>
      <c r="K86" s="167">
        <f t="shared" si="495"/>
        <v>5.7939127246057938E-2</v>
      </c>
      <c r="L86" s="70">
        <v>167</v>
      </c>
      <c r="M86" s="68">
        <v>3052</v>
      </c>
      <c r="N86" s="167">
        <f t="shared" si="496"/>
        <v>5.788561525129983E-2</v>
      </c>
      <c r="O86" s="70">
        <f t="shared" si="497"/>
        <v>50</v>
      </c>
      <c r="P86" s="68">
        <v>3102</v>
      </c>
      <c r="Q86" s="167">
        <f t="shared" si="498"/>
        <v>1.6382699868938401E-2</v>
      </c>
      <c r="R86" s="175">
        <f t="shared" si="499"/>
        <v>810</v>
      </c>
      <c r="S86" s="165">
        <f t="shared" si="500"/>
        <v>5.4157588909282461E-2</v>
      </c>
      <c r="U86" s="70">
        <v>123</v>
      </c>
      <c r="V86" s="138">
        <f t="shared" si="501"/>
        <v>3225</v>
      </c>
      <c r="W86" s="167">
        <f t="shared" si="502"/>
        <v>3.9651837524177946E-2</v>
      </c>
      <c r="X86" s="68">
        <v>186</v>
      </c>
      <c r="Y86" s="138">
        <f t="shared" si="503"/>
        <v>3411</v>
      </c>
      <c r="Z86" s="181">
        <f t="shared" si="504"/>
        <v>5.7674418604651161E-2</v>
      </c>
      <c r="AA86" s="70">
        <v>282</v>
      </c>
      <c r="AB86" s="138">
        <f t="shared" si="505"/>
        <v>3693</v>
      </c>
      <c r="AC86" s="167">
        <f t="shared" si="506"/>
        <v>8.2673702726473175E-2</v>
      </c>
      <c r="AD86" s="68">
        <v>320</v>
      </c>
      <c r="AE86" s="138">
        <f t="shared" si="507"/>
        <v>4013</v>
      </c>
      <c r="AF86" s="181">
        <f t="shared" si="508"/>
        <v>8.6650419712970481E-2</v>
      </c>
      <c r="AG86" s="70">
        <v>274</v>
      </c>
      <c r="AH86" s="138">
        <f t="shared" si="509"/>
        <v>4287</v>
      </c>
      <c r="AI86" s="167">
        <f t="shared" si="510"/>
        <v>6.8278096187390974E-2</v>
      </c>
      <c r="AJ86" s="164">
        <f t="shared" si="511"/>
        <v>1185</v>
      </c>
      <c r="AK86" s="165">
        <f t="shared" si="512"/>
        <v>7.375683446809389E-2</v>
      </c>
    </row>
    <row r="87" spans="2:37" outlineLevel="1" x14ac:dyDescent="0.35">
      <c r="B87" s="48" t="s">
        <v>85</v>
      </c>
      <c r="C87" s="62" t="s">
        <v>141</v>
      </c>
      <c r="D87" s="70">
        <v>974</v>
      </c>
      <c r="E87" s="68">
        <v>5476</v>
      </c>
      <c r="F87" s="68">
        <v>1353</v>
      </c>
      <c r="G87" s="68">
        <v>6829</v>
      </c>
      <c r="H87" s="181">
        <f t="shared" si="494"/>
        <v>0.24707815924032139</v>
      </c>
      <c r="I87" s="70">
        <v>615</v>
      </c>
      <c r="J87" s="68">
        <v>7444</v>
      </c>
      <c r="K87" s="167">
        <f t="shared" si="495"/>
        <v>9.0057109386440182E-2</v>
      </c>
      <c r="L87" s="70">
        <v>321</v>
      </c>
      <c r="M87" s="68">
        <v>7765</v>
      </c>
      <c r="N87" s="167">
        <f t="shared" si="496"/>
        <v>4.3121977431488448E-2</v>
      </c>
      <c r="O87" s="70">
        <f t="shared" si="497"/>
        <v>148</v>
      </c>
      <c r="P87" s="68">
        <v>7913</v>
      </c>
      <c r="Q87" s="167">
        <f t="shared" si="498"/>
        <v>1.905988409529942E-2</v>
      </c>
      <c r="R87" s="175">
        <f t="shared" si="499"/>
        <v>3411</v>
      </c>
      <c r="S87" s="165">
        <f t="shared" si="500"/>
        <v>9.6401021684894506E-2</v>
      </c>
      <c r="U87" s="70">
        <v>244</v>
      </c>
      <c r="V87" s="138">
        <f t="shared" si="501"/>
        <v>8157</v>
      </c>
      <c r="W87" s="167">
        <f t="shared" si="502"/>
        <v>3.0835334260078354E-2</v>
      </c>
      <c r="X87" s="68">
        <v>300</v>
      </c>
      <c r="Y87" s="138">
        <f t="shared" si="503"/>
        <v>8457</v>
      </c>
      <c r="Z87" s="181">
        <f t="shared" si="504"/>
        <v>3.6778227289444645E-2</v>
      </c>
      <c r="AA87" s="70">
        <v>318</v>
      </c>
      <c r="AB87" s="138">
        <f t="shared" si="505"/>
        <v>8775</v>
      </c>
      <c r="AC87" s="167">
        <f t="shared" si="506"/>
        <v>3.7601986520042568E-2</v>
      </c>
      <c r="AD87" s="68">
        <v>274</v>
      </c>
      <c r="AE87" s="138">
        <f t="shared" si="507"/>
        <v>9049</v>
      </c>
      <c r="AF87" s="181">
        <f t="shared" si="508"/>
        <v>3.1225071225071226E-2</v>
      </c>
      <c r="AG87" s="70">
        <v>220</v>
      </c>
      <c r="AH87" s="138">
        <f t="shared" si="509"/>
        <v>9269</v>
      </c>
      <c r="AI87" s="167">
        <f t="shared" si="510"/>
        <v>2.4312078682727372E-2</v>
      </c>
      <c r="AJ87" s="164">
        <f t="shared" si="511"/>
        <v>1356</v>
      </c>
      <c r="AK87" s="165">
        <f t="shared" si="512"/>
        <v>3.2465634109644537E-2</v>
      </c>
    </row>
    <row r="88" spans="2:37" outlineLevel="1" x14ac:dyDescent="0.35">
      <c r="B88" s="48" t="s">
        <v>86</v>
      </c>
      <c r="C88" s="62" t="s">
        <v>141</v>
      </c>
      <c r="D88" s="70">
        <v>241</v>
      </c>
      <c r="E88" s="68">
        <v>3563</v>
      </c>
      <c r="F88" s="68">
        <v>342</v>
      </c>
      <c r="G88" s="68">
        <v>3905</v>
      </c>
      <c r="H88" s="181">
        <f t="shared" si="494"/>
        <v>9.5986528206567501E-2</v>
      </c>
      <c r="I88" s="70">
        <v>444</v>
      </c>
      <c r="J88" s="68">
        <v>4349</v>
      </c>
      <c r="K88" s="167">
        <f t="shared" si="495"/>
        <v>0.11370038412291933</v>
      </c>
      <c r="L88" s="70">
        <v>466</v>
      </c>
      <c r="M88" s="68">
        <v>4815</v>
      </c>
      <c r="N88" s="167">
        <f t="shared" si="496"/>
        <v>0.10715106921131294</v>
      </c>
      <c r="O88" s="70">
        <f t="shared" si="497"/>
        <v>117</v>
      </c>
      <c r="P88" s="68">
        <v>4932</v>
      </c>
      <c r="Q88" s="167">
        <f t="shared" si="498"/>
        <v>2.4299065420560748E-2</v>
      </c>
      <c r="R88" s="175">
        <f t="shared" si="499"/>
        <v>1610</v>
      </c>
      <c r="S88" s="165">
        <f t="shared" si="500"/>
        <v>8.4680446946192367E-2</v>
      </c>
      <c r="U88" s="70">
        <v>272</v>
      </c>
      <c r="V88" s="138">
        <f t="shared" si="501"/>
        <v>5204</v>
      </c>
      <c r="W88" s="167">
        <f t="shared" si="502"/>
        <v>5.5150040551500405E-2</v>
      </c>
      <c r="X88" s="68">
        <v>520</v>
      </c>
      <c r="Y88" s="138">
        <f t="shared" si="503"/>
        <v>5724</v>
      </c>
      <c r="Z88" s="181">
        <f t="shared" si="504"/>
        <v>9.9923136049192923E-2</v>
      </c>
      <c r="AA88" s="70">
        <v>763</v>
      </c>
      <c r="AB88" s="138">
        <f t="shared" si="505"/>
        <v>6487</v>
      </c>
      <c r="AC88" s="167">
        <f t="shared" si="506"/>
        <v>0.133298392732355</v>
      </c>
      <c r="AD88" s="68">
        <v>748</v>
      </c>
      <c r="AE88" s="138">
        <f t="shared" si="507"/>
        <v>7235</v>
      </c>
      <c r="AF88" s="181">
        <f t="shared" si="508"/>
        <v>0.11530753815322954</v>
      </c>
      <c r="AG88" s="70">
        <v>614</v>
      </c>
      <c r="AH88" s="138">
        <f t="shared" si="509"/>
        <v>7849</v>
      </c>
      <c r="AI88" s="167">
        <f t="shared" si="510"/>
        <v>8.4865238424326195E-2</v>
      </c>
      <c r="AJ88" s="164">
        <f t="shared" si="511"/>
        <v>2917</v>
      </c>
      <c r="AK88" s="165">
        <f t="shared" si="512"/>
        <v>0.10820284383600476</v>
      </c>
    </row>
    <row r="89" spans="2:37" outlineLevel="1" x14ac:dyDescent="0.35">
      <c r="B89" s="48" t="s">
        <v>87</v>
      </c>
      <c r="C89" s="62" t="s">
        <v>141</v>
      </c>
      <c r="D89" s="70">
        <v>568</v>
      </c>
      <c r="E89" s="68">
        <v>8695</v>
      </c>
      <c r="F89" s="68">
        <v>678</v>
      </c>
      <c r="G89" s="68">
        <v>9373</v>
      </c>
      <c r="H89" s="181">
        <f t="shared" si="494"/>
        <v>7.7975848188614152E-2</v>
      </c>
      <c r="I89" s="70">
        <v>349</v>
      </c>
      <c r="J89" s="68">
        <v>9722</v>
      </c>
      <c r="K89" s="167">
        <f t="shared" si="495"/>
        <v>3.7234610050144029E-2</v>
      </c>
      <c r="L89" s="70">
        <v>256</v>
      </c>
      <c r="M89" s="68">
        <v>9978</v>
      </c>
      <c r="N89" s="167">
        <f t="shared" si="496"/>
        <v>2.6332030446410203E-2</v>
      </c>
      <c r="O89" s="70">
        <f t="shared" si="497"/>
        <v>92</v>
      </c>
      <c r="P89" s="68">
        <v>10070</v>
      </c>
      <c r="Q89" s="167">
        <f t="shared" si="498"/>
        <v>9.2202846261775911E-3</v>
      </c>
      <c r="R89" s="175">
        <f t="shared" si="499"/>
        <v>1943</v>
      </c>
      <c r="S89" s="165">
        <f t="shared" si="500"/>
        <v>3.7385016728263221E-2</v>
      </c>
      <c r="U89" s="70">
        <v>233</v>
      </c>
      <c r="V89" s="138">
        <f t="shared" si="501"/>
        <v>10303</v>
      </c>
      <c r="W89" s="167">
        <f t="shared" si="502"/>
        <v>2.313803376365442E-2</v>
      </c>
      <c r="X89" s="68">
        <v>391</v>
      </c>
      <c r="Y89" s="138">
        <f t="shared" si="503"/>
        <v>10694</v>
      </c>
      <c r="Z89" s="181">
        <f t="shared" si="504"/>
        <v>3.7950111617975346E-2</v>
      </c>
      <c r="AA89" s="70">
        <v>432</v>
      </c>
      <c r="AB89" s="138">
        <f t="shared" si="505"/>
        <v>11126</v>
      </c>
      <c r="AC89" s="167">
        <f t="shared" si="506"/>
        <v>4.0396484009725078E-2</v>
      </c>
      <c r="AD89" s="68">
        <v>341</v>
      </c>
      <c r="AE89" s="138">
        <f t="shared" si="507"/>
        <v>11467</v>
      </c>
      <c r="AF89" s="181">
        <f t="shared" si="508"/>
        <v>3.0648930433219486E-2</v>
      </c>
      <c r="AG89" s="70">
        <v>359</v>
      </c>
      <c r="AH89" s="138">
        <f t="shared" si="509"/>
        <v>11826</v>
      </c>
      <c r="AI89" s="167">
        <f t="shared" si="510"/>
        <v>3.1307229441004621E-2</v>
      </c>
      <c r="AJ89" s="164">
        <f t="shared" si="511"/>
        <v>1756</v>
      </c>
      <c r="AK89" s="165">
        <f t="shared" si="512"/>
        <v>3.5067193233831784E-2</v>
      </c>
    </row>
    <row r="90" spans="2:37" outlineLevel="1" x14ac:dyDescent="0.35">
      <c r="B90" s="48" t="s">
        <v>88</v>
      </c>
      <c r="C90" s="62" t="s">
        <v>141</v>
      </c>
      <c r="D90" s="70">
        <v>461</v>
      </c>
      <c r="E90" s="68">
        <v>5490</v>
      </c>
      <c r="F90" s="68">
        <v>700</v>
      </c>
      <c r="G90" s="68">
        <v>6190</v>
      </c>
      <c r="H90" s="181">
        <f t="shared" si="494"/>
        <v>0.12750455373406194</v>
      </c>
      <c r="I90" s="70">
        <v>535</v>
      </c>
      <c r="J90" s="68">
        <v>6725</v>
      </c>
      <c r="K90" s="167">
        <f t="shared" si="495"/>
        <v>8.6429725363489501E-2</v>
      </c>
      <c r="L90" s="70">
        <v>410</v>
      </c>
      <c r="M90" s="68">
        <v>7135</v>
      </c>
      <c r="N90" s="167">
        <f t="shared" si="496"/>
        <v>6.0966542750929366E-2</v>
      </c>
      <c r="O90" s="70">
        <f t="shared" si="497"/>
        <v>280</v>
      </c>
      <c r="P90" s="68">
        <v>7415</v>
      </c>
      <c r="Q90" s="167">
        <f t="shared" si="498"/>
        <v>3.9243167484232656E-2</v>
      </c>
      <c r="R90" s="175">
        <f t="shared" si="499"/>
        <v>2386</v>
      </c>
      <c r="S90" s="165">
        <f t="shared" si="500"/>
        <v>7.8039571443953237E-2</v>
      </c>
      <c r="U90" s="70">
        <v>424</v>
      </c>
      <c r="V90" s="138">
        <f t="shared" si="501"/>
        <v>7839</v>
      </c>
      <c r="W90" s="167">
        <f t="shared" si="502"/>
        <v>5.7181389076196895E-2</v>
      </c>
      <c r="X90" s="68">
        <v>587</v>
      </c>
      <c r="Y90" s="138">
        <f t="shared" si="503"/>
        <v>8426</v>
      </c>
      <c r="Z90" s="181">
        <f t="shared" si="504"/>
        <v>7.4882000255134584E-2</v>
      </c>
      <c r="AA90" s="70">
        <v>744</v>
      </c>
      <c r="AB90" s="138">
        <f t="shared" si="505"/>
        <v>9170</v>
      </c>
      <c r="AC90" s="167">
        <f t="shared" si="506"/>
        <v>8.8298124851649659E-2</v>
      </c>
      <c r="AD90" s="68">
        <v>657</v>
      </c>
      <c r="AE90" s="138">
        <f t="shared" si="507"/>
        <v>9827</v>
      </c>
      <c r="AF90" s="181">
        <f t="shared" si="508"/>
        <v>7.1646673936750269E-2</v>
      </c>
      <c r="AG90" s="70">
        <v>611</v>
      </c>
      <c r="AH90" s="138">
        <f t="shared" si="509"/>
        <v>10438</v>
      </c>
      <c r="AI90" s="167">
        <f t="shared" si="510"/>
        <v>6.2175638546860687E-2</v>
      </c>
      <c r="AJ90" s="164">
        <f t="shared" si="511"/>
        <v>3023</v>
      </c>
      <c r="AK90" s="165">
        <f t="shared" si="512"/>
        <v>7.4209916001475751E-2</v>
      </c>
    </row>
    <row r="91" spans="2:37" outlineLevel="1" x14ac:dyDescent="0.35">
      <c r="B91" s="48" t="s">
        <v>89</v>
      </c>
      <c r="C91" s="62" t="s">
        <v>141</v>
      </c>
      <c r="D91" s="70">
        <v>171</v>
      </c>
      <c r="E91" s="68">
        <v>3625</v>
      </c>
      <c r="F91" s="68">
        <v>346</v>
      </c>
      <c r="G91" s="68">
        <v>3971</v>
      </c>
      <c r="H91" s="181">
        <f t="shared" si="494"/>
        <v>9.5448275862068971E-2</v>
      </c>
      <c r="I91" s="70">
        <v>214</v>
      </c>
      <c r="J91" s="68">
        <v>4185</v>
      </c>
      <c r="K91" s="167">
        <f t="shared" si="495"/>
        <v>5.389070763031982E-2</v>
      </c>
      <c r="L91" s="70">
        <v>49</v>
      </c>
      <c r="M91" s="68">
        <v>4234</v>
      </c>
      <c r="N91" s="167">
        <f t="shared" si="496"/>
        <v>1.1708482676224612E-2</v>
      </c>
      <c r="O91" s="70">
        <f t="shared" si="497"/>
        <v>67</v>
      </c>
      <c r="P91" s="68">
        <v>4301</v>
      </c>
      <c r="Q91" s="167">
        <f t="shared" si="498"/>
        <v>1.5824279641001419E-2</v>
      </c>
      <c r="R91" s="175">
        <f t="shared" si="499"/>
        <v>847</v>
      </c>
      <c r="S91" s="165">
        <f t="shared" si="500"/>
        <v>4.3675185836812069E-2</v>
      </c>
      <c r="U91" s="70">
        <v>165</v>
      </c>
      <c r="V91" s="138">
        <f t="shared" si="501"/>
        <v>4466</v>
      </c>
      <c r="W91" s="167">
        <f t="shared" si="502"/>
        <v>3.8363171355498722E-2</v>
      </c>
      <c r="X91" s="68">
        <v>206</v>
      </c>
      <c r="Y91" s="138">
        <f t="shared" si="503"/>
        <v>4672</v>
      </c>
      <c r="Z91" s="181">
        <f t="shared" si="504"/>
        <v>4.612628750559785E-2</v>
      </c>
      <c r="AA91" s="70">
        <v>259</v>
      </c>
      <c r="AB91" s="138">
        <f t="shared" si="505"/>
        <v>4931</v>
      </c>
      <c r="AC91" s="167">
        <f t="shared" si="506"/>
        <v>5.5436643835616438E-2</v>
      </c>
      <c r="AD91" s="68">
        <v>294</v>
      </c>
      <c r="AE91" s="138">
        <f t="shared" si="507"/>
        <v>5225</v>
      </c>
      <c r="AF91" s="181">
        <f t="shared" si="508"/>
        <v>5.9622794564996959E-2</v>
      </c>
      <c r="AG91" s="70">
        <v>270</v>
      </c>
      <c r="AH91" s="138">
        <f t="shared" si="509"/>
        <v>5495</v>
      </c>
      <c r="AI91" s="167">
        <f t="shared" si="510"/>
        <v>5.1674641148325359E-2</v>
      </c>
      <c r="AJ91" s="164">
        <f t="shared" si="511"/>
        <v>1194</v>
      </c>
      <c r="AK91" s="165">
        <f t="shared" si="512"/>
        <v>5.3203380745184825E-2</v>
      </c>
    </row>
    <row r="92" spans="2:37" outlineLevel="1" x14ac:dyDescent="0.35">
      <c r="B92" s="48" t="s">
        <v>90</v>
      </c>
      <c r="C92" s="62" t="s">
        <v>141</v>
      </c>
      <c r="D92" s="70">
        <v>2</v>
      </c>
      <c r="E92" s="68">
        <v>8</v>
      </c>
      <c r="F92" s="68">
        <v>1</v>
      </c>
      <c r="G92" s="68">
        <v>9</v>
      </c>
      <c r="H92" s="181">
        <f t="shared" si="494"/>
        <v>0.125</v>
      </c>
      <c r="I92" s="70">
        <v>0</v>
      </c>
      <c r="J92" s="68">
        <v>9</v>
      </c>
      <c r="K92" s="167">
        <f t="shared" si="495"/>
        <v>0</v>
      </c>
      <c r="L92" s="70">
        <v>0</v>
      </c>
      <c r="M92" s="68">
        <v>9</v>
      </c>
      <c r="N92" s="167">
        <f t="shared" si="496"/>
        <v>0</v>
      </c>
      <c r="O92" s="70">
        <f t="shared" si="497"/>
        <v>0</v>
      </c>
      <c r="P92" s="68">
        <v>9</v>
      </c>
      <c r="Q92" s="167">
        <f t="shared" si="498"/>
        <v>0</v>
      </c>
      <c r="R92" s="175">
        <f t="shared" si="499"/>
        <v>3</v>
      </c>
      <c r="S92" s="165">
        <f t="shared" si="500"/>
        <v>2.9883571953558841E-2</v>
      </c>
      <c r="U92" s="70">
        <v>1</v>
      </c>
      <c r="V92" s="138">
        <f t="shared" si="501"/>
        <v>10</v>
      </c>
      <c r="W92" s="167">
        <f t="shared" si="502"/>
        <v>0.1111111111111111</v>
      </c>
      <c r="X92" s="68">
        <v>8</v>
      </c>
      <c r="Y92" s="138">
        <f t="shared" si="503"/>
        <v>18</v>
      </c>
      <c r="Z92" s="181">
        <f t="shared" si="504"/>
        <v>0.8</v>
      </c>
      <c r="AA92" s="70">
        <v>10</v>
      </c>
      <c r="AB92" s="138">
        <f t="shared" si="505"/>
        <v>28</v>
      </c>
      <c r="AC92" s="167">
        <f t="shared" si="506"/>
        <v>0.55555555555555558</v>
      </c>
      <c r="AD92" s="68">
        <v>18</v>
      </c>
      <c r="AE92" s="138">
        <f t="shared" si="507"/>
        <v>46</v>
      </c>
      <c r="AF92" s="181">
        <f t="shared" si="508"/>
        <v>0.6428571428571429</v>
      </c>
      <c r="AG92" s="70">
        <v>19</v>
      </c>
      <c r="AH92" s="138">
        <f t="shared" si="509"/>
        <v>65</v>
      </c>
      <c r="AI92" s="167">
        <f t="shared" si="510"/>
        <v>0.41304347826086957</v>
      </c>
      <c r="AJ92" s="164">
        <f t="shared" si="511"/>
        <v>56</v>
      </c>
      <c r="AK92" s="165">
        <f t="shared" si="512"/>
        <v>0.59671843378737011</v>
      </c>
    </row>
    <row r="93" spans="2:37" outlineLevel="1" x14ac:dyDescent="0.35">
      <c r="B93" s="48" t="s">
        <v>91</v>
      </c>
      <c r="C93" s="62" t="s">
        <v>141</v>
      </c>
      <c r="D93" s="70">
        <v>31</v>
      </c>
      <c r="E93" s="68">
        <v>309</v>
      </c>
      <c r="F93" s="68">
        <v>23</v>
      </c>
      <c r="G93" s="68">
        <v>332</v>
      </c>
      <c r="H93" s="181">
        <f t="shared" si="494"/>
        <v>7.4433656957928807E-2</v>
      </c>
      <c r="I93" s="70">
        <v>46</v>
      </c>
      <c r="J93" s="68">
        <v>378</v>
      </c>
      <c r="K93" s="167">
        <f t="shared" si="495"/>
        <v>0.13855421686746988</v>
      </c>
      <c r="L93" s="70">
        <v>181</v>
      </c>
      <c r="M93" s="68">
        <v>559</v>
      </c>
      <c r="N93" s="167">
        <f t="shared" si="496"/>
        <v>0.47883597883597884</v>
      </c>
      <c r="O93" s="70">
        <f t="shared" si="497"/>
        <v>13</v>
      </c>
      <c r="P93" s="68">
        <v>572</v>
      </c>
      <c r="Q93" s="167">
        <f t="shared" si="498"/>
        <v>2.3255813953488372E-2</v>
      </c>
      <c r="R93" s="175">
        <f t="shared" si="499"/>
        <v>294</v>
      </c>
      <c r="S93" s="165">
        <f t="shared" si="500"/>
        <v>0.16643189721674045</v>
      </c>
      <c r="U93" s="70">
        <v>9</v>
      </c>
      <c r="V93" s="138">
        <f t="shared" si="501"/>
        <v>581</v>
      </c>
      <c r="W93" s="167">
        <f t="shared" si="502"/>
        <v>1.5734265734265736E-2</v>
      </c>
      <c r="X93" s="68">
        <v>16</v>
      </c>
      <c r="Y93" s="138">
        <f t="shared" si="503"/>
        <v>597</v>
      </c>
      <c r="Z93" s="181">
        <f t="shared" si="504"/>
        <v>2.7538726333907058E-2</v>
      </c>
      <c r="AA93" s="70">
        <v>23</v>
      </c>
      <c r="AB93" s="138">
        <f t="shared" si="505"/>
        <v>620</v>
      </c>
      <c r="AC93" s="167">
        <f t="shared" si="506"/>
        <v>3.8525963149078725E-2</v>
      </c>
      <c r="AD93" s="68">
        <v>21</v>
      </c>
      <c r="AE93" s="138">
        <f t="shared" si="507"/>
        <v>641</v>
      </c>
      <c r="AF93" s="181">
        <f t="shared" si="508"/>
        <v>3.3870967741935487E-2</v>
      </c>
      <c r="AG93" s="70">
        <v>20</v>
      </c>
      <c r="AH93" s="138">
        <f t="shared" si="509"/>
        <v>661</v>
      </c>
      <c r="AI93" s="167">
        <f t="shared" si="510"/>
        <v>3.1201248049921998E-2</v>
      </c>
      <c r="AJ93" s="164">
        <f t="shared" si="511"/>
        <v>89</v>
      </c>
      <c r="AK93" s="165">
        <f t="shared" si="512"/>
        <v>3.2776462962399666E-2</v>
      </c>
    </row>
    <row r="94" spans="2:37" outlineLevel="1" x14ac:dyDescent="0.35">
      <c r="B94" s="48" t="s">
        <v>92</v>
      </c>
      <c r="C94" s="62" t="s">
        <v>141</v>
      </c>
      <c r="D94" s="70">
        <v>200</v>
      </c>
      <c r="E94" s="68">
        <v>2230</v>
      </c>
      <c r="F94" s="68">
        <v>379</v>
      </c>
      <c r="G94" s="68">
        <v>2609</v>
      </c>
      <c r="H94" s="181">
        <f t="shared" si="494"/>
        <v>0.16995515695067265</v>
      </c>
      <c r="I94" s="70">
        <v>631</v>
      </c>
      <c r="J94" s="68">
        <v>3240</v>
      </c>
      <c r="K94" s="167">
        <f t="shared" si="495"/>
        <v>0.24185511690302797</v>
      </c>
      <c r="L94" s="70">
        <v>582</v>
      </c>
      <c r="M94" s="68">
        <v>3822</v>
      </c>
      <c r="N94" s="167">
        <f t="shared" si="496"/>
        <v>0.17962962962962964</v>
      </c>
      <c r="O94" s="70">
        <f t="shared" si="497"/>
        <v>218</v>
      </c>
      <c r="P94" s="68">
        <v>4040</v>
      </c>
      <c r="Q94" s="167">
        <f t="shared" si="498"/>
        <v>5.7038199895342749E-2</v>
      </c>
      <c r="R94" s="175">
        <f t="shared" si="499"/>
        <v>2010</v>
      </c>
      <c r="S94" s="165">
        <f t="shared" si="500"/>
        <v>0.16016330644227939</v>
      </c>
      <c r="U94" s="70">
        <v>306</v>
      </c>
      <c r="V94" s="138">
        <f t="shared" si="501"/>
        <v>4346</v>
      </c>
      <c r="W94" s="167">
        <f t="shared" si="502"/>
        <v>7.574257425742574E-2</v>
      </c>
      <c r="X94" s="68">
        <v>390</v>
      </c>
      <c r="Y94" s="138">
        <f t="shared" si="503"/>
        <v>4736</v>
      </c>
      <c r="Z94" s="181">
        <f t="shared" si="504"/>
        <v>8.973768982972849E-2</v>
      </c>
      <c r="AA94" s="70">
        <v>469</v>
      </c>
      <c r="AB94" s="138">
        <f t="shared" si="505"/>
        <v>5205</v>
      </c>
      <c r="AC94" s="167">
        <f t="shared" si="506"/>
        <v>9.9028716216216214E-2</v>
      </c>
      <c r="AD94" s="68">
        <v>415</v>
      </c>
      <c r="AE94" s="138">
        <f t="shared" si="507"/>
        <v>5620</v>
      </c>
      <c r="AF94" s="181">
        <f t="shared" si="508"/>
        <v>7.9731027857829012E-2</v>
      </c>
      <c r="AG94" s="70">
        <v>328</v>
      </c>
      <c r="AH94" s="138">
        <f t="shared" si="509"/>
        <v>5948</v>
      </c>
      <c r="AI94" s="167">
        <f t="shared" si="510"/>
        <v>5.8362989323843414E-2</v>
      </c>
      <c r="AJ94" s="164">
        <f t="shared" si="511"/>
        <v>1908</v>
      </c>
      <c r="AK94" s="165">
        <f t="shared" si="512"/>
        <v>8.1609042629518402E-2</v>
      </c>
    </row>
    <row r="95" spans="2:37" outlineLevel="1" x14ac:dyDescent="0.35">
      <c r="B95" s="48" t="s">
        <v>93</v>
      </c>
      <c r="C95" s="62" t="s">
        <v>141</v>
      </c>
      <c r="D95" s="70">
        <v>312</v>
      </c>
      <c r="E95" s="68">
        <v>3801</v>
      </c>
      <c r="F95" s="68">
        <v>811</v>
      </c>
      <c r="G95" s="68">
        <v>4612</v>
      </c>
      <c r="H95" s="181">
        <f t="shared" si="494"/>
        <v>0.21336490397263877</v>
      </c>
      <c r="I95" s="70">
        <v>652</v>
      </c>
      <c r="J95" s="68">
        <v>5264</v>
      </c>
      <c r="K95" s="167">
        <f t="shared" si="495"/>
        <v>0.14137033824804857</v>
      </c>
      <c r="L95" s="70">
        <v>1027</v>
      </c>
      <c r="M95" s="68">
        <v>6291</v>
      </c>
      <c r="N95" s="167">
        <f t="shared" si="496"/>
        <v>0.19509878419452886</v>
      </c>
      <c r="O95" s="70">
        <f t="shared" si="497"/>
        <v>338</v>
      </c>
      <c r="P95" s="68">
        <v>6629</v>
      </c>
      <c r="Q95" s="167">
        <f t="shared" si="498"/>
        <v>5.3727547289779048E-2</v>
      </c>
      <c r="R95" s="175">
        <f t="shared" si="499"/>
        <v>3140</v>
      </c>
      <c r="S95" s="165">
        <f t="shared" si="500"/>
        <v>0.14917861955128231</v>
      </c>
      <c r="U95" s="70">
        <v>463</v>
      </c>
      <c r="V95" s="138">
        <f t="shared" si="501"/>
        <v>7092</v>
      </c>
      <c r="W95" s="167">
        <f t="shared" si="502"/>
        <v>6.9844622114949462E-2</v>
      </c>
      <c r="X95" s="68">
        <v>636</v>
      </c>
      <c r="Y95" s="138">
        <f t="shared" si="503"/>
        <v>7728</v>
      </c>
      <c r="Z95" s="181">
        <f t="shared" si="504"/>
        <v>8.9678510998307953E-2</v>
      </c>
      <c r="AA95" s="70">
        <v>1072</v>
      </c>
      <c r="AB95" s="138">
        <f t="shared" si="505"/>
        <v>8800</v>
      </c>
      <c r="AC95" s="167">
        <f t="shared" si="506"/>
        <v>0.13871635610766045</v>
      </c>
      <c r="AD95" s="68">
        <v>1134</v>
      </c>
      <c r="AE95" s="138">
        <f t="shared" si="507"/>
        <v>9934</v>
      </c>
      <c r="AF95" s="181">
        <f t="shared" si="508"/>
        <v>0.12886363636363637</v>
      </c>
      <c r="AG95" s="70">
        <v>963</v>
      </c>
      <c r="AH95" s="138">
        <f t="shared" si="509"/>
        <v>10897</v>
      </c>
      <c r="AI95" s="167">
        <f t="shared" si="510"/>
        <v>9.6939802697805513E-2</v>
      </c>
      <c r="AJ95" s="164">
        <f t="shared" si="511"/>
        <v>4268</v>
      </c>
      <c r="AK95" s="165">
        <f t="shared" si="512"/>
        <v>0.11335728709706983</v>
      </c>
    </row>
    <row r="96" spans="2:37" outlineLevel="1" x14ac:dyDescent="0.35">
      <c r="B96" s="48" t="s">
        <v>94</v>
      </c>
      <c r="C96" s="62" t="s">
        <v>141</v>
      </c>
      <c r="D96" s="70">
        <v>366</v>
      </c>
      <c r="E96" s="68">
        <v>5479</v>
      </c>
      <c r="F96" s="68">
        <v>509</v>
      </c>
      <c r="G96" s="68">
        <v>5988</v>
      </c>
      <c r="H96" s="181">
        <f t="shared" si="494"/>
        <v>9.2900164263551743E-2</v>
      </c>
      <c r="I96" s="70">
        <v>371</v>
      </c>
      <c r="J96" s="68">
        <v>6359</v>
      </c>
      <c r="K96" s="167">
        <f t="shared" si="495"/>
        <v>6.1957247828991313E-2</v>
      </c>
      <c r="L96" s="70">
        <v>178</v>
      </c>
      <c r="M96" s="68">
        <v>6537</v>
      </c>
      <c r="N96" s="167">
        <f t="shared" si="496"/>
        <v>2.7991822613618492E-2</v>
      </c>
      <c r="O96" s="70">
        <f t="shared" si="497"/>
        <v>173</v>
      </c>
      <c r="P96" s="68">
        <v>6710</v>
      </c>
      <c r="Q96" s="167">
        <f t="shared" si="498"/>
        <v>2.6464739176992505E-2</v>
      </c>
      <c r="R96" s="175">
        <f t="shared" si="499"/>
        <v>1597</v>
      </c>
      <c r="S96" s="165">
        <f t="shared" si="500"/>
        <v>5.1974723680118906E-2</v>
      </c>
      <c r="U96" s="70">
        <v>314</v>
      </c>
      <c r="V96" s="138">
        <f t="shared" si="501"/>
        <v>7024</v>
      </c>
      <c r="W96" s="167">
        <f t="shared" si="502"/>
        <v>4.6795827123695975E-2</v>
      </c>
      <c r="X96" s="68">
        <v>427</v>
      </c>
      <c r="Y96" s="138">
        <f t="shared" si="503"/>
        <v>7451</v>
      </c>
      <c r="Z96" s="181">
        <f t="shared" si="504"/>
        <v>6.0791571753986334E-2</v>
      </c>
      <c r="AA96" s="70">
        <v>517</v>
      </c>
      <c r="AB96" s="138">
        <f t="shared" si="505"/>
        <v>7968</v>
      </c>
      <c r="AC96" s="167">
        <f t="shared" si="506"/>
        <v>6.9386659508790763E-2</v>
      </c>
      <c r="AD96" s="68">
        <v>506</v>
      </c>
      <c r="AE96" s="138">
        <f t="shared" si="507"/>
        <v>8474</v>
      </c>
      <c r="AF96" s="181">
        <f t="shared" si="508"/>
        <v>6.3504016064257027E-2</v>
      </c>
      <c r="AG96" s="70">
        <v>452</v>
      </c>
      <c r="AH96" s="138">
        <f t="shared" si="509"/>
        <v>8926</v>
      </c>
      <c r="AI96" s="167">
        <f t="shared" si="510"/>
        <v>5.3339627094642433E-2</v>
      </c>
      <c r="AJ96" s="164">
        <f t="shared" si="511"/>
        <v>2216</v>
      </c>
      <c r="AK96" s="165">
        <f t="shared" si="512"/>
        <v>6.1739793719516989E-2</v>
      </c>
    </row>
    <row r="97" spans="2:37" outlineLevel="1" x14ac:dyDescent="0.35">
      <c r="B97" s="48" t="s">
        <v>95</v>
      </c>
      <c r="C97" s="62" t="s">
        <v>141</v>
      </c>
      <c r="D97" s="70">
        <v>401</v>
      </c>
      <c r="E97" s="68">
        <v>6444</v>
      </c>
      <c r="F97" s="68">
        <v>360</v>
      </c>
      <c r="G97" s="68">
        <v>6804</v>
      </c>
      <c r="H97" s="181">
        <f t="shared" si="494"/>
        <v>5.5865921787709494E-2</v>
      </c>
      <c r="I97" s="70">
        <v>381</v>
      </c>
      <c r="J97" s="68">
        <v>7185</v>
      </c>
      <c r="K97" s="167">
        <f t="shared" si="495"/>
        <v>5.5996472663139327E-2</v>
      </c>
      <c r="L97" s="70">
        <v>271</v>
      </c>
      <c r="M97" s="68">
        <v>7456</v>
      </c>
      <c r="N97" s="167">
        <f t="shared" si="496"/>
        <v>3.7717466945024355E-2</v>
      </c>
      <c r="O97" s="70">
        <f t="shared" si="497"/>
        <v>106</v>
      </c>
      <c r="P97" s="68">
        <v>7562</v>
      </c>
      <c r="Q97" s="167">
        <f t="shared" si="498"/>
        <v>1.4216738197424892E-2</v>
      </c>
      <c r="R97" s="175">
        <f t="shared" si="499"/>
        <v>1519</v>
      </c>
      <c r="S97" s="165">
        <f t="shared" si="500"/>
        <v>4.0807193849557777E-2</v>
      </c>
      <c r="U97" s="70">
        <v>159</v>
      </c>
      <c r="V97" s="138">
        <f t="shared" si="501"/>
        <v>7721</v>
      </c>
      <c r="W97" s="167">
        <f t="shared" si="502"/>
        <v>2.1026183549325575E-2</v>
      </c>
      <c r="X97" s="68">
        <v>209</v>
      </c>
      <c r="Y97" s="138">
        <f t="shared" si="503"/>
        <v>7930</v>
      </c>
      <c r="Z97" s="181">
        <f t="shared" si="504"/>
        <v>2.7069032508742392E-2</v>
      </c>
      <c r="AA97" s="70">
        <v>277</v>
      </c>
      <c r="AB97" s="138">
        <f t="shared" si="505"/>
        <v>8207</v>
      </c>
      <c r="AC97" s="167">
        <f t="shared" si="506"/>
        <v>3.4930643127364436E-2</v>
      </c>
      <c r="AD97" s="68">
        <v>294</v>
      </c>
      <c r="AE97" s="138">
        <f t="shared" si="507"/>
        <v>8501</v>
      </c>
      <c r="AF97" s="181">
        <f t="shared" si="508"/>
        <v>3.5823077860363102E-2</v>
      </c>
      <c r="AG97" s="70">
        <v>235</v>
      </c>
      <c r="AH97" s="138">
        <f t="shared" si="509"/>
        <v>8736</v>
      </c>
      <c r="AI97" s="167">
        <f t="shared" si="510"/>
        <v>2.7643806610986942E-2</v>
      </c>
      <c r="AJ97" s="164">
        <f t="shared" si="511"/>
        <v>1174</v>
      </c>
      <c r="AK97" s="165">
        <f t="shared" si="512"/>
        <v>3.1358775543352202E-2</v>
      </c>
    </row>
    <row r="98" spans="2:37" outlineLevel="1" x14ac:dyDescent="0.35">
      <c r="B98" s="48" t="s">
        <v>96</v>
      </c>
      <c r="C98" s="62" t="s">
        <v>141</v>
      </c>
      <c r="D98" s="70">
        <v>276</v>
      </c>
      <c r="E98" s="68">
        <v>5268</v>
      </c>
      <c r="F98" s="68">
        <v>227</v>
      </c>
      <c r="G98" s="68">
        <v>5495</v>
      </c>
      <c r="H98" s="181">
        <f t="shared" si="494"/>
        <v>4.3090356871678059E-2</v>
      </c>
      <c r="I98" s="70">
        <v>199</v>
      </c>
      <c r="J98" s="68">
        <v>5694</v>
      </c>
      <c r="K98" s="167">
        <f t="shared" si="495"/>
        <v>3.62147406733394E-2</v>
      </c>
      <c r="L98" s="70">
        <v>-139</v>
      </c>
      <c r="M98" s="68">
        <v>5555</v>
      </c>
      <c r="N98" s="167">
        <f t="shared" si="496"/>
        <v>-2.4411661397962768E-2</v>
      </c>
      <c r="O98" s="70">
        <f t="shared" si="497"/>
        <v>105</v>
      </c>
      <c r="P98" s="68">
        <v>5660</v>
      </c>
      <c r="Q98" s="167">
        <f t="shared" si="498"/>
        <v>1.8901890189018902E-2</v>
      </c>
      <c r="R98" s="175">
        <f t="shared" si="499"/>
        <v>668</v>
      </c>
      <c r="S98" s="165">
        <f t="shared" si="500"/>
        <v>1.810522485424837E-2</v>
      </c>
      <c r="U98" s="70">
        <v>178</v>
      </c>
      <c r="V98" s="138">
        <f t="shared" si="501"/>
        <v>5838</v>
      </c>
      <c r="W98" s="167">
        <f t="shared" si="502"/>
        <v>3.1448763250883395E-2</v>
      </c>
      <c r="X98" s="68">
        <v>239</v>
      </c>
      <c r="Y98" s="138">
        <f t="shared" si="503"/>
        <v>6077</v>
      </c>
      <c r="Z98" s="181">
        <f t="shared" si="504"/>
        <v>4.0938677629325113E-2</v>
      </c>
      <c r="AA98" s="70">
        <v>325</v>
      </c>
      <c r="AB98" s="138">
        <f t="shared" si="505"/>
        <v>6402</v>
      </c>
      <c r="AC98" s="167">
        <f t="shared" si="506"/>
        <v>5.3480335691953269E-2</v>
      </c>
      <c r="AD98" s="68">
        <v>297</v>
      </c>
      <c r="AE98" s="138">
        <f t="shared" si="507"/>
        <v>6699</v>
      </c>
      <c r="AF98" s="181">
        <f t="shared" si="508"/>
        <v>4.6391752577319589E-2</v>
      </c>
      <c r="AG98" s="70">
        <v>257</v>
      </c>
      <c r="AH98" s="138">
        <f t="shared" si="509"/>
        <v>6956</v>
      </c>
      <c r="AI98" s="167">
        <f t="shared" si="510"/>
        <v>3.8363934915659051E-2</v>
      </c>
      <c r="AJ98" s="164">
        <f t="shared" si="511"/>
        <v>1296</v>
      </c>
      <c r="AK98" s="165">
        <f t="shared" si="512"/>
        <v>4.4777643060282424E-2</v>
      </c>
    </row>
    <row r="99" spans="2:37" outlineLevel="1" x14ac:dyDescent="0.35">
      <c r="B99" s="48" t="s">
        <v>97</v>
      </c>
      <c r="C99" s="62" t="s">
        <v>141</v>
      </c>
      <c r="D99" s="70">
        <v>562</v>
      </c>
      <c r="E99" s="68">
        <v>8702</v>
      </c>
      <c r="F99" s="68">
        <v>848</v>
      </c>
      <c r="G99" s="68">
        <v>9550</v>
      </c>
      <c r="H99" s="181">
        <f t="shared" si="494"/>
        <v>9.7448862330498737E-2</v>
      </c>
      <c r="I99" s="70">
        <v>459</v>
      </c>
      <c r="J99" s="68">
        <v>10009</v>
      </c>
      <c r="K99" s="167">
        <f t="shared" si="495"/>
        <v>4.8062827225130889E-2</v>
      </c>
      <c r="L99" s="70">
        <v>629</v>
      </c>
      <c r="M99" s="68">
        <v>10638</v>
      </c>
      <c r="N99" s="167">
        <f t="shared" si="496"/>
        <v>6.2843440903187137E-2</v>
      </c>
      <c r="O99" s="70">
        <f t="shared" si="497"/>
        <v>116</v>
      </c>
      <c r="P99" s="68">
        <v>10754</v>
      </c>
      <c r="Q99" s="167">
        <f t="shared" si="498"/>
        <v>1.0904305320548976E-2</v>
      </c>
      <c r="R99" s="175">
        <f t="shared" si="499"/>
        <v>2614</v>
      </c>
      <c r="S99" s="165">
        <f t="shared" si="500"/>
        <v>5.4357127656105231E-2</v>
      </c>
      <c r="U99" s="70">
        <v>407</v>
      </c>
      <c r="V99" s="138">
        <f t="shared" si="501"/>
        <v>11161</v>
      </c>
      <c r="W99" s="167">
        <f t="shared" si="502"/>
        <v>3.7846382741305563E-2</v>
      </c>
      <c r="X99" s="68">
        <v>682</v>
      </c>
      <c r="Y99" s="138">
        <f t="shared" si="503"/>
        <v>11843</v>
      </c>
      <c r="Z99" s="181">
        <f t="shared" si="504"/>
        <v>6.110563569572619E-2</v>
      </c>
      <c r="AA99" s="70">
        <v>784</v>
      </c>
      <c r="AB99" s="138">
        <f t="shared" si="505"/>
        <v>12627</v>
      </c>
      <c r="AC99" s="167">
        <f t="shared" si="506"/>
        <v>6.6199442708773121E-2</v>
      </c>
      <c r="AD99" s="68">
        <v>632</v>
      </c>
      <c r="AE99" s="138">
        <f t="shared" si="507"/>
        <v>13259</v>
      </c>
      <c r="AF99" s="181">
        <f t="shared" si="508"/>
        <v>5.0051476993743564E-2</v>
      </c>
      <c r="AG99" s="70">
        <v>670</v>
      </c>
      <c r="AH99" s="138">
        <f t="shared" si="509"/>
        <v>13929</v>
      </c>
      <c r="AI99" s="167">
        <f t="shared" si="510"/>
        <v>5.0531714307262991E-2</v>
      </c>
      <c r="AJ99" s="164">
        <f t="shared" si="511"/>
        <v>3175</v>
      </c>
      <c r="AK99" s="165">
        <f t="shared" si="512"/>
        <v>5.6949426793468261E-2</v>
      </c>
    </row>
    <row r="100" spans="2:37" outlineLevel="1" x14ac:dyDescent="0.35">
      <c r="B100" s="48" t="s">
        <v>98</v>
      </c>
      <c r="C100" s="62" t="s">
        <v>141</v>
      </c>
      <c r="D100" s="70">
        <v>135</v>
      </c>
      <c r="E100" s="68">
        <v>1632</v>
      </c>
      <c r="F100" s="68">
        <v>136</v>
      </c>
      <c r="G100" s="68">
        <v>1768</v>
      </c>
      <c r="H100" s="181">
        <f t="shared" si="494"/>
        <v>8.3333333333333329E-2</v>
      </c>
      <c r="I100" s="70">
        <v>83</v>
      </c>
      <c r="J100" s="68">
        <v>1851</v>
      </c>
      <c r="K100" s="167">
        <f t="shared" si="495"/>
        <v>4.6945701357466063E-2</v>
      </c>
      <c r="L100" s="70">
        <v>174</v>
      </c>
      <c r="M100" s="68">
        <v>2025</v>
      </c>
      <c r="N100" s="167">
        <f t="shared" si="496"/>
        <v>9.4003241491085895E-2</v>
      </c>
      <c r="O100" s="70">
        <f t="shared" si="497"/>
        <v>10</v>
      </c>
      <c r="P100" s="68">
        <v>2035</v>
      </c>
      <c r="Q100" s="167">
        <f t="shared" si="498"/>
        <v>4.9382716049382715E-3</v>
      </c>
      <c r="R100" s="175">
        <f t="shared" si="499"/>
        <v>538</v>
      </c>
      <c r="S100" s="165">
        <f t="shared" si="500"/>
        <v>5.6722768033785176E-2</v>
      </c>
      <c r="U100" s="70">
        <v>85</v>
      </c>
      <c r="V100" s="138">
        <f t="shared" si="501"/>
        <v>2120</v>
      </c>
      <c r="W100" s="167">
        <f t="shared" si="502"/>
        <v>4.1769041769041768E-2</v>
      </c>
      <c r="X100" s="68">
        <v>163</v>
      </c>
      <c r="Y100" s="138">
        <f t="shared" si="503"/>
        <v>2283</v>
      </c>
      <c r="Z100" s="181">
        <f t="shared" si="504"/>
        <v>7.6886792452830185E-2</v>
      </c>
      <c r="AA100" s="70">
        <v>234</v>
      </c>
      <c r="AB100" s="138">
        <f t="shared" si="505"/>
        <v>2517</v>
      </c>
      <c r="AC100" s="167">
        <f t="shared" si="506"/>
        <v>0.10249671484888305</v>
      </c>
      <c r="AD100" s="68">
        <v>240</v>
      </c>
      <c r="AE100" s="138">
        <f t="shared" si="507"/>
        <v>2757</v>
      </c>
      <c r="AF100" s="181">
        <f t="shared" si="508"/>
        <v>9.5351609058402856E-2</v>
      </c>
      <c r="AG100" s="70">
        <v>246</v>
      </c>
      <c r="AH100" s="138">
        <f t="shared" si="509"/>
        <v>3003</v>
      </c>
      <c r="AI100" s="167">
        <f t="shared" si="510"/>
        <v>8.9227421109902061E-2</v>
      </c>
      <c r="AJ100" s="164">
        <f t="shared" si="511"/>
        <v>968</v>
      </c>
      <c r="AK100" s="165">
        <f t="shared" si="512"/>
        <v>9.0950053230501871E-2</v>
      </c>
    </row>
    <row r="101" spans="2:37" outlineLevel="1" x14ac:dyDescent="0.35">
      <c r="B101" s="48" t="s">
        <v>99</v>
      </c>
      <c r="C101" s="62" t="s">
        <v>141</v>
      </c>
      <c r="D101" s="70">
        <v>748</v>
      </c>
      <c r="E101" s="68">
        <v>9909</v>
      </c>
      <c r="F101" s="68">
        <v>1148</v>
      </c>
      <c r="G101" s="68">
        <v>11057</v>
      </c>
      <c r="H101" s="181">
        <f t="shared" si="494"/>
        <v>0.11585427389242103</v>
      </c>
      <c r="I101" s="70">
        <v>950</v>
      </c>
      <c r="J101" s="68">
        <v>12007</v>
      </c>
      <c r="K101" s="167">
        <f t="shared" si="495"/>
        <v>8.5918422718639781E-2</v>
      </c>
      <c r="L101" s="70">
        <v>330</v>
      </c>
      <c r="M101" s="68">
        <v>12337</v>
      </c>
      <c r="N101" s="167">
        <f t="shared" si="496"/>
        <v>2.748396768551678E-2</v>
      </c>
      <c r="O101" s="70">
        <f t="shared" si="497"/>
        <v>183</v>
      </c>
      <c r="P101" s="68">
        <v>12520</v>
      </c>
      <c r="Q101" s="167">
        <f t="shared" si="498"/>
        <v>1.4833427899813569E-2</v>
      </c>
      <c r="R101" s="175">
        <f t="shared" si="499"/>
        <v>3359</v>
      </c>
      <c r="S101" s="165">
        <f t="shared" si="500"/>
        <v>6.0214220639849048E-2</v>
      </c>
      <c r="U101" s="70">
        <v>374</v>
      </c>
      <c r="V101" s="138">
        <f t="shared" si="501"/>
        <v>12894</v>
      </c>
      <c r="W101" s="167">
        <f t="shared" si="502"/>
        <v>2.9872204472843451E-2</v>
      </c>
      <c r="X101" s="68">
        <v>462</v>
      </c>
      <c r="Y101" s="138">
        <f t="shared" si="503"/>
        <v>13356</v>
      </c>
      <c r="Z101" s="181">
        <f t="shared" si="504"/>
        <v>3.5830618892508145E-2</v>
      </c>
      <c r="AA101" s="70">
        <v>532</v>
      </c>
      <c r="AB101" s="138">
        <f t="shared" si="505"/>
        <v>13888</v>
      </c>
      <c r="AC101" s="167">
        <f t="shared" si="506"/>
        <v>3.9832285115303984E-2</v>
      </c>
      <c r="AD101" s="68">
        <v>533</v>
      </c>
      <c r="AE101" s="138">
        <f t="shared" si="507"/>
        <v>14421</v>
      </c>
      <c r="AF101" s="181">
        <f t="shared" si="508"/>
        <v>3.8378456221198155E-2</v>
      </c>
      <c r="AG101" s="70">
        <v>448</v>
      </c>
      <c r="AH101" s="138">
        <f t="shared" si="509"/>
        <v>14869</v>
      </c>
      <c r="AI101" s="167">
        <f t="shared" si="510"/>
        <v>3.1065806809513902E-2</v>
      </c>
      <c r="AJ101" s="164">
        <f t="shared" si="511"/>
        <v>2349</v>
      </c>
      <c r="AK101" s="165">
        <f t="shared" si="512"/>
        <v>3.6271427787949895E-2</v>
      </c>
    </row>
    <row r="102" spans="2:37" outlineLevel="1" x14ac:dyDescent="0.35">
      <c r="B102" s="48" t="s">
        <v>100</v>
      </c>
      <c r="C102" s="62" t="s">
        <v>141</v>
      </c>
      <c r="D102" s="70">
        <v>121</v>
      </c>
      <c r="E102" s="68">
        <v>1922</v>
      </c>
      <c r="F102" s="68">
        <v>161</v>
      </c>
      <c r="G102" s="68">
        <v>2083</v>
      </c>
      <c r="H102" s="181">
        <f t="shared" si="494"/>
        <v>8.3766909469302805E-2</v>
      </c>
      <c r="I102" s="70">
        <v>135</v>
      </c>
      <c r="J102" s="68">
        <v>2218</v>
      </c>
      <c r="K102" s="167">
        <f t="shared" si="495"/>
        <v>6.4810369659145467E-2</v>
      </c>
      <c r="L102" s="70">
        <v>16</v>
      </c>
      <c r="M102" s="68">
        <v>2234</v>
      </c>
      <c r="N102" s="167">
        <f t="shared" si="496"/>
        <v>7.2137060414788094E-3</v>
      </c>
      <c r="O102" s="70">
        <f t="shared" si="497"/>
        <v>9</v>
      </c>
      <c r="P102" s="68">
        <v>2243</v>
      </c>
      <c r="Q102" s="167">
        <f t="shared" si="498"/>
        <v>4.0286481647269475E-3</v>
      </c>
      <c r="R102" s="175">
        <f t="shared" si="499"/>
        <v>442</v>
      </c>
      <c r="S102" s="165">
        <f t="shared" si="500"/>
        <v>3.9367116664080104E-2</v>
      </c>
      <c r="U102" s="70">
        <v>109</v>
      </c>
      <c r="V102" s="138">
        <f t="shared" si="501"/>
        <v>2352</v>
      </c>
      <c r="W102" s="167">
        <f t="shared" si="502"/>
        <v>4.8595630851538119E-2</v>
      </c>
      <c r="X102" s="68">
        <v>226</v>
      </c>
      <c r="Y102" s="138">
        <f t="shared" si="503"/>
        <v>2578</v>
      </c>
      <c r="Z102" s="181">
        <f t="shared" si="504"/>
        <v>9.6088435374149656E-2</v>
      </c>
      <c r="AA102" s="70">
        <v>314</v>
      </c>
      <c r="AB102" s="138">
        <f t="shared" si="505"/>
        <v>2892</v>
      </c>
      <c r="AC102" s="167">
        <f t="shared" si="506"/>
        <v>0.12179984484096198</v>
      </c>
      <c r="AD102" s="68">
        <v>305</v>
      </c>
      <c r="AE102" s="138">
        <f t="shared" si="507"/>
        <v>3197</v>
      </c>
      <c r="AF102" s="181">
        <f t="shared" si="508"/>
        <v>0.10546334716459198</v>
      </c>
      <c r="AG102" s="70">
        <v>408</v>
      </c>
      <c r="AH102" s="138">
        <f t="shared" si="509"/>
        <v>3605</v>
      </c>
      <c r="AI102" s="167">
        <f t="shared" si="510"/>
        <v>0.12761964341570223</v>
      </c>
      <c r="AJ102" s="164">
        <f t="shared" si="511"/>
        <v>1362</v>
      </c>
      <c r="AK102" s="165">
        <f t="shared" si="512"/>
        <v>0.11267156085703545</v>
      </c>
    </row>
    <row r="103" spans="2:37" outlineLevel="1" x14ac:dyDescent="0.35">
      <c r="B103" s="48" t="s">
        <v>101</v>
      </c>
      <c r="C103" s="62" t="s">
        <v>141</v>
      </c>
      <c r="D103" s="70">
        <v>3</v>
      </c>
      <c r="E103" s="68">
        <v>26</v>
      </c>
      <c r="F103" s="68">
        <v>8</v>
      </c>
      <c r="G103" s="68">
        <v>34</v>
      </c>
      <c r="H103" s="181">
        <f t="shared" si="494"/>
        <v>0.30769230769230771</v>
      </c>
      <c r="I103" s="70">
        <v>4</v>
      </c>
      <c r="J103" s="68">
        <v>38</v>
      </c>
      <c r="K103" s="167">
        <f t="shared" si="495"/>
        <v>0.11764705882352941</v>
      </c>
      <c r="L103" s="70">
        <v>4</v>
      </c>
      <c r="M103" s="68">
        <v>42</v>
      </c>
      <c r="N103" s="167">
        <f t="shared" si="496"/>
        <v>0.10526315789473684</v>
      </c>
      <c r="O103" s="70">
        <f t="shared" si="497"/>
        <v>1</v>
      </c>
      <c r="P103" s="68">
        <v>43</v>
      </c>
      <c r="Q103" s="167">
        <f t="shared" si="498"/>
        <v>2.3809523809523808E-2</v>
      </c>
      <c r="R103" s="175">
        <f t="shared" si="499"/>
        <v>20</v>
      </c>
      <c r="S103" s="165">
        <f t="shared" si="500"/>
        <v>0.13402799779914831</v>
      </c>
      <c r="U103" s="70">
        <v>4</v>
      </c>
      <c r="V103" s="138">
        <f t="shared" si="501"/>
        <v>47</v>
      </c>
      <c r="W103" s="167">
        <f t="shared" si="502"/>
        <v>9.3023255813953487E-2</v>
      </c>
      <c r="X103" s="68">
        <v>4</v>
      </c>
      <c r="Y103" s="138">
        <f t="shared" si="503"/>
        <v>51</v>
      </c>
      <c r="Z103" s="181">
        <f t="shared" si="504"/>
        <v>8.5106382978723402E-2</v>
      </c>
      <c r="AA103" s="70">
        <v>5</v>
      </c>
      <c r="AB103" s="138">
        <f t="shared" si="505"/>
        <v>56</v>
      </c>
      <c r="AC103" s="167">
        <f t="shared" si="506"/>
        <v>9.8039215686274508E-2</v>
      </c>
      <c r="AD103" s="68">
        <v>4</v>
      </c>
      <c r="AE103" s="138">
        <f t="shared" si="507"/>
        <v>60</v>
      </c>
      <c r="AF103" s="181">
        <f t="shared" si="508"/>
        <v>7.1428571428571425E-2</v>
      </c>
      <c r="AG103" s="70">
        <v>3</v>
      </c>
      <c r="AH103" s="138">
        <f t="shared" si="509"/>
        <v>63</v>
      </c>
      <c r="AI103" s="167">
        <f t="shared" si="510"/>
        <v>0.05</v>
      </c>
      <c r="AJ103" s="164">
        <f t="shared" si="511"/>
        <v>20</v>
      </c>
      <c r="AK103" s="165">
        <f t="shared" si="512"/>
        <v>7.5996039714802954E-2</v>
      </c>
    </row>
    <row r="104" spans="2:37" outlineLevel="1" x14ac:dyDescent="0.35">
      <c r="B104" s="48" t="s">
        <v>102</v>
      </c>
      <c r="C104" s="62" t="s">
        <v>141</v>
      </c>
      <c r="D104" s="70">
        <v>444</v>
      </c>
      <c r="E104" s="68">
        <v>7017</v>
      </c>
      <c r="F104" s="68">
        <v>435</v>
      </c>
      <c r="G104" s="68">
        <v>7452</v>
      </c>
      <c r="H104" s="181">
        <f t="shared" si="494"/>
        <v>6.1992304403591277E-2</v>
      </c>
      <c r="I104" s="70">
        <v>310</v>
      </c>
      <c r="J104" s="68">
        <v>7762</v>
      </c>
      <c r="K104" s="167">
        <f t="shared" si="495"/>
        <v>4.1599570585077829E-2</v>
      </c>
      <c r="L104" s="70">
        <v>-148</v>
      </c>
      <c r="M104" s="68">
        <v>7614</v>
      </c>
      <c r="N104" s="167">
        <f t="shared" si="496"/>
        <v>-1.9067250708580261E-2</v>
      </c>
      <c r="O104" s="70">
        <f t="shared" si="497"/>
        <v>81</v>
      </c>
      <c r="P104" s="68">
        <v>7695</v>
      </c>
      <c r="Q104" s="167">
        <f t="shared" si="498"/>
        <v>1.0638297872340425E-2</v>
      </c>
      <c r="R104" s="175">
        <f t="shared" si="499"/>
        <v>1122</v>
      </c>
      <c r="S104" s="165">
        <f t="shared" si="500"/>
        <v>2.3326655925193007E-2</v>
      </c>
      <c r="U104" s="70">
        <v>158</v>
      </c>
      <c r="V104" s="138">
        <f t="shared" si="501"/>
        <v>7853</v>
      </c>
      <c r="W104" s="167">
        <f t="shared" si="502"/>
        <v>2.0532813515269657E-2</v>
      </c>
      <c r="X104" s="68">
        <v>175</v>
      </c>
      <c r="Y104" s="138">
        <f t="shared" si="503"/>
        <v>8028</v>
      </c>
      <c r="Z104" s="181">
        <f t="shared" si="504"/>
        <v>2.2284477269833184E-2</v>
      </c>
      <c r="AA104" s="70">
        <v>193</v>
      </c>
      <c r="AB104" s="138">
        <f t="shared" si="505"/>
        <v>8221</v>
      </c>
      <c r="AC104" s="167">
        <f t="shared" si="506"/>
        <v>2.4040857000498256E-2</v>
      </c>
      <c r="AD104" s="68">
        <v>172</v>
      </c>
      <c r="AE104" s="138">
        <f t="shared" si="507"/>
        <v>8393</v>
      </c>
      <c r="AF104" s="181">
        <f t="shared" si="508"/>
        <v>2.0922028950249361E-2</v>
      </c>
      <c r="AG104" s="70">
        <v>133</v>
      </c>
      <c r="AH104" s="138">
        <f t="shared" si="509"/>
        <v>8526</v>
      </c>
      <c r="AI104" s="167">
        <f t="shared" si="510"/>
        <v>1.5846538782318599E-2</v>
      </c>
      <c r="AJ104" s="164">
        <f t="shared" si="511"/>
        <v>831</v>
      </c>
      <c r="AK104" s="165">
        <f t="shared" si="512"/>
        <v>2.0768906782222762E-2</v>
      </c>
    </row>
    <row r="105" spans="2:37" outlineLevel="1" x14ac:dyDescent="0.35">
      <c r="B105" s="48" t="s">
        <v>103</v>
      </c>
      <c r="C105" s="62" t="s">
        <v>141</v>
      </c>
      <c r="D105" s="70">
        <v>0</v>
      </c>
      <c r="E105" s="68"/>
      <c r="F105" s="68">
        <v>0</v>
      </c>
      <c r="G105" s="68"/>
      <c r="H105" s="181">
        <f t="shared" si="494"/>
        <v>0</v>
      </c>
      <c r="I105" s="70">
        <v>0</v>
      </c>
      <c r="J105" s="68">
        <v>0</v>
      </c>
      <c r="K105" s="167">
        <f t="shared" si="495"/>
        <v>0</v>
      </c>
      <c r="L105" s="70">
        <v>1</v>
      </c>
      <c r="M105" s="68">
        <v>1</v>
      </c>
      <c r="N105" s="167">
        <f t="shared" si="496"/>
        <v>0</v>
      </c>
      <c r="O105" s="70">
        <f t="shared" si="497"/>
        <v>0</v>
      </c>
      <c r="P105" s="68">
        <v>1</v>
      </c>
      <c r="Q105" s="167">
        <f t="shared" si="498"/>
        <v>0</v>
      </c>
      <c r="R105" s="175">
        <f t="shared" si="499"/>
        <v>1</v>
      </c>
      <c r="S105" s="165">
        <f t="shared" si="500"/>
        <v>0</v>
      </c>
      <c r="U105" s="70">
        <v>0</v>
      </c>
      <c r="V105" s="138">
        <f t="shared" si="501"/>
        <v>1</v>
      </c>
      <c r="W105" s="167">
        <f t="shared" si="502"/>
        <v>0</v>
      </c>
      <c r="X105" s="68">
        <v>0</v>
      </c>
      <c r="Y105" s="138">
        <f t="shared" si="503"/>
        <v>1</v>
      </c>
      <c r="Z105" s="181">
        <f t="shared" si="504"/>
        <v>0</v>
      </c>
      <c r="AA105" s="70">
        <v>0</v>
      </c>
      <c r="AB105" s="138">
        <f t="shared" si="505"/>
        <v>1</v>
      </c>
      <c r="AC105" s="167">
        <f t="shared" si="506"/>
        <v>0</v>
      </c>
      <c r="AD105" s="68">
        <v>0</v>
      </c>
      <c r="AE105" s="138">
        <f t="shared" si="507"/>
        <v>1</v>
      </c>
      <c r="AF105" s="181">
        <f t="shared" si="508"/>
        <v>0</v>
      </c>
      <c r="AG105" s="70">
        <v>0</v>
      </c>
      <c r="AH105" s="138">
        <f t="shared" si="509"/>
        <v>1</v>
      </c>
      <c r="AI105" s="167">
        <f t="shared" si="510"/>
        <v>0</v>
      </c>
      <c r="AJ105" s="164">
        <f t="shared" si="511"/>
        <v>0</v>
      </c>
      <c r="AK105" s="165">
        <f t="shared" si="512"/>
        <v>0</v>
      </c>
    </row>
    <row r="106" spans="2:37" outlineLevel="1" x14ac:dyDescent="0.35">
      <c r="B106" s="48" t="s">
        <v>104</v>
      </c>
      <c r="C106" s="62" t="s">
        <v>141</v>
      </c>
      <c r="D106" s="70">
        <v>0</v>
      </c>
      <c r="E106" s="68"/>
      <c r="F106" s="68">
        <v>0</v>
      </c>
      <c r="G106" s="68"/>
      <c r="H106" s="181">
        <f t="shared" si="494"/>
        <v>0</v>
      </c>
      <c r="I106" s="70">
        <v>0</v>
      </c>
      <c r="J106" s="68">
        <v>0</v>
      </c>
      <c r="K106" s="167">
        <f t="shared" si="495"/>
        <v>0</v>
      </c>
      <c r="L106" s="70">
        <v>0</v>
      </c>
      <c r="M106" s="68"/>
      <c r="N106" s="167">
        <f t="shared" si="496"/>
        <v>0</v>
      </c>
      <c r="O106" s="70">
        <f t="shared" si="497"/>
        <v>0</v>
      </c>
      <c r="P106" s="68"/>
      <c r="Q106" s="167">
        <f t="shared" si="498"/>
        <v>0</v>
      </c>
      <c r="R106" s="175">
        <f t="shared" si="499"/>
        <v>0</v>
      </c>
      <c r="S106" s="165">
        <f t="shared" si="500"/>
        <v>0</v>
      </c>
      <c r="U106" s="70">
        <v>0</v>
      </c>
      <c r="V106" s="138">
        <f t="shared" si="501"/>
        <v>0</v>
      </c>
      <c r="W106" s="167">
        <f t="shared" si="502"/>
        <v>0</v>
      </c>
      <c r="X106" s="68">
        <v>0</v>
      </c>
      <c r="Y106" s="138">
        <f t="shared" si="503"/>
        <v>0</v>
      </c>
      <c r="Z106" s="181">
        <f t="shared" si="504"/>
        <v>0</v>
      </c>
      <c r="AA106" s="70">
        <v>0</v>
      </c>
      <c r="AB106" s="138">
        <f t="shared" si="505"/>
        <v>0</v>
      </c>
      <c r="AC106" s="167">
        <f t="shared" si="506"/>
        <v>0</v>
      </c>
      <c r="AD106" s="68">
        <v>47</v>
      </c>
      <c r="AE106" s="138">
        <f t="shared" si="507"/>
        <v>47</v>
      </c>
      <c r="AF106" s="181">
        <f t="shared" si="508"/>
        <v>0</v>
      </c>
      <c r="AG106" s="70">
        <v>89</v>
      </c>
      <c r="AH106" s="138">
        <f t="shared" si="509"/>
        <v>136</v>
      </c>
      <c r="AI106" s="167">
        <f t="shared" si="510"/>
        <v>1.8936170212765957</v>
      </c>
      <c r="AJ106" s="164">
        <f t="shared" si="511"/>
        <v>136</v>
      </c>
      <c r="AK106" s="165">
        <f t="shared" si="512"/>
        <v>0</v>
      </c>
    </row>
    <row r="107" spans="2:37" outlineLevel="1" x14ac:dyDescent="0.35">
      <c r="B107" s="48" t="s">
        <v>136</v>
      </c>
      <c r="C107" s="62" t="s">
        <v>141</v>
      </c>
      <c r="D107" s="70">
        <v>0</v>
      </c>
      <c r="E107" s="68"/>
      <c r="F107" s="68">
        <v>0</v>
      </c>
      <c r="G107" s="68"/>
      <c r="H107" s="181">
        <f t="shared" si="494"/>
        <v>0</v>
      </c>
      <c r="I107" s="70">
        <v>0</v>
      </c>
      <c r="J107" s="68">
        <v>0</v>
      </c>
      <c r="K107" s="167">
        <f t="shared" si="495"/>
        <v>0</v>
      </c>
      <c r="L107" s="70">
        <v>0</v>
      </c>
      <c r="M107" s="68"/>
      <c r="N107" s="167">
        <f t="shared" si="496"/>
        <v>0</v>
      </c>
      <c r="O107" s="70">
        <f t="shared" si="497"/>
        <v>0</v>
      </c>
      <c r="P107" s="68"/>
      <c r="Q107" s="167">
        <f t="shared" si="498"/>
        <v>0</v>
      </c>
      <c r="R107" s="175">
        <f t="shared" si="499"/>
        <v>0</v>
      </c>
      <c r="S107" s="165">
        <f t="shared" si="500"/>
        <v>0</v>
      </c>
      <c r="U107" s="70">
        <v>0</v>
      </c>
      <c r="V107" s="138">
        <f t="shared" si="501"/>
        <v>0</v>
      </c>
      <c r="W107" s="167">
        <f t="shared" si="502"/>
        <v>0</v>
      </c>
      <c r="X107" s="68">
        <v>0</v>
      </c>
      <c r="Y107" s="138">
        <f t="shared" si="503"/>
        <v>0</v>
      </c>
      <c r="Z107" s="181">
        <f t="shared" si="504"/>
        <v>0</v>
      </c>
      <c r="AA107" s="70">
        <v>0</v>
      </c>
      <c r="AB107" s="138">
        <f t="shared" si="505"/>
        <v>0</v>
      </c>
      <c r="AC107" s="167">
        <f t="shared" si="506"/>
        <v>0</v>
      </c>
      <c r="AD107" s="68">
        <v>47</v>
      </c>
      <c r="AE107" s="138">
        <f t="shared" si="507"/>
        <v>47</v>
      </c>
      <c r="AF107" s="181">
        <f t="shared" si="508"/>
        <v>0</v>
      </c>
      <c r="AG107" s="70">
        <v>80</v>
      </c>
      <c r="AH107" s="138">
        <f t="shared" si="509"/>
        <v>127</v>
      </c>
      <c r="AI107" s="167">
        <f t="shared" si="510"/>
        <v>1.7021276595744681</v>
      </c>
      <c r="AJ107" s="164">
        <f t="shared" si="511"/>
        <v>127</v>
      </c>
      <c r="AK107" s="165">
        <f t="shared" si="512"/>
        <v>0</v>
      </c>
    </row>
    <row r="108" spans="2:37" outlineLevel="1" x14ac:dyDescent="0.35">
      <c r="B108" s="48" t="s">
        <v>106</v>
      </c>
      <c r="C108" s="62" t="s">
        <v>141</v>
      </c>
      <c r="D108" s="70">
        <v>252</v>
      </c>
      <c r="E108" s="68">
        <v>2071</v>
      </c>
      <c r="F108" s="68">
        <v>227</v>
      </c>
      <c r="G108" s="68">
        <v>2298</v>
      </c>
      <c r="H108" s="181">
        <f t="shared" si="494"/>
        <v>0.10960888459681313</v>
      </c>
      <c r="I108" s="70">
        <v>176</v>
      </c>
      <c r="J108" s="68">
        <v>2474</v>
      </c>
      <c r="K108" s="167">
        <f t="shared" si="495"/>
        <v>7.6588337684943428E-2</v>
      </c>
      <c r="L108" s="70">
        <v>165</v>
      </c>
      <c r="M108" s="68">
        <v>2639</v>
      </c>
      <c r="N108" s="167">
        <f t="shared" si="496"/>
        <v>6.6693613581244954E-2</v>
      </c>
      <c r="O108" s="70">
        <f t="shared" si="497"/>
        <v>60</v>
      </c>
      <c r="P108" s="68">
        <v>2699</v>
      </c>
      <c r="Q108" s="167">
        <f t="shared" si="498"/>
        <v>2.2735884804850323E-2</v>
      </c>
      <c r="R108" s="175">
        <f t="shared" si="499"/>
        <v>880</v>
      </c>
      <c r="S108" s="165">
        <f t="shared" si="500"/>
        <v>6.8453673118669567E-2</v>
      </c>
      <c r="U108" s="70">
        <v>78</v>
      </c>
      <c r="V108" s="138">
        <f t="shared" si="501"/>
        <v>2777</v>
      </c>
      <c r="W108" s="167">
        <f t="shared" si="502"/>
        <v>2.8899592441645052E-2</v>
      </c>
      <c r="X108" s="68">
        <v>102</v>
      </c>
      <c r="Y108" s="138">
        <f t="shared" si="503"/>
        <v>2879</v>
      </c>
      <c r="Z108" s="181">
        <f t="shared" si="504"/>
        <v>3.6730284479654304E-2</v>
      </c>
      <c r="AA108" s="70">
        <v>109</v>
      </c>
      <c r="AB108" s="138">
        <f t="shared" si="505"/>
        <v>2988</v>
      </c>
      <c r="AC108" s="167">
        <f t="shared" si="506"/>
        <v>3.7860368183397011E-2</v>
      </c>
      <c r="AD108" s="68">
        <v>100</v>
      </c>
      <c r="AE108" s="138">
        <f t="shared" si="507"/>
        <v>3088</v>
      </c>
      <c r="AF108" s="181">
        <f t="shared" si="508"/>
        <v>3.3467202141900937E-2</v>
      </c>
      <c r="AG108" s="70">
        <v>137</v>
      </c>
      <c r="AH108" s="138">
        <f t="shared" si="509"/>
        <v>3225</v>
      </c>
      <c r="AI108" s="167">
        <f t="shared" si="510"/>
        <v>4.4365284974093262E-2</v>
      </c>
      <c r="AJ108" s="164">
        <f t="shared" si="511"/>
        <v>526</v>
      </c>
      <c r="AK108" s="165">
        <f t="shared" si="512"/>
        <v>3.8098252114824316E-2</v>
      </c>
    </row>
    <row r="109" spans="2:37" outlineLevel="1" x14ac:dyDescent="0.35">
      <c r="B109" s="48" t="s">
        <v>107</v>
      </c>
      <c r="C109" s="62" t="s">
        <v>141</v>
      </c>
      <c r="D109" s="70">
        <v>96</v>
      </c>
      <c r="E109" s="68">
        <v>2514</v>
      </c>
      <c r="F109" s="68">
        <v>265</v>
      </c>
      <c r="G109" s="68">
        <v>2779</v>
      </c>
      <c r="H109" s="181">
        <f t="shared" si="494"/>
        <v>0.10540970564836913</v>
      </c>
      <c r="I109" s="70">
        <v>243</v>
      </c>
      <c r="J109" s="68">
        <v>3022</v>
      </c>
      <c r="K109" s="167">
        <f t="shared" si="495"/>
        <v>8.7441525728679387E-2</v>
      </c>
      <c r="L109" s="70">
        <v>193</v>
      </c>
      <c r="M109" s="68">
        <v>3215</v>
      </c>
      <c r="N109" s="167">
        <f t="shared" si="496"/>
        <v>6.3864990072799471E-2</v>
      </c>
      <c r="O109" s="70">
        <f t="shared" si="497"/>
        <v>88</v>
      </c>
      <c r="P109" s="68">
        <v>3303</v>
      </c>
      <c r="Q109" s="167">
        <f t="shared" si="498"/>
        <v>2.7371695178849145E-2</v>
      </c>
      <c r="R109" s="175">
        <f t="shared" si="499"/>
        <v>885</v>
      </c>
      <c r="S109" s="165">
        <f t="shared" si="500"/>
        <v>7.0621166060092166E-2</v>
      </c>
      <c r="U109" s="70">
        <v>149</v>
      </c>
      <c r="V109" s="138">
        <f t="shared" si="501"/>
        <v>3452</v>
      </c>
      <c r="W109" s="167">
        <f t="shared" si="502"/>
        <v>4.5110505600968819E-2</v>
      </c>
      <c r="X109" s="68">
        <v>213</v>
      </c>
      <c r="Y109" s="138">
        <f t="shared" si="503"/>
        <v>3665</v>
      </c>
      <c r="Z109" s="181">
        <f t="shared" si="504"/>
        <v>6.1703360370799536E-2</v>
      </c>
      <c r="AA109" s="70">
        <v>236</v>
      </c>
      <c r="AB109" s="138">
        <f t="shared" si="505"/>
        <v>3901</v>
      </c>
      <c r="AC109" s="167">
        <f t="shared" si="506"/>
        <v>6.4392905866302863E-2</v>
      </c>
      <c r="AD109" s="68">
        <v>195</v>
      </c>
      <c r="AE109" s="138">
        <f t="shared" si="507"/>
        <v>4096</v>
      </c>
      <c r="AF109" s="181">
        <f t="shared" si="508"/>
        <v>4.9987182773647783E-2</v>
      </c>
      <c r="AG109" s="70">
        <v>153</v>
      </c>
      <c r="AH109" s="138">
        <f t="shared" si="509"/>
        <v>4249</v>
      </c>
      <c r="AI109" s="167">
        <f t="shared" si="510"/>
        <v>3.7353515625E-2</v>
      </c>
      <c r="AJ109" s="164">
        <f t="shared" si="511"/>
        <v>946</v>
      </c>
      <c r="AK109" s="165">
        <f t="shared" si="512"/>
        <v>5.3304612534576856E-2</v>
      </c>
    </row>
    <row r="110" spans="2:37" outlineLevel="1" x14ac:dyDescent="0.35">
      <c r="B110" s="48" t="s">
        <v>108</v>
      </c>
      <c r="C110" s="62" t="s">
        <v>141</v>
      </c>
      <c r="D110" s="70">
        <v>321</v>
      </c>
      <c r="E110" s="68">
        <v>4647</v>
      </c>
      <c r="F110" s="68">
        <v>560</v>
      </c>
      <c r="G110" s="68">
        <v>5207</v>
      </c>
      <c r="H110" s="181">
        <f t="shared" si="494"/>
        <v>0.12050785452980417</v>
      </c>
      <c r="I110" s="70">
        <v>392</v>
      </c>
      <c r="J110" s="68">
        <v>5599</v>
      </c>
      <c r="K110" s="167">
        <f t="shared" si="495"/>
        <v>7.5283272517764552E-2</v>
      </c>
      <c r="L110" s="70">
        <v>365</v>
      </c>
      <c r="M110" s="68">
        <v>5964</v>
      </c>
      <c r="N110" s="167">
        <f t="shared" si="496"/>
        <v>6.5190212537953207E-2</v>
      </c>
      <c r="O110" s="70">
        <f t="shared" si="497"/>
        <v>102</v>
      </c>
      <c r="P110" s="68">
        <v>6066</v>
      </c>
      <c r="Q110" s="167">
        <f t="shared" si="498"/>
        <v>1.7102615694164991E-2</v>
      </c>
      <c r="R110" s="175">
        <f t="shared" si="499"/>
        <v>1740</v>
      </c>
      <c r="S110" s="165">
        <f t="shared" si="500"/>
        <v>6.8888570840503593E-2</v>
      </c>
      <c r="U110" s="70">
        <v>271</v>
      </c>
      <c r="V110" s="138">
        <f t="shared" si="501"/>
        <v>6337</v>
      </c>
      <c r="W110" s="167">
        <f t="shared" si="502"/>
        <v>4.4675239037256842E-2</v>
      </c>
      <c r="X110" s="68">
        <v>307</v>
      </c>
      <c r="Y110" s="138">
        <f t="shared" si="503"/>
        <v>6644</v>
      </c>
      <c r="Z110" s="181">
        <f t="shared" si="504"/>
        <v>4.8445636736626163E-2</v>
      </c>
      <c r="AA110" s="70">
        <v>485</v>
      </c>
      <c r="AB110" s="138">
        <f t="shared" si="505"/>
        <v>7129</v>
      </c>
      <c r="AC110" s="167">
        <f t="shared" si="506"/>
        <v>7.2998193859121013E-2</v>
      </c>
      <c r="AD110" s="68">
        <v>620</v>
      </c>
      <c r="AE110" s="138">
        <f t="shared" si="507"/>
        <v>7749</v>
      </c>
      <c r="AF110" s="181">
        <f t="shared" si="508"/>
        <v>8.696871931547201E-2</v>
      </c>
      <c r="AG110" s="70">
        <v>561</v>
      </c>
      <c r="AH110" s="138">
        <f t="shared" si="509"/>
        <v>8310</v>
      </c>
      <c r="AI110" s="167">
        <f t="shared" si="510"/>
        <v>7.2396438250096784E-2</v>
      </c>
      <c r="AJ110" s="164">
        <f t="shared" si="511"/>
        <v>2244</v>
      </c>
      <c r="AK110" s="165">
        <f t="shared" si="512"/>
        <v>7.0112234074514612E-2</v>
      </c>
    </row>
    <row r="111" spans="2:37" outlineLevel="1" x14ac:dyDescent="0.35">
      <c r="B111" s="48" t="s">
        <v>109</v>
      </c>
      <c r="C111" s="62" t="s">
        <v>141</v>
      </c>
      <c r="D111" s="70">
        <v>696</v>
      </c>
      <c r="E111" s="68">
        <v>17354</v>
      </c>
      <c r="F111" s="68">
        <v>817</v>
      </c>
      <c r="G111" s="68">
        <v>18171</v>
      </c>
      <c r="H111" s="181">
        <f t="shared" si="494"/>
        <v>4.7078483346778839E-2</v>
      </c>
      <c r="I111" s="70">
        <v>596</v>
      </c>
      <c r="J111" s="68">
        <v>18767</v>
      </c>
      <c r="K111" s="167">
        <f t="shared" si="495"/>
        <v>3.2799515711848547E-2</v>
      </c>
      <c r="L111" s="70">
        <v>46</v>
      </c>
      <c r="M111" s="68">
        <v>18813</v>
      </c>
      <c r="N111" s="167">
        <f t="shared" si="496"/>
        <v>2.451110992699952E-3</v>
      </c>
      <c r="O111" s="70">
        <f t="shared" si="497"/>
        <v>254</v>
      </c>
      <c r="P111" s="68">
        <v>19067</v>
      </c>
      <c r="Q111" s="167">
        <f t="shared" si="498"/>
        <v>1.3501302290969011E-2</v>
      </c>
      <c r="R111" s="175">
        <f t="shared" si="499"/>
        <v>2409</v>
      </c>
      <c r="S111" s="165">
        <f t="shared" si="500"/>
        <v>2.3813126363600334E-2</v>
      </c>
      <c r="U111" s="70">
        <v>600</v>
      </c>
      <c r="V111" s="138">
        <f t="shared" si="501"/>
        <v>19667</v>
      </c>
      <c r="W111" s="167">
        <f t="shared" si="502"/>
        <v>3.1467981328997745E-2</v>
      </c>
      <c r="X111" s="68">
        <v>662</v>
      </c>
      <c r="Y111" s="138">
        <f t="shared" si="503"/>
        <v>20329</v>
      </c>
      <c r="Z111" s="181">
        <f t="shared" si="504"/>
        <v>3.36604464331113E-2</v>
      </c>
      <c r="AA111" s="70">
        <v>725</v>
      </c>
      <c r="AB111" s="138">
        <f t="shared" si="505"/>
        <v>21054</v>
      </c>
      <c r="AC111" s="167">
        <f t="shared" si="506"/>
        <v>3.566333808844508E-2</v>
      </c>
      <c r="AD111" s="68">
        <v>646</v>
      </c>
      <c r="AE111" s="138">
        <f t="shared" si="507"/>
        <v>21700</v>
      </c>
      <c r="AF111" s="181">
        <f t="shared" si="508"/>
        <v>3.0683005604635698E-2</v>
      </c>
      <c r="AG111" s="70">
        <v>503</v>
      </c>
      <c r="AH111" s="138">
        <f t="shared" si="509"/>
        <v>22203</v>
      </c>
      <c r="AI111" s="167">
        <f t="shared" si="510"/>
        <v>2.3179723502304149E-2</v>
      </c>
      <c r="AJ111" s="164">
        <f t="shared" si="511"/>
        <v>3136</v>
      </c>
      <c r="AK111" s="165">
        <f t="shared" si="512"/>
        <v>3.078570070052411E-2</v>
      </c>
    </row>
    <row r="112" spans="2:37" outlineLevel="1" x14ac:dyDescent="0.35">
      <c r="B112" s="48" t="s">
        <v>110</v>
      </c>
      <c r="C112" s="62" t="s">
        <v>141</v>
      </c>
      <c r="D112" s="70">
        <v>146</v>
      </c>
      <c r="E112" s="68">
        <v>1886</v>
      </c>
      <c r="F112" s="68">
        <v>218</v>
      </c>
      <c r="G112" s="68">
        <v>2104</v>
      </c>
      <c r="H112" s="181">
        <f t="shared" si="494"/>
        <v>0.11558854718981973</v>
      </c>
      <c r="I112" s="70">
        <v>122</v>
      </c>
      <c r="J112" s="68">
        <v>2226</v>
      </c>
      <c r="K112" s="167">
        <f t="shared" si="495"/>
        <v>5.7984790874524718E-2</v>
      </c>
      <c r="L112" s="70">
        <v>199</v>
      </c>
      <c r="M112" s="68">
        <v>2425</v>
      </c>
      <c r="N112" s="167">
        <f t="shared" si="496"/>
        <v>8.9398023360287515E-2</v>
      </c>
      <c r="O112" s="70">
        <f t="shared" si="497"/>
        <v>30</v>
      </c>
      <c r="P112" s="68">
        <v>2455</v>
      </c>
      <c r="Q112" s="167">
        <f t="shared" si="498"/>
        <v>1.2371134020618556E-2</v>
      </c>
      <c r="R112" s="175">
        <f t="shared" si="499"/>
        <v>715</v>
      </c>
      <c r="S112" s="165">
        <f t="shared" si="500"/>
        <v>6.8138212116204189E-2</v>
      </c>
      <c r="U112" s="70">
        <v>62</v>
      </c>
      <c r="V112" s="138">
        <f t="shared" si="501"/>
        <v>2517</v>
      </c>
      <c r="W112" s="167">
        <f t="shared" si="502"/>
        <v>2.5254582484725049E-2</v>
      </c>
      <c r="X112" s="68">
        <v>70</v>
      </c>
      <c r="Y112" s="138">
        <f t="shared" si="503"/>
        <v>2587</v>
      </c>
      <c r="Z112" s="181">
        <f t="shared" si="504"/>
        <v>2.7810885975367503E-2</v>
      </c>
      <c r="AA112" s="70">
        <v>86</v>
      </c>
      <c r="AB112" s="138">
        <f t="shared" si="505"/>
        <v>2673</v>
      </c>
      <c r="AC112" s="167">
        <f t="shared" si="506"/>
        <v>3.3243138770776962E-2</v>
      </c>
      <c r="AD112" s="68">
        <v>80</v>
      </c>
      <c r="AE112" s="138">
        <f t="shared" si="507"/>
        <v>2753</v>
      </c>
      <c r="AF112" s="181">
        <f t="shared" si="508"/>
        <v>2.9928918817807706E-2</v>
      </c>
      <c r="AG112" s="70">
        <v>95</v>
      </c>
      <c r="AH112" s="138">
        <f t="shared" si="509"/>
        <v>2848</v>
      </c>
      <c r="AI112" s="167">
        <f t="shared" si="510"/>
        <v>3.4507809662186709E-2</v>
      </c>
      <c r="AJ112" s="164">
        <f t="shared" si="511"/>
        <v>393</v>
      </c>
      <c r="AK112" s="165">
        <f t="shared" si="512"/>
        <v>3.1369281976692864E-2</v>
      </c>
    </row>
    <row r="113" spans="2:37" outlineLevel="1" x14ac:dyDescent="0.35">
      <c r="B113" s="48" t="s">
        <v>111</v>
      </c>
      <c r="C113" s="62" t="s">
        <v>141</v>
      </c>
      <c r="D113" s="70">
        <v>150</v>
      </c>
      <c r="E113" s="68">
        <v>1629</v>
      </c>
      <c r="F113" s="68">
        <v>260</v>
      </c>
      <c r="G113" s="68">
        <v>1889</v>
      </c>
      <c r="H113" s="181">
        <f t="shared" si="494"/>
        <v>0.15960712093308779</v>
      </c>
      <c r="I113" s="70">
        <v>194</v>
      </c>
      <c r="J113" s="68">
        <v>2083</v>
      </c>
      <c r="K113" s="167">
        <f t="shared" si="495"/>
        <v>0.1026998411858126</v>
      </c>
      <c r="L113" s="70">
        <v>101</v>
      </c>
      <c r="M113" s="68">
        <v>2184</v>
      </c>
      <c r="N113" s="167">
        <f t="shared" si="496"/>
        <v>4.8487758041286605E-2</v>
      </c>
      <c r="O113" s="70">
        <f t="shared" si="497"/>
        <v>63</v>
      </c>
      <c r="P113" s="68">
        <v>2247</v>
      </c>
      <c r="Q113" s="167">
        <f t="shared" si="498"/>
        <v>2.8846153846153848E-2</v>
      </c>
      <c r="R113" s="175">
        <f t="shared" si="499"/>
        <v>768</v>
      </c>
      <c r="S113" s="165">
        <f t="shared" si="500"/>
        <v>8.3728505964448585E-2</v>
      </c>
      <c r="U113" s="70">
        <v>96</v>
      </c>
      <c r="V113" s="138">
        <f t="shared" si="501"/>
        <v>2343</v>
      </c>
      <c r="W113" s="167">
        <f t="shared" si="502"/>
        <v>4.2723631508678236E-2</v>
      </c>
      <c r="X113" s="68">
        <v>139</v>
      </c>
      <c r="Y113" s="138">
        <f t="shared" si="503"/>
        <v>2482</v>
      </c>
      <c r="Z113" s="181">
        <f t="shared" si="504"/>
        <v>5.932565087494665E-2</v>
      </c>
      <c r="AA113" s="70">
        <v>204</v>
      </c>
      <c r="AB113" s="138">
        <f t="shared" si="505"/>
        <v>2686</v>
      </c>
      <c r="AC113" s="167">
        <f t="shared" si="506"/>
        <v>8.2191780821917804E-2</v>
      </c>
      <c r="AD113" s="68">
        <v>189</v>
      </c>
      <c r="AE113" s="138">
        <f t="shared" si="507"/>
        <v>2875</v>
      </c>
      <c r="AF113" s="181">
        <f t="shared" si="508"/>
        <v>7.0364854802680565E-2</v>
      </c>
      <c r="AG113" s="70">
        <v>148</v>
      </c>
      <c r="AH113" s="138">
        <f t="shared" si="509"/>
        <v>3023</v>
      </c>
      <c r="AI113" s="167">
        <f t="shared" si="510"/>
        <v>5.1478260869565216E-2</v>
      </c>
      <c r="AJ113" s="164">
        <f t="shared" si="511"/>
        <v>776</v>
      </c>
      <c r="AK113" s="165">
        <f t="shared" si="512"/>
        <v>6.577729676991062E-2</v>
      </c>
    </row>
    <row r="114" spans="2:37" outlineLevel="1" x14ac:dyDescent="0.35">
      <c r="B114" s="48" t="s">
        <v>112</v>
      </c>
      <c r="C114" s="62" t="s">
        <v>141</v>
      </c>
      <c r="D114" s="70">
        <v>239</v>
      </c>
      <c r="E114" s="68">
        <v>3030</v>
      </c>
      <c r="F114" s="68">
        <v>270</v>
      </c>
      <c r="G114" s="68">
        <v>3300</v>
      </c>
      <c r="H114" s="181">
        <f t="shared" si="494"/>
        <v>8.9108910891089105E-2</v>
      </c>
      <c r="I114" s="70">
        <v>238</v>
      </c>
      <c r="J114" s="68">
        <v>3538</v>
      </c>
      <c r="K114" s="167">
        <f t="shared" si="495"/>
        <v>7.2121212121212128E-2</v>
      </c>
      <c r="L114" s="70">
        <v>197</v>
      </c>
      <c r="M114" s="68">
        <v>3735</v>
      </c>
      <c r="N114" s="167">
        <f t="shared" si="496"/>
        <v>5.5681175805539856E-2</v>
      </c>
      <c r="O114" s="70">
        <f t="shared" si="497"/>
        <v>60</v>
      </c>
      <c r="P114" s="68">
        <v>3795</v>
      </c>
      <c r="Q114" s="167">
        <f t="shared" si="498"/>
        <v>1.6064257028112448E-2</v>
      </c>
      <c r="R114" s="175">
        <f t="shared" si="499"/>
        <v>1004</v>
      </c>
      <c r="S114" s="165">
        <f t="shared" si="500"/>
        <v>5.7894326308136623E-2</v>
      </c>
      <c r="U114" s="70">
        <v>166</v>
      </c>
      <c r="V114" s="138">
        <f t="shared" si="501"/>
        <v>3961</v>
      </c>
      <c r="W114" s="167">
        <f t="shared" si="502"/>
        <v>4.3741765480895915E-2</v>
      </c>
      <c r="X114" s="68">
        <v>248</v>
      </c>
      <c r="Y114" s="138">
        <f t="shared" si="503"/>
        <v>4209</v>
      </c>
      <c r="Z114" s="181">
        <f t="shared" si="504"/>
        <v>6.2610451906084316E-2</v>
      </c>
      <c r="AA114" s="70">
        <v>320</v>
      </c>
      <c r="AB114" s="138">
        <f t="shared" si="505"/>
        <v>4529</v>
      </c>
      <c r="AC114" s="167">
        <f t="shared" si="506"/>
        <v>7.6027559990496554E-2</v>
      </c>
      <c r="AD114" s="68">
        <v>321</v>
      </c>
      <c r="AE114" s="138">
        <f t="shared" si="507"/>
        <v>4850</v>
      </c>
      <c r="AF114" s="181">
        <f t="shared" si="508"/>
        <v>7.0876573194965778E-2</v>
      </c>
      <c r="AG114" s="70">
        <v>324</v>
      </c>
      <c r="AH114" s="138">
        <f t="shared" si="509"/>
        <v>5174</v>
      </c>
      <c r="AI114" s="167">
        <f t="shared" si="510"/>
        <v>6.6804123711340202E-2</v>
      </c>
      <c r="AJ114" s="164">
        <f t="shared" si="511"/>
        <v>1379</v>
      </c>
      <c r="AK114" s="165">
        <f t="shared" si="512"/>
        <v>6.9068160798452904E-2</v>
      </c>
    </row>
    <row r="115" spans="2:37" outlineLevel="1" x14ac:dyDescent="0.35">
      <c r="B115" s="48" t="s">
        <v>113</v>
      </c>
      <c r="C115" s="62" t="s">
        <v>141</v>
      </c>
      <c r="D115" s="70">
        <v>0</v>
      </c>
      <c r="E115" s="68"/>
      <c r="F115" s="68">
        <v>0</v>
      </c>
      <c r="G115" s="68"/>
      <c r="H115" s="181">
        <f t="shared" si="494"/>
        <v>0</v>
      </c>
      <c r="I115" s="70">
        <v>0</v>
      </c>
      <c r="J115" s="68">
        <v>0</v>
      </c>
      <c r="K115" s="167">
        <f t="shared" si="495"/>
        <v>0</v>
      </c>
      <c r="L115" s="70">
        <v>0</v>
      </c>
      <c r="M115" s="68"/>
      <c r="N115" s="167">
        <f t="shared" si="496"/>
        <v>0</v>
      </c>
      <c r="O115" s="70">
        <f t="shared" si="497"/>
        <v>0</v>
      </c>
      <c r="P115" s="68"/>
      <c r="Q115" s="167">
        <f t="shared" si="498"/>
        <v>0</v>
      </c>
      <c r="R115" s="175">
        <f t="shared" si="499"/>
        <v>0</v>
      </c>
      <c r="S115" s="165">
        <f t="shared" si="500"/>
        <v>0</v>
      </c>
      <c r="U115" s="70">
        <v>0</v>
      </c>
      <c r="V115" s="138">
        <f t="shared" si="501"/>
        <v>0</v>
      </c>
      <c r="W115" s="167">
        <f t="shared" si="502"/>
        <v>0</v>
      </c>
      <c r="X115" s="68">
        <v>0</v>
      </c>
      <c r="Y115" s="138">
        <f t="shared" si="503"/>
        <v>0</v>
      </c>
      <c r="Z115" s="181">
        <f t="shared" si="504"/>
        <v>0</v>
      </c>
      <c r="AA115" s="70">
        <v>0</v>
      </c>
      <c r="AB115" s="138">
        <f t="shared" si="505"/>
        <v>0</v>
      </c>
      <c r="AC115" s="167">
        <f t="shared" si="506"/>
        <v>0</v>
      </c>
      <c r="AD115" s="68">
        <v>0</v>
      </c>
      <c r="AE115" s="138">
        <f t="shared" si="507"/>
        <v>0</v>
      </c>
      <c r="AF115" s="181">
        <f t="shared" si="508"/>
        <v>0</v>
      </c>
      <c r="AG115" s="70">
        <v>0</v>
      </c>
      <c r="AH115" s="138">
        <f t="shared" si="509"/>
        <v>0</v>
      </c>
      <c r="AI115" s="167">
        <f t="shared" si="510"/>
        <v>0</v>
      </c>
      <c r="AJ115" s="164">
        <f t="shared" si="511"/>
        <v>0</v>
      </c>
      <c r="AK115" s="165">
        <f t="shared" si="512"/>
        <v>0</v>
      </c>
    </row>
    <row r="116" spans="2:37" outlineLevel="1" x14ac:dyDescent="0.35">
      <c r="B116" s="48" t="s">
        <v>114</v>
      </c>
      <c r="C116" s="62" t="s">
        <v>141</v>
      </c>
      <c r="D116" s="70">
        <v>579</v>
      </c>
      <c r="E116" s="68">
        <v>16900</v>
      </c>
      <c r="F116" s="68">
        <v>625</v>
      </c>
      <c r="G116" s="68">
        <v>17525</v>
      </c>
      <c r="H116" s="181">
        <f t="shared" si="494"/>
        <v>3.6982248520710061E-2</v>
      </c>
      <c r="I116" s="70">
        <v>572</v>
      </c>
      <c r="J116" s="68">
        <v>18097</v>
      </c>
      <c r="K116" s="167">
        <f t="shared" si="495"/>
        <v>3.2639087018544934E-2</v>
      </c>
      <c r="L116" s="70">
        <v>-944</v>
      </c>
      <c r="M116" s="68">
        <v>17153</v>
      </c>
      <c r="N116" s="167">
        <f t="shared" si="496"/>
        <v>-5.2163341990385144E-2</v>
      </c>
      <c r="O116" s="70">
        <f t="shared" si="497"/>
        <v>50</v>
      </c>
      <c r="P116" s="68">
        <v>17203</v>
      </c>
      <c r="Q116" s="167">
        <f t="shared" si="498"/>
        <v>2.9149419926543462E-3</v>
      </c>
      <c r="R116" s="175">
        <f t="shared" si="499"/>
        <v>882</v>
      </c>
      <c r="S116" s="165">
        <f t="shared" si="500"/>
        <v>4.4524240375369839E-3</v>
      </c>
      <c r="U116" s="70">
        <v>585</v>
      </c>
      <c r="V116" s="138">
        <f t="shared" si="501"/>
        <v>17788</v>
      </c>
      <c r="W116" s="167">
        <f t="shared" si="502"/>
        <v>3.4005696680811485E-2</v>
      </c>
      <c r="X116" s="68">
        <v>647</v>
      </c>
      <c r="Y116" s="138">
        <f t="shared" si="503"/>
        <v>18435</v>
      </c>
      <c r="Z116" s="181">
        <f t="shared" si="504"/>
        <v>3.6372835619518776E-2</v>
      </c>
      <c r="AA116" s="70">
        <v>681</v>
      </c>
      <c r="AB116" s="138">
        <f t="shared" si="505"/>
        <v>19116</v>
      </c>
      <c r="AC116" s="167">
        <f t="shared" si="506"/>
        <v>3.6940602115541094E-2</v>
      </c>
      <c r="AD116" s="68">
        <v>597</v>
      </c>
      <c r="AE116" s="138">
        <f t="shared" si="507"/>
        <v>19713</v>
      </c>
      <c r="AF116" s="181">
        <f t="shared" si="508"/>
        <v>3.1230382925298179E-2</v>
      </c>
      <c r="AG116" s="70">
        <v>470</v>
      </c>
      <c r="AH116" s="138">
        <f t="shared" si="509"/>
        <v>20183</v>
      </c>
      <c r="AI116" s="167">
        <f t="shared" si="510"/>
        <v>2.3842134631968753E-2</v>
      </c>
      <c r="AJ116" s="164">
        <f t="shared" si="511"/>
        <v>2980</v>
      </c>
      <c r="AK116" s="165">
        <f t="shared" si="512"/>
        <v>3.208306000061012E-2</v>
      </c>
    </row>
    <row r="117" spans="2:37" outlineLevel="1" x14ac:dyDescent="0.35">
      <c r="B117" s="48" t="s">
        <v>115</v>
      </c>
      <c r="C117" s="62" t="s">
        <v>141</v>
      </c>
      <c r="D117" s="70">
        <v>627</v>
      </c>
      <c r="E117" s="68">
        <v>825</v>
      </c>
      <c r="F117" s="68">
        <v>1307</v>
      </c>
      <c r="G117" s="68">
        <v>2132</v>
      </c>
      <c r="H117" s="181">
        <f t="shared" si="494"/>
        <v>1.5842424242424242</v>
      </c>
      <c r="I117" s="70">
        <v>518</v>
      </c>
      <c r="J117" s="68">
        <v>2650</v>
      </c>
      <c r="K117" s="167">
        <f t="shared" si="495"/>
        <v>0.24296435272045028</v>
      </c>
      <c r="L117" s="70">
        <v>574</v>
      </c>
      <c r="M117" s="68">
        <v>3224</v>
      </c>
      <c r="N117" s="167">
        <f t="shared" si="496"/>
        <v>0.21660377358490565</v>
      </c>
      <c r="O117" s="70">
        <f t="shared" si="497"/>
        <v>148</v>
      </c>
      <c r="P117" s="68">
        <v>3372</v>
      </c>
      <c r="Q117" s="167">
        <f t="shared" si="498"/>
        <v>4.590570719602978E-2</v>
      </c>
      <c r="R117" s="175">
        <f t="shared" si="499"/>
        <v>3174</v>
      </c>
      <c r="S117" s="165">
        <f t="shared" si="500"/>
        <v>0.42186513227803002</v>
      </c>
      <c r="U117" s="70">
        <v>225</v>
      </c>
      <c r="V117" s="138">
        <f t="shared" si="501"/>
        <v>3597</v>
      </c>
      <c r="W117" s="167">
        <f t="shared" si="502"/>
        <v>6.6725978647686826E-2</v>
      </c>
      <c r="X117" s="68">
        <v>293</v>
      </c>
      <c r="Y117" s="138">
        <f t="shared" si="503"/>
        <v>3890</v>
      </c>
      <c r="Z117" s="181">
        <f t="shared" si="504"/>
        <v>8.1456769530164022E-2</v>
      </c>
      <c r="AA117" s="70">
        <v>334</v>
      </c>
      <c r="AB117" s="138">
        <f t="shared" si="505"/>
        <v>4224</v>
      </c>
      <c r="AC117" s="167">
        <f t="shared" si="506"/>
        <v>8.586118251928021E-2</v>
      </c>
      <c r="AD117" s="68">
        <v>325</v>
      </c>
      <c r="AE117" s="138">
        <f t="shared" si="507"/>
        <v>4549</v>
      </c>
      <c r="AF117" s="181">
        <f t="shared" si="508"/>
        <v>7.6941287878787873E-2</v>
      </c>
      <c r="AG117" s="70">
        <v>295</v>
      </c>
      <c r="AH117" s="138">
        <f t="shared" si="509"/>
        <v>4844</v>
      </c>
      <c r="AI117" s="167">
        <f t="shared" si="510"/>
        <v>6.4849417454385577E-2</v>
      </c>
      <c r="AJ117" s="164">
        <f t="shared" si="511"/>
        <v>1472</v>
      </c>
      <c r="AK117" s="165">
        <f t="shared" si="512"/>
        <v>7.724856481366893E-2</v>
      </c>
    </row>
    <row r="118" spans="2:37" outlineLevel="1" x14ac:dyDescent="0.35">
      <c r="B118" s="48" t="s">
        <v>116</v>
      </c>
      <c r="C118" s="62" t="s">
        <v>141</v>
      </c>
      <c r="D118" s="70">
        <v>598</v>
      </c>
      <c r="E118" s="68">
        <v>15671</v>
      </c>
      <c r="F118" s="68">
        <v>381</v>
      </c>
      <c r="G118" s="68">
        <v>16052</v>
      </c>
      <c r="H118" s="181">
        <f t="shared" si="494"/>
        <v>2.4312424223087232E-2</v>
      </c>
      <c r="I118" s="70">
        <v>524</v>
      </c>
      <c r="J118" s="68">
        <v>16576</v>
      </c>
      <c r="K118" s="167">
        <f t="shared" si="495"/>
        <v>3.2643907301270869E-2</v>
      </c>
      <c r="L118" s="70">
        <v>-425</v>
      </c>
      <c r="M118" s="68">
        <v>16151</v>
      </c>
      <c r="N118" s="167">
        <f t="shared" si="496"/>
        <v>-2.5639478764478765E-2</v>
      </c>
      <c r="O118" s="70">
        <f t="shared" si="497"/>
        <v>126</v>
      </c>
      <c r="P118" s="68">
        <v>16277</v>
      </c>
      <c r="Q118" s="167">
        <f t="shared" si="498"/>
        <v>7.8013745278930095E-3</v>
      </c>
      <c r="R118" s="175">
        <f t="shared" si="499"/>
        <v>1204</v>
      </c>
      <c r="S118" s="165">
        <f t="shared" si="500"/>
        <v>9.5304274914809195E-3</v>
      </c>
      <c r="U118" s="70">
        <v>434</v>
      </c>
      <c r="V118" s="138">
        <f t="shared" si="501"/>
        <v>16711</v>
      </c>
      <c r="W118" s="167">
        <f t="shared" si="502"/>
        <v>2.6663390059593291E-2</v>
      </c>
      <c r="X118" s="68">
        <v>479</v>
      </c>
      <c r="Y118" s="138">
        <f t="shared" si="503"/>
        <v>17190</v>
      </c>
      <c r="Z118" s="181">
        <f t="shared" si="504"/>
        <v>2.8663754413260727E-2</v>
      </c>
      <c r="AA118" s="70">
        <v>503</v>
      </c>
      <c r="AB118" s="138">
        <f t="shared" si="505"/>
        <v>17693</v>
      </c>
      <c r="AC118" s="167">
        <f t="shared" si="506"/>
        <v>2.9261198371146015E-2</v>
      </c>
      <c r="AD118" s="68">
        <v>440</v>
      </c>
      <c r="AE118" s="138">
        <f t="shared" si="507"/>
        <v>18133</v>
      </c>
      <c r="AF118" s="181">
        <f t="shared" si="508"/>
        <v>2.4868592098570057E-2</v>
      </c>
      <c r="AG118" s="70">
        <v>346</v>
      </c>
      <c r="AH118" s="138">
        <f t="shared" si="509"/>
        <v>18479</v>
      </c>
      <c r="AI118" s="167">
        <f t="shared" si="510"/>
        <v>1.9081233110902773E-2</v>
      </c>
      <c r="AJ118" s="164">
        <f t="shared" si="511"/>
        <v>2202</v>
      </c>
      <c r="AK118" s="165">
        <f t="shared" si="512"/>
        <v>2.5460665869519561E-2</v>
      </c>
    </row>
    <row r="119" spans="2:37" outlineLevel="1" x14ac:dyDescent="0.35">
      <c r="B119" s="48" t="s">
        <v>117</v>
      </c>
      <c r="C119" s="62" t="s">
        <v>141</v>
      </c>
      <c r="D119" s="70">
        <v>429</v>
      </c>
      <c r="E119" s="68">
        <v>9635</v>
      </c>
      <c r="F119" s="68">
        <v>656</v>
      </c>
      <c r="G119" s="68">
        <v>10291</v>
      </c>
      <c r="H119" s="181">
        <f t="shared" si="494"/>
        <v>6.8085106382978725E-2</v>
      </c>
      <c r="I119" s="70">
        <v>464</v>
      </c>
      <c r="J119" s="68">
        <v>10755</v>
      </c>
      <c r="K119" s="167">
        <f t="shared" si="495"/>
        <v>4.5087940919249829E-2</v>
      </c>
      <c r="L119" s="70">
        <v>323</v>
      </c>
      <c r="M119" s="68">
        <v>11078</v>
      </c>
      <c r="N119" s="167">
        <f t="shared" si="496"/>
        <v>3.0032543003254301E-2</v>
      </c>
      <c r="O119" s="70">
        <f t="shared" si="497"/>
        <v>87</v>
      </c>
      <c r="P119" s="68">
        <v>11165</v>
      </c>
      <c r="Q119" s="167">
        <f t="shared" si="498"/>
        <v>7.8534031413612562E-3</v>
      </c>
      <c r="R119" s="175">
        <f t="shared" si="499"/>
        <v>1959</v>
      </c>
      <c r="S119" s="165">
        <f t="shared" si="500"/>
        <v>3.7532601598459614E-2</v>
      </c>
      <c r="U119" s="70">
        <v>491</v>
      </c>
      <c r="V119" s="138">
        <f t="shared" si="501"/>
        <v>11656</v>
      </c>
      <c r="W119" s="167">
        <f t="shared" si="502"/>
        <v>4.3976712942230184E-2</v>
      </c>
      <c r="X119" s="68">
        <v>757</v>
      </c>
      <c r="Y119" s="138">
        <f t="shared" si="503"/>
        <v>12413</v>
      </c>
      <c r="Z119" s="181">
        <f t="shared" si="504"/>
        <v>6.4945092656142761E-2</v>
      </c>
      <c r="AA119" s="70">
        <v>933</v>
      </c>
      <c r="AB119" s="138">
        <f t="shared" si="505"/>
        <v>13346</v>
      </c>
      <c r="AC119" s="167">
        <f t="shared" si="506"/>
        <v>7.5163135422540883E-2</v>
      </c>
      <c r="AD119" s="68">
        <v>1040</v>
      </c>
      <c r="AE119" s="138">
        <f t="shared" si="507"/>
        <v>14386</v>
      </c>
      <c r="AF119" s="181">
        <f t="shared" si="508"/>
        <v>7.7925970328188224E-2</v>
      </c>
      <c r="AG119" s="70">
        <v>962</v>
      </c>
      <c r="AH119" s="138">
        <f t="shared" si="509"/>
        <v>15348</v>
      </c>
      <c r="AI119" s="167">
        <f t="shared" si="510"/>
        <v>6.6870568608369249E-2</v>
      </c>
      <c r="AJ119" s="164">
        <f t="shared" si="511"/>
        <v>4183</v>
      </c>
      <c r="AK119" s="165">
        <f t="shared" si="512"/>
        <v>7.121233009512995E-2</v>
      </c>
    </row>
    <row r="120" spans="2:37" outlineLevel="1" x14ac:dyDescent="0.35">
      <c r="B120" s="48" t="s">
        <v>118</v>
      </c>
      <c r="C120" s="62" t="s">
        <v>141</v>
      </c>
      <c r="D120" s="70">
        <v>462</v>
      </c>
      <c r="E120" s="68">
        <v>4154</v>
      </c>
      <c r="F120" s="68">
        <v>982</v>
      </c>
      <c r="G120" s="68">
        <v>5136</v>
      </c>
      <c r="H120" s="181">
        <f t="shared" si="494"/>
        <v>0.23639865190178141</v>
      </c>
      <c r="I120" s="70">
        <v>451</v>
      </c>
      <c r="J120" s="68">
        <v>5587</v>
      </c>
      <c r="K120" s="167">
        <f t="shared" si="495"/>
        <v>8.7811526479750782E-2</v>
      </c>
      <c r="L120" s="70">
        <v>298</v>
      </c>
      <c r="M120" s="68">
        <v>5885</v>
      </c>
      <c r="N120" s="167">
        <f t="shared" si="496"/>
        <v>5.3338106318238772E-2</v>
      </c>
      <c r="O120" s="70">
        <f t="shared" si="497"/>
        <v>204</v>
      </c>
      <c r="P120" s="68">
        <v>6089</v>
      </c>
      <c r="Q120" s="167">
        <f t="shared" si="498"/>
        <v>3.4664401019541206E-2</v>
      </c>
      <c r="R120" s="175">
        <f t="shared" si="499"/>
        <v>2397</v>
      </c>
      <c r="S120" s="165">
        <f t="shared" si="500"/>
        <v>0.10032218766251422</v>
      </c>
      <c r="U120" s="70">
        <v>201</v>
      </c>
      <c r="V120" s="138">
        <f t="shared" si="501"/>
        <v>6290</v>
      </c>
      <c r="W120" s="167">
        <f t="shared" si="502"/>
        <v>3.3010346526523238E-2</v>
      </c>
      <c r="X120" s="68">
        <v>221</v>
      </c>
      <c r="Y120" s="138">
        <f t="shared" si="503"/>
        <v>6511</v>
      </c>
      <c r="Z120" s="181">
        <f t="shared" si="504"/>
        <v>3.5135135135135137E-2</v>
      </c>
      <c r="AA120" s="70">
        <v>230</v>
      </c>
      <c r="AB120" s="138">
        <f t="shared" si="505"/>
        <v>6741</v>
      </c>
      <c r="AC120" s="167">
        <f t="shared" si="506"/>
        <v>3.5324834894793426E-2</v>
      </c>
      <c r="AD120" s="68">
        <v>202</v>
      </c>
      <c r="AE120" s="138">
        <f t="shared" si="507"/>
        <v>6943</v>
      </c>
      <c r="AF120" s="181">
        <f t="shared" si="508"/>
        <v>2.9965880433170153E-2</v>
      </c>
      <c r="AG120" s="70">
        <v>174</v>
      </c>
      <c r="AH120" s="138">
        <f t="shared" si="509"/>
        <v>7117</v>
      </c>
      <c r="AI120" s="167">
        <f t="shared" si="510"/>
        <v>2.5061212732248307E-2</v>
      </c>
      <c r="AJ120" s="164">
        <f t="shared" si="511"/>
        <v>1028</v>
      </c>
      <c r="AK120" s="165">
        <f t="shared" si="512"/>
        <v>3.1363078362810715E-2</v>
      </c>
    </row>
    <row r="121" spans="2:37" outlineLevel="1" x14ac:dyDescent="0.35">
      <c r="B121" s="48" t="s">
        <v>119</v>
      </c>
      <c r="C121" s="62" t="s">
        <v>141</v>
      </c>
      <c r="D121" s="70">
        <v>0</v>
      </c>
      <c r="E121" s="68"/>
      <c r="F121" s="68">
        <v>0</v>
      </c>
      <c r="G121" s="68"/>
      <c r="H121" s="181">
        <f t="shared" si="494"/>
        <v>0</v>
      </c>
      <c r="I121" s="70">
        <v>0</v>
      </c>
      <c r="J121" s="68">
        <v>0</v>
      </c>
      <c r="K121" s="167">
        <f t="shared" si="495"/>
        <v>0</v>
      </c>
      <c r="L121" s="70">
        <v>0</v>
      </c>
      <c r="M121" s="68"/>
      <c r="N121" s="167">
        <f t="shared" si="496"/>
        <v>0</v>
      </c>
      <c r="O121" s="70">
        <f t="shared" si="497"/>
        <v>0</v>
      </c>
      <c r="P121" s="68"/>
      <c r="Q121" s="167">
        <f t="shared" si="498"/>
        <v>0</v>
      </c>
      <c r="R121" s="175">
        <f t="shared" si="499"/>
        <v>0</v>
      </c>
      <c r="S121" s="165">
        <f t="shared" si="500"/>
        <v>0</v>
      </c>
      <c r="U121" s="70">
        <v>0</v>
      </c>
      <c r="V121" s="138">
        <f t="shared" si="501"/>
        <v>0</v>
      </c>
      <c r="W121" s="167">
        <f t="shared" si="502"/>
        <v>0</v>
      </c>
      <c r="X121" s="68">
        <v>0</v>
      </c>
      <c r="Y121" s="138">
        <f t="shared" si="503"/>
        <v>0</v>
      </c>
      <c r="Z121" s="181">
        <f t="shared" si="504"/>
        <v>0</v>
      </c>
      <c r="AA121" s="70">
        <v>0</v>
      </c>
      <c r="AB121" s="138">
        <f t="shared" si="505"/>
        <v>0</v>
      </c>
      <c r="AC121" s="167">
        <f t="shared" si="506"/>
        <v>0</v>
      </c>
      <c r="AD121" s="68">
        <v>0</v>
      </c>
      <c r="AE121" s="138">
        <f t="shared" si="507"/>
        <v>0</v>
      </c>
      <c r="AF121" s="181">
        <f t="shared" si="508"/>
        <v>0</v>
      </c>
      <c r="AG121" s="70">
        <v>0</v>
      </c>
      <c r="AH121" s="138">
        <f t="shared" si="509"/>
        <v>0</v>
      </c>
      <c r="AI121" s="167">
        <f t="shared" si="510"/>
        <v>0</v>
      </c>
      <c r="AJ121" s="164">
        <f t="shared" si="511"/>
        <v>0</v>
      </c>
      <c r="AK121" s="165">
        <f t="shared" si="512"/>
        <v>0</v>
      </c>
    </row>
    <row r="122" spans="2:37" outlineLevel="1" x14ac:dyDescent="0.35">
      <c r="B122" s="48" t="s">
        <v>120</v>
      </c>
      <c r="C122" s="62" t="s">
        <v>141</v>
      </c>
      <c r="D122" s="70">
        <v>524</v>
      </c>
      <c r="E122" s="68">
        <v>7542</v>
      </c>
      <c r="F122" s="68">
        <v>713</v>
      </c>
      <c r="G122" s="68">
        <v>8255</v>
      </c>
      <c r="H122" s="181">
        <f t="shared" si="494"/>
        <v>9.4537258021744897E-2</v>
      </c>
      <c r="I122" s="70">
        <v>638</v>
      </c>
      <c r="J122" s="68">
        <v>8893</v>
      </c>
      <c r="K122" s="167">
        <f t="shared" si="495"/>
        <v>7.7286493034524534E-2</v>
      </c>
      <c r="L122" s="70">
        <v>463</v>
      </c>
      <c r="M122" s="68">
        <v>9356</v>
      </c>
      <c r="N122" s="167">
        <f t="shared" si="496"/>
        <v>5.2063420667941077E-2</v>
      </c>
      <c r="O122" s="70">
        <f t="shared" si="497"/>
        <v>275</v>
      </c>
      <c r="P122" s="68">
        <v>9631</v>
      </c>
      <c r="Q122" s="167">
        <f t="shared" si="498"/>
        <v>2.9392902949978622E-2</v>
      </c>
      <c r="R122" s="175">
        <f t="shared" si="499"/>
        <v>2613</v>
      </c>
      <c r="S122" s="165">
        <f t="shared" si="500"/>
        <v>6.3031695492629991E-2</v>
      </c>
      <c r="U122" s="70">
        <v>496</v>
      </c>
      <c r="V122" s="138">
        <f t="shared" si="501"/>
        <v>10127</v>
      </c>
      <c r="W122" s="167">
        <f t="shared" si="502"/>
        <v>5.1500363409822447E-2</v>
      </c>
      <c r="X122" s="68">
        <v>595</v>
      </c>
      <c r="Y122" s="138">
        <f t="shared" si="503"/>
        <v>10722</v>
      </c>
      <c r="Z122" s="181">
        <f t="shared" si="504"/>
        <v>5.8753826404660807E-2</v>
      </c>
      <c r="AA122" s="70">
        <v>684</v>
      </c>
      <c r="AB122" s="138">
        <f t="shared" si="505"/>
        <v>11406</v>
      </c>
      <c r="AC122" s="167">
        <f t="shared" si="506"/>
        <v>6.3794068270844995E-2</v>
      </c>
      <c r="AD122" s="68">
        <v>627</v>
      </c>
      <c r="AE122" s="138">
        <f t="shared" si="507"/>
        <v>12033</v>
      </c>
      <c r="AF122" s="181">
        <f t="shared" si="508"/>
        <v>5.4971067859021568E-2</v>
      </c>
      <c r="AG122" s="70">
        <v>547</v>
      </c>
      <c r="AH122" s="138">
        <f t="shared" si="509"/>
        <v>12580</v>
      </c>
      <c r="AI122" s="167">
        <f t="shared" si="510"/>
        <v>4.5458322945233942E-2</v>
      </c>
      <c r="AJ122" s="164">
        <f t="shared" si="511"/>
        <v>2949</v>
      </c>
      <c r="AK122" s="165">
        <f t="shared" si="512"/>
        <v>5.5722938200059247E-2</v>
      </c>
    </row>
    <row r="123" spans="2:37" outlineLevel="1" x14ac:dyDescent="0.35">
      <c r="B123" s="48" t="s">
        <v>121</v>
      </c>
      <c r="C123" s="62" t="s">
        <v>141</v>
      </c>
      <c r="D123" s="70">
        <v>117</v>
      </c>
      <c r="E123" s="68">
        <v>836</v>
      </c>
      <c r="F123" s="68">
        <v>236</v>
      </c>
      <c r="G123" s="68">
        <v>1072</v>
      </c>
      <c r="H123" s="181">
        <f t="shared" si="494"/>
        <v>0.28229665071770332</v>
      </c>
      <c r="I123" s="70">
        <v>309</v>
      </c>
      <c r="J123" s="68">
        <v>1381</v>
      </c>
      <c r="K123" s="167">
        <f t="shared" si="495"/>
        <v>0.28824626865671643</v>
      </c>
      <c r="L123" s="70">
        <v>302</v>
      </c>
      <c r="M123" s="68">
        <v>1683</v>
      </c>
      <c r="N123" s="167">
        <f t="shared" si="496"/>
        <v>0.21868211440984794</v>
      </c>
      <c r="O123" s="70">
        <f t="shared" si="497"/>
        <v>88</v>
      </c>
      <c r="P123" s="68">
        <v>1771</v>
      </c>
      <c r="Q123" s="167">
        <f t="shared" si="498"/>
        <v>5.2287581699346407E-2</v>
      </c>
      <c r="R123" s="175">
        <f t="shared" si="499"/>
        <v>1052</v>
      </c>
      <c r="S123" s="165">
        <f t="shared" si="500"/>
        <v>0.20643261896712528</v>
      </c>
      <c r="U123" s="70">
        <v>164</v>
      </c>
      <c r="V123" s="138">
        <f t="shared" si="501"/>
        <v>1935</v>
      </c>
      <c r="W123" s="167">
        <f t="shared" si="502"/>
        <v>9.2603049124788256E-2</v>
      </c>
      <c r="X123" s="68">
        <v>220</v>
      </c>
      <c r="Y123" s="138">
        <f t="shared" si="503"/>
        <v>2155</v>
      </c>
      <c r="Z123" s="181">
        <f t="shared" si="504"/>
        <v>0.11369509043927649</v>
      </c>
      <c r="AA123" s="70">
        <v>284</v>
      </c>
      <c r="AB123" s="138">
        <f t="shared" si="505"/>
        <v>2439</v>
      </c>
      <c r="AC123" s="167">
        <f t="shared" si="506"/>
        <v>0.13178654292343386</v>
      </c>
      <c r="AD123" s="68">
        <v>284</v>
      </c>
      <c r="AE123" s="138">
        <f t="shared" si="507"/>
        <v>2723</v>
      </c>
      <c r="AF123" s="181">
        <f t="shared" si="508"/>
        <v>0.11644116441164412</v>
      </c>
      <c r="AG123" s="70">
        <v>308</v>
      </c>
      <c r="AH123" s="138">
        <f t="shared" si="509"/>
        <v>3031</v>
      </c>
      <c r="AI123" s="167">
        <f t="shared" si="510"/>
        <v>0.11311053984575835</v>
      </c>
      <c r="AJ123" s="164">
        <f t="shared" si="511"/>
        <v>1260</v>
      </c>
      <c r="AK123" s="165">
        <f t="shared" si="512"/>
        <v>0.11873246629482459</v>
      </c>
    </row>
    <row r="124" spans="2:37" outlineLevel="1" x14ac:dyDescent="0.35">
      <c r="B124" s="48" t="s">
        <v>137</v>
      </c>
      <c r="C124" s="62" t="s">
        <v>141</v>
      </c>
      <c r="D124" s="70">
        <v>0</v>
      </c>
      <c r="E124" s="68"/>
      <c r="F124" s="68">
        <v>0</v>
      </c>
      <c r="G124" s="68"/>
      <c r="H124" s="181">
        <f t="shared" si="494"/>
        <v>0</v>
      </c>
      <c r="I124" s="70">
        <v>0</v>
      </c>
      <c r="J124" s="68">
        <v>0</v>
      </c>
      <c r="K124" s="167">
        <f t="shared" si="495"/>
        <v>0</v>
      </c>
      <c r="L124" s="70">
        <v>0</v>
      </c>
      <c r="M124" s="68"/>
      <c r="N124" s="167">
        <f t="shared" si="496"/>
        <v>0</v>
      </c>
      <c r="O124" s="70">
        <f t="shared" si="497"/>
        <v>0</v>
      </c>
      <c r="P124" s="68"/>
      <c r="Q124" s="167">
        <f t="shared" si="498"/>
        <v>0</v>
      </c>
      <c r="R124" s="175">
        <f t="shared" si="499"/>
        <v>0</v>
      </c>
      <c r="S124" s="165">
        <f t="shared" si="500"/>
        <v>0</v>
      </c>
      <c r="U124" s="70">
        <v>0</v>
      </c>
      <c r="V124" s="138">
        <f t="shared" si="501"/>
        <v>0</v>
      </c>
      <c r="W124" s="167">
        <f t="shared" si="502"/>
        <v>0</v>
      </c>
      <c r="X124" s="68">
        <v>0</v>
      </c>
      <c r="Y124" s="138">
        <f t="shared" si="503"/>
        <v>0</v>
      </c>
      <c r="Z124" s="181">
        <f t="shared" si="504"/>
        <v>0</v>
      </c>
      <c r="AA124" s="70">
        <v>0</v>
      </c>
      <c r="AB124" s="138">
        <f t="shared" si="505"/>
        <v>0</v>
      </c>
      <c r="AC124" s="167">
        <f t="shared" si="506"/>
        <v>0</v>
      </c>
      <c r="AD124" s="68">
        <v>0</v>
      </c>
      <c r="AE124" s="138">
        <f t="shared" si="507"/>
        <v>0</v>
      </c>
      <c r="AF124" s="181">
        <f t="shared" si="508"/>
        <v>0</v>
      </c>
      <c r="AG124" s="70">
        <v>0</v>
      </c>
      <c r="AH124" s="138">
        <f t="shared" si="509"/>
        <v>0</v>
      </c>
      <c r="AI124" s="167">
        <f t="shared" si="510"/>
        <v>0</v>
      </c>
      <c r="AJ124" s="164">
        <f t="shared" si="511"/>
        <v>0</v>
      </c>
      <c r="AK124" s="165">
        <f t="shared" si="512"/>
        <v>0</v>
      </c>
    </row>
    <row r="125" spans="2:37" outlineLevel="1" x14ac:dyDescent="0.35">
      <c r="B125" s="48" t="s">
        <v>123</v>
      </c>
      <c r="C125" s="62" t="s">
        <v>141</v>
      </c>
      <c r="D125" s="70">
        <v>316</v>
      </c>
      <c r="E125" s="68">
        <v>5323</v>
      </c>
      <c r="F125" s="68">
        <v>432</v>
      </c>
      <c r="G125" s="68">
        <v>5755</v>
      </c>
      <c r="H125" s="181">
        <f t="shared" si="494"/>
        <v>8.1157242156678563E-2</v>
      </c>
      <c r="I125" s="70">
        <v>351</v>
      </c>
      <c r="J125" s="68">
        <v>6106</v>
      </c>
      <c r="K125" s="167">
        <f t="shared" si="495"/>
        <v>6.0990443092962643E-2</v>
      </c>
      <c r="L125" s="70">
        <v>299</v>
      </c>
      <c r="M125" s="68">
        <v>6405</v>
      </c>
      <c r="N125" s="167">
        <f t="shared" si="496"/>
        <v>4.8968227972486081E-2</v>
      </c>
      <c r="O125" s="70">
        <f t="shared" si="497"/>
        <v>68</v>
      </c>
      <c r="P125" s="68">
        <v>6473</v>
      </c>
      <c r="Q125" s="167">
        <f t="shared" si="498"/>
        <v>1.0616705698672912E-2</v>
      </c>
      <c r="R125" s="175">
        <f t="shared" si="499"/>
        <v>1466</v>
      </c>
      <c r="S125" s="165">
        <f t="shared" si="500"/>
        <v>5.0116023192153358E-2</v>
      </c>
      <c r="U125" s="70">
        <v>236</v>
      </c>
      <c r="V125" s="138">
        <f t="shared" si="501"/>
        <v>6709</v>
      </c>
      <c r="W125" s="167">
        <f t="shared" si="502"/>
        <v>3.6459137957670321E-2</v>
      </c>
      <c r="X125" s="68">
        <v>277</v>
      </c>
      <c r="Y125" s="138">
        <f t="shared" si="503"/>
        <v>6986</v>
      </c>
      <c r="Z125" s="181">
        <f t="shared" si="504"/>
        <v>4.1287822328215831E-2</v>
      </c>
      <c r="AA125" s="70">
        <v>331</v>
      </c>
      <c r="AB125" s="138">
        <f t="shared" si="505"/>
        <v>7317</v>
      </c>
      <c r="AC125" s="167">
        <f t="shared" si="506"/>
        <v>4.7380475236186659E-2</v>
      </c>
      <c r="AD125" s="68">
        <v>300</v>
      </c>
      <c r="AE125" s="138">
        <f t="shared" si="507"/>
        <v>7617</v>
      </c>
      <c r="AF125" s="181">
        <f t="shared" si="508"/>
        <v>4.1000410004100041E-2</v>
      </c>
      <c r="AG125" s="70">
        <v>260</v>
      </c>
      <c r="AH125" s="138">
        <f t="shared" si="509"/>
        <v>7877</v>
      </c>
      <c r="AI125" s="167">
        <f t="shared" si="510"/>
        <v>3.413417355914402E-2</v>
      </c>
      <c r="AJ125" s="164">
        <f t="shared" si="511"/>
        <v>1404</v>
      </c>
      <c r="AK125" s="165">
        <f t="shared" si="512"/>
        <v>4.0940158171838714E-2</v>
      </c>
    </row>
    <row r="126" spans="2:37" outlineLevel="1" x14ac:dyDescent="0.35">
      <c r="B126" s="48" t="s">
        <v>124</v>
      </c>
      <c r="C126" s="62" t="s">
        <v>141</v>
      </c>
      <c r="D126" s="70">
        <v>45</v>
      </c>
      <c r="E126" s="68">
        <v>51</v>
      </c>
      <c r="F126" s="68">
        <v>56</v>
      </c>
      <c r="G126" s="68">
        <v>107</v>
      </c>
      <c r="H126" s="181">
        <f t="shared" si="494"/>
        <v>1.0980392156862746</v>
      </c>
      <c r="I126" s="70">
        <v>26</v>
      </c>
      <c r="J126" s="68">
        <v>133</v>
      </c>
      <c r="K126" s="167">
        <f t="shared" si="495"/>
        <v>0.24299065420560748</v>
      </c>
      <c r="L126" s="70">
        <v>24</v>
      </c>
      <c r="M126" s="68">
        <v>157</v>
      </c>
      <c r="N126" s="167">
        <f t="shared" si="496"/>
        <v>0.18045112781954886</v>
      </c>
      <c r="O126" s="70">
        <f t="shared" si="497"/>
        <v>5</v>
      </c>
      <c r="P126" s="68">
        <v>162</v>
      </c>
      <c r="Q126" s="167">
        <f t="shared" si="498"/>
        <v>3.1847133757961783E-2</v>
      </c>
      <c r="R126" s="175">
        <f t="shared" si="499"/>
        <v>156</v>
      </c>
      <c r="S126" s="165">
        <f t="shared" si="500"/>
        <v>0.33501519742586217</v>
      </c>
      <c r="U126" s="70">
        <v>7</v>
      </c>
      <c r="V126" s="138">
        <f t="shared" si="501"/>
        <v>169</v>
      </c>
      <c r="W126" s="167">
        <f t="shared" si="502"/>
        <v>4.3209876543209874E-2</v>
      </c>
      <c r="X126" s="68">
        <v>7</v>
      </c>
      <c r="Y126" s="138">
        <f t="shared" si="503"/>
        <v>176</v>
      </c>
      <c r="Z126" s="181">
        <f t="shared" si="504"/>
        <v>4.142011834319527E-2</v>
      </c>
      <c r="AA126" s="70">
        <v>8</v>
      </c>
      <c r="AB126" s="138">
        <f t="shared" si="505"/>
        <v>184</v>
      </c>
      <c r="AC126" s="167">
        <f t="shared" si="506"/>
        <v>4.5454545454545456E-2</v>
      </c>
      <c r="AD126" s="68">
        <v>7</v>
      </c>
      <c r="AE126" s="138">
        <f t="shared" si="507"/>
        <v>191</v>
      </c>
      <c r="AF126" s="181">
        <f t="shared" si="508"/>
        <v>3.8043478260869568E-2</v>
      </c>
      <c r="AG126" s="70">
        <v>5</v>
      </c>
      <c r="AH126" s="138">
        <f t="shared" si="509"/>
        <v>196</v>
      </c>
      <c r="AI126" s="167">
        <f t="shared" si="510"/>
        <v>2.6178010471204188E-2</v>
      </c>
      <c r="AJ126" s="164">
        <f t="shared" si="511"/>
        <v>34</v>
      </c>
      <c r="AK126" s="165">
        <f t="shared" si="512"/>
        <v>3.7749043325541631E-2</v>
      </c>
    </row>
    <row r="127" spans="2:37" outlineLevel="1" x14ac:dyDescent="0.35">
      <c r="B127" s="48" t="s">
        <v>125</v>
      </c>
      <c r="C127" s="62" t="s">
        <v>141</v>
      </c>
      <c r="D127" s="70">
        <v>188</v>
      </c>
      <c r="E127" s="68">
        <v>1691</v>
      </c>
      <c r="F127" s="68">
        <v>156</v>
      </c>
      <c r="G127" s="68">
        <v>1847</v>
      </c>
      <c r="H127" s="181">
        <f t="shared" si="494"/>
        <v>9.2253104671791833E-2</v>
      </c>
      <c r="I127" s="70">
        <v>188</v>
      </c>
      <c r="J127" s="68">
        <v>2035</v>
      </c>
      <c r="K127" s="167">
        <f t="shared" si="495"/>
        <v>0.10178668110449378</v>
      </c>
      <c r="L127" s="70">
        <v>144</v>
      </c>
      <c r="M127" s="68">
        <v>2179</v>
      </c>
      <c r="N127" s="167">
        <f t="shared" si="496"/>
        <v>7.0761670761670767E-2</v>
      </c>
      <c r="O127" s="70">
        <f t="shared" si="497"/>
        <v>51</v>
      </c>
      <c r="P127" s="68">
        <v>2230</v>
      </c>
      <c r="Q127" s="167">
        <f t="shared" si="498"/>
        <v>2.3405231757687012E-2</v>
      </c>
      <c r="R127" s="175">
        <f t="shared" si="499"/>
        <v>727</v>
      </c>
      <c r="S127" s="165">
        <f t="shared" si="500"/>
        <v>7.1618774811409658E-2</v>
      </c>
      <c r="U127" s="70">
        <v>99</v>
      </c>
      <c r="V127" s="138">
        <f t="shared" si="501"/>
        <v>2329</v>
      </c>
      <c r="W127" s="167">
        <f t="shared" si="502"/>
        <v>4.4394618834080718E-2</v>
      </c>
      <c r="X127" s="68">
        <v>115</v>
      </c>
      <c r="Y127" s="138">
        <f t="shared" si="503"/>
        <v>2444</v>
      </c>
      <c r="Z127" s="181">
        <f t="shared" si="504"/>
        <v>4.9377415199656507E-2</v>
      </c>
      <c r="AA127" s="70">
        <v>124</v>
      </c>
      <c r="AB127" s="138">
        <f t="shared" si="505"/>
        <v>2568</v>
      </c>
      <c r="AC127" s="167">
        <f t="shared" si="506"/>
        <v>5.0736497545008183E-2</v>
      </c>
      <c r="AD127" s="68">
        <v>112</v>
      </c>
      <c r="AE127" s="138">
        <f t="shared" si="507"/>
        <v>2680</v>
      </c>
      <c r="AF127" s="181">
        <f t="shared" si="508"/>
        <v>4.3613707165109032E-2</v>
      </c>
      <c r="AG127" s="70">
        <v>89</v>
      </c>
      <c r="AH127" s="138">
        <f t="shared" si="509"/>
        <v>2769</v>
      </c>
      <c r="AI127" s="167">
        <f t="shared" si="510"/>
        <v>3.32089552238806E-2</v>
      </c>
      <c r="AJ127" s="164">
        <f t="shared" si="511"/>
        <v>539</v>
      </c>
      <c r="AK127" s="165">
        <f t="shared" si="512"/>
        <v>4.4211247480583804E-2</v>
      </c>
    </row>
    <row r="128" spans="2:37" outlineLevel="1" x14ac:dyDescent="0.35">
      <c r="B128" s="48" t="s">
        <v>126</v>
      </c>
      <c r="C128" s="62" t="s">
        <v>141</v>
      </c>
      <c r="D128" s="70">
        <v>842</v>
      </c>
      <c r="E128" s="68">
        <v>9994</v>
      </c>
      <c r="F128" s="68">
        <v>1138</v>
      </c>
      <c r="G128" s="68">
        <v>11132</v>
      </c>
      <c r="H128" s="181">
        <f t="shared" si="494"/>
        <v>0.11386832099259556</v>
      </c>
      <c r="I128" s="70">
        <v>1147</v>
      </c>
      <c r="J128" s="68">
        <v>12279</v>
      </c>
      <c r="K128" s="167">
        <f t="shared" si="495"/>
        <v>0.10303629177146964</v>
      </c>
      <c r="L128" s="70">
        <v>827</v>
      </c>
      <c r="M128" s="68">
        <v>13106</v>
      </c>
      <c r="N128" s="167">
        <f t="shared" si="496"/>
        <v>6.7350761462659822E-2</v>
      </c>
      <c r="O128" s="70">
        <f t="shared" si="497"/>
        <v>321</v>
      </c>
      <c r="P128" s="68">
        <v>13427</v>
      </c>
      <c r="Q128" s="167">
        <f t="shared" si="498"/>
        <v>2.4492598809705477E-2</v>
      </c>
      <c r="R128" s="175">
        <f t="shared" si="499"/>
        <v>4275</v>
      </c>
      <c r="S128" s="165">
        <f t="shared" si="500"/>
        <v>7.6613722320613364E-2</v>
      </c>
      <c r="U128" s="70">
        <v>553</v>
      </c>
      <c r="V128" s="138">
        <f t="shared" si="501"/>
        <v>13980</v>
      </c>
      <c r="W128" s="167">
        <f t="shared" si="502"/>
        <v>4.1185670663588289E-2</v>
      </c>
      <c r="X128" s="68">
        <v>667</v>
      </c>
      <c r="Y128" s="138">
        <f t="shared" si="503"/>
        <v>14647</v>
      </c>
      <c r="Z128" s="181">
        <f t="shared" si="504"/>
        <v>4.771101573676681E-2</v>
      </c>
      <c r="AA128" s="70">
        <v>727</v>
      </c>
      <c r="AB128" s="138">
        <f t="shared" si="505"/>
        <v>15374</v>
      </c>
      <c r="AC128" s="167">
        <f t="shared" si="506"/>
        <v>4.9634737488905581E-2</v>
      </c>
      <c r="AD128" s="68">
        <v>628</v>
      </c>
      <c r="AE128" s="138">
        <f t="shared" si="507"/>
        <v>16002</v>
      </c>
      <c r="AF128" s="181">
        <f t="shared" si="508"/>
        <v>4.0848185247820995E-2</v>
      </c>
      <c r="AG128" s="70">
        <v>539</v>
      </c>
      <c r="AH128" s="138">
        <f t="shared" si="509"/>
        <v>16541</v>
      </c>
      <c r="AI128" s="167">
        <f t="shared" si="510"/>
        <v>3.3683289588801402E-2</v>
      </c>
      <c r="AJ128" s="164">
        <f t="shared" si="511"/>
        <v>3114</v>
      </c>
      <c r="AK128" s="165">
        <f t="shared" si="512"/>
        <v>4.2950382118808417E-2</v>
      </c>
    </row>
    <row r="129" spans="2:37" outlineLevel="1" x14ac:dyDescent="0.35">
      <c r="B129" s="48" t="s">
        <v>127</v>
      </c>
      <c r="C129" s="63" t="s">
        <v>141</v>
      </c>
      <c r="D129" s="70">
        <v>0</v>
      </c>
      <c r="E129" s="68"/>
      <c r="F129" s="68">
        <v>0</v>
      </c>
      <c r="G129" s="68"/>
      <c r="H129" s="181">
        <f t="shared" si="494"/>
        <v>0</v>
      </c>
      <c r="I129" s="70">
        <v>0</v>
      </c>
      <c r="J129" s="68">
        <v>0</v>
      </c>
      <c r="K129" s="167">
        <f t="shared" si="495"/>
        <v>0</v>
      </c>
      <c r="L129" s="70">
        <v>0</v>
      </c>
      <c r="M129" s="68"/>
      <c r="N129" s="167">
        <f t="shared" si="496"/>
        <v>0</v>
      </c>
      <c r="O129" s="70">
        <f t="shared" si="497"/>
        <v>0</v>
      </c>
      <c r="P129" s="68"/>
      <c r="Q129" s="167">
        <f t="shared" si="498"/>
        <v>0</v>
      </c>
      <c r="R129" s="175">
        <f t="shared" si="499"/>
        <v>0</v>
      </c>
      <c r="S129" s="165">
        <f t="shared" si="500"/>
        <v>0</v>
      </c>
      <c r="U129" s="70">
        <v>0</v>
      </c>
      <c r="V129" s="138">
        <f t="shared" si="501"/>
        <v>0</v>
      </c>
      <c r="W129" s="167">
        <f t="shared" si="502"/>
        <v>0</v>
      </c>
      <c r="X129" s="68">
        <v>0</v>
      </c>
      <c r="Y129" s="138">
        <f t="shared" si="503"/>
        <v>0</v>
      </c>
      <c r="Z129" s="181">
        <f t="shared" si="504"/>
        <v>0</v>
      </c>
      <c r="AA129" s="70">
        <v>0</v>
      </c>
      <c r="AB129" s="138">
        <f t="shared" si="505"/>
        <v>0</v>
      </c>
      <c r="AC129" s="167">
        <f t="shared" si="506"/>
        <v>0</v>
      </c>
      <c r="AD129" s="68">
        <v>0</v>
      </c>
      <c r="AE129" s="138">
        <f t="shared" si="507"/>
        <v>0</v>
      </c>
      <c r="AF129" s="181">
        <f t="shared" si="508"/>
        <v>0</v>
      </c>
      <c r="AG129" s="70">
        <v>0</v>
      </c>
      <c r="AH129" s="138">
        <f t="shared" si="509"/>
        <v>0</v>
      </c>
      <c r="AI129" s="167">
        <f t="shared" si="510"/>
        <v>0</v>
      </c>
      <c r="AJ129" s="164">
        <f t="shared" si="511"/>
        <v>0</v>
      </c>
      <c r="AK129" s="165">
        <f t="shared" si="512"/>
        <v>0</v>
      </c>
    </row>
    <row r="130" spans="2:37" s="245" customFormat="1" ht="15" customHeight="1" outlineLevel="1" x14ac:dyDescent="0.35">
      <c r="B130" s="246" t="s">
        <v>138</v>
      </c>
      <c r="C130" s="247" t="s">
        <v>141</v>
      </c>
      <c r="D130" s="248">
        <f>SUM(D76:D129)</f>
        <v>20027</v>
      </c>
      <c r="E130" s="248">
        <f>SUM(E76:E129)</f>
        <v>363756</v>
      </c>
      <c r="F130" s="248">
        <f>SUM(F76:F129)</f>
        <v>25050</v>
      </c>
      <c r="G130" s="248">
        <f>SUM(G76:G129)</f>
        <v>388806</v>
      </c>
      <c r="H130" s="263">
        <f t="shared" si="494"/>
        <v>6.8864843466499528E-2</v>
      </c>
      <c r="I130" s="248">
        <f>SUM(I76:I129)</f>
        <v>19858</v>
      </c>
      <c r="J130" s="248">
        <f>SUM(J76:J129)</f>
        <v>408664</v>
      </c>
      <c r="K130" s="266">
        <f t="shared" si="495"/>
        <v>5.1074314696789656E-2</v>
      </c>
      <c r="L130" s="259">
        <f>SUM(L76:L129)</f>
        <v>4286</v>
      </c>
      <c r="M130" s="248">
        <f>SUM(M76:M129)</f>
        <v>412950</v>
      </c>
      <c r="N130" s="266">
        <f t="shared" si="496"/>
        <v>1.0487833525830511E-2</v>
      </c>
      <c r="O130" s="259">
        <f>SUM(O76:O129)</f>
        <v>5113</v>
      </c>
      <c r="P130" s="248">
        <f>SUM(P76:P129)</f>
        <v>418063</v>
      </c>
      <c r="Q130" s="266">
        <f t="shared" si="498"/>
        <v>1.2381644266860396E-2</v>
      </c>
      <c r="R130" s="265">
        <f t="shared" si="499"/>
        <v>74334</v>
      </c>
      <c r="S130" s="252">
        <f t="shared" si="500"/>
        <v>3.5399359018654541E-2</v>
      </c>
      <c r="U130" s="248">
        <f>SUM(U76:U129)</f>
        <v>14009</v>
      </c>
      <c r="V130" s="248">
        <f>SUM(V76:V129)</f>
        <v>432072</v>
      </c>
      <c r="W130" s="266">
        <f t="shared" si="502"/>
        <v>3.350930362170295E-2</v>
      </c>
      <c r="X130" s="259">
        <f>SUM(X76:X129)</f>
        <v>18084</v>
      </c>
      <c r="Y130" s="248">
        <f>V130+X130</f>
        <v>450156</v>
      </c>
      <c r="Z130" s="266">
        <f>IFERROR((Y130-V130)/V130,0)</f>
        <v>4.1854135421874133E-2</v>
      </c>
      <c r="AA130" s="253">
        <f>SUM(AA76:AA129)</f>
        <v>21741</v>
      </c>
      <c r="AB130" s="248">
        <f>Y130+AA130</f>
        <v>471897</v>
      </c>
      <c r="AC130" s="266">
        <f>IFERROR((AB130-Y130)/Y130,0)</f>
        <v>4.8296590515288035E-2</v>
      </c>
      <c r="AD130" s="253">
        <f>SUM(AD76:AD129)</f>
        <v>20860</v>
      </c>
      <c r="AE130" s="248">
        <f>AB130+AD130</f>
        <v>492757</v>
      </c>
      <c r="AF130" s="266">
        <f>IFERROR((AE130-AB130)/AB130,0)</f>
        <v>4.4204561588651763E-2</v>
      </c>
      <c r="AG130" s="253">
        <f>SUM(AG76:AG129)</f>
        <v>18551</v>
      </c>
      <c r="AH130" s="248">
        <f>AE130+AG130</f>
        <v>511308</v>
      </c>
      <c r="AI130" s="266">
        <f>IFERROR((AH130-AE130)/AE130,0)</f>
        <v>3.7647359651917678E-2</v>
      </c>
      <c r="AJ130" s="253">
        <f>SUM(AJ76:AJ129)</f>
        <v>93245</v>
      </c>
      <c r="AK130" s="252">
        <f t="shared" si="512"/>
        <v>4.2993534269337275E-2</v>
      </c>
    </row>
    <row r="131" spans="2:37" ht="15" customHeight="1" x14ac:dyDescent="0.35">
      <c r="B131" s="17" t="s">
        <v>213</v>
      </c>
    </row>
    <row r="132" spans="2:37" ht="15.5" x14ac:dyDescent="0.35">
      <c r="B132" s="419" t="s">
        <v>139</v>
      </c>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c r="AJ132" s="419"/>
      <c r="AK132" s="419"/>
    </row>
    <row r="133" spans="2:37" ht="5.9" customHeight="1" outlineLevel="1" x14ac:dyDescent="0.35">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row>
    <row r="134" spans="2:37" outlineLevel="1" x14ac:dyDescent="0.35">
      <c r="B134" s="462"/>
      <c r="C134" s="465" t="s">
        <v>134</v>
      </c>
      <c r="D134" s="435" t="s">
        <v>169</v>
      </c>
      <c r="E134" s="436"/>
      <c r="F134" s="436"/>
      <c r="G134" s="436"/>
      <c r="H134" s="436"/>
      <c r="I134" s="436"/>
      <c r="J134" s="436"/>
      <c r="K134" s="436"/>
      <c r="L134" s="436"/>
      <c r="M134" s="436"/>
      <c r="N134" s="436"/>
      <c r="O134" s="435" t="s">
        <v>210</v>
      </c>
      <c r="P134" s="436"/>
      <c r="Q134" s="437"/>
      <c r="R134" s="431" t="str">
        <f xml:space="preserve"> D135&amp;" - "&amp;O135</f>
        <v>2019 - 2023</v>
      </c>
      <c r="S134" s="456"/>
      <c r="U134" s="435" t="s">
        <v>211</v>
      </c>
      <c r="V134" s="436"/>
      <c r="W134" s="436"/>
      <c r="X134" s="436"/>
      <c r="Y134" s="436"/>
      <c r="Z134" s="436"/>
      <c r="AA134" s="436"/>
      <c r="AB134" s="436"/>
      <c r="AC134" s="436"/>
      <c r="AD134" s="436"/>
      <c r="AE134" s="436"/>
      <c r="AF134" s="436"/>
      <c r="AG134" s="436"/>
      <c r="AH134" s="436"/>
      <c r="AI134" s="436"/>
      <c r="AJ134" s="436"/>
      <c r="AK134" s="437"/>
    </row>
    <row r="135" spans="2:37" outlineLevel="1" x14ac:dyDescent="0.35">
      <c r="B135" s="463"/>
      <c r="C135" s="465"/>
      <c r="D135" s="435">
        <f>$C$3-5</f>
        <v>2019</v>
      </c>
      <c r="E135" s="437"/>
      <c r="F135" s="436">
        <f>$C$3-4</f>
        <v>2020</v>
      </c>
      <c r="G135" s="436"/>
      <c r="H135" s="436"/>
      <c r="I135" s="435">
        <f>$C$3-3</f>
        <v>2021</v>
      </c>
      <c r="J135" s="436"/>
      <c r="K135" s="437"/>
      <c r="L135" s="435">
        <f>$C$3-2</f>
        <v>2022</v>
      </c>
      <c r="M135" s="436"/>
      <c r="N135" s="437"/>
      <c r="O135" s="435">
        <f>$C$3-1</f>
        <v>2023</v>
      </c>
      <c r="P135" s="436"/>
      <c r="Q135" s="437"/>
      <c r="R135" s="433"/>
      <c r="S135" s="457"/>
      <c r="U135" s="435">
        <f>$C$3</f>
        <v>2024</v>
      </c>
      <c r="V135" s="436"/>
      <c r="W135" s="437"/>
      <c r="X135" s="436">
        <f>$C$3+1</f>
        <v>2025</v>
      </c>
      <c r="Y135" s="436"/>
      <c r="Z135" s="436"/>
      <c r="AA135" s="435">
        <f>$C$3+2</f>
        <v>2026</v>
      </c>
      <c r="AB135" s="436"/>
      <c r="AC135" s="437"/>
      <c r="AD135" s="436">
        <f>$C$3+3</f>
        <v>2027</v>
      </c>
      <c r="AE135" s="436"/>
      <c r="AF135" s="436"/>
      <c r="AG135" s="435">
        <f>$C$3+4</f>
        <v>2028</v>
      </c>
      <c r="AH135" s="436"/>
      <c r="AI135" s="437"/>
      <c r="AJ135" s="439" t="str">
        <f>U135&amp;" - "&amp;AG135</f>
        <v>2024 - 2028</v>
      </c>
      <c r="AK135" s="458"/>
    </row>
    <row r="136" spans="2:37" ht="29" outlineLevel="1" x14ac:dyDescent="0.35">
      <c r="B136" s="464"/>
      <c r="C136" s="465"/>
      <c r="D136" s="66" t="s">
        <v>192</v>
      </c>
      <c r="E136" s="67" t="s">
        <v>193</v>
      </c>
      <c r="F136" s="313" t="s">
        <v>192</v>
      </c>
      <c r="G136" s="9" t="s">
        <v>193</v>
      </c>
      <c r="H136" s="67" t="s">
        <v>173</v>
      </c>
      <c r="I136" s="313" t="s">
        <v>192</v>
      </c>
      <c r="J136" s="9" t="s">
        <v>193</v>
      </c>
      <c r="K136" s="67" t="s">
        <v>173</v>
      </c>
      <c r="L136" s="313" t="s">
        <v>192</v>
      </c>
      <c r="M136" s="9" t="s">
        <v>193</v>
      </c>
      <c r="N136" s="67" t="s">
        <v>173</v>
      </c>
      <c r="O136" s="313" t="s">
        <v>192</v>
      </c>
      <c r="P136" s="9" t="s">
        <v>193</v>
      </c>
      <c r="Q136" s="67" t="s">
        <v>173</v>
      </c>
      <c r="R136" s="66" t="s">
        <v>164</v>
      </c>
      <c r="S136" s="134" t="s">
        <v>174</v>
      </c>
      <c r="U136" s="66" t="s">
        <v>192</v>
      </c>
      <c r="V136" s="9" t="s">
        <v>193</v>
      </c>
      <c r="W136" s="67" t="s">
        <v>173</v>
      </c>
      <c r="X136" s="313" t="s">
        <v>192</v>
      </c>
      <c r="Y136" s="9" t="s">
        <v>193</v>
      </c>
      <c r="Z136" s="67" t="s">
        <v>173</v>
      </c>
      <c r="AA136" s="313" t="s">
        <v>192</v>
      </c>
      <c r="AB136" s="9" t="s">
        <v>193</v>
      </c>
      <c r="AC136" s="67" t="s">
        <v>173</v>
      </c>
      <c r="AD136" s="313" t="s">
        <v>192</v>
      </c>
      <c r="AE136" s="9" t="s">
        <v>193</v>
      </c>
      <c r="AF136" s="67" t="s">
        <v>173</v>
      </c>
      <c r="AG136" s="313" t="s">
        <v>192</v>
      </c>
      <c r="AH136" s="9" t="s">
        <v>193</v>
      </c>
      <c r="AI136" s="67" t="s">
        <v>173</v>
      </c>
      <c r="AJ136" s="313" t="s">
        <v>164</v>
      </c>
      <c r="AK136" s="134" t="s">
        <v>174</v>
      </c>
    </row>
    <row r="137" spans="2:37" outlineLevel="1" x14ac:dyDescent="0.35">
      <c r="B137" s="48" t="s">
        <v>74</v>
      </c>
      <c r="C137" s="62" t="s">
        <v>141</v>
      </c>
      <c r="D137" s="70">
        <v>0</v>
      </c>
      <c r="E137" s="71">
        <v>24</v>
      </c>
      <c r="F137" s="68">
        <v>0</v>
      </c>
      <c r="G137" s="68">
        <v>24</v>
      </c>
      <c r="H137" s="167">
        <f>IFERROR((G137-E137)/E137,0)</f>
        <v>0</v>
      </c>
      <c r="I137" s="81">
        <v>-2</v>
      </c>
      <c r="J137" s="4">
        <v>22</v>
      </c>
      <c r="K137" s="167">
        <f>IFERROR((J137-G137)/G137,0)</f>
        <v>-8.3333333333333329E-2</v>
      </c>
      <c r="L137" s="81">
        <v>0</v>
      </c>
      <c r="M137" s="4">
        <v>22</v>
      </c>
      <c r="N137" s="167">
        <f>IFERROR((M137-J137)/J137,0)</f>
        <v>0</v>
      </c>
      <c r="O137" s="81">
        <v>0</v>
      </c>
      <c r="P137" s="4">
        <v>22</v>
      </c>
      <c r="Q137" s="167">
        <f>IFERROR((P137-M137)/M137,0)</f>
        <v>0</v>
      </c>
      <c r="R137" s="175">
        <f>D137+F137+I137+L137+O137</f>
        <v>-2</v>
      </c>
      <c r="S137" s="165">
        <f>IFERROR((P137/E137)^(1/4)-1,0)</f>
        <v>-2.1517957366443019E-2</v>
      </c>
      <c r="U137" s="70">
        <v>0</v>
      </c>
      <c r="V137" s="138">
        <f t="shared" ref="V137:V190" si="513">P137+U137</f>
        <v>22</v>
      </c>
      <c r="W137" s="167">
        <f t="shared" ref="W137:W190" si="514">IFERROR((V137-P137)/P137,0)</f>
        <v>0</v>
      </c>
      <c r="X137" s="70">
        <v>0</v>
      </c>
      <c r="Y137" s="138">
        <f>V137+X137</f>
        <v>22</v>
      </c>
      <c r="Z137" s="167">
        <f>IFERROR((Y137-V137)/V137,0)</f>
        <v>0</v>
      </c>
      <c r="AA137" s="70">
        <v>1</v>
      </c>
      <c r="AB137" s="138">
        <f>Y137+AA137</f>
        <v>23</v>
      </c>
      <c r="AC137" s="167">
        <f>IFERROR((AB137-Y137)/Y137,0)</f>
        <v>4.5454545454545456E-2</v>
      </c>
      <c r="AD137" s="70">
        <v>1</v>
      </c>
      <c r="AE137" s="138">
        <f>AB137+AD137</f>
        <v>24</v>
      </c>
      <c r="AF137" s="167">
        <f>IFERROR((AE137-AB137)/AB137,0)</f>
        <v>4.3478260869565216E-2</v>
      </c>
      <c r="AG137" s="70">
        <v>0</v>
      </c>
      <c r="AH137" s="138">
        <f>AE137+AG137</f>
        <v>24</v>
      </c>
      <c r="AI137" s="167">
        <f>IFERROR((AH137-AE137)/AE137,0)</f>
        <v>0</v>
      </c>
      <c r="AJ137" s="164">
        <f>U137+X137+AA137+AD137+AG137</f>
        <v>2</v>
      </c>
      <c r="AK137" s="165">
        <f>IFERROR((AH137/V137)^(1/4)-1,0)</f>
        <v>2.1991162258356844E-2</v>
      </c>
    </row>
    <row r="138" spans="2:37" outlineLevel="1" x14ac:dyDescent="0.35">
      <c r="B138" s="48" t="s">
        <v>75</v>
      </c>
      <c r="C138" s="62" t="s">
        <v>141</v>
      </c>
      <c r="D138" s="70">
        <v>1</v>
      </c>
      <c r="E138" s="71">
        <v>79</v>
      </c>
      <c r="F138" s="68">
        <v>1</v>
      </c>
      <c r="G138" s="68">
        <v>80</v>
      </c>
      <c r="H138" s="167">
        <f t="shared" ref="H138:H191" si="515">IFERROR((G138-E138)/E138,0)</f>
        <v>1.2658227848101266E-2</v>
      </c>
      <c r="I138" s="81">
        <v>0</v>
      </c>
      <c r="J138" s="4">
        <v>80</v>
      </c>
      <c r="K138" s="167">
        <f t="shared" ref="K138:K190" si="516">IFERROR((J138-G138)/G138,0)</f>
        <v>0</v>
      </c>
      <c r="L138" s="81">
        <v>1</v>
      </c>
      <c r="M138" s="4">
        <v>81</v>
      </c>
      <c r="N138" s="167">
        <f t="shared" ref="N138:N191" si="517">IFERROR((M138-J138)/J138,0)</f>
        <v>1.2500000000000001E-2</v>
      </c>
      <c r="O138" s="81">
        <v>2</v>
      </c>
      <c r="P138" s="4">
        <v>83</v>
      </c>
      <c r="Q138" s="167">
        <f t="shared" ref="Q138:Q191" si="518">IFERROR((P138-M138)/M138,0)</f>
        <v>2.4691358024691357E-2</v>
      </c>
      <c r="R138" s="175">
        <f t="shared" ref="R138:R191" si="519">D138+F138+I138+L138+O138</f>
        <v>5</v>
      </c>
      <c r="S138" s="165">
        <f t="shared" ref="S138:S191" si="520">IFERROR((P138/E138)^(1/4)-1,0)</f>
        <v>1.242474249128378E-2</v>
      </c>
      <c r="U138" s="70">
        <v>1</v>
      </c>
      <c r="V138" s="138">
        <f t="shared" si="513"/>
        <v>84</v>
      </c>
      <c r="W138" s="167">
        <f t="shared" si="514"/>
        <v>1.2048192771084338E-2</v>
      </c>
      <c r="X138" s="70">
        <v>2</v>
      </c>
      <c r="Y138" s="138">
        <f t="shared" ref="Y138:Y190" si="521">V138+X138</f>
        <v>86</v>
      </c>
      <c r="Z138" s="167">
        <f t="shared" ref="Z138:Z191" si="522">IFERROR((Y138-V138)/V138,0)</f>
        <v>2.3809523809523808E-2</v>
      </c>
      <c r="AA138" s="70">
        <v>2</v>
      </c>
      <c r="AB138" s="138">
        <f t="shared" ref="AB138:AB190" si="523">Y138+AA138</f>
        <v>88</v>
      </c>
      <c r="AC138" s="167">
        <f t="shared" ref="AC138:AC191" si="524">IFERROR((AB138-Y138)/Y138,0)</f>
        <v>2.3255813953488372E-2</v>
      </c>
      <c r="AD138" s="70">
        <v>2</v>
      </c>
      <c r="AE138" s="138">
        <f t="shared" ref="AE138:AE190" si="525">AB138+AD138</f>
        <v>90</v>
      </c>
      <c r="AF138" s="167">
        <f t="shared" ref="AF138:AF191" si="526">IFERROR((AE138-AB138)/AB138,0)</f>
        <v>2.2727272727272728E-2</v>
      </c>
      <c r="AG138" s="70">
        <v>2</v>
      </c>
      <c r="AH138" s="138">
        <f t="shared" ref="AH138:AH191" si="527">AE138+AG138</f>
        <v>92</v>
      </c>
      <c r="AI138" s="167">
        <f t="shared" ref="AI138:AI191" si="528">IFERROR((AH138-AE138)/AE138,0)</f>
        <v>2.2222222222222223E-2</v>
      </c>
      <c r="AJ138" s="164">
        <f t="shared" ref="AJ138:AJ190" si="529">U138+X138+AA138+AD138+AG138</f>
        <v>9</v>
      </c>
      <c r="AK138" s="165">
        <f t="shared" ref="AK138:AK191" si="530">IFERROR((AH138/V138)^(1/4)-1,0)</f>
        <v>2.3003537112441963E-2</v>
      </c>
    </row>
    <row r="139" spans="2:37" outlineLevel="1" x14ac:dyDescent="0.35">
      <c r="B139" s="48" t="s">
        <v>76</v>
      </c>
      <c r="C139" s="62" t="s">
        <v>141</v>
      </c>
      <c r="D139" s="70">
        <v>0</v>
      </c>
      <c r="E139" s="71">
        <v>55</v>
      </c>
      <c r="F139" s="68">
        <v>0</v>
      </c>
      <c r="G139" s="68">
        <v>55</v>
      </c>
      <c r="H139" s="167">
        <f t="shared" si="515"/>
        <v>0</v>
      </c>
      <c r="I139" s="81">
        <v>2</v>
      </c>
      <c r="J139" s="4">
        <v>57</v>
      </c>
      <c r="K139" s="167">
        <f t="shared" si="516"/>
        <v>3.6363636363636362E-2</v>
      </c>
      <c r="L139" s="81">
        <v>-1</v>
      </c>
      <c r="M139" s="4">
        <v>56</v>
      </c>
      <c r="N139" s="167">
        <f t="shared" si="517"/>
        <v>-1.7543859649122806E-2</v>
      </c>
      <c r="O139" s="81">
        <v>1</v>
      </c>
      <c r="P139" s="4">
        <v>57</v>
      </c>
      <c r="Q139" s="167">
        <f t="shared" si="518"/>
        <v>1.7857142857142856E-2</v>
      </c>
      <c r="R139" s="175">
        <f t="shared" si="519"/>
        <v>2</v>
      </c>
      <c r="S139" s="165">
        <f t="shared" si="520"/>
        <v>8.9695077533105128E-3</v>
      </c>
      <c r="U139" s="70">
        <v>2</v>
      </c>
      <c r="V139" s="138">
        <f t="shared" si="513"/>
        <v>59</v>
      </c>
      <c r="W139" s="167">
        <f t="shared" si="514"/>
        <v>3.5087719298245612E-2</v>
      </c>
      <c r="X139" s="70">
        <v>3</v>
      </c>
      <c r="Y139" s="138">
        <f t="shared" si="521"/>
        <v>62</v>
      </c>
      <c r="Z139" s="167">
        <f t="shared" si="522"/>
        <v>5.0847457627118647E-2</v>
      </c>
      <c r="AA139" s="70">
        <v>3</v>
      </c>
      <c r="AB139" s="138">
        <f t="shared" si="523"/>
        <v>65</v>
      </c>
      <c r="AC139" s="167">
        <f t="shared" si="524"/>
        <v>4.8387096774193547E-2</v>
      </c>
      <c r="AD139" s="70">
        <v>3</v>
      </c>
      <c r="AE139" s="138">
        <f t="shared" si="525"/>
        <v>68</v>
      </c>
      <c r="AF139" s="167">
        <f t="shared" si="526"/>
        <v>4.6153846153846156E-2</v>
      </c>
      <c r="AG139" s="70">
        <v>3</v>
      </c>
      <c r="AH139" s="138">
        <f t="shared" si="527"/>
        <v>71</v>
      </c>
      <c r="AI139" s="167">
        <f t="shared" si="528"/>
        <v>4.4117647058823532E-2</v>
      </c>
      <c r="AJ139" s="164">
        <f t="shared" si="529"/>
        <v>14</v>
      </c>
      <c r="AK139" s="165">
        <f t="shared" si="530"/>
        <v>4.7373506792656173E-2</v>
      </c>
    </row>
    <row r="140" spans="2:37" outlineLevel="1" x14ac:dyDescent="0.35">
      <c r="B140" s="48" t="s">
        <v>77</v>
      </c>
      <c r="C140" s="62" t="s">
        <v>141</v>
      </c>
      <c r="D140" s="70">
        <v>0</v>
      </c>
      <c r="E140" s="71">
        <v>12</v>
      </c>
      <c r="F140" s="68">
        <v>0</v>
      </c>
      <c r="G140" s="68">
        <v>12</v>
      </c>
      <c r="H140" s="167">
        <f t="shared" si="515"/>
        <v>0</v>
      </c>
      <c r="I140" s="81">
        <v>2</v>
      </c>
      <c r="J140" s="4">
        <v>14</v>
      </c>
      <c r="K140" s="167">
        <f t="shared" si="516"/>
        <v>0.16666666666666666</v>
      </c>
      <c r="L140" s="81">
        <v>0</v>
      </c>
      <c r="M140" s="4">
        <v>14</v>
      </c>
      <c r="N140" s="167">
        <f t="shared" si="517"/>
        <v>0</v>
      </c>
      <c r="O140" s="81">
        <v>0</v>
      </c>
      <c r="P140" s="4">
        <v>14</v>
      </c>
      <c r="Q140" s="167">
        <f t="shared" si="518"/>
        <v>0</v>
      </c>
      <c r="R140" s="175">
        <f t="shared" si="519"/>
        <v>2</v>
      </c>
      <c r="S140" s="165">
        <f t="shared" si="520"/>
        <v>3.9289877625411807E-2</v>
      </c>
      <c r="U140" s="70">
        <v>0</v>
      </c>
      <c r="V140" s="138">
        <f t="shared" si="513"/>
        <v>14</v>
      </c>
      <c r="W140" s="167">
        <f t="shared" si="514"/>
        <v>0</v>
      </c>
      <c r="X140" s="70">
        <v>0</v>
      </c>
      <c r="Y140" s="138">
        <f t="shared" si="521"/>
        <v>14</v>
      </c>
      <c r="Z140" s="167">
        <f t="shared" si="522"/>
        <v>0</v>
      </c>
      <c r="AA140" s="70">
        <v>0</v>
      </c>
      <c r="AB140" s="138">
        <f t="shared" si="523"/>
        <v>14</v>
      </c>
      <c r="AC140" s="167">
        <f t="shared" si="524"/>
        <v>0</v>
      </c>
      <c r="AD140" s="70">
        <v>0</v>
      </c>
      <c r="AE140" s="138">
        <f t="shared" si="525"/>
        <v>14</v>
      </c>
      <c r="AF140" s="167">
        <f t="shared" si="526"/>
        <v>0</v>
      </c>
      <c r="AG140" s="70">
        <v>0</v>
      </c>
      <c r="AH140" s="138">
        <f t="shared" si="527"/>
        <v>14</v>
      </c>
      <c r="AI140" s="167">
        <f t="shared" si="528"/>
        <v>0</v>
      </c>
      <c r="AJ140" s="164">
        <f t="shared" si="529"/>
        <v>0</v>
      </c>
      <c r="AK140" s="165">
        <f t="shared" si="530"/>
        <v>0</v>
      </c>
    </row>
    <row r="141" spans="2:37" outlineLevel="1" x14ac:dyDescent="0.35">
      <c r="B141" s="48" t="s">
        <v>78</v>
      </c>
      <c r="C141" s="62" t="s">
        <v>141</v>
      </c>
      <c r="D141" s="70">
        <v>-5</v>
      </c>
      <c r="E141" s="71">
        <v>1596</v>
      </c>
      <c r="F141" s="68">
        <v>-2</v>
      </c>
      <c r="G141" s="68">
        <v>1594</v>
      </c>
      <c r="H141" s="167">
        <f t="shared" si="515"/>
        <v>-1.2531328320802004E-3</v>
      </c>
      <c r="I141" s="81">
        <v>-14</v>
      </c>
      <c r="J141" s="4">
        <v>1580</v>
      </c>
      <c r="K141" s="167">
        <f t="shared" si="516"/>
        <v>-8.7829360100376407E-3</v>
      </c>
      <c r="L141" s="81">
        <v>-10</v>
      </c>
      <c r="M141" s="4">
        <v>1570</v>
      </c>
      <c r="N141" s="167">
        <f t="shared" si="517"/>
        <v>-6.3291139240506328E-3</v>
      </c>
      <c r="O141" s="81">
        <v>-31</v>
      </c>
      <c r="P141" s="4">
        <v>1539</v>
      </c>
      <c r="Q141" s="167">
        <f t="shared" si="518"/>
        <v>-1.9745222929936305E-2</v>
      </c>
      <c r="R141" s="175">
        <f t="shared" si="519"/>
        <v>-62</v>
      </c>
      <c r="S141" s="165">
        <f t="shared" si="520"/>
        <v>-9.0507045958578836E-3</v>
      </c>
      <c r="U141" s="70">
        <v>12</v>
      </c>
      <c r="V141" s="138">
        <f t="shared" si="513"/>
        <v>1551</v>
      </c>
      <c r="W141" s="167">
        <f t="shared" si="514"/>
        <v>7.7972709551656916E-3</v>
      </c>
      <c r="X141" s="70">
        <v>15</v>
      </c>
      <c r="Y141" s="138">
        <f t="shared" si="521"/>
        <v>1566</v>
      </c>
      <c r="Z141" s="167">
        <f t="shared" si="522"/>
        <v>9.6711798839458421E-3</v>
      </c>
      <c r="AA141" s="70">
        <v>15</v>
      </c>
      <c r="AB141" s="138">
        <f t="shared" si="523"/>
        <v>1581</v>
      </c>
      <c r="AC141" s="167">
        <f t="shared" si="524"/>
        <v>9.5785440613026813E-3</v>
      </c>
      <c r="AD141" s="70">
        <v>15</v>
      </c>
      <c r="AE141" s="138">
        <f t="shared" si="525"/>
        <v>1596</v>
      </c>
      <c r="AF141" s="167">
        <f t="shared" si="526"/>
        <v>9.4876660341555973E-3</v>
      </c>
      <c r="AG141" s="70">
        <v>14</v>
      </c>
      <c r="AH141" s="138">
        <f t="shared" si="527"/>
        <v>1610</v>
      </c>
      <c r="AI141" s="167">
        <f t="shared" si="528"/>
        <v>8.771929824561403E-3</v>
      </c>
      <c r="AJ141" s="164">
        <f t="shared" si="529"/>
        <v>71</v>
      </c>
      <c r="AK141" s="165">
        <f t="shared" si="530"/>
        <v>9.3772673329510781E-3</v>
      </c>
    </row>
    <row r="142" spans="2:37" outlineLevel="1" x14ac:dyDescent="0.35">
      <c r="B142" s="48" t="s">
        <v>79</v>
      </c>
      <c r="C142" s="62" t="s">
        <v>141</v>
      </c>
      <c r="D142" s="70">
        <v>3</v>
      </c>
      <c r="E142" s="71">
        <v>62</v>
      </c>
      <c r="F142" s="68">
        <v>1</v>
      </c>
      <c r="G142" s="68">
        <v>63</v>
      </c>
      <c r="H142" s="167">
        <f t="shared" si="515"/>
        <v>1.6129032258064516E-2</v>
      </c>
      <c r="I142" s="81">
        <v>2</v>
      </c>
      <c r="J142" s="4">
        <v>65</v>
      </c>
      <c r="K142" s="167">
        <f t="shared" si="516"/>
        <v>3.1746031746031744E-2</v>
      </c>
      <c r="L142" s="81">
        <v>-2</v>
      </c>
      <c r="M142" s="4">
        <v>63</v>
      </c>
      <c r="N142" s="167">
        <f t="shared" si="517"/>
        <v>-3.0769230769230771E-2</v>
      </c>
      <c r="O142" s="81">
        <v>-1</v>
      </c>
      <c r="P142" s="4">
        <v>62</v>
      </c>
      <c r="Q142" s="167">
        <f t="shared" si="518"/>
        <v>-1.5873015873015872E-2</v>
      </c>
      <c r="R142" s="175">
        <f t="shared" si="519"/>
        <v>3</v>
      </c>
      <c r="S142" s="165">
        <f t="shared" si="520"/>
        <v>0</v>
      </c>
      <c r="U142" s="70">
        <v>1</v>
      </c>
      <c r="V142" s="138">
        <f t="shared" si="513"/>
        <v>63</v>
      </c>
      <c r="W142" s="167">
        <f t="shared" si="514"/>
        <v>1.6129032258064516E-2</v>
      </c>
      <c r="X142" s="70">
        <v>1</v>
      </c>
      <c r="Y142" s="138">
        <f t="shared" si="521"/>
        <v>64</v>
      </c>
      <c r="Z142" s="167">
        <f t="shared" si="522"/>
        <v>1.5873015873015872E-2</v>
      </c>
      <c r="AA142" s="70">
        <v>1</v>
      </c>
      <c r="AB142" s="138">
        <f t="shared" si="523"/>
        <v>65</v>
      </c>
      <c r="AC142" s="167">
        <f t="shared" si="524"/>
        <v>1.5625E-2</v>
      </c>
      <c r="AD142" s="70">
        <v>1</v>
      </c>
      <c r="AE142" s="138">
        <f t="shared" si="525"/>
        <v>66</v>
      </c>
      <c r="AF142" s="167">
        <f t="shared" si="526"/>
        <v>1.5384615384615385E-2</v>
      </c>
      <c r="AG142" s="70">
        <v>1</v>
      </c>
      <c r="AH142" s="138">
        <f t="shared" si="527"/>
        <v>67</v>
      </c>
      <c r="AI142" s="167">
        <f t="shared" si="528"/>
        <v>1.5151515151515152E-2</v>
      </c>
      <c r="AJ142" s="164">
        <f t="shared" si="529"/>
        <v>5</v>
      </c>
      <c r="AK142" s="165">
        <f t="shared" si="530"/>
        <v>1.550850100091683E-2</v>
      </c>
    </row>
    <row r="143" spans="2:37" outlineLevel="1" x14ac:dyDescent="0.35">
      <c r="B143" s="48" t="s">
        <v>80</v>
      </c>
      <c r="C143" s="62" t="s">
        <v>141</v>
      </c>
      <c r="D143" s="70">
        <v>1</v>
      </c>
      <c r="E143" s="71">
        <v>54</v>
      </c>
      <c r="F143" s="68">
        <v>0</v>
      </c>
      <c r="G143" s="68">
        <v>54</v>
      </c>
      <c r="H143" s="167">
        <f t="shared" si="515"/>
        <v>0</v>
      </c>
      <c r="I143" s="81">
        <v>0</v>
      </c>
      <c r="J143" s="4">
        <v>54</v>
      </c>
      <c r="K143" s="167">
        <f t="shared" si="516"/>
        <v>0</v>
      </c>
      <c r="L143" s="81">
        <v>3</v>
      </c>
      <c r="M143" s="4">
        <v>57</v>
      </c>
      <c r="N143" s="167">
        <f t="shared" si="517"/>
        <v>5.5555555555555552E-2</v>
      </c>
      <c r="O143" s="81">
        <v>7</v>
      </c>
      <c r="P143" s="4">
        <v>64</v>
      </c>
      <c r="Q143" s="167">
        <f t="shared" si="518"/>
        <v>0.12280701754385964</v>
      </c>
      <c r="R143" s="175">
        <f t="shared" si="519"/>
        <v>11</v>
      </c>
      <c r="S143" s="165">
        <f t="shared" si="520"/>
        <v>4.3389720048858216E-2</v>
      </c>
      <c r="U143" s="70">
        <v>6</v>
      </c>
      <c r="V143" s="138">
        <f t="shared" si="513"/>
        <v>70</v>
      </c>
      <c r="W143" s="167">
        <f t="shared" si="514"/>
        <v>9.375E-2</v>
      </c>
      <c r="X143" s="70">
        <v>7</v>
      </c>
      <c r="Y143" s="138">
        <f t="shared" si="521"/>
        <v>77</v>
      </c>
      <c r="Z143" s="167">
        <f t="shared" si="522"/>
        <v>0.1</v>
      </c>
      <c r="AA143" s="70">
        <v>6</v>
      </c>
      <c r="AB143" s="138">
        <f t="shared" si="523"/>
        <v>83</v>
      </c>
      <c r="AC143" s="167">
        <f t="shared" si="524"/>
        <v>7.792207792207792E-2</v>
      </c>
      <c r="AD143" s="70">
        <v>5</v>
      </c>
      <c r="AE143" s="138">
        <f t="shared" si="525"/>
        <v>88</v>
      </c>
      <c r="AF143" s="167">
        <f t="shared" si="526"/>
        <v>6.0240963855421686E-2</v>
      </c>
      <c r="AG143" s="70">
        <v>4</v>
      </c>
      <c r="AH143" s="138">
        <f t="shared" si="527"/>
        <v>92</v>
      </c>
      <c r="AI143" s="167">
        <f t="shared" si="528"/>
        <v>4.5454545454545456E-2</v>
      </c>
      <c r="AJ143" s="164">
        <f t="shared" si="529"/>
        <v>28</v>
      </c>
      <c r="AK143" s="165">
        <f t="shared" si="530"/>
        <v>7.0711449664297543E-2</v>
      </c>
    </row>
    <row r="144" spans="2:37" outlineLevel="1" x14ac:dyDescent="0.35">
      <c r="B144" s="48" t="s">
        <v>81</v>
      </c>
      <c r="C144" s="62" t="s">
        <v>141</v>
      </c>
      <c r="D144" s="70">
        <v>-1</v>
      </c>
      <c r="E144" s="71">
        <v>293</v>
      </c>
      <c r="F144" s="68">
        <v>-1</v>
      </c>
      <c r="G144" s="68">
        <v>292</v>
      </c>
      <c r="H144" s="167">
        <f t="shared" si="515"/>
        <v>-3.4129692832764505E-3</v>
      </c>
      <c r="I144" s="81">
        <v>4</v>
      </c>
      <c r="J144" s="4">
        <v>296</v>
      </c>
      <c r="K144" s="167">
        <f t="shared" si="516"/>
        <v>1.3698630136986301E-2</v>
      </c>
      <c r="L144" s="81">
        <v>-1</v>
      </c>
      <c r="M144" s="4">
        <v>295</v>
      </c>
      <c r="N144" s="167">
        <f t="shared" si="517"/>
        <v>-3.3783783783783786E-3</v>
      </c>
      <c r="O144" s="81">
        <v>-1</v>
      </c>
      <c r="P144" s="4">
        <v>294</v>
      </c>
      <c r="Q144" s="167">
        <f t="shared" si="518"/>
        <v>-3.3898305084745762E-3</v>
      </c>
      <c r="R144" s="175">
        <f t="shared" si="519"/>
        <v>0</v>
      </c>
      <c r="S144" s="165">
        <f t="shared" si="520"/>
        <v>8.5215245617220603E-4</v>
      </c>
      <c r="U144" s="70">
        <v>2</v>
      </c>
      <c r="V144" s="138">
        <f t="shared" si="513"/>
        <v>296</v>
      </c>
      <c r="W144" s="167">
        <f t="shared" si="514"/>
        <v>6.8027210884353739E-3</v>
      </c>
      <c r="X144" s="70">
        <v>2</v>
      </c>
      <c r="Y144" s="138">
        <f t="shared" si="521"/>
        <v>298</v>
      </c>
      <c r="Z144" s="167">
        <f t="shared" si="522"/>
        <v>6.7567567567567571E-3</v>
      </c>
      <c r="AA144" s="70">
        <v>2</v>
      </c>
      <c r="AB144" s="138">
        <f t="shared" si="523"/>
        <v>300</v>
      </c>
      <c r="AC144" s="167">
        <f t="shared" si="524"/>
        <v>6.7114093959731542E-3</v>
      </c>
      <c r="AD144" s="70">
        <v>1</v>
      </c>
      <c r="AE144" s="138">
        <f t="shared" si="525"/>
        <v>301</v>
      </c>
      <c r="AF144" s="167">
        <f t="shared" si="526"/>
        <v>3.3333333333333335E-3</v>
      </c>
      <c r="AG144" s="70">
        <v>1</v>
      </c>
      <c r="AH144" s="138">
        <f t="shared" si="527"/>
        <v>302</v>
      </c>
      <c r="AI144" s="167">
        <f t="shared" si="528"/>
        <v>3.3222591362126247E-3</v>
      </c>
      <c r="AJ144" s="164">
        <f t="shared" si="529"/>
        <v>8</v>
      </c>
      <c r="AK144" s="165">
        <f t="shared" si="530"/>
        <v>5.0294964307684431E-3</v>
      </c>
    </row>
    <row r="145" spans="2:37" outlineLevel="1" x14ac:dyDescent="0.35">
      <c r="B145" s="48" t="s">
        <v>82</v>
      </c>
      <c r="C145" s="62" t="s">
        <v>141</v>
      </c>
      <c r="D145" s="70">
        <v>0</v>
      </c>
      <c r="E145" s="71">
        <v>0</v>
      </c>
      <c r="F145" s="68">
        <v>0</v>
      </c>
      <c r="G145" s="68">
        <v>0</v>
      </c>
      <c r="H145" s="167">
        <f t="shared" si="515"/>
        <v>0</v>
      </c>
      <c r="I145" s="81">
        <v>0</v>
      </c>
      <c r="J145" s="4">
        <v>0</v>
      </c>
      <c r="K145" s="167">
        <f t="shared" si="516"/>
        <v>0</v>
      </c>
      <c r="L145" s="81">
        <v>0</v>
      </c>
      <c r="M145" s="4"/>
      <c r="N145" s="167">
        <f t="shared" si="517"/>
        <v>0</v>
      </c>
      <c r="O145" s="81">
        <v>0</v>
      </c>
      <c r="P145" s="4"/>
      <c r="Q145" s="167">
        <f t="shared" si="518"/>
        <v>0</v>
      </c>
      <c r="R145" s="175">
        <f t="shared" si="519"/>
        <v>0</v>
      </c>
      <c r="S145" s="165">
        <f t="shared" si="520"/>
        <v>0</v>
      </c>
      <c r="U145" s="70">
        <v>0</v>
      </c>
      <c r="V145" s="138">
        <f t="shared" si="513"/>
        <v>0</v>
      </c>
      <c r="W145" s="167">
        <f t="shared" si="514"/>
        <v>0</v>
      </c>
      <c r="X145" s="70">
        <v>0</v>
      </c>
      <c r="Y145" s="138">
        <f t="shared" si="521"/>
        <v>0</v>
      </c>
      <c r="Z145" s="167">
        <f t="shared" si="522"/>
        <v>0</v>
      </c>
      <c r="AA145" s="70">
        <v>0</v>
      </c>
      <c r="AB145" s="138">
        <f t="shared" si="523"/>
        <v>0</v>
      </c>
      <c r="AC145" s="167">
        <f t="shared" si="524"/>
        <v>0</v>
      </c>
      <c r="AD145" s="70">
        <v>0</v>
      </c>
      <c r="AE145" s="138">
        <f t="shared" si="525"/>
        <v>0</v>
      </c>
      <c r="AF145" s="167">
        <f t="shared" si="526"/>
        <v>0</v>
      </c>
      <c r="AG145" s="70">
        <v>0</v>
      </c>
      <c r="AH145" s="138">
        <f t="shared" si="527"/>
        <v>0</v>
      </c>
      <c r="AI145" s="167">
        <f t="shared" si="528"/>
        <v>0</v>
      </c>
      <c r="AJ145" s="164">
        <f t="shared" si="529"/>
        <v>0</v>
      </c>
      <c r="AK145" s="165">
        <f t="shared" si="530"/>
        <v>0</v>
      </c>
    </row>
    <row r="146" spans="2:37" outlineLevel="1" x14ac:dyDescent="0.35">
      <c r="B146" s="48" t="s">
        <v>83</v>
      </c>
      <c r="C146" s="62" t="s">
        <v>141</v>
      </c>
      <c r="D146" s="70">
        <v>1</v>
      </c>
      <c r="E146" s="71">
        <v>211</v>
      </c>
      <c r="F146" s="68">
        <v>2</v>
      </c>
      <c r="G146" s="68">
        <v>213</v>
      </c>
      <c r="H146" s="167">
        <f t="shared" si="515"/>
        <v>9.4786729857819912E-3</v>
      </c>
      <c r="I146" s="81">
        <v>-1</v>
      </c>
      <c r="J146" s="4">
        <v>212</v>
      </c>
      <c r="K146" s="167">
        <f t="shared" si="516"/>
        <v>-4.6948356807511738E-3</v>
      </c>
      <c r="L146" s="81">
        <v>1</v>
      </c>
      <c r="M146" s="4">
        <v>213</v>
      </c>
      <c r="N146" s="167">
        <f t="shared" si="517"/>
        <v>4.7169811320754715E-3</v>
      </c>
      <c r="O146" s="81">
        <v>-1</v>
      </c>
      <c r="P146" s="4">
        <v>212</v>
      </c>
      <c r="Q146" s="167">
        <f t="shared" si="518"/>
        <v>-4.6948356807511738E-3</v>
      </c>
      <c r="R146" s="175">
        <f t="shared" si="519"/>
        <v>2</v>
      </c>
      <c r="S146" s="165">
        <f t="shared" si="520"/>
        <v>1.1827341780499268E-3</v>
      </c>
      <c r="U146" s="70">
        <v>0</v>
      </c>
      <c r="V146" s="138">
        <f t="shared" si="513"/>
        <v>212</v>
      </c>
      <c r="W146" s="167">
        <f t="shared" si="514"/>
        <v>0</v>
      </c>
      <c r="X146" s="70">
        <v>0</v>
      </c>
      <c r="Y146" s="138">
        <f t="shared" si="521"/>
        <v>212</v>
      </c>
      <c r="Z146" s="167">
        <f t="shared" si="522"/>
        <v>0</v>
      </c>
      <c r="AA146" s="70">
        <v>0</v>
      </c>
      <c r="AB146" s="138">
        <f t="shared" si="523"/>
        <v>212</v>
      </c>
      <c r="AC146" s="167">
        <f t="shared" si="524"/>
        <v>0</v>
      </c>
      <c r="AD146" s="70">
        <v>0</v>
      </c>
      <c r="AE146" s="138">
        <f t="shared" si="525"/>
        <v>212</v>
      </c>
      <c r="AF146" s="167">
        <f t="shared" si="526"/>
        <v>0</v>
      </c>
      <c r="AG146" s="70">
        <v>0</v>
      </c>
      <c r="AH146" s="138">
        <f t="shared" si="527"/>
        <v>212</v>
      </c>
      <c r="AI146" s="167">
        <f t="shared" si="528"/>
        <v>0</v>
      </c>
      <c r="AJ146" s="164">
        <f t="shared" si="529"/>
        <v>0</v>
      </c>
      <c r="AK146" s="165">
        <f t="shared" si="530"/>
        <v>0</v>
      </c>
    </row>
    <row r="147" spans="2:37" outlineLevel="1" x14ac:dyDescent="0.35">
      <c r="B147" s="48" t="s">
        <v>84</v>
      </c>
      <c r="C147" s="62" t="s">
        <v>141</v>
      </c>
      <c r="D147" s="70">
        <v>1</v>
      </c>
      <c r="E147" s="71">
        <v>53</v>
      </c>
      <c r="F147" s="68">
        <v>0</v>
      </c>
      <c r="G147" s="68">
        <v>53</v>
      </c>
      <c r="H147" s="167">
        <f t="shared" si="515"/>
        <v>0</v>
      </c>
      <c r="I147" s="81">
        <v>0</v>
      </c>
      <c r="J147" s="4">
        <v>53</v>
      </c>
      <c r="K147" s="167">
        <f t="shared" si="516"/>
        <v>0</v>
      </c>
      <c r="L147" s="81">
        <v>2</v>
      </c>
      <c r="M147" s="4">
        <v>55</v>
      </c>
      <c r="N147" s="167">
        <f t="shared" si="517"/>
        <v>3.7735849056603772E-2</v>
      </c>
      <c r="O147" s="81">
        <v>0</v>
      </c>
      <c r="P147" s="4">
        <v>55</v>
      </c>
      <c r="Q147" s="167">
        <f t="shared" si="518"/>
        <v>0</v>
      </c>
      <c r="R147" s="175">
        <f t="shared" si="519"/>
        <v>3</v>
      </c>
      <c r="S147" s="165">
        <f t="shared" si="520"/>
        <v>9.3033273218088297E-3</v>
      </c>
      <c r="U147" s="70">
        <v>2</v>
      </c>
      <c r="V147" s="138">
        <f t="shared" si="513"/>
        <v>57</v>
      </c>
      <c r="W147" s="167">
        <f t="shared" si="514"/>
        <v>3.6363636363636362E-2</v>
      </c>
      <c r="X147" s="70">
        <v>2</v>
      </c>
      <c r="Y147" s="138">
        <f t="shared" si="521"/>
        <v>59</v>
      </c>
      <c r="Z147" s="167">
        <f t="shared" si="522"/>
        <v>3.5087719298245612E-2</v>
      </c>
      <c r="AA147" s="70">
        <v>3</v>
      </c>
      <c r="AB147" s="138">
        <f t="shared" si="523"/>
        <v>62</v>
      </c>
      <c r="AC147" s="167">
        <f t="shared" si="524"/>
        <v>5.0847457627118647E-2</v>
      </c>
      <c r="AD147" s="70">
        <v>2</v>
      </c>
      <c r="AE147" s="138">
        <f t="shared" si="525"/>
        <v>64</v>
      </c>
      <c r="AF147" s="167">
        <f t="shared" si="526"/>
        <v>3.2258064516129031E-2</v>
      </c>
      <c r="AG147" s="70">
        <v>2</v>
      </c>
      <c r="AH147" s="138">
        <f t="shared" si="527"/>
        <v>66</v>
      </c>
      <c r="AI147" s="167">
        <f t="shared" si="528"/>
        <v>3.125E-2</v>
      </c>
      <c r="AJ147" s="164">
        <f t="shared" si="529"/>
        <v>11</v>
      </c>
      <c r="AK147" s="165">
        <f t="shared" si="530"/>
        <v>3.7330792803308643E-2</v>
      </c>
    </row>
    <row r="148" spans="2:37" outlineLevel="1" x14ac:dyDescent="0.35">
      <c r="B148" s="48" t="s">
        <v>85</v>
      </c>
      <c r="C148" s="62" t="s">
        <v>141</v>
      </c>
      <c r="D148" s="70">
        <v>2</v>
      </c>
      <c r="E148" s="71">
        <v>18</v>
      </c>
      <c r="F148" s="68">
        <v>2</v>
      </c>
      <c r="G148" s="68">
        <v>20</v>
      </c>
      <c r="H148" s="167">
        <f t="shared" si="515"/>
        <v>0.1111111111111111</v>
      </c>
      <c r="I148" s="81">
        <v>0</v>
      </c>
      <c r="J148" s="4">
        <v>20</v>
      </c>
      <c r="K148" s="167">
        <f t="shared" si="516"/>
        <v>0</v>
      </c>
      <c r="L148" s="81">
        <v>0</v>
      </c>
      <c r="M148" s="4">
        <v>20</v>
      </c>
      <c r="N148" s="167">
        <f t="shared" si="517"/>
        <v>0</v>
      </c>
      <c r="O148" s="81">
        <v>1</v>
      </c>
      <c r="P148" s="4">
        <v>21</v>
      </c>
      <c r="Q148" s="167">
        <f t="shared" si="518"/>
        <v>0.05</v>
      </c>
      <c r="R148" s="175">
        <f t="shared" si="519"/>
        <v>5</v>
      </c>
      <c r="S148" s="165">
        <f t="shared" si="520"/>
        <v>3.9289877625411807E-2</v>
      </c>
      <c r="U148" s="70">
        <v>1</v>
      </c>
      <c r="V148" s="138">
        <f t="shared" si="513"/>
        <v>22</v>
      </c>
      <c r="W148" s="167">
        <f t="shared" si="514"/>
        <v>4.7619047619047616E-2</v>
      </c>
      <c r="X148" s="70">
        <v>2</v>
      </c>
      <c r="Y148" s="138">
        <f t="shared" si="521"/>
        <v>24</v>
      </c>
      <c r="Z148" s="167">
        <f t="shared" si="522"/>
        <v>9.0909090909090912E-2</v>
      </c>
      <c r="AA148" s="70">
        <v>2</v>
      </c>
      <c r="AB148" s="138">
        <f t="shared" si="523"/>
        <v>26</v>
      </c>
      <c r="AC148" s="167">
        <f t="shared" si="524"/>
        <v>8.3333333333333329E-2</v>
      </c>
      <c r="AD148" s="70">
        <v>1</v>
      </c>
      <c r="AE148" s="138">
        <f t="shared" si="525"/>
        <v>27</v>
      </c>
      <c r="AF148" s="167">
        <f t="shared" si="526"/>
        <v>3.8461538461538464E-2</v>
      </c>
      <c r="AG148" s="70">
        <v>1</v>
      </c>
      <c r="AH148" s="138">
        <f t="shared" si="527"/>
        <v>28</v>
      </c>
      <c r="AI148" s="167">
        <f t="shared" si="528"/>
        <v>3.7037037037037035E-2</v>
      </c>
      <c r="AJ148" s="164">
        <f t="shared" si="529"/>
        <v>7</v>
      </c>
      <c r="AK148" s="165">
        <f t="shared" si="530"/>
        <v>6.214506995773994E-2</v>
      </c>
    </row>
    <row r="149" spans="2:37" outlineLevel="1" x14ac:dyDescent="0.35">
      <c r="B149" s="48" t="s">
        <v>86</v>
      </c>
      <c r="C149" s="62" t="s">
        <v>141</v>
      </c>
      <c r="D149" s="70">
        <v>0</v>
      </c>
      <c r="E149" s="71">
        <v>22</v>
      </c>
      <c r="F149" s="68">
        <v>0</v>
      </c>
      <c r="G149" s="68">
        <v>22</v>
      </c>
      <c r="H149" s="167">
        <f t="shared" si="515"/>
        <v>0</v>
      </c>
      <c r="I149" s="81">
        <v>0</v>
      </c>
      <c r="J149" s="4">
        <v>22</v>
      </c>
      <c r="K149" s="167">
        <f t="shared" si="516"/>
        <v>0</v>
      </c>
      <c r="L149" s="81">
        <v>0</v>
      </c>
      <c r="M149" s="4">
        <v>22</v>
      </c>
      <c r="N149" s="167">
        <f t="shared" si="517"/>
        <v>0</v>
      </c>
      <c r="O149" s="81">
        <v>-2</v>
      </c>
      <c r="P149" s="4">
        <v>20</v>
      </c>
      <c r="Q149" s="167">
        <f t="shared" si="518"/>
        <v>-9.0909090909090912E-2</v>
      </c>
      <c r="R149" s="175">
        <f t="shared" si="519"/>
        <v>-2</v>
      </c>
      <c r="S149" s="165">
        <f t="shared" si="520"/>
        <v>-2.3545910323689467E-2</v>
      </c>
      <c r="U149" s="70">
        <v>1</v>
      </c>
      <c r="V149" s="138">
        <f t="shared" si="513"/>
        <v>21</v>
      </c>
      <c r="W149" s="167">
        <f t="shared" si="514"/>
        <v>0.05</v>
      </c>
      <c r="X149" s="70">
        <v>2</v>
      </c>
      <c r="Y149" s="138">
        <f t="shared" si="521"/>
        <v>23</v>
      </c>
      <c r="Z149" s="167">
        <f t="shared" si="522"/>
        <v>9.5238095238095233E-2</v>
      </c>
      <c r="AA149" s="70">
        <v>2</v>
      </c>
      <c r="AB149" s="138">
        <f t="shared" si="523"/>
        <v>25</v>
      </c>
      <c r="AC149" s="167">
        <f t="shared" si="524"/>
        <v>8.6956521739130432E-2</v>
      </c>
      <c r="AD149" s="70">
        <v>3</v>
      </c>
      <c r="AE149" s="138">
        <f t="shared" si="525"/>
        <v>28</v>
      </c>
      <c r="AF149" s="167">
        <f t="shared" si="526"/>
        <v>0.12</v>
      </c>
      <c r="AG149" s="70">
        <v>2</v>
      </c>
      <c r="AH149" s="138">
        <f t="shared" si="527"/>
        <v>30</v>
      </c>
      <c r="AI149" s="167">
        <f t="shared" si="528"/>
        <v>7.1428571428571425E-2</v>
      </c>
      <c r="AJ149" s="164">
        <f t="shared" si="529"/>
        <v>10</v>
      </c>
      <c r="AK149" s="165">
        <f t="shared" si="530"/>
        <v>9.3265113929093424E-2</v>
      </c>
    </row>
    <row r="150" spans="2:37" outlineLevel="1" x14ac:dyDescent="0.35">
      <c r="B150" s="48" t="s">
        <v>87</v>
      </c>
      <c r="C150" s="62" t="s">
        <v>141</v>
      </c>
      <c r="D150" s="70">
        <v>2</v>
      </c>
      <c r="E150" s="71">
        <v>37</v>
      </c>
      <c r="F150" s="68">
        <v>-1</v>
      </c>
      <c r="G150" s="68">
        <v>36</v>
      </c>
      <c r="H150" s="167">
        <f t="shared" si="515"/>
        <v>-2.7027027027027029E-2</v>
      </c>
      <c r="I150" s="81">
        <v>1</v>
      </c>
      <c r="J150" s="4">
        <v>37</v>
      </c>
      <c r="K150" s="167">
        <f t="shared" si="516"/>
        <v>2.7777777777777776E-2</v>
      </c>
      <c r="L150" s="81">
        <v>0</v>
      </c>
      <c r="M150" s="4">
        <v>37</v>
      </c>
      <c r="N150" s="167">
        <f t="shared" si="517"/>
        <v>0</v>
      </c>
      <c r="O150" s="81">
        <v>1</v>
      </c>
      <c r="P150" s="4">
        <v>38</v>
      </c>
      <c r="Q150" s="167">
        <f t="shared" si="518"/>
        <v>2.7027027027027029E-2</v>
      </c>
      <c r="R150" s="175">
        <f t="shared" si="519"/>
        <v>3</v>
      </c>
      <c r="S150" s="165">
        <f t="shared" si="520"/>
        <v>6.6893361007969165E-3</v>
      </c>
      <c r="U150" s="70">
        <v>2</v>
      </c>
      <c r="V150" s="138">
        <f t="shared" si="513"/>
        <v>40</v>
      </c>
      <c r="W150" s="167">
        <f t="shared" si="514"/>
        <v>5.2631578947368418E-2</v>
      </c>
      <c r="X150" s="70">
        <v>3</v>
      </c>
      <c r="Y150" s="138">
        <f t="shared" si="521"/>
        <v>43</v>
      </c>
      <c r="Z150" s="167">
        <f t="shared" si="522"/>
        <v>7.4999999999999997E-2</v>
      </c>
      <c r="AA150" s="70">
        <v>3</v>
      </c>
      <c r="AB150" s="138">
        <f t="shared" si="523"/>
        <v>46</v>
      </c>
      <c r="AC150" s="167">
        <f t="shared" si="524"/>
        <v>6.9767441860465115E-2</v>
      </c>
      <c r="AD150" s="70">
        <v>2</v>
      </c>
      <c r="AE150" s="138">
        <f t="shared" si="525"/>
        <v>48</v>
      </c>
      <c r="AF150" s="167">
        <f t="shared" si="526"/>
        <v>4.3478260869565216E-2</v>
      </c>
      <c r="AG150" s="70">
        <v>2</v>
      </c>
      <c r="AH150" s="138">
        <f t="shared" si="527"/>
        <v>50</v>
      </c>
      <c r="AI150" s="167">
        <f t="shared" si="528"/>
        <v>4.1666666666666664E-2</v>
      </c>
      <c r="AJ150" s="164">
        <f t="shared" si="529"/>
        <v>12</v>
      </c>
      <c r="AK150" s="165">
        <f t="shared" si="530"/>
        <v>5.7371263440564091E-2</v>
      </c>
    </row>
    <row r="151" spans="2:37" outlineLevel="1" x14ac:dyDescent="0.35">
      <c r="B151" s="48" t="s">
        <v>88</v>
      </c>
      <c r="C151" s="62" t="s">
        <v>141</v>
      </c>
      <c r="D151" s="70">
        <v>7</v>
      </c>
      <c r="E151" s="71">
        <v>115</v>
      </c>
      <c r="F151" s="68">
        <v>3</v>
      </c>
      <c r="G151" s="68">
        <v>118</v>
      </c>
      <c r="H151" s="167">
        <f t="shared" si="515"/>
        <v>2.6086956521739129E-2</v>
      </c>
      <c r="I151" s="81">
        <v>5</v>
      </c>
      <c r="J151" s="4">
        <v>123</v>
      </c>
      <c r="K151" s="167">
        <f t="shared" si="516"/>
        <v>4.2372881355932202E-2</v>
      </c>
      <c r="L151" s="81">
        <v>9</v>
      </c>
      <c r="M151" s="4">
        <v>132</v>
      </c>
      <c r="N151" s="167">
        <f t="shared" si="517"/>
        <v>7.3170731707317069E-2</v>
      </c>
      <c r="O151" s="81">
        <v>6</v>
      </c>
      <c r="P151" s="4">
        <v>138</v>
      </c>
      <c r="Q151" s="167">
        <f t="shared" si="518"/>
        <v>4.5454545454545456E-2</v>
      </c>
      <c r="R151" s="175">
        <f t="shared" si="519"/>
        <v>30</v>
      </c>
      <c r="S151" s="165">
        <f t="shared" si="520"/>
        <v>4.6635139392105618E-2</v>
      </c>
      <c r="U151" s="70">
        <v>19</v>
      </c>
      <c r="V151" s="138">
        <f t="shared" si="513"/>
        <v>157</v>
      </c>
      <c r="W151" s="167">
        <f t="shared" si="514"/>
        <v>0.13768115942028986</v>
      </c>
      <c r="X151" s="70">
        <v>22</v>
      </c>
      <c r="Y151" s="138">
        <f t="shared" si="521"/>
        <v>179</v>
      </c>
      <c r="Z151" s="167">
        <f t="shared" si="522"/>
        <v>0.14012738853503184</v>
      </c>
      <c r="AA151" s="70">
        <v>19</v>
      </c>
      <c r="AB151" s="138">
        <f t="shared" si="523"/>
        <v>198</v>
      </c>
      <c r="AC151" s="167">
        <f t="shared" si="524"/>
        <v>0.10614525139664804</v>
      </c>
      <c r="AD151" s="70">
        <v>16</v>
      </c>
      <c r="AE151" s="138">
        <f t="shared" si="525"/>
        <v>214</v>
      </c>
      <c r="AF151" s="167">
        <f t="shared" si="526"/>
        <v>8.0808080808080815E-2</v>
      </c>
      <c r="AG151" s="70">
        <v>14</v>
      </c>
      <c r="AH151" s="138">
        <f t="shared" si="527"/>
        <v>228</v>
      </c>
      <c r="AI151" s="167">
        <f t="shared" si="528"/>
        <v>6.5420560747663545E-2</v>
      </c>
      <c r="AJ151" s="164">
        <f t="shared" si="529"/>
        <v>90</v>
      </c>
      <c r="AK151" s="165">
        <f t="shared" si="530"/>
        <v>9.7763530337167115E-2</v>
      </c>
    </row>
    <row r="152" spans="2:37" outlineLevel="1" x14ac:dyDescent="0.35">
      <c r="B152" s="48" t="s">
        <v>89</v>
      </c>
      <c r="C152" s="62" t="s">
        <v>141</v>
      </c>
      <c r="D152" s="70">
        <v>1</v>
      </c>
      <c r="E152" s="71">
        <v>61</v>
      </c>
      <c r="F152" s="68">
        <v>0</v>
      </c>
      <c r="G152" s="68">
        <v>61</v>
      </c>
      <c r="H152" s="167">
        <f t="shared" si="515"/>
        <v>0</v>
      </c>
      <c r="I152" s="81">
        <v>1</v>
      </c>
      <c r="J152" s="4">
        <v>62</v>
      </c>
      <c r="K152" s="167">
        <f t="shared" si="516"/>
        <v>1.6393442622950821E-2</v>
      </c>
      <c r="L152" s="81">
        <v>-1</v>
      </c>
      <c r="M152" s="4">
        <v>61</v>
      </c>
      <c r="N152" s="167">
        <f t="shared" si="517"/>
        <v>-1.6129032258064516E-2</v>
      </c>
      <c r="O152" s="81">
        <v>0</v>
      </c>
      <c r="P152" s="4">
        <v>61</v>
      </c>
      <c r="Q152" s="167">
        <f t="shared" si="518"/>
        <v>0</v>
      </c>
      <c r="R152" s="175">
        <f t="shared" si="519"/>
        <v>1</v>
      </c>
      <c r="S152" s="165">
        <f t="shared" si="520"/>
        <v>0</v>
      </c>
      <c r="U152" s="70">
        <v>0</v>
      </c>
      <c r="V152" s="138">
        <f t="shared" si="513"/>
        <v>61</v>
      </c>
      <c r="W152" s="167">
        <f t="shared" si="514"/>
        <v>0</v>
      </c>
      <c r="X152" s="70">
        <v>0</v>
      </c>
      <c r="Y152" s="138">
        <f t="shared" si="521"/>
        <v>61</v>
      </c>
      <c r="Z152" s="167">
        <f t="shared" si="522"/>
        <v>0</v>
      </c>
      <c r="AA152" s="70">
        <v>0</v>
      </c>
      <c r="AB152" s="138">
        <f t="shared" si="523"/>
        <v>61</v>
      </c>
      <c r="AC152" s="167">
        <f t="shared" si="524"/>
        <v>0</v>
      </c>
      <c r="AD152" s="70">
        <v>1</v>
      </c>
      <c r="AE152" s="138">
        <f t="shared" si="525"/>
        <v>62</v>
      </c>
      <c r="AF152" s="167">
        <f t="shared" si="526"/>
        <v>1.6393442622950821E-2</v>
      </c>
      <c r="AG152" s="70">
        <v>1</v>
      </c>
      <c r="AH152" s="138">
        <f t="shared" si="527"/>
        <v>63</v>
      </c>
      <c r="AI152" s="167">
        <f t="shared" si="528"/>
        <v>1.6129032258064516E-2</v>
      </c>
      <c r="AJ152" s="164">
        <f t="shared" si="529"/>
        <v>2</v>
      </c>
      <c r="AK152" s="165">
        <f t="shared" si="530"/>
        <v>8.0978270194005386E-3</v>
      </c>
    </row>
    <row r="153" spans="2:37" outlineLevel="1" x14ac:dyDescent="0.35">
      <c r="B153" s="48" t="s">
        <v>90</v>
      </c>
      <c r="C153" s="62" t="s">
        <v>141</v>
      </c>
      <c r="D153" s="70">
        <v>0</v>
      </c>
      <c r="E153" s="71">
        <v>0</v>
      </c>
      <c r="F153" s="68">
        <v>0</v>
      </c>
      <c r="G153" s="68">
        <v>0</v>
      </c>
      <c r="H153" s="167">
        <f t="shared" si="515"/>
        <v>0</v>
      </c>
      <c r="I153" s="81">
        <v>0</v>
      </c>
      <c r="J153" s="4">
        <v>0</v>
      </c>
      <c r="K153" s="167">
        <f t="shared" si="516"/>
        <v>0</v>
      </c>
      <c r="L153" s="81">
        <v>0</v>
      </c>
      <c r="M153" s="4"/>
      <c r="N153" s="167">
        <f t="shared" si="517"/>
        <v>0</v>
      </c>
      <c r="O153" s="81">
        <v>0</v>
      </c>
      <c r="P153" s="4"/>
      <c r="Q153" s="167">
        <f t="shared" si="518"/>
        <v>0</v>
      </c>
      <c r="R153" s="175">
        <f t="shared" si="519"/>
        <v>0</v>
      </c>
      <c r="S153" s="165">
        <f t="shared" si="520"/>
        <v>0</v>
      </c>
      <c r="U153" s="70">
        <v>0</v>
      </c>
      <c r="V153" s="138">
        <f t="shared" si="513"/>
        <v>0</v>
      </c>
      <c r="W153" s="167">
        <f t="shared" si="514"/>
        <v>0</v>
      </c>
      <c r="X153" s="70">
        <v>0</v>
      </c>
      <c r="Y153" s="138">
        <f t="shared" si="521"/>
        <v>0</v>
      </c>
      <c r="Z153" s="167">
        <f t="shared" si="522"/>
        <v>0</v>
      </c>
      <c r="AA153" s="70">
        <v>0</v>
      </c>
      <c r="AB153" s="138">
        <f t="shared" si="523"/>
        <v>0</v>
      </c>
      <c r="AC153" s="167">
        <f t="shared" si="524"/>
        <v>0</v>
      </c>
      <c r="AD153" s="70">
        <v>0</v>
      </c>
      <c r="AE153" s="138">
        <f t="shared" si="525"/>
        <v>0</v>
      </c>
      <c r="AF153" s="167">
        <f t="shared" si="526"/>
        <v>0</v>
      </c>
      <c r="AG153" s="70">
        <v>0</v>
      </c>
      <c r="AH153" s="138">
        <f t="shared" si="527"/>
        <v>0</v>
      </c>
      <c r="AI153" s="167">
        <f t="shared" si="528"/>
        <v>0</v>
      </c>
      <c r="AJ153" s="164">
        <f t="shared" si="529"/>
        <v>0</v>
      </c>
      <c r="AK153" s="165">
        <f t="shared" si="530"/>
        <v>0</v>
      </c>
    </row>
    <row r="154" spans="2:37" outlineLevel="1" x14ac:dyDescent="0.35">
      <c r="B154" s="48" t="s">
        <v>91</v>
      </c>
      <c r="C154" s="62" t="s">
        <v>141</v>
      </c>
      <c r="D154" s="70">
        <v>1</v>
      </c>
      <c r="E154" s="71">
        <v>1</v>
      </c>
      <c r="F154" s="68">
        <v>0</v>
      </c>
      <c r="G154" s="68">
        <v>1</v>
      </c>
      <c r="H154" s="167">
        <f t="shared" si="515"/>
        <v>0</v>
      </c>
      <c r="I154" s="81">
        <v>2</v>
      </c>
      <c r="J154" s="4">
        <v>3</v>
      </c>
      <c r="K154" s="167">
        <f t="shared" si="516"/>
        <v>2</v>
      </c>
      <c r="L154" s="81">
        <v>0</v>
      </c>
      <c r="M154" s="4">
        <v>3</v>
      </c>
      <c r="N154" s="167">
        <f t="shared" si="517"/>
        <v>0</v>
      </c>
      <c r="O154" s="81">
        <v>0</v>
      </c>
      <c r="P154" s="4">
        <v>3</v>
      </c>
      <c r="Q154" s="167">
        <f t="shared" si="518"/>
        <v>0</v>
      </c>
      <c r="R154" s="175">
        <f t="shared" si="519"/>
        <v>3</v>
      </c>
      <c r="S154" s="165">
        <f t="shared" si="520"/>
        <v>0.3160740129524926</v>
      </c>
      <c r="U154" s="70">
        <v>0</v>
      </c>
      <c r="V154" s="138">
        <f t="shared" si="513"/>
        <v>3</v>
      </c>
      <c r="W154" s="167">
        <f t="shared" si="514"/>
        <v>0</v>
      </c>
      <c r="X154" s="70">
        <v>0</v>
      </c>
      <c r="Y154" s="138">
        <f t="shared" si="521"/>
        <v>3</v>
      </c>
      <c r="Z154" s="167">
        <f t="shared" si="522"/>
        <v>0</v>
      </c>
      <c r="AA154" s="70">
        <v>0</v>
      </c>
      <c r="AB154" s="138">
        <f t="shared" si="523"/>
        <v>3</v>
      </c>
      <c r="AC154" s="167">
        <f t="shared" si="524"/>
        <v>0</v>
      </c>
      <c r="AD154" s="70">
        <v>0</v>
      </c>
      <c r="AE154" s="138">
        <f t="shared" si="525"/>
        <v>3</v>
      </c>
      <c r="AF154" s="167">
        <f t="shared" si="526"/>
        <v>0</v>
      </c>
      <c r="AG154" s="70">
        <v>0</v>
      </c>
      <c r="AH154" s="138">
        <f t="shared" si="527"/>
        <v>3</v>
      </c>
      <c r="AI154" s="167">
        <f t="shared" si="528"/>
        <v>0</v>
      </c>
      <c r="AJ154" s="164">
        <f t="shared" si="529"/>
        <v>0</v>
      </c>
      <c r="AK154" s="165">
        <f t="shared" si="530"/>
        <v>0</v>
      </c>
    </row>
    <row r="155" spans="2:37" outlineLevel="1" x14ac:dyDescent="0.35">
      <c r="B155" s="48" t="s">
        <v>92</v>
      </c>
      <c r="C155" s="62" t="s">
        <v>141</v>
      </c>
      <c r="D155" s="70">
        <v>1</v>
      </c>
      <c r="E155" s="71">
        <v>30</v>
      </c>
      <c r="F155" s="68">
        <v>-1</v>
      </c>
      <c r="G155" s="68">
        <v>29</v>
      </c>
      <c r="H155" s="167">
        <f t="shared" si="515"/>
        <v>-3.3333333333333333E-2</v>
      </c>
      <c r="I155" s="81">
        <v>1</v>
      </c>
      <c r="J155" s="4">
        <v>30</v>
      </c>
      <c r="K155" s="167">
        <f t="shared" si="516"/>
        <v>3.4482758620689655E-2</v>
      </c>
      <c r="L155" s="81">
        <v>-1</v>
      </c>
      <c r="M155" s="4">
        <v>29</v>
      </c>
      <c r="N155" s="167">
        <f t="shared" si="517"/>
        <v>-3.3333333333333333E-2</v>
      </c>
      <c r="O155" s="81">
        <v>1</v>
      </c>
      <c r="P155" s="4">
        <v>30</v>
      </c>
      <c r="Q155" s="167">
        <f t="shared" si="518"/>
        <v>3.4482758620689655E-2</v>
      </c>
      <c r="R155" s="175">
        <f t="shared" si="519"/>
        <v>1</v>
      </c>
      <c r="S155" s="165">
        <f t="shared" si="520"/>
        <v>0</v>
      </c>
      <c r="U155" s="70">
        <v>0</v>
      </c>
      <c r="V155" s="138">
        <f t="shared" si="513"/>
        <v>30</v>
      </c>
      <c r="W155" s="167">
        <f t="shared" si="514"/>
        <v>0</v>
      </c>
      <c r="X155" s="70">
        <v>1</v>
      </c>
      <c r="Y155" s="138">
        <f t="shared" si="521"/>
        <v>31</v>
      </c>
      <c r="Z155" s="167">
        <f t="shared" si="522"/>
        <v>3.3333333333333333E-2</v>
      </c>
      <c r="AA155" s="70">
        <v>1</v>
      </c>
      <c r="AB155" s="138">
        <f t="shared" si="523"/>
        <v>32</v>
      </c>
      <c r="AC155" s="167">
        <f t="shared" si="524"/>
        <v>3.2258064516129031E-2</v>
      </c>
      <c r="AD155" s="70">
        <v>1</v>
      </c>
      <c r="AE155" s="138">
        <f t="shared" si="525"/>
        <v>33</v>
      </c>
      <c r="AF155" s="167">
        <f t="shared" si="526"/>
        <v>3.125E-2</v>
      </c>
      <c r="AG155" s="70">
        <v>1</v>
      </c>
      <c r="AH155" s="138">
        <f t="shared" si="527"/>
        <v>34</v>
      </c>
      <c r="AI155" s="167">
        <f t="shared" si="528"/>
        <v>3.0303030303030304E-2</v>
      </c>
      <c r="AJ155" s="164">
        <f t="shared" si="529"/>
        <v>4</v>
      </c>
      <c r="AK155" s="165">
        <f t="shared" si="530"/>
        <v>3.1785488774073611E-2</v>
      </c>
    </row>
    <row r="156" spans="2:37" outlineLevel="1" x14ac:dyDescent="0.35">
      <c r="B156" s="48" t="s">
        <v>93</v>
      </c>
      <c r="C156" s="62" t="s">
        <v>141</v>
      </c>
      <c r="D156" s="70">
        <v>0</v>
      </c>
      <c r="E156" s="71">
        <v>10</v>
      </c>
      <c r="F156" s="68">
        <v>1</v>
      </c>
      <c r="G156" s="68">
        <v>11</v>
      </c>
      <c r="H156" s="167">
        <f t="shared" si="515"/>
        <v>0.1</v>
      </c>
      <c r="I156" s="81">
        <v>2</v>
      </c>
      <c r="J156" s="4">
        <v>13</v>
      </c>
      <c r="K156" s="167">
        <f t="shared" si="516"/>
        <v>0.18181818181818182</v>
      </c>
      <c r="L156" s="81">
        <v>0</v>
      </c>
      <c r="M156" s="4">
        <v>13</v>
      </c>
      <c r="N156" s="167">
        <f t="shared" si="517"/>
        <v>0</v>
      </c>
      <c r="O156" s="81">
        <v>-1</v>
      </c>
      <c r="P156" s="4">
        <v>12</v>
      </c>
      <c r="Q156" s="167">
        <f t="shared" si="518"/>
        <v>-7.6923076923076927E-2</v>
      </c>
      <c r="R156" s="175">
        <f t="shared" si="519"/>
        <v>2</v>
      </c>
      <c r="S156" s="165">
        <f t="shared" si="520"/>
        <v>4.6635139392105618E-2</v>
      </c>
      <c r="U156" s="70">
        <v>1</v>
      </c>
      <c r="V156" s="138">
        <f t="shared" si="513"/>
        <v>13</v>
      </c>
      <c r="W156" s="167">
        <f t="shared" si="514"/>
        <v>8.3333333333333329E-2</v>
      </c>
      <c r="X156" s="70">
        <v>1</v>
      </c>
      <c r="Y156" s="138">
        <f t="shared" si="521"/>
        <v>14</v>
      </c>
      <c r="Z156" s="167">
        <f t="shared" si="522"/>
        <v>7.6923076923076927E-2</v>
      </c>
      <c r="AA156" s="70">
        <v>3</v>
      </c>
      <c r="AB156" s="138">
        <f t="shared" si="523"/>
        <v>17</v>
      </c>
      <c r="AC156" s="167">
        <f t="shared" si="524"/>
        <v>0.21428571428571427</v>
      </c>
      <c r="AD156" s="70">
        <v>3</v>
      </c>
      <c r="AE156" s="138">
        <f t="shared" si="525"/>
        <v>20</v>
      </c>
      <c r="AF156" s="167">
        <f t="shared" si="526"/>
        <v>0.17647058823529413</v>
      </c>
      <c r="AG156" s="70">
        <v>3</v>
      </c>
      <c r="AH156" s="138">
        <f t="shared" si="527"/>
        <v>23</v>
      </c>
      <c r="AI156" s="167">
        <f t="shared" si="528"/>
        <v>0.15</v>
      </c>
      <c r="AJ156" s="164">
        <f t="shared" si="529"/>
        <v>11</v>
      </c>
      <c r="AK156" s="165">
        <f t="shared" si="530"/>
        <v>0.15331016796105312</v>
      </c>
    </row>
    <row r="157" spans="2:37" outlineLevel="1" x14ac:dyDescent="0.35">
      <c r="B157" s="48" t="s">
        <v>94</v>
      </c>
      <c r="C157" s="62" t="s">
        <v>141</v>
      </c>
      <c r="D157" s="70">
        <v>1</v>
      </c>
      <c r="E157" s="71">
        <v>74</v>
      </c>
      <c r="F157" s="68">
        <v>-2</v>
      </c>
      <c r="G157" s="68">
        <v>72</v>
      </c>
      <c r="H157" s="167">
        <f t="shared" si="515"/>
        <v>-2.7027027027027029E-2</v>
      </c>
      <c r="I157" s="81">
        <v>0</v>
      </c>
      <c r="J157" s="4">
        <v>72</v>
      </c>
      <c r="K157" s="167">
        <f t="shared" si="516"/>
        <v>0</v>
      </c>
      <c r="L157" s="81">
        <v>-1</v>
      </c>
      <c r="M157" s="4">
        <v>71</v>
      </c>
      <c r="N157" s="167">
        <f t="shared" si="517"/>
        <v>-1.3888888888888888E-2</v>
      </c>
      <c r="O157" s="81">
        <v>-2</v>
      </c>
      <c r="P157" s="4">
        <v>69</v>
      </c>
      <c r="Q157" s="167">
        <f t="shared" si="518"/>
        <v>-2.8169014084507043E-2</v>
      </c>
      <c r="R157" s="175">
        <f t="shared" si="519"/>
        <v>-4</v>
      </c>
      <c r="S157" s="165">
        <f t="shared" si="520"/>
        <v>-1.7337591032765221E-2</v>
      </c>
      <c r="U157" s="70">
        <v>0</v>
      </c>
      <c r="V157" s="138">
        <f t="shared" si="513"/>
        <v>69</v>
      </c>
      <c r="W157" s="167">
        <f t="shared" si="514"/>
        <v>0</v>
      </c>
      <c r="X157" s="70">
        <v>1</v>
      </c>
      <c r="Y157" s="138">
        <f t="shared" si="521"/>
        <v>70</v>
      </c>
      <c r="Z157" s="167">
        <f t="shared" si="522"/>
        <v>1.4492753623188406E-2</v>
      </c>
      <c r="AA157" s="70">
        <v>1</v>
      </c>
      <c r="AB157" s="138">
        <f t="shared" si="523"/>
        <v>71</v>
      </c>
      <c r="AC157" s="167">
        <f t="shared" si="524"/>
        <v>1.4285714285714285E-2</v>
      </c>
      <c r="AD157" s="70">
        <v>1</v>
      </c>
      <c r="AE157" s="138">
        <f t="shared" si="525"/>
        <v>72</v>
      </c>
      <c r="AF157" s="167">
        <f t="shared" si="526"/>
        <v>1.4084507042253521E-2</v>
      </c>
      <c r="AG157" s="70">
        <v>1</v>
      </c>
      <c r="AH157" s="138">
        <f t="shared" si="527"/>
        <v>73</v>
      </c>
      <c r="AI157" s="167">
        <f t="shared" si="528"/>
        <v>1.3888888888888888E-2</v>
      </c>
      <c r="AJ157" s="164">
        <f t="shared" si="529"/>
        <v>4</v>
      </c>
      <c r="AK157" s="165">
        <f t="shared" si="530"/>
        <v>1.4187940989271564E-2</v>
      </c>
    </row>
    <row r="158" spans="2:37" outlineLevel="1" x14ac:dyDescent="0.35">
      <c r="B158" s="48" t="s">
        <v>95</v>
      </c>
      <c r="C158" s="62" t="s">
        <v>141</v>
      </c>
      <c r="D158" s="70">
        <v>0</v>
      </c>
      <c r="E158" s="71">
        <v>59</v>
      </c>
      <c r="F158" s="68">
        <v>2</v>
      </c>
      <c r="G158" s="68">
        <v>61</v>
      </c>
      <c r="H158" s="167">
        <f t="shared" si="515"/>
        <v>3.3898305084745763E-2</v>
      </c>
      <c r="I158" s="81">
        <v>0</v>
      </c>
      <c r="J158" s="4">
        <v>61</v>
      </c>
      <c r="K158" s="167">
        <f t="shared" si="516"/>
        <v>0</v>
      </c>
      <c r="L158" s="81">
        <v>0</v>
      </c>
      <c r="M158" s="4">
        <v>61</v>
      </c>
      <c r="N158" s="167">
        <f t="shared" si="517"/>
        <v>0</v>
      </c>
      <c r="O158" s="81">
        <v>0</v>
      </c>
      <c r="P158" s="4">
        <v>61</v>
      </c>
      <c r="Q158" s="167">
        <f t="shared" si="518"/>
        <v>0</v>
      </c>
      <c r="R158" s="175">
        <f t="shared" si="519"/>
        <v>2</v>
      </c>
      <c r="S158" s="165">
        <f t="shared" si="520"/>
        <v>8.3689303992957598E-3</v>
      </c>
      <c r="U158" s="70">
        <v>0</v>
      </c>
      <c r="V158" s="138">
        <f t="shared" si="513"/>
        <v>61</v>
      </c>
      <c r="W158" s="167">
        <f t="shared" si="514"/>
        <v>0</v>
      </c>
      <c r="X158" s="70">
        <v>1</v>
      </c>
      <c r="Y158" s="138">
        <f t="shared" si="521"/>
        <v>62</v>
      </c>
      <c r="Z158" s="167">
        <f t="shared" si="522"/>
        <v>1.6393442622950821E-2</v>
      </c>
      <c r="AA158" s="70">
        <v>1</v>
      </c>
      <c r="AB158" s="138">
        <f t="shared" si="523"/>
        <v>63</v>
      </c>
      <c r="AC158" s="167">
        <f t="shared" si="524"/>
        <v>1.6129032258064516E-2</v>
      </c>
      <c r="AD158" s="70">
        <v>1</v>
      </c>
      <c r="AE158" s="138">
        <f t="shared" si="525"/>
        <v>64</v>
      </c>
      <c r="AF158" s="167">
        <f t="shared" si="526"/>
        <v>1.5873015873015872E-2</v>
      </c>
      <c r="AG158" s="70">
        <v>1</v>
      </c>
      <c r="AH158" s="138">
        <f t="shared" si="527"/>
        <v>65</v>
      </c>
      <c r="AI158" s="167">
        <f t="shared" si="528"/>
        <v>1.5625E-2</v>
      </c>
      <c r="AJ158" s="164">
        <f t="shared" si="529"/>
        <v>4</v>
      </c>
      <c r="AK158" s="165">
        <f t="shared" si="530"/>
        <v>1.6005082323391484E-2</v>
      </c>
    </row>
    <row r="159" spans="2:37" outlineLevel="1" x14ac:dyDescent="0.35">
      <c r="B159" s="48" t="s">
        <v>96</v>
      </c>
      <c r="C159" s="62" t="s">
        <v>141</v>
      </c>
      <c r="D159" s="70">
        <v>0</v>
      </c>
      <c r="E159" s="71">
        <v>59</v>
      </c>
      <c r="F159" s="68">
        <v>0</v>
      </c>
      <c r="G159" s="68">
        <v>59</v>
      </c>
      <c r="H159" s="167">
        <f t="shared" si="515"/>
        <v>0</v>
      </c>
      <c r="I159" s="81">
        <v>0</v>
      </c>
      <c r="J159" s="4">
        <v>59</v>
      </c>
      <c r="K159" s="167">
        <f t="shared" si="516"/>
        <v>0</v>
      </c>
      <c r="L159" s="81">
        <v>-2</v>
      </c>
      <c r="M159" s="4">
        <v>57</v>
      </c>
      <c r="N159" s="167">
        <f t="shared" si="517"/>
        <v>-3.3898305084745763E-2</v>
      </c>
      <c r="O159" s="81">
        <v>-3</v>
      </c>
      <c r="P159" s="4">
        <v>54</v>
      </c>
      <c r="Q159" s="167">
        <f t="shared" si="518"/>
        <v>-5.2631578947368418E-2</v>
      </c>
      <c r="R159" s="175">
        <f t="shared" si="519"/>
        <v>-5</v>
      </c>
      <c r="S159" s="165">
        <f t="shared" si="520"/>
        <v>-2.1895094473542209E-2</v>
      </c>
      <c r="U159" s="70">
        <v>0</v>
      </c>
      <c r="V159" s="138">
        <f t="shared" si="513"/>
        <v>54</v>
      </c>
      <c r="W159" s="167">
        <f t="shared" si="514"/>
        <v>0</v>
      </c>
      <c r="X159" s="70">
        <v>0</v>
      </c>
      <c r="Y159" s="138">
        <f t="shared" si="521"/>
        <v>54</v>
      </c>
      <c r="Z159" s="167">
        <f t="shared" si="522"/>
        <v>0</v>
      </c>
      <c r="AA159" s="70">
        <v>1</v>
      </c>
      <c r="AB159" s="138">
        <f t="shared" si="523"/>
        <v>55</v>
      </c>
      <c r="AC159" s="167">
        <f t="shared" si="524"/>
        <v>1.8518518518518517E-2</v>
      </c>
      <c r="AD159" s="70">
        <v>1</v>
      </c>
      <c r="AE159" s="138">
        <f t="shared" si="525"/>
        <v>56</v>
      </c>
      <c r="AF159" s="167">
        <f t="shared" si="526"/>
        <v>1.8181818181818181E-2</v>
      </c>
      <c r="AG159" s="70">
        <v>1</v>
      </c>
      <c r="AH159" s="138">
        <f t="shared" si="527"/>
        <v>57</v>
      </c>
      <c r="AI159" s="167">
        <f t="shared" si="528"/>
        <v>1.7857142857142856E-2</v>
      </c>
      <c r="AJ159" s="164">
        <f t="shared" si="529"/>
        <v>3</v>
      </c>
      <c r="AK159" s="165">
        <f t="shared" si="530"/>
        <v>1.3608570320990721E-2</v>
      </c>
    </row>
    <row r="160" spans="2:37" outlineLevel="1" x14ac:dyDescent="0.35">
      <c r="B160" s="48" t="s">
        <v>97</v>
      </c>
      <c r="C160" s="62" t="s">
        <v>141</v>
      </c>
      <c r="D160" s="70">
        <v>0</v>
      </c>
      <c r="E160" s="71">
        <v>143</v>
      </c>
      <c r="F160" s="68">
        <v>0</v>
      </c>
      <c r="G160" s="68">
        <v>143</v>
      </c>
      <c r="H160" s="167">
        <f t="shared" si="515"/>
        <v>0</v>
      </c>
      <c r="I160" s="81">
        <v>-5</v>
      </c>
      <c r="J160" s="4">
        <v>138</v>
      </c>
      <c r="K160" s="167">
        <f t="shared" si="516"/>
        <v>-3.4965034965034968E-2</v>
      </c>
      <c r="L160" s="81">
        <v>0</v>
      </c>
      <c r="M160" s="4">
        <v>138</v>
      </c>
      <c r="N160" s="167">
        <f t="shared" si="517"/>
        <v>0</v>
      </c>
      <c r="O160" s="81">
        <v>0</v>
      </c>
      <c r="P160" s="4">
        <v>138</v>
      </c>
      <c r="Q160" s="167">
        <f t="shared" si="518"/>
        <v>0</v>
      </c>
      <c r="R160" s="175">
        <f t="shared" si="519"/>
        <v>-5</v>
      </c>
      <c r="S160" s="165">
        <f t="shared" si="520"/>
        <v>-8.8582685647652371E-3</v>
      </c>
      <c r="U160" s="70">
        <v>2</v>
      </c>
      <c r="V160" s="138">
        <f t="shared" si="513"/>
        <v>140</v>
      </c>
      <c r="W160" s="167">
        <f t="shared" si="514"/>
        <v>1.4492753623188406E-2</v>
      </c>
      <c r="X160" s="70">
        <v>3</v>
      </c>
      <c r="Y160" s="138">
        <f t="shared" si="521"/>
        <v>143</v>
      </c>
      <c r="Z160" s="167">
        <f t="shared" si="522"/>
        <v>2.1428571428571429E-2</v>
      </c>
      <c r="AA160" s="70">
        <v>3</v>
      </c>
      <c r="AB160" s="138">
        <f t="shared" si="523"/>
        <v>146</v>
      </c>
      <c r="AC160" s="167">
        <f t="shared" si="524"/>
        <v>2.097902097902098E-2</v>
      </c>
      <c r="AD160" s="70">
        <v>3</v>
      </c>
      <c r="AE160" s="138">
        <f t="shared" si="525"/>
        <v>149</v>
      </c>
      <c r="AF160" s="167">
        <f t="shared" si="526"/>
        <v>2.0547945205479451E-2</v>
      </c>
      <c r="AG160" s="70">
        <v>3</v>
      </c>
      <c r="AH160" s="138">
        <f t="shared" si="527"/>
        <v>152</v>
      </c>
      <c r="AI160" s="167">
        <f t="shared" si="528"/>
        <v>2.0134228187919462E-2</v>
      </c>
      <c r="AJ160" s="164">
        <f t="shared" si="529"/>
        <v>14</v>
      </c>
      <c r="AK160" s="165">
        <f t="shared" si="530"/>
        <v>2.0772327457722284E-2</v>
      </c>
    </row>
    <row r="161" spans="2:37" outlineLevel="1" x14ac:dyDescent="0.35">
      <c r="B161" s="48" t="s">
        <v>98</v>
      </c>
      <c r="C161" s="62" t="s">
        <v>141</v>
      </c>
      <c r="D161" s="70">
        <v>0</v>
      </c>
      <c r="E161" s="71">
        <v>38</v>
      </c>
      <c r="F161" s="68">
        <v>0</v>
      </c>
      <c r="G161" s="68">
        <v>38</v>
      </c>
      <c r="H161" s="167">
        <f t="shared" si="515"/>
        <v>0</v>
      </c>
      <c r="I161" s="81">
        <v>0</v>
      </c>
      <c r="J161" s="4">
        <v>38</v>
      </c>
      <c r="K161" s="167">
        <f t="shared" si="516"/>
        <v>0</v>
      </c>
      <c r="L161" s="81">
        <v>-1</v>
      </c>
      <c r="M161" s="4">
        <v>37</v>
      </c>
      <c r="N161" s="167">
        <f t="shared" si="517"/>
        <v>-2.6315789473684209E-2</v>
      </c>
      <c r="O161" s="81">
        <v>-1</v>
      </c>
      <c r="P161" s="4">
        <v>36</v>
      </c>
      <c r="Q161" s="167">
        <f t="shared" si="518"/>
        <v>-2.7027027027027029E-2</v>
      </c>
      <c r="R161" s="175">
        <f t="shared" si="519"/>
        <v>-2</v>
      </c>
      <c r="S161" s="165">
        <f t="shared" si="520"/>
        <v>-1.3425863513250591E-2</v>
      </c>
      <c r="U161" s="70">
        <v>0</v>
      </c>
      <c r="V161" s="138">
        <f t="shared" si="513"/>
        <v>36</v>
      </c>
      <c r="W161" s="167">
        <f t="shared" si="514"/>
        <v>0</v>
      </c>
      <c r="X161" s="70">
        <v>1</v>
      </c>
      <c r="Y161" s="138">
        <f t="shared" si="521"/>
        <v>37</v>
      </c>
      <c r="Z161" s="167">
        <f t="shared" si="522"/>
        <v>2.7777777777777776E-2</v>
      </c>
      <c r="AA161" s="70">
        <v>2</v>
      </c>
      <c r="AB161" s="138">
        <f t="shared" si="523"/>
        <v>39</v>
      </c>
      <c r="AC161" s="167">
        <f t="shared" si="524"/>
        <v>5.4054054054054057E-2</v>
      </c>
      <c r="AD161" s="70">
        <v>1</v>
      </c>
      <c r="AE161" s="138">
        <f t="shared" si="525"/>
        <v>40</v>
      </c>
      <c r="AF161" s="167">
        <f t="shared" si="526"/>
        <v>2.564102564102564E-2</v>
      </c>
      <c r="AG161" s="70">
        <v>1</v>
      </c>
      <c r="AH161" s="138">
        <f t="shared" si="527"/>
        <v>41</v>
      </c>
      <c r="AI161" s="167">
        <f t="shared" si="528"/>
        <v>2.5000000000000001E-2</v>
      </c>
      <c r="AJ161" s="164">
        <f t="shared" si="529"/>
        <v>5</v>
      </c>
      <c r="AK161" s="165">
        <f t="shared" si="530"/>
        <v>3.3047614055361274E-2</v>
      </c>
    </row>
    <row r="162" spans="2:37" outlineLevel="1" x14ac:dyDescent="0.35">
      <c r="B162" s="48" t="s">
        <v>99</v>
      </c>
      <c r="C162" s="62" t="s">
        <v>141</v>
      </c>
      <c r="D162" s="70">
        <v>0</v>
      </c>
      <c r="E162" s="71">
        <v>192</v>
      </c>
      <c r="F162" s="68">
        <v>4</v>
      </c>
      <c r="G162" s="68">
        <v>196</v>
      </c>
      <c r="H162" s="167">
        <f t="shared" si="515"/>
        <v>2.0833333333333332E-2</v>
      </c>
      <c r="I162" s="81">
        <v>12</v>
      </c>
      <c r="J162" s="4">
        <v>208</v>
      </c>
      <c r="K162" s="167">
        <f t="shared" si="516"/>
        <v>6.1224489795918366E-2</v>
      </c>
      <c r="L162" s="81">
        <v>7</v>
      </c>
      <c r="M162" s="4">
        <v>215</v>
      </c>
      <c r="N162" s="167">
        <f t="shared" si="517"/>
        <v>3.3653846153846152E-2</v>
      </c>
      <c r="O162" s="81">
        <v>4</v>
      </c>
      <c r="P162" s="4">
        <v>219</v>
      </c>
      <c r="Q162" s="167">
        <f t="shared" si="518"/>
        <v>1.8604651162790697E-2</v>
      </c>
      <c r="R162" s="175">
        <f t="shared" si="519"/>
        <v>27</v>
      </c>
      <c r="S162" s="165">
        <f t="shared" si="520"/>
        <v>3.3441081128813721E-2</v>
      </c>
      <c r="U162" s="70">
        <v>10</v>
      </c>
      <c r="V162" s="138">
        <f t="shared" si="513"/>
        <v>229</v>
      </c>
      <c r="W162" s="167">
        <f t="shared" si="514"/>
        <v>4.5662100456621002E-2</v>
      </c>
      <c r="X162" s="70">
        <v>11</v>
      </c>
      <c r="Y162" s="138">
        <f t="shared" si="521"/>
        <v>240</v>
      </c>
      <c r="Z162" s="167">
        <f t="shared" si="522"/>
        <v>4.8034934497816595E-2</v>
      </c>
      <c r="AA162" s="70">
        <v>9</v>
      </c>
      <c r="AB162" s="138">
        <f t="shared" si="523"/>
        <v>249</v>
      </c>
      <c r="AC162" s="167">
        <f t="shared" si="524"/>
        <v>3.7499999999999999E-2</v>
      </c>
      <c r="AD162" s="70">
        <v>9</v>
      </c>
      <c r="AE162" s="138">
        <f t="shared" si="525"/>
        <v>258</v>
      </c>
      <c r="AF162" s="167">
        <f t="shared" si="526"/>
        <v>3.614457831325301E-2</v>
      </c>
      <c r="AG162" s="70">
        <v>8</v>
      </c>
      <c r="AH162" s="138">
        <f t="shared" si="527"/>
        <v>266</v>
      </c>
      <c r="AI162" s="167">
        <f t="shared" si="528"/>
        <v>3.1007751937984496E-2</v>
      </c>
      <c r="AJ162" s="164">
        <f t="shared" si="529"/>
        <v>47</v>
      </c>
      <c r="AK162" s="165">
        <f t="shared" si="530"/>
        <v>3.8153418979304465E-2</v>
      </c>
    </row>
    <row r="163" spans="2:37" outlineLevel="1" x14ac:dyDescent="0.35">
      <c r="B163" s="48" t="s">
        <v>100</v>
      </c>
      <c r="C163" s="62" t="s">
        <v>141</v>
      </c>
      <c r="D163" s="70">
        <v>1</v>
      </c>
      <c r="E163" s="71">
        <v>21</v>
      </c>
      <c r="F163" s="68">
        <v>-1</v>
      </c>
      <c r="G163" s="68">
        <v>20</v>
      </c>
      <c r="H163" s="167">
        <f t="shared" si="515"/>
        <v>-4.7619047619047616E-2</v>
      </c>
      <c r="I163" s="81">
        <v>0</v>
      </c>
      <c r="J163" s="4">
        <v>20</v>
      </c>
      <c r="K163" s="167">
        <f t="shared" si="516"/>
        <v>0</v>
      </c>
      <c r="L163" s="81">
        <v>-1</v>
      </c>
      <c r="M163" s="4">
        <v>19</v>
      </c>
      <c r="N163" s="167">
        <f t="shared" si="517"/>
        <v>-0.05</v>
      </c>
      <c r="O163" s="81">
        <v>-1</v>
      </c>
      <c r="P163" s="4">
        <v>18</v>
      </c>
      <c r="Q163" s="167">
        <f t="shared" si="518"/>
        <v>-5.2631578947368418E-2</v>
      </c>
      <c r="R163" s="175">
        <f t="shared" si="519"/>
        <v>-2</v>
      </c>
      <c r="S163" s="165">
        <f t="shared" si="520"/>
        <v>-3.7804541804238534E-2</v>
      </c>
      <c r="U163" s="70">
        <v>0</v>
      </c>
      <c r="V163" s="138">
        <f t="shared" si="513"/>
        <v>18</v>
      </c>
      <c r="W163" s="167">
        <f t="shared" si="514"/>
        <v>0</v>
      </c>
      <c r="X163" s="70">
        <v>1</v>
      </c>
      <c r="Y163" s="138">
        <f t="shared" si="521"/>
        <v>19</v>
      </c>
      <c r="Z163" s="167">
        <f t="shared" si="522"/>
        <v>5.5555555555555552E-2</v>
      </c>
      <c r="AA163" s="70">
        <v>1</v>
      </c>
      <c r="AB163" s="138">
        <f t="shared" si="523"/>
        <v>20</v>
      </c>
      <c r="AC163" s="167">
        <f t="shared" si="524"/>
        <v>5.2631578947368418E-2</v>
      </c>
      <c r="AD163" s="70">
        <v>1</v>
      </c>
      <c r="AE163" s="138">
        <f t="shared" si="525"/>
        <v>21</v>
      </c>
      <c r="AF163" s="167">
        <f t="shared" si="526"/>
        <v>0.05</v>
      </c>
      <c r="AG163" s="70">
        <v>2</v>
      </c>
      <c r="AH163" s="138">
        <f t="shared" si="527"/>
        <v>23</v>
      </c>
      <c r="AI163" s="167">
        <f t="shared" si="528"/>
        <v>9.5238095238095233E-2</v>
      </c>
      <c r="AJ163" s="164">
        <f t="shared" si="529"/>
        <v>5</v>
      </c>
      <c r="AK163" s="165">
        <f t="shared" si="530"/>
        <v>6.3197220895953032E-2</v>
      </c>
    </row>
    <row r="164" spans="2:37" outlineLevel="1" x14ac:dyDescent="0.35">
      <c r="B164" s="48" t="s">
        <v>101</v>
      </c>
      <c r="C164" s="62" t="s">
        <v>141</v>
      </c>
      <c r="D164" s="70">
        <v>0</v>
      </c>
      <c r="E164" s="71">
        <v>0</v>
      </c>
      <c r="F164" s="68">
        <v>0</v>
      </c>
      <c r="G164" s="68">
        <v>0</v>
      </c>
      <c r="H164" s="167">
        <f t="shared" si="515"/>
        <v>0</v>
      </c>
      <c r="I164" s="81">
        <v>0</v>
      </c>
      <c r="J164" s="4">
        <v>0</v>
      </c>
      <c r="K164" s="167">
        <f t="shared" si="516"/>
        <v>0</v>
      </c>
      <c r="L164" s="81">
        <v>0</v>
      </c>
      <c r="M164" s="4"/>
      <c r="N164" s="167">
        <f t="shared" si="517"/>
        <v>0</v>
      </c>
      <c r="O164" s="81">
        <v>0</v>
      </c>
      <c r="P164" s="4"/>
      <c r="Q164" s="167">
        <f t="shared" si="518"/>
        <v>0</v>
      </c>
      <c r="R164" s="175">
        <f t="shared" si="519"/>
        <v>0</v>
      </c>
      <c r="S164" s="165">
        <f t="shared" si="520"/>
        <v>0</v>
      </c>
      <c r="U164" s="70">
        <v>0</v>
      </c>
      <c r="V164" s="138">
        <f t="shared" si="513"/>
        <v>0</v>
      </c>
      <c r="W164" s="167">
        <f t="shared" si="514"/>
        <v>0</v>
      </c>
      <c r="X164" s="70">
        <v>0</v>
      </c>
      <c r="Y164" s="138">
        <f t="shared" si="521"/>
        <v>0</v>
      </c>
      <c r="Z164" s="167">
        <f t="shared" si="522"/>
        <v>0</v>
      </c>
      <c r="AA164" s="70">
        <v>0</v>
      </c>
      <c r="AB164" s="138">
        <f t="shared" si="523"/>
        <v>0</v>
      </c>
      <c r="AC164" s="167">
        <f t="shared" si="524"/>
        <v>0</v>
      </c>
      <c r="AD164" s="70">
        <v>0</v>
      </c>
      <c r="AE164" s="138">
        <f t="shared" si="525"/>
        <v>0</v>
      </c>
      <c r="AF164" s="167">
        <f t="shared" si="526"/>
        <v>0</v>
      </c>
      <c r="AG164" s="70">
        <v>0</v>
      </c>
      <c r="AH164" s="138">
        <f t="shared" si="527"/>
        <v>0</v>
      </c>
      <c r="AI164" s="167">
        <f t="shared" si="528"/>
        <v>0</v>
      </c>
      <c r="AJ164" s="164">
        <f t="shared" si="529"/>
        <v>0</v>
      </c>
      <c r="AK164" s="165">
        <f t="shared" si="530"/>
        <v>0</v>
      </c>
    </row>
    <row r="165" spans="2:37" outlineLevel="1" x14ac:dyDescent="0.35">
      <c r="B165" s="48" t="s">
        <v>102</v>
      </c>
      <c r="C165" s="62" t="s">
        <v>141</v>
      </c>
      <c r="D165" s="70">
        <v>2</v>
      </c>
      <c r="E165" s="71">
        <v>82</v>
      </c>
      <c r="F165" s="68">
        <v>-1</v>
      </c>
      <c r="G165" s="68">
        <v>81</v>
      </c>
      <c r="H165" s="167">
        <f t="shared" si="515"/>
        <v>-1.2195121951219513E-2</v>
      </c>
      <c r="I165" s="81">
        <v>1</v>
      </c>
      <c r="J165" s="4">
        <v>82</v>
      </c>
      <c r="K165" s="167">
        <f t="shared" si="516"/>
        <v>1.2345679012345678E-2</v>
      </c>
      <c r="L165" s="81">
        <v>1</v>
      </c>
      <c r="M165" s="4">
        <v>83</v>
      </c>
      <c r="N165" s="167">
        <f t="shared" si="517"/>
        <v>1.2195121951219513E-2</v>
      </c>
      <c r="O165" s="81">
        <v>-4</v>
      </c>
      <c r="P165" s="4">
        <v>79</v>
      </c>
      <c r="Q165" s="167">
        <f t="shared" si="518"/>
        <v>-4.8192771084337352E-2</v>
      </c>
      <c r="R165" s="175">
        <f t="shared" si="519"/>
        <v>-1</v>
      </c>
      <c r="S165" s="165">
        <f t="shared" si="520"/>
        <v>-9.2745720664620945E-3</v>
      </c>
      <c r="U165" s="70">
        <v>0</v>
      </c>
      <c r="V165" s="138">
        <f t="shared" si="513"/>
        <v>79</v>
      </c>
      <c r="W165" s="167">
        <f t="shared" si="514"/>
        <v>0</v>
      </c>
      <c r="X165" s="70">
        <v>0</v>
      </c>
      <c r="Y165" s="138">
        <f t="shared" si="521"/>
        <v>79</v>
      </c>
      <c r="Z165" s="167">
        <f t="shared" si="522"/>
        <v>0</v>
      </c>
      <c r="AA165" s="70">
        <v>0</v>
      </c>
      <c r="AB165" s="138">
        <f t="shared" si="523"/>
        <v>79</v>
      </c>
      <c r="AC165" s="167">
        <f t="shared" si="524"/>
        <v>0</v>
      </c>
      <c r="AD165" s="70">
        <v>0</v>
      </c>
      <c r="AE165" s="138">
        <f t="shared" si="525"/>
        <v>79</v>
      </c>
      <c r="AF165" s="167">
        <f t="shared" si="526"/>
        <v>0</v>
      </c>
      <c r="AG165" s="70">
        <v>0</v>
      </c>
      <c r="AH165" s="138">
        <f t="shared" si="527"/>
        <v>79</v>
      </c>
      <c r="AI165" s="167">
        <f t="shared" si="528"/>
        <v>0</v>
      </c>
      <c r="AJ165" s="164">
        <f t="shared" si="529"/>
        <v>0</v>
      </c>
      <c r="AK165" s="165">
        <f t="shared" si="530"/>
        <v>0</v>
      </c>
    </row>
    <row r="166" spans="2:37" outlineLevel="1" x14ac:dyDescent="0.35">
      <c r="B166" s="48" t="s">
        <v>103</v>
      </c>
      <c r="C166" s="62" t="s">
        <v>141</v>
      </c>
      <c r="D166" s="70">
        <v>0</v>
      </c>
      <c r="E166" s="71">
        <v>0</v>
      </c>
      <c r="F166" s="68">
        <v>0</v>
      </c>
      <c r="G166" s="68">
        <v>0</v>
      </c>
      <c r="H166" s="167">
        <f t="shared" si="515"/>
        <v>0</v>
      </c>
      <c r="I166" s="81">
        <v>0</v>
      </c>
      <c r="J166" s="4">
        <v>0</v>
      </c>
      <c r="K166" s="167">
        <f t="shared" si="516"/>
        <v>0</v>
      </c>
      <c r="L166" s="81">
        <v>0</v>
      </c>
      <c r="M166" s="4"/>
      <c r="N166" s="167">
        <f t="shared" si="517"/>
        <v>0</v>
      </c>
      <c r="O166" s="81">
        <v>0</v>
      </c>
      <c r="P166" s="4"/>
      <c r="Q166" s="167">
        <f t="shared" si="518"/>
        <v>0</v>
      </c>
      <c r="R166" s="175">
        <f t="shared" si="519"/>
        <v>0</v>
      </c>
      <c r="S166" s="165">
        <f t="shared" si="520"/>
        <v>0</v>
      </c>
      <c r="U166" s="70">
        <v>0</v>
      </c>
      <c r="V166" s="138">
        <f t="shared" si="513"/>
        <v>0</v>
      </c>
      <c r="W166" s="167">
        <f t="shared" si="514"/>
        <v>0</v>
      </c>
      <c r="X166" s="70">
        <v>0</v>
      </c>
      <c r="Y166" s="138">
        <f t="shared" si="521"/>
        <v>0</v>
      </c>
      <c r="Z166" s="167">
        <f t="shared" si="522"/>
        <v>0</v>
      </c>
      <c r="AA166" s="70">
        <v>0</v>
      </c>
      <c r="AB166" s="138">
        <f t="shared" si="523"/>
        <v>0</v>
      </c>
      <c r="AC166" s="167">
        <f t="shared" si="524"/>
        <v>0</v>
      </c>
      <c r="AD166" s="70">
        <v>0</v>
      </c>
      <c r="AE166" s="138">
        <f t="shared" si="525"/>
        <v>0</v>
      </c>
      <c r="AF166" s="167">
        <f t="shared" si="526"/>
        <v>0</v>
      </c>
      <c r="AG166" s="70">
        <v>0</v>
      </c>
      <c r="AH166" s="138">
        <f t="shared" si="527"/>
        <v>0</v>
      </c>
      <c r="AI166" s="167">
        <f t="shared" si="528"/>
        <v>0</v>
      </c>
      <c r="AJ166" s="164">
        <f t="shared" si="529"/>
        <v>0</v>
      </c>
      <c r="AK166" s="165">
        <f t="shared" si="530"/>
        <v>0</v>
      </c>
    </row>
    <row r="167" spans="2:37" outlineLevel="1" x14ac:dyDescent="0.35">
      <c r="B167" s="48" t="s">
        <v>104</v>
      </c>
      <c r="C167" s="62" t="s">
        <v>141</v>
      </c>
      <c r="D167" s="70">
        <v>0</v>
      </c>
      <c r="E167" s="71">
        <v>0</v>
      </c>
      <c r="F167" s="68">
        <v>0</v>
      </c>
      <c r="G167" s="68">
        <v>0</v>
      </c>
      <c r="H167" s="167">
        <f t="shared" si="515"/>
        <v>0</v>
      </c>
      <c r="I167" s="81">
        <v>0</v>
      </c>
      <c r="J167" s="4">
        <v>0</v>
      </c>
      <c r="K167" s="167">
        <f t="shared" si="516"/>
        <v>0</v>
      </c>
      <c r="L167" s="81">
        <v>0</v>
      </c>
      <c r="M167" s="4"/>
      <c r="N167" s="167">
        <f t="shared" si="517"/>
        <v>0</v>
      </c>
      <c r="O167" s="81">
        <v>0</v>
      </c>
      <c r="P167" s="4"/>
      <c r="Q167" s="167">
        <f t="shared" si="518"/>
        <v>0</v>
      </c>
      <c r="R167" s="175">
        <f t="shared" si="519"/>
        <v>0</v>
      </c>
      <c r="S167" s="165">
        <f t="shared" si="520"/>
        <v>0</v>
      </c>
      <c r="U167" s="70">
        <v>0</v>
      </c>
      <c r="V167" s="138">
        <f t="shared" si="513"/>
        <v>0</v>
      </c>
      <c r="W167" s="167">
        <f t="shared" si="514"/>
        <v>0</v>
      </c>
      <c r="X167" s="70">
        <v>0</v>
      </c>
      <c r="Y167" s="138">
        <f t="shared" si="521"/>
        <v>0</v>
      </c>
      <c r="Z167" s="167">
        <f t="shared" si="522"/>
        <v>0</v>
      </c>
      <c r="AA167" s="70">
        <v>0</v>
      </c>
      <c r="AB167" s="138">
        <f t="shared" si="523"/>
        <v>0</v>
      </c>
      <c r="AC167" s="167">
        <f t="shared" si="524"/>
        <v>0</v>
      </c>
      <c r="AD167" s="70">
        <v>0</v>
      </c>
      <c r="AE167" s="138">
        <f t="shared" si="525"/>
        <v>0</v>
      </c>
      <c r="AF167" s="167">
        <f t="shared" si="526"/>
        <v>0</v>
      </c>
      <c r="AG167" s="70">
        <v>1</v>
      </c>
      <c r="AH167" s="138">
        <f t="shared" si="527"/>
        <v>1</v>
      </c>
      <c r="AI167" s="167">
        <f t="shared" si="528"/>
        <v>0</v>
      </c>
      <c r="AJ167" s="164">
        <f t="shared" si="529"/>
        <v>1</v>
      </c>
      <c r="AK167" s="165">
        <f t="shared" si="530"/>
        <v>0</v>
      </c>
    </row>
    <row r="168" spans="2:37" outlineLevel="1" x14ac:dyDescent="0.35">
      <c r="B168" s="48" t="s">
        <v>136</v>
      </c>
      <c r="C168" s="62" t="s">
        <v>141</v>
      </c>
      <c r="D168" s="70">
        <v>0</v>
      </c>
      <c r="E168" s="71">
        <v>0</v>
      </c>
      <c r="F168" s="68">
        <v>0</v>
      </c>
      <c r="G168" s="68">
        <v>0</v>
      </c>
      <c r="H168" s="167">
        <f t="shared" si="515"/>
        <v>0</v>
      </c>
      <c r="I168" s="81">
        <v>0</v>
      </c>
      <c r="J168" s="4">
        <v>0</v>
      </c>
      <c r="K168" s="167">
        <f t="shared" si="516"/>
        <v>0</v>
      </c>
      <c r="L168" s="81">
        <v>0</v>
      </c>
      <c r="M168" s="4"/>
      <c r="N168" s="167">
        <f t="shared" si="517"/>
        <v>0</v>
      </c>
      <c r="O168" s="81">
        <v>0</v>
      </c>
      <c r="P168" s="4"/>
      <c r="Q168" s="167">
        <f t="shared" si="518"/>
        <v>0</v>
      </c>
      <c r="R168" s="175">
        <f t="shared" si="519"/>
        <v>0</v>
      </c>
      <c r="S168" s="165">
        <f t="shared" si="520"/>
        <v>0</v>
      </c>
      <c r="U168" s="70"/>
      <c r="V168" s="138">
        <f t="shared" si="513"/>
        <v>0</v>
      </c>
      <c r="W168" s="167">
        <f t="shared" si="514"/>
        <v>0</v>
      </c>
      <c r="X168" s="70">
        <v>0</v>
      </c>
      <c r="Y168" s="138">
        <f t="shared" si="521"/>
        <v>0</v>
      </c>
      <c r="Z168" s="167">
        <f t="shared" si="522"/>
        <v>0</v>
      </c>
      <c r="AA168" s="70">
        <v>0</v>
      </c>
      <c r="AB168" s="138">
        <f t="shared" si="523"/>
        <v>0</v>
      </c>
      <c r="AC168" s="167">
        <f t="shared" si="524"/>
        <v>0</v>
      </c>
      <c r="AD168" s="70">
        <v>0</v>
      </c>
      <c r="AE168" s="138">
        <f t="shared" si="525"/>
        <v>0</v>
      </c>
      <c r="AF168" s="167">
        <f t="shared" si="526"/>
        <v>0</v>
      </c>
      <c r="AG168" s="70">
        <v>0</v>
      </c>
      <c r="AH168" s="138">
        <f t="shared" si="527"/>
        <v>0</v>
      </c>
      <c r="AI168" s="167">
        <f t="shared" si="528"/>
        <v>0</v>
      </c>
      <c r="AJ168" s="164">
        <f t="shared" si="529"/>
        <v>0</v>
      </c>
      <c r="AK168" s="165">
        <f t="shared" si="530"/>
        <v>0</v>
      </c>
    </row>
    <row r="169" spans="2:37" outlineLevel="1" x14ac:dyDescent="0.35">
      <c r="B169" s="48" t="s">
        <v>106</v>
      </c>
      <c r="C169" s="62" t="s">
        <v>141</v>
      </c>
      <c r="D169" s="70">
        <v>0</v>
      </c>
      <c r="E169" s="71">
        <v>19</v>
      </c>
      <c r="F169" s="68">
        <v>0</v>
      </c>
      <c r="G169" s="68">
        <v>19</v>
      </c>
      <c r="H169" s="167">
        <f t="shared" si="515"/>
        <v>0</v>
      </c>
      <c r="I169" s="81">
        <v>0</v>
      </c>
      <c r="J169" s="4">
        <v>19</v>
      </c>
      <c r="K169" s="167">
        <f t="shared" si="516"/>
        <v>0</v>
      </c>
      <c r="L169" s="81">
        <v>0</v>
      </c>
      <c r="M169" s="4">
        <v>19</v>
      </c>
      <c r="N169" s="167">
        <f t="shared" si="517"/>
        <v>0</v>
      </c>
      <c r="O169" s="81">
        <v>1</v>
      </c>
      <c r="P169" s="4">
        <v>20</v>
      </c>
      <c r="Q169" s="167">
        <f t="shared" si="518"/>
        <v>5.2631578947368418E-2</v>
      </c>
      <c r="R169" s="175">
        <f t="shared" si="519"/>
        <v>1</v>
      </c>
      <c r="S169" s="165">
        <f t="shared" si="520"/>
        <v>1.2905894979960086E-2</v>
      </c>
      <c r="U169" s="70">
        <v>0</v>
      </c>
      <c r="V169" s="138">
        <f t="shared" si="513"/>
        <v>20</v>
      </c>
      <c r="W169" s="167">
        <f t="shared" si="514"/>
        <v>0</v>
      </c>
      <c r="X169" s="70">
        <v>1</v>
      </c>
      <c r="Y169" s="138">
        <f t="shared" si="521"/>
        <v>21</v>
      </c>
      <c r="Z169" s="167">
        <f t="shared" si="522"/>
        <v>0.05</v>
      </c>
      <c r="AA169" s="70">
        <v>1</v>
      </c>
      <c r="AB169" s="138">
        <f t="shared" si="523"/>
        <v>22</v>
      </c>
      <c r="AC169" s="167">
        <f t="shared" si="524"/>
        <v>4.7619047619047616E-2</v>
      </c>
      <c r="AD169" s="70">
        <v>0</v>
      </c>
      <c r="AE169" s="138">
        <f t="shared" si="525"/>
        <v>22</v>
      </c>
      <c r="AF169" s="167">
        <f t="shared" si="526"/>
        <v>0</v>
      </c>
      <c r="AG169" s="70">
        <v>1</v>
      </c>
      <c r="AH169" s="138">
        <f t="shared" si="527"/>
        <v>23</v>
      </c>
      <c r="AI169" s="167">
        <f t="shared" si="528"/>
        <v>4.5454545454545456E-2</v>
      </c>
      <c r="AJ169" s="164">
        <f t="shared" si="529"/>
        <v>3</v>
      </c>
      <c r="AK169" s="165">
        <f t="shared" si="530"/>
        <v>3.5558076341622114E-2</v>
      </c>
    </row>
    <row r="170" spans="2:37" outlineLevel="1" x14ac:dyDescent="0.35">
      <c r="B170" s="48" t="s">
        <v>107</v>
      </c>
      <c r="C170" s="62" t="s">
        <v>141</v>
      </c>
      <c r="D170" s="70">
        <v>0</v>
      </c>
      <c r="E170" s="71">
        <v>51</v>
      </c>
      <c r="F170" s="68">
        <v>0</v>
      </c>
      <c r="G170" s="68">
        <v>51</v>
      </c>
      <c r="H170" s="167">
        <f t="shared" si="515"/>
        <v>0</v>
      </c>
      <c r="I170" s="81">
        <v>2</v>
      </c>
      <c r="J170" s="4">
        <v>53</v>
      </c>
      <c r="K170" s="167">
        <f t="shared" si="516"/>
        <v>3.9215686274509803E-2</v>
      </c>
      <c r="L170" s="81">
        <v>3</v>
      </c>
      <c r="M170" s="4">
        <v>56</v>
      </c>
      <c r="N170" s="167">
        <f t="shared" si="517"/>
        <v>5.6603773584905662E-2</v>
      </c>
      <c r="O170" s="81">
        <v>1</v>
      </c>
      <c r="P170" s="4">
        <v>57</v>
      </c>
      <c r="Q170" s="167">
        <f t="shared" si="518"/>
        <v>1.7857142857142856E-2</v>
      </c>
      <c r="R170" s="175">
        <f t="shared" si="519"/>
        <v>6</v>
      </c>
      <c r="S170" s="165">
        <f t="shared" si="520"/>
        <v>2.8196615313359485E-2</v>
      </c>
      <c r="U170" s="70">
        <v>2</v>
      </c>
      <c r="V170" s="138">
        <f t="shared" si="513"/>
        <v>59</v>
      </c>
      <c r="W170" s="167">
        <f t="shared" si="514"/>
        <v>3.5087719298245612E-2</v>
      </c>
      <c r="X170" s="70">
        <v>3</v>
      </c>
      <c r="Y170" s="138">
        <f t="shared" si="521"/>
        <v>62</v>
      </c>
      <c r="Z170" s="167">
        <f t="shared" si="522"/>
        <v>5.0847457627118647E-2</v>
      </c>
      <c r="AA170" s="70">
        <v>2</v>
      </c>
      <c r="AB170" s="138">
        <f t="shared" si="523"/>
        <v>64</v>
      </c>
      <c r="AC170" s="167">
        <f t="shared" si="524"/>
        <v>3.2258064516129031E-2</v>
      </c>
      <c r="AD170" s="70">
        <v>2</v>
      </c>
      <c r="AE170" s="138">
        <f t="shared" si="525"/>
        <v>66</v>
      </c>
      <c r="AF170" s="167">
        <f t="shared" si="526"/>
        <v>3.125E-2</v>
      </c>
      <c r="AG170" s="70">
        <v>2</v>
      </c>
      <c r="AH170" s="138">
        <f t="shared" si="527"/>
        <v>68</v>
      </c>
      <c r="AI170" s="167">
        <f t="shared" si="528"/>
        <v>3.0303030303030304E-2</v>
      </c>
      <c r="AJ170" s="164">
        <f t="shared" si="529"/>
        <v>11</v>
      </c>
      <c r="AK170" s="165">
        <f t="shared" si="530"/>
        <v>3.6129944802360869E-2</v>
      </c>
    </row>
    <row r="171" spans="2:37" outlineLevel="1" x14ac:dyDescent="0.35">
      <c r="B171" s="48" t="s">
        <v>108</v>
      </c>
      <c r="C171" s="62" t="s">
        <v>141</v>
      </c>
      <c r="D171" s="70">
        <v>0</v>
      </c>
      <c r="E171" s="71">
        <v>55</v>
      </c>
      <c r="F171" s="68">
        <v>0</v>
      </c>
      <c r="G171" s="68">
        <v>55</v>
      </c>
      <c r="H171" s="167">
        <f t="shared" si="515"/>
        <v>0</v>
      </c>
      <c r="I171" s="81">
        <v>0</v>
      </c>
      <c r="J171" s="4">
        <v>55</v>
      </c>
      <c r="K171" s="167">
        <f t="shared" si="516"/>
        <v>0</v>
      </c>
      <c r="L171" s="81">
        <v>0</v>
      </c>
      <c r="M171" s="4">
        <v>55</v>
      </c>
      <c r="N171" s="167">
        <f t="shared" si="517"/>
        <v>0</v>
      </c>
      <c r="O171" s="81">
        <v>-1</v>
      </c>
      <c r="P171" s="4">
        <v>54</v>
      </c>
      <c r="Q171" s="167">
        <f t="shared" si="518"/>
        <v>-1.8181818181818181E-2</v>
      </c>
      <c r="R171" s="175">
        <f t="shared" si="519"/>
        <v>-1</v>
      </c>
      <c r="S171" s="165">
        <f t="shared" si="520"/>
        <v>-4.5767791468170893E-3</v>
      </c>
      <c r="U171" s="70">
        <v>1</v>
      </c>
      <c r="V171" s="138">
        <f t="shared" si="513"/>
        <v>55</v>
      </c>
      <c r="W171" s="167">
        <f t="shared" si="514"/>
        <v>1.8518518518518517E-2</v>
      </c>
      <c r="X171" s="70">
        <v>1</v>
      </c>
      <c r="Y171" s="138">
        <f t="shared" si="521"/>
        <v>56</v>
      </c>
      <c r="Z171" s="167">
        <f t="shared" si="522"/>
        <v>1.8181818181818181E-2</v>
      </c>
      <c r="AA171" s="70">
        <v>1</v>
      </c>
      <c r="AB171" s="138">
        <f t="shared" si="523"/>
        <v>57</v>
      </c>
      <c r="AC171" s="167">
        <f t="shared" si="524"/>
        <v>1.7857142857142856E-2</v>
      </c>
      <c r="AD171" s="70">
        <v>2</v>
      </c>
      <c r="AE171" s="138">
        <f t="shared" si="525"/>
        <v>59</v>
      </c>
      <c r="AF171" s="167">
        <f t="shared" si="526"/>
        <v>3.5087719298245612E-2</v>
      </c>
      <c r="AG171" s="70">
        <v>2</v>
      </c>
      <c r="AH171" s="138">
        <f t="shared" si="527"/>
        <v>61</v>
      </c>
      <c r="AI171" s="167">
        <f t="shared" si="528"/>
        <v>3.3898305084745763E-2</v>
      </c>
      <c r="AJ171" s="164">
        <f t="shared" si="529"/>
        <v>7</v>
      </c>
      <c r="AK171" s="165">
        <f t="shared" si="530"/>
        <v>2.6223100236965724E-2</v>
      </c>
    </row>
    <row r="172" spans="2:37" outlineLevel="1" x14ac:dyDescent="0.35">
      <c r="B172" s="48" t="s">
        <v>109</v>
      </c>
      <c r="C172" s="62" t="s">
        <v>141</v>
      </c>
      <c r="D172" s="70">
        <v>-2</v>
      </c>
      <c r="E172" s="71">
        <v>233</v>
      </c>
      <c r="F172" s="68">
        <v>1</v>
      </c>
      <c r="G172" s="68">
        <v>234</v>
      </c>
      <c r="H172" s="167">
        <f t="shared" si="515"/>
        <v>4.2918454935622317E-3</v>
      </c>
      <c r="I172" s="81">
        <v>0</v>
      </c>
      <c r="J172" s="4">
        <v>234</v>
      </c>
      <c r="K172" s="167">
        <f t="shared" si="516"/>
        <v>0</v>
      </c>
      <c r="L172" s="81">
        <v>2</v>
      </c>
      <c r="M172" s="4">
        <v>236</v>
      </c>
      <c r="N172" s="167">
        <f t="shared" si="517"/>
        <v>8.5470085470085479E-3</v>
      </c>
      <c r="O172" s="81">
        <v>-1</v>
      </c>
      <c r="P172" s="4">
        <v>235</v>
      </c>
      <c r="Q172" s="167">
        <f t="shared" si="518"/>
        <v>-4.2372881355932203E-3</v>
      </c>
      <c r="R172" s="175">
        <f t="shared" si="519"/>
        <v>0</v>
      </c>
      <c r="S172" s="165">
        <f t="shared" si="520"/>
        <v>2.1390496541198178E-3</v>
      </c>
      <c r="U172" s="70">
        <v>2</v>
      </c>
      <c r="V172" s="138">
        <f t="shared" si="513"/>
        <v>237</v>
      </c>
      <c r="W172" s="167">
        <f t="shared" si="514"/>
        <v>8.5106382978723406E-3</v>
      </c>
      <c r="X172" s="70">
        <v>2</v>
      </c>
      <c r="Y172" s="138">
        <f t="shared" si="521"/>
        <v>239</v>
      </c>
      <c r="Z172" s="167">
        <f t="shared" si="522"/>
        <v>8.4388185654008432E-3</v>
      </c>
      <c r="AA172" s="70">
        <v>1</v>
      </c>
      <c r="AB172" s="138">
        <f t="shared" si="523"/>
        <v>240</v>
      </c>
      <c r="AC172" s="167">
        <f t="shared" si="524"/>
        <v>4.1841004184100415E-3</v>
      </c>
      <c r="AD172" s="70">
        <v>1</v>
      </c>
      <c r="AE172" s="138">
        <f t="shared" si="525"/>
        <v>241</v>
      </c>
      <c r="AF172" s="167">
        <f t="shared" si="526"/>
        <v>4.1666666666666666E-3</v>
      </c>
      <c r="AG172" s="70">
        <v>1</v>
      </c>
      <c r="AH172" s="138">
        <f t="shared" si="527"/>
        <v>242</v>
      </c>
      <c r="AI172" s="167">
        <f t="shared" si="528"/>
        <v>4.1493775933609959E-3</v>
      </c>
      <c r="AJ172" s="164">
        <f t="shared" si="529"/>
        <v>7</v>
      </c>
      <c r="AK172" s="165">
        <f t="shared" si="530"/>
        <v>5.2330410328620403E-3</v>
      </c>
    </row>
    <row r="173" spans="2:37" outlineLevel="1" x14ac:dyDescent="0.35">
      <c r="B173" s="48" t="s">
        <v>110</v>
      </c>
      <c r="C173" s="62" t="s">
        <v>141</v>
      </c>
      <c r="D173" s="70">
        <v>0</v>
      </c>
      <c r="E173" s="71">
        <v>31</v>
      </c>
      <c r="F173" s="68">
        <v>0</v>
      </c>
      <c r="G173" s="68">
        <v>31</v>
      </c>
      <c r="H173" s="167">
        <f t="shared" si="515"/>
        <v>0</v>
      </c>
      <c r="I173" s="81">
        <v>0</v>
      </c>
      <c r="J173" s="4">
        <v>31</v>
      </c>
      <c r="K173" s="167">
        <f t="shared" si="516"/>
        <v>0</v>
      </c>
      <c r="L173" s="81">
        <v>0</v>
      </c>
      <c r="M173" s="4">
        <v>31</v>
      </c>
      <c r="N173" s="167">
        <f t="shared" si="517"/>
        <v>0</v>
      </c>
      <c r="O173" s="81">
        <v>0</v>
      </c>
      <c r="P173" s="4">
        <v>31</v>
      </c>
      <c r="Q173" s="167">
        <f t="shared" si="518"/>
        <v>0</v>
      </c>
      <c r="R173" s="175">
        <f t="shared" si="519"/>
        <v>0</v>
      </c>
      <c r="S173" s="165">
        <f t="shared" si="520"/>
        <v>0</v>
      </c>
      <c r="U173" s="70">
        <v>0</v>
      </c>
      <c r="V173" s="138">
        <f t="shared" si="513"/>
        <v>31</v>
      </c>
      <c r="W173" s="167">
        <f t="shared" si="514"/>
        <v>0</v>
      </c>
      <c r="X173" s="70">
        <v>0</v>
      </c>
      <c r="Y173" s="138">
        <f t="shared" si="521"/>
        <v>31</v>
      </c>
      <c r="Z173" s="167">
        <f t="shared" si="522"/>
        <v>0</v>
      </c>
      <c r="AA173" s="70">
        <v>0</v>
      </c>
      <c r="AB173" s="138">
        <f t="shared" si="523"/>
        <v>31</v>
      </c>
      <c r="AC173" s="167">
        <f t="shared" si="524"/>
        <v>0</v>
      </c>
      <c r="AD173" s="70">
        <v>0</v>
      </c>
      <c r="AE173" s="138">
        <f t="shared" si="525"/>
        <v>31</v>
      </c>
      <c r="AF173" s="167">
        <f t="shared" si="526"/>
        <v>0</v>
      </c>
      <c r="AG173" s="70">
        <v>0</v>
      </c>
      <c r="AH173" s="138">
        <f t="shared" si="527"/>
        <v>31</v>
      </c>
      <c r="AI173" s="167">
        <f t="shared" si="528"/>
        <v>0</v>
      </c>
      <c r="AJ173" s="164">
        <f t="shared" si="529"/>
        <v>0</v>
      </c>
      <c r="AK173" s="165">
        <f t="shared" si="530"/>
        <v>0</v>
      </c>
    </row>
    <row r="174" spans="2:37" outlineLevel="1" x14ac:dyDescent="0.35">
      <c r="B174" s="48" t="s">
        <v>111</v>
      </c>
      <c r="C174" s="62" t="s">
        <v>141</v>
      </c>
      <c r="D174" s="70">
        <v>0</v>
      </c>
      <c r="E174" s="71">
        <v>33</v>
      </c>
      <c r="F174" s="68">
        <v>2</v>
      </c>
      <c r="G174" s="68">
        <v>35</v>
      </c>
      <c r="H174" s="167">
        <f t="shared" si="515"/>
        <v>6.0606060606060608E-2</v>
      </c>
      <c r="I174" s="81">
        <v>-1</v>
      </c>
      <c r="J174" s="4">
        <v>34</v>
      </c>
      <c r="K174" s="167">
        <f t="shared" si="516"/>
        <v>-2.8571428571428571E-2</v>
      </c>
      <c r="L174" s="81">
        <v>-1</v>
      </c>
      <c r="M174" s="4">
        <v>33</v>
      </c>
      <c r="N174" s="167">
        <f t="shared" si="517"/>
        <v>-2.9411764705882353E-2</v>
      </c>
      <c r="O174" s="81">
        <v>1</v>
      </c>
      <c r="P174" s="4">
        <v>34</v>
      </c>
      <c r="Q174" s="167">
        <f t="shared" si="518"/>
        <v>3.0303030303030304E-2</v>
      </c>
      <c r="R174" s="175">
        <f t="shared" si="519"/>
        <v>1</v>
      </c>
      <c r="S174" s="165">
        <f t="shared" si="520"/>
        <v>7.491160182115264E-3</v>
      </c>
      <c r="U174" s="70">
        <v>1</v>
      </c>
      <c r="V174" s="138">
        <f t="shared" si="513"/>
        <v>35</v>
      </c>
      <c r="W174" s="167">
        <f t="shared" si="514"/>
        <v>2.9411764705882353E-2</v>
      </c>
      <c r="X174" s="70">
        <v>1</v>
      </c>
      <c r="Y174" s="138">
        <f t="shared" si="521"/>
        <v>36</v>
      </c>
      <c r="Z174" s="167">
        <f t="shared" si="522"/>
        <v>2.8571428571428571E-2</v>
      </c>
      <c r="AA174" s="70">
        <v>1</v>
      </c>
      <c r="AB174" s="138">
        <f t="shared" si="523"/>
        <v>37</v>
      </c>
      <c r="AC174" s="167">
        <f t="shared" si="524"/>
        <v>2.7777777777777776E-2</v>
      </c>
      <c r="AD174" s="70">
        <v>1</v>
      </c>
      <c r="AE174" s="138">
        <f t="shared" si="525"/>
        <v>38</v>
      </c>
      <c r="AF174" s="167">
        <f t="shared" si="526"/>
        <v>2.7027027027027029E-2</v>
      </c>
      <c r="AG174" s="70">
        <v>1</v>
      </c>
      <c r="AH174" s="138">
        <f t="shared" si="527"/>
        <v>39</v>
      </c>
      <c r="AI174" s="167">
        <f t="shared" si="528"/>
        <v>2.6315789473684209E-2</v>
      </c>
      <c r="AJ174" s="164">
        <f t="shared" si="529"/>
        <v>5</v>
      </c>
      <c r="AK174" s="165">
        <f t="shared" si="530"/>
        <v>2.7422661723740305E-2</v>
      </c>
    </row>
    <row r="175" spans="2:37" outlineLevel="1" x14ac:dyDescent="0.35">
      <c r="B175" s="48" t="s">
        <v>112</v>
      </c>
      <c r="C175" s="62" t="s">
        <v>141</v>
      </c>
      <c r="D175" s="70">
        <v>2</v>
      </c>
      <c r="E175" s="71">
        <v>49</v>
      </c>
      <c r="F175" s="68">
        <v>1</v>
      </c>
      <c r="G175" s="68">
        <v>50</v>
      </c>
      <c r="H175" s="167">
        <f t="shared" si="515"/>
        <v>2.0408163265306121E-2</v>
      </c>
      <c r="I175" s="81">
        <v>0</v>
      </c>
      <c r="J175" s="4">
        <v>50</v>
      </c>
      <c r="K175" s="167">
        <f t="shared" si="516"/>
        <v>0</v>
      </c>
      <c r="L175" s="81">
        <v>0</v>
      </c>
      <c r="M175" s="4">
        <v>50</v>
      </c>
      <c r="N175" s="167">
        <f t="shared" si="517"/>
        <v>0</v>
      </c>
      <c r="O175" s="81">
        <v>0</v>
      </c>
      <c r="P175" s="4">
        <v>50</v>
      </c>
      <c r="Q175" s="167">
        <f t="shared" si="518"/>
        <v>0</v>
      </c>
      <c r="R175" s="175">
        <f t="shared" si="519"/>
        <v>3</v>
      </c>
      <c r="S175" s="165">
        <f t="shared" si="520"/>
        <v>5.0634529979740606E-3</v>
      </c>
      <c r="U175" s="70">
        <v>0</v>
      </c>
      <c r="V175" s="138">
        <f t="shared" si="513"/>
        <v>50</v>
      </c>
      <c r="W175" s="167">
        <f t="shared" si="514"/>
        <v>0</v>
      </c>
      <c r="X175" s="70">
        <v>1</v>
      </c>
      <c r="Y175" s="138">
        <f t="shared" si="521"/>
        <v>51</v>
      </c>
      <c r="Z175" s="167">
        <f t="shared" si="522"/>
        <v>0.02</v>
      </c>
      <c r="AA175" s="70">
        <v>1</v>
      </c>
      <c r="AB175" s="138">
        <f t="shared" si="523"/>
        <v>52</v>
      </c>
      <c r="AC175" s="167">
        <f t="shared" si="524"/>
        <v>1.9607843137254902E-2</v>
      </c>
      <c r="AD175" s="70">
        <v>1</v>
      </c>
      <c r="AE175" s="138">
        <f t="shared" si="525"/>
        <v>53</v>
      </c>
      <c r="AF175" s="167">
        <f t="shared" si="526"/>
        <v>1.9230769230769232E-2</v>
      </c>
      <c r="AG175" s="70">
        <v>1</v>
      </c>
      <c r="AH175" s="138">
        <f t="shared" si="527"/>
        <v>54</v>
      </c>
      <c r="AI175" s="167">
        <f t="shared" si="528"/>
        <v>1.8867924528301886E-2</v>
      </c>
      <c r="AJ175" s="164">
        <f t="shared" si="529"/>
        <v>4</v>
      </c>
      <c r="AK175" s="165">
        <f t="shared" si="530"/>
        <v>1.9426546908273501E-2</v>
      </c>
    </row>
    <row r="176" spans="2:37" outlineLevel="1" x14ac:dyDescent="0.35">
      <c r="B176" s="48" t="s">
        <v>113</v>
      </c>
      <c r="C176" s="62" t="s">
        <v>141</v>
      </c>
      <c r="D176" s="70">
        <v>0</v>
      </c>
      <c r="E176" s="71">
        <v>0</v>
      </c>
      <c r="F176" s="68">
        <v>0</v>
      </c>
      <c r="G176" s="68">
        <v>0</v>
      </c>
      <c r="H176" s="167">
        <f t="shared" si="515"/>
        <v>0</v>
      </c>
      <c r="I176" s="81">
        <v>0</v>
      </c>
      <c r="J176" s="4">
        <v>0</v>
      </c>
      <c r="K176" s="167">
        <f t="shared" si="516"/>
        <v>0</v>
      </c>
      <c r="L176" s="81">
        <v>0</v>
      </c>
      <c r="M176" s="4"/>
      <c r="N176" s="167">
        <f t="shared" si="517"/>
        <v>0</v>
      </c>
      <c r="O176" s="81">
        <v>0</v>
      </c>
      <c r="P176" s="4"/>
      <c r="Q176" s="167">
        <f t="shared" si="518"/>
        <v>0</v>
      </c>
      <c r="R176" s="175">
        <f t="shared" si="519"/>
        <v>0</v>
      </c>
      <c r="S176" s="165">
        <f t="shared" si="520"/>
        <v>0</v>
      </c>
      <c r="U176" s="70">
        <v>0</v>
      </c>
      <c r="V176" s="138">
        <f t="shared" si="513"/>
        <v>0</v>
      </c>
      <c r="W176" s="167">
        <f t="shared" si="514"/>
        <v>0</v>
      </c>
      <c r="X176" s="70">
        <v>0</v>
      </c>
      <c r="Y176" s="138">
        <f t="shared" si="521"/>
        <v>0</v>
      </c>
      <c r="Z176" s="167">
        <f t="shared" si="522"/>
        <v>0</v>
      </c>
      <c r="AA176" s="70">
        <v>0</v>
      </c>
      <c r="AB176" s="138">
        <f t="shared" si="523"/>
        <v>0</v>
      </c>
      <c r="AC176" s="167">
        <f t="shared" si="524"/>
        <v>0</v>
      </c>
      <c r="AD176" s="70">
        <v>0</v>
      </c>
      <c r="AE176" s="138">
        <f t="shared" si="525"/>
        <v>0</v>
      </c>
      <c r="AF176" s="167">
        <f t="shared" si="526"/>
        <v>0</v>
      </c>
      <c r="AG176" s="70">
        <v>0</v>
      </c>
      <c r="AH176" s="138">
        <f t="shared" si="527"/>
        <v>0</v>
      </c>
      <c r="AI176" s="167">
        <f t="shared" si="528"/>
        <v>0</v>
      </c>
      <c r="AJ176" s="164">
        <f t="shared" si="529"/>
        <v>0</v>
      </c>
      <c r="AK176" s="165">
        <f t="shared" si="530"/>
        <v>0</v>
      </c>
    </row>
    <row r="177" spans="2:37" outlineLevel="1" x14ac:dyDescent="0.35">
      <c r="B177" s="48" t="s">
        <v>114</v>
      </c>
      <c r="C177" s="62" t="s">
        <v>141</v>
      </c>
      <c r="D177" s="70">
        <v>4</v>
      </c>
      <c r="E177" s="71">
        <v>234</v>
      </c>
      <c r="F177" s="68">
        <v>-1</v>
      </c>
      <c r="G177" s="68">
        <v>233</v>
      </c>
      <c r="H177" s="167">
        <f t="shared" si="515"/>
        <v>-4.2735042735042739E-3</v>
      </c>
      <c r="I177" s="81">
        <v>0</v>
      </c>
      <c r="J177" s="4">
        <v>233</v>
      </c>
      <c r="K177" s="167">
        <f t="shared" si="516"/>
        <v>0</v>
      </c>
      <c r="L177" s="81">
        <v>-3</v>
      </c>
      <c r="M177" s="4">
        <v>230</v>
      </c>
      <c r="N177" s="167">
        <f t="shared" si="517"/>
        <v>-1.2875536480686695E-2</v>
      </c>
      <c r="O177" s="81">
        <v>2</v>
      </c>
      <c r="P177" s="4">
        <v>232</v>
      </c>
      <c r="Q177" s="167">
        <f t="shared" si="518"/>
        <v>8.6956521739130436E-3</v>
      </c>
      <c r="R177" s="175">
        <f t="shared" si="519"/>
        <v>2</v>
      </c>
      <c r="S177" s="165">
        <f t="shared" si="520"/>
        <v>-2.1436350484926869E-3</v>
      </c>
      <c r="U177" s="70">
        <v>2</v>
      </c>
      <c r="V177" s="138">
        <f t="shared" si="513"/>
        <v>234</v>
      </c>
      <c r="W177" s="167">
        <f t="shared" si="514"/>
        <v>8.6206896551724137E-3</v>
      </c>
      <c r="X177" s="70">
        <v>2</v>
      </c>
      <c r="Y177" s="138">
        <f t="shared" si="521"/>
        <v>236</v>
      </c>
      <c r="Z177" s="167">
        <f t="shared" si="522"/>
        <v>8.5470085470085479E-3</v>
      </c>
      <c r="AA177" s="70">
        <v>2</v>
      </c>
      <c r="AB177" s="138">
        <f t="shared" si="523"/>
        <v>238</v>
      </c>
      <c r="AC177" s="167">
        <f t="shared" si="524"/>
        <v>8.4745762711864406E-3</v>
      </c>
      <c r="AD177" s="70">
        <v>2</v>
      </c>
      <c r="AE177" s="138">
        <f t="shared" si="525"/>
        <v>240</v>
      </c>
      <c r="AF177" s="167">
        <f t="shared" si="526"/>
        <v>8.4033613445378148E-3</v>
      </c>
      <c r="AG177" s="70">
        <v>1</v>
      </c>
      <c r="AH177" s="138">
        <f t="shared" si="527"/>
        <v>241</v>
      </c>
      <c r="AI177" s="167">
        <f t="shared" si="528"/>
        <v>4.1666666666666666E-3</v>
      </c>
      <c r="AJ177" s="164">
        <f t="shared" si="529"/>
        <v>9</v>
      </c>
      <c r="AK177" s="165">
        <f t="shared" si="530"/>
        <v>7.3961720926061236E-3</v>
      </c>
    </row>
    <row r="178" spans="2:37" outlineLevel="1" x14ac:dyDescent="0.35">
      <c r="B178" s="48" t="s">
        <v>115</v>
      </c>
      <c r="C178" s="62" t="s">
        <v>141</v>
      </c>
      <c r="D178" s="70">
        <v>0</v>
      </c>
      <c r="E178" s="71">
        <v>12</v>
      </c>
      <c r="F178" s="68">
        <v>1</v>
      </c>
      <c r="G178" s="68">
        <v>13</v>
      </c>
      <c r="H178" s="167">
        <f t="shared" si="515"/>
        <v>8.3333333333333329E-2</v>
      </c>
      <c r="I178" s="81">
        <v>2</v>
      </c>
      <c r="J178" s="4">
        <v>15</v>
      </c>
      <c r="K178" s="167">
        <f t="shared" si="516"/>
        <v>0.15384615384615385</v>
      </c>
      <c r="L178" s="81">
        <v>1</v>
      </c>
      <c r="M178" s="4">
        <v>16</v>
      </c>
      <c r="N178" s="167">
        <f t="shared" si="517"/>
        <v>6.6666666666666666E-2</v>
      </c>
      <c r="O178" s="81">
        <v>0</v>
      </c>
      <c r="P178" s="4">
        <v>16</v>
      </c>
      <c r="Q178" s="167">
        <f t="shared" si="518"/>
        <v>0</v>
      </c>
      <c r="R178" s="175">
        <f t="shared" si="519"/>
        <v>4</v>
      </c>
      <c r="S178" s="165">
        <f t="shared" si="520"/>
        <v>7.4569931823541991E-2</v>
      </c>
      <c r="U178" s="70">
        <v>1</v>
      </c>
      <c r="V178" s="138">
        <f t="shared" si="513"/>
        <v>17</v>
      </c>
      <c r="W178" s="167">
        <f t="shared" si="514"/>
        <v>6.25E-2</v>
      </c>
      <c r="X178" s="70">
        <v>1</v>
      </c>
      <c r="Y178" s="138">
        <f t="shared" si="521"/>
        <v>18</v>
      </c>
      <c r="Z178" s="167">
        <f t="shared" si="522"/>
        <v>5.8823529411764705E-2</v>
      </c>
      <c r="AA178" s="70">
        <v>1</v>
      </c>
      <c r="AB178" s="138">
        <f t="shared" si="523"/>
        <v>19</v>
      </c>
      <c r="AC178" s="167">
        <f t="shared" si="524"/>
        <v>5.5555555555555552E-2</v>
      </c>
      <c r="AD178" s="70">
        <v>1</v>
      </c>
      <c r="AE178" s="138">
        <f t="shared" si="525"/>
        <v>20</v>
      </c>
      <c r="AF178" s="167">
        <f t="shared" si="526"/>
        <v>5.2631578947368418E-2</v>
      </c>
      <c r="AG178" s="70">
        <v>1</v>
      </c>
      <c r="AH178" s="138">
        <f t="shared" si="527"/>
        <v>21</v>
      </c>
      <c r="AI178" s="167">
        <f t="shared" si="528"/>
        <v>0.05</v>
      </c>
      <c r="AJ178" s="164">
        <f t="shared" si="529"/>
        <v>5</v>
      </c>
      <c r="AK178" s="165">
        <f t="shared" si="530"/>
        <v>5.4247532817802036E-2</v>
      </c>
    </row>
    <row r="179" spans="2:37" outlineLevel="1" x14ac:dyDescent="0.35">
      <c r="B179" s="48" t="s">
        <v>116</v>
      </c>
      <c r="C179" s="62" t="s">
        <v>141</v>
      </c>
      <c r="D179" s="70">
        <v>-1</v>
      </c>
      <c r="E179" s="71">
        <v>209</v>
      </c>
      <c r="F179" s="68">
        <v>1</v>
      </c>
      <c r="G179" s="68">
        <v>210</v>
      </c>
      <c r="H179" s="167">
        <f t="shared" si="515"/>
        <v>4.7846889952153108E-3</v>
      </c>
      <c r="I179" s="81">
        <v>-2</v>
      </c>
      <c r="J179" s="4">
        <v>208</v>
      </c>
      <c r="K179" s="167">
        <f t="shared" si="516"/>
        <v>-9.5238095238095247E-3</v>
      </c>
      <c r="L179" s="81">
        <v>2</v>
      </c>
      <c r="M179" s="4">
        <v>210</v>
      </c>
      <c r="N179" s="167">
        <f t="shared" si="517"/>
        <v>9.6153846153846159E-3</v>
      </c>
      <c r="O179" s="81">
        <v>-4</v>
      </c>
      <c r="P179" s="4">
        <v>206</v>
      </c>
      <c r="Q179" s="167">
        <f t="shared" si="518"/>
        <v>-1.9047619047619049E-2</v>
      </c>
      <c r="R179" s="175">
        <f t="shared" si="519"/>
        <v>-4</v>
      </c>
      <c r="S179" s="165">
        <f t="shared" si="520"/>
        <v>-3.6079962768910123E-3</v>
      </c>
      <c r="U179" s="70">
        <v>2</v>
      </c>
      <c r="V179" s="138">
        <f t="shared" si="513"/>
        <v>208</v>
      </c>
      <c r="W179" s="167">
        <f t="shared" si="514"/>
        <v>9.7087378640776691E-3</v>
      </c>
      <c r="X179" s="70">
        <v>2</v>
      </c>
      <c r="Y179" s="138">
        <f t="shared" si="521"/>
        <v>210</v>
      </c>
      <c r="Z179" s="167">
        <f t="shared" si="522"/>
        <v>9.6153846153846159E-3</v>
      </c>
      <c r="AA179" s="70">
        <v>2</v>
      </c>
      <c r="AB179" s="138">
        <f t="shared" si="523"/>
        <v>212</v>
      </c>
      <c r="AC179" s="167">
        <f t="shared" si="524"/>
        <v>9.5238095238095247E-3</v>
      </c>
      <c r="AD179" s="70">
        <v>2</v>
      </c>
      <c r="AE179" s="138">
        <f t="shared" si="525"/>
        <v>214</v>
      </c>
      <c r="AF179" s="167">
        <f t="shared" si="526"/>
        <v>9.433962264150943E-3</v>
      </c>
      <c r="AG179" s="70">
        <v>1</v>
      </c>
      <c r="AH179" s="138">
        <f t="shared" si="527"/>
        <v>215</v>
      </c>
      <c r="AI179" s="167">
        <f t="shared" si="528"/>
        <v>4.6728971962616819E-3</v>
      </c>
      <c r="AJ179" s="164">
        <f t="shared" si="529"/>
        <v>9</v>
      </c>
      <c r="AK179" s="165">
        <f t="shared" si="530"/>
        <v>8.3093194469452403E-3</v>
      </c>
    </row>
    <row r="180" spans="2:37" outlineLevel="1" x14ac:dyDescent="0.35">
      <c r="B180" s="48" t="s">
        <v>117</v>
      </c>
      <c r="C180" s="62" t="s">
        <v>141</v>
      </c>
      <c r="D180" s="70">
        <v>2</v>
      </c>
      <c r="E180" s="71">
        <v>122</v>
      </c>
      <c r="F180" s="68">
        <v>6</v>
      </c>
      <c r="G180" s="68">
        <v>128</v>
      </c>
      <c r="H180" s="167">
        <f t="shared" si="515"/>
        <v>4.9180327868852458E-2</v>
      </c>
      <c r="I180" s="81">
        <v>1</v>
      </c>
      <c r="J180" s="4">
        <v>129</v>
      </c>
      <c r="K180" s="167">
        <f t="shared" si="516"/>
        <v>7.8125E-3</v>
      </c>
      <c r="L180" s="81">
        <v>-1</v>
      </c>
      <c r="M180" s="4">
        <v>128</v>
      </c>
      <c r="N180" s="167">
        <f t="shared" si="517"/>
        <v>-7.7519379844961239E-3</v>
      </c>
      <c r="O180" s="81">
        <v>0</v>
      </c>
      <c r="P180" s="4">
        <v>128</v>
      </c>
      <c r="Q180" s="167">
        <f t="shared" si="518"/>
        <v>0</v>
      </c>
      <c r="R180" s="175">
        <f t="shared" si="519"/>
        <v>8</v>
      </c>
      <c r="S180" s="165">
        <f t="shared" si="520"/>
        <v>1.2074621489526205E-2</v>
      </c>
      <c r="U180" s="70">
        <v>3</v>
      </c>
      <c r="V180" s="138">
        <f t="shared" si="513"/>
        <v>131</v>
      </c>
      <c r="W180" s="167">
        <f t="shared" si="514"/>
        <v>2.34375E-2</v>
      </c>
      <c r="X180" s="70">
        <v>4</v>
      </c>
      <c r="Y180" s="138">
        <f t="shared" si="521"/>
        <v>135</v>
      </c>
      <c r="Z180" s="167">
        <f t="shared" si="522"/>
        <v>3.0534351145038167E-2</v>
      </c>
      <c r="AA180" s="70">
        <v>4</v>
      </c>
      <c r="AB180" s="138">
        <f t="shared" si="523"/>
        <v>139</v>
      </c>
      <c r="AC180" s="167">
        <f t="shared" si="524"/>
        <v>2.9629629629629631E-2</v>
      </c>
      <c r="AD180" s="70">
        <v>5</v>
      </c>
      <c r="AE180" s="138">
        <f t="shared" si="525"/>
        <v>144</v>
      </c>
      <c r="AF180" s="167">
        <f t="shared" si="526"/>
        <v>3.5971223021582732E-2</v>
      </c>
      <c r="AG180" s="70">
        <v>4</v>
      </c>
      <c r="AH180" s="138">
        <f t="shared" si="527"/>
        <v>148</v>
      </c>
      <c r="AI180" s="167">
        <f t="shared" si="528"/>
        <v>2.7777777777777776E-2</v>
      </c>
      <c r="AJ180" s="164">
        <f t="shared" si="529"/>
        <v>20</v>
      </c>
      <c r="AK180" s="165">
        <f t="shared" si="530"/>
        <v>3.0973743451045754E-2</v>
      </c>
    </row>
    <row r="181" spans="2:37" outlineLevel="1" x14ac:dyDescent="0.35">
      <c r="B181" s="48" t="s">
        <v>118</v>
      </c>
      <c r="C181" s="62" t="s">
        <v>141</v>
      </c>
      <c r="D181" s="70">
        <v>2</v>
      </c>
      <c r="E181" s="71">
        <v>70</v>
      </c>
      <c r="F181" s="68">
        <v>3</v>
      </c>
      <c r="G181" s="68">
        <v>73</v>
      </c>
      <c r="H181" s="167">
        <f t="shared" si="515"/>
        <v>4.2857142857142858E-2</v>
      </c>
      <c r="I181" s="81">
        <v>0</v>
      </c>
      <c r="J181" s="4">
        <v>73</v>
      </c>
      <c r="K181" s="167">
        <f t="shared" si="516"/>
        <v>0</v>
      </c>
      <c r="L181" s="81">
        <v>2</v>
      </c>
      <c r="M181" s="4">
        <v>75</v>
      </c>
      <c r="N181" s="167">
        <f t="shared" si="517"/>
        <v>2.7397260273972601E-2</v>
      </c>
      <c r="O181" s="81">
        <v>1</v>
      </c>
      <c r="P181" s="4">
        <v>76</v>
      </c>
      <c r="Q181" s="167">
        <f t="shared" si="518"/>
        <v>1.3333333333333334E-2</v>
      </c>
      <c r="R181" s="175">
        <f t="shared" si="519"/>
        <v>8</v>
      </c>
      <c r="S181" s="165">
        <f t="shared" si="520"/>
        <v>2.0772327457722284E-2</v>
      </c>
      <c r="U181" s="70">
        <v>0</v>
      </c>
      <c r="V181" s="138">
        <f t="shared" si="513"/>
        <v>76</v>
      </c>
      <c r="W181" s="167">
        <f t="shared" si="514"/>
        <v>0</v>
      </c>
      <c r="X181" s="70">
        <v>1</v>
      </c>
      <c r="Y181" s="138">
        <f t="shared" si="521"/>
        <v>77</v>
      </c>
      <c r="Z181" s="167">
        <f t="shared" si="522"/>
        <v>1.3157894736842105E-2</v>
      </c>
      <c r="AA181" s="70">
        <v>1</v>
      </c>
      <c r="AB181" s="138">
        <f t="shared" si="523"/>
        <v>78</v>
      </c>
      <c r="AC181" s="167">
        <f t="shared" si="524"/>
        <v>1.2987012987012988E-2</v>
      </c>
      <c r="AD181" s="70">
        <v>0</v>
      </c>
      <c r="AE181" s="138">
        <f t="shared" si="525"/>
        <v>78</v>
      </c>
      <c r="AF181" s="167">
        <f t="shared" si="526"/>
        <v>0</v>
      </c>
      <c r="AG181" s="70">
        <v>0</v>
      </c>
      <c r="AH181" s="138">
        <f t="shared" si="527"/>
        <v>78</v>
      </c>
      <c r="AI181" s="167">
        <f t="shared" si="528"/>
        <v>0</v>
      </c>
      <c r="AJ181" s="164">
        <f t="shared" si="529"/>
        <v>2</v>
      </c>
      <c r="AK181" s="165">
        <f t="shared" si="530"/>
        <v>6.5150025006859291E-3</v>
      </c>
    </row>
    <row r="182" spans="2:37" outlineLevel="1" x14ac:dyDescent="0.35">
      <c r="B182" s="48" t="s">
        <v>119</v>
      </c>
      <c r="C182" s="62" t="s">
        <v>141</v>
      </c>
      <c r="D182" s="70">
        <v>0</v>
      </c>
      <c r="E182" s="71">
        <v>0</v>
      </c>
      <c r="F182" s="68">
        <v>0</v>
      </c>
      <c r="G182" s="68">
        <v>0</v>
      </c>
      <c r="H182" s="167">
        <f t="shared" si="515"/>
        <v>0</v>
      </c>
      <c r="I182" s="81">
        <v>0</v>
      </c>
      <c r="J182" s="4">
        <v>0</v>
      </c>
      <c r="K182" s="167">
        <f t="shared" si="516"/>
        <v>0</v>
      </c>
      <c r="L182" s="81">
        <v>0</v>
      </c>
      <c r="M182" s="4"/>
      <c r="N182" s="167">
        <f t="shared" si="517"/>
        <v>0</v>
      </c>
      <c r="O182" s="81">
        <v>0</v>
      </c>
      <c r="P182" s="4"/>
      <c r="Q182" s="167">
        <f t="shared" si="518"/>
        <v>0</v>
      </c>
      <c r="R182" s="175">
        <f t="shared" si="519"/>
        <v>0</v>
      </c>
      <c r="S182" s="165">
        <f t="shared" si="520"/>
        <v>0</v>
      </c>
      <c r="U182" s="70">
        <v>0</v>
      </c>
      <c r="V182" s="138">
        <f t="shared" si="513"/>
        <v>0</v>
      </c>
      <c r="W182" s="167">
        <f t="shared" si="514"/>
        <v>0</v>
      </c>
      <c r="X182" s="70">
        <v>0</v>
      </c>
      <c r="Y182" s="138">
        <f t="shared" si="521"/>
        <v>0</v>
      </c>
      <c r="Z182" s="167">
        <f t="shared" si="522"/>
        <v>0</v>
      </c>
      <c r="AA182" s="70">
        <v>0</v>
      </c>
      <c r="AB182" s="138">
        <f t="shared" si="523"/>
        <v>0</v>
      </c>
      <c r="AC182" s="167">
        <f t="shared" si="524"/>
        <v>0</v>
      </c>
      <c r="AD182" s="70">
        <v>0</v>
      </c>
      <c r="AE182" s="138">
        <f t="shared" si="525"/>
        <v>0</v>
      </c>
      <c r="AF182" s="167">
        <f t="shared" si="526"/>
        <v>0</v>
      </c>
      <c r="AG182" s="70">
        <v>0</v>
      </c>
      <c r="AH182" s="138">
        <f t="shared" si="527"/>
        <v>0</v>
      </c>
      <c r="AI182" s="167">
        <f t="shared" si="528"/>
        <v>0</v>
      </c>
      <c r="AJ182" s="164">
        <f t="shared" si="529"/>
        <v>0</v>
      </c>
      <c r="AK182" s="165">
        <f t="shared" si="530"/>
        <v>0</v>
      </c>
    </row>
    <row r="183" spans="2:37" outlineLevel="1" x14ac:dyDescent="0.35">
      <c r="B183" s="48" t="s">
        <v>120</v>
      </c>
      <c r="C183" s="62" t="s">
        <v>141</v>
      </c>
      <c r="D183" s="70">
        <v>2</v>
      </c>
      <c r="E183" s="71">
        <v>110</v>
      </c>
      <c r="F183" s="68">
        <v>0</v>
      </c>
      <c r="G183" s="68">
        <v>110</v>
      </c>
      <c r="H183" s="167">
        <f t="shared" si="515"/>
        <v>0</v>
      </c>
      <c r="I183" s="81">
        <v>0</v>
      </c>
      <c r="J183" s="4">
        <v>110</v>
      </c>
      <c r="K183" s="167">
        <f t="shared" si="516"/>
        <v>0</v>
      </c>
      <c r="L183" s="81">
        <v>-2</v>
      </c>
      <c r="M183" s="4">
        <v>108</v>
      </c>
      <c r="N183" s="167">
        <f t="shared" si="517"/>
        <v>-1.8181818181818181E-2</v>
      </c>
      <c r="O183" s="81">
        <v>-1</v>
      </c>
      <c r="P183" s="4">
        <v>107</v>
      </c>
      <c r="Q183" s="167">
        <f t="shared" si="518"/>
        <v>-9.2592592592592587E-3</v>
      </c>
      <c r="R183" s="175">
        <f t="shared" si="519"/>
        <v>-1</v>
      </c>
      <c r="S183" s="165">
        <f t="shared" si="520"/>
        <v>-6.8890438218252026E-3</v>
      </c>
      <c r="U183" s="70">
        <v>0</v>
      </c>
      <c r="V183" s="138">
        <f t="shared" si="513"/>
        <v>107</v>
      </c>
      <c r="W183" s="167">
        <f t="shared" si="514"/>
        <v>0</v>
      </c>
      <c r="X183" s="70">
        <v>0</v>
      </c>
      <c r="Y183" s="138">
        <f t="shared" si="521"/>
        <v>107</v>
      </c>
      <c r="Z183" s="167">
        <f t="shared" si="522"/>
        <v>0</v>
      </c>
      <c r="AA183" s="70">
        <v>1</v>
      </c>
      <c r="AB183" s="138">
        <f t="shared" si="523"/>
        <v>108</v>
      </c>
      <c r="AC183" s="167">
        <f t="shared" si="524"/>
        <v>9.3457943925233638E-3</v>
      </c>
      <c r="AD183" s="70">
        <v>0</v>
      </c>
      <c r="AE183" s="138">
        <f t="shared" si="525"/>
        <v>108</v>
      </c>
      <c r="AF183" s="167">
        <f t="shared" si="526"/>
        <v>0</v>
      </c>
      <c r="AG183" s="70">
        <v>1</v>
      </c>
      <c r="AH183" s="138">
        <f t="shared" si="527"/>
        <v>109</v>
      </c>
      <c r="AI183" s="167">
        <f t="shared" si="528"/>
        <v>9.2592592592592587E-3</v>
      </c>
      <c r="AJ183" s="164">
        <f t="shared" si="529"/>
        <v>2</v>
      </c>
      <c r="AK183" s="165">
        <f t="shared" si="530"/>
        <v>4.6404958483792225E-3</v>
      </c>
    </row>
    <row r="184" spans="2:37" outlineLevel="1" x14ac:dyDescent="0.35">
      <c r="B184" s="48" t="s">
        <v>121</v>
      </c>
      <c r="C184" s="62" t="s">
        <v>141</v>
      </c>
      <c r="D184" s="70">
        <v>0</v>
      </c>
      <c r="E184" s="71">
        <v>8</v>
      </c>
      <c r="F184" s="68">
        <v>0</v>
      </c>
      <c r="G184" s="68">
        <v>8</v>
      </c>
      <c r="H184" s="167">
        <f t="shared" si="515"/>
        <v>0</v>
      </c>
      <c r="I184" s="81">
        <v>1</v>
      </c>
      <c r="J184" s="4">
        <v>9</v>
      </c>
      <c r="K184" s="167">
        <f t="shared" si="516"/>
        <v>0.125</v>
      </c>
      <c r="L184" s="81">
        <v>0</v>
      </c>
      <c r="M184" s="4">
        <v>9</v>
      </c>
      <c r="N184" s="167">
        <f t="shared" si="517"/>
        <v>0</v>
      </c>
      <c r="O184" s="81">
        <v>0</v>
      </c>
      <c r="P184" s="4">
        <v>9</v>
      </c>
      <c r="Q184" s="167">
        <f t="shared" si="518"/>
        <v>0</v>
      </c>
      <c r="R184" s="175">
        <f t="shared" si="519"/>
        <v>1</v>
      </c>
      <c r="S184" s="165">
        <f t="shared" si="520"/>
        <v>2.9883571953558841E-2</v>
      </c>
      <c r="U184" s="70">
        <v>0</v>
      </c>
      <c r="V184" s="138">
        <f t="shared" si="513"/>
        <v>9</v>
      </c>
      <c r="W184" s="167">
        <f t="shared" si="514"/>
        <v>0</v>
      </c>
      <c r="X184" s="70">
        <v>0</v>
      </c>
      <c r="Y184" s="138">
        <f t="shared" si="521"/>
        <v>9</v>
      </c>
      <c r="Z184" s="167">
        <f t="shared" si="522"/>
        <v>0</v>
      </c>
      <c r="AA184" s="70">
        <v>1</v>
      </c>
      <c r="AB184" s="138">
        <f t="shared" si="523"/>
        <v>10</v>
      </c>
      <c r="AC184" s="167">
        <f t="shared" si="524"/>
        <v>0.1111111111111111</v>
      </c>
      <c r="AD184" s="70">
        <v>1</v>
      </c>
      <c r="AE184" s="138">
        <f t="shared" si="525"/>
        <v>11</v>
      </c>
      <c r="AF184" s="167">
        <f t="shared" si="526"/>
        <v>0.1</v>
      </c>
      <c r="AG184" s="70">
        <v>1</v>
      </c>
      <c r="AH184" s="138">
        <f t="shared" si="527"/>
        <v>12</v>
      </c>
      <c r="AI184" s="167">
        <f t="shared" si="528"/>
        <v>9.0909090909090912E-2</v>
      </c>
      <c r="AJ184" s="164">
        <f t="shared" si="529"/>
        <v>3</v>
      </c>
      <c r="AK184" s="165">
        <f t="shared" si="530"/>
        <v>7.4569931823541991E-2</v>
      </c>
    </row>
    <row r="185" spans="2:37" outlineLevel="1" x14ac:dyDescent="0.35">
      <c r="B185" s="48" t="s">
        <v>137</v>
      </c>
      <c r="C185" s="62" t="s">
        <v>141</v>
      </c>
      <c r="D185" s="70">
        <v>0</v>
      </c>
      <c r="E185" s="71">
        <v>0</v>
      </c>
      <c r="F185" s="68">
        <v>0</v>
      </c>
      <c r="G185" s="68">
        <v>0</v>
      </c>
      <c r="H185" s="167">
        <f t="shared" si="515"/>
        <v>0</v>
      </c>
      <c r="I185" s="81">
        <v>0</v>
      </c>
      <c r="J185" s="4">
        <v>0</v>
      </c>
      <c r="K185" s="167">
        <f t="shared" si="516"/>
        <v>0</v>
      </c>
      <c r="L185" s="81">
        <v>0</v>
      </c>
      <c r="M185" s="4"/>
      <c r="N185" s="167">
        <f t="shared" si="517"/>
        <v>0</v>
      </c>
      <c r="O185" s="81">
        <v>0</v>
      </c>
      <c r="P185" s="4"/>
      <c r="Q185" s="167">
        <f t="shared" si="518"/>
        <v>0</v>
      </c>
      <c r="R185" s="175">
        <f t="shared" si="519"/>
        <v>0</v>
      </c>
      <c r="S185" s="165">
        <f t="shared" si="520"/>
        <v>0</v>
      </c>
      <c r="U185" s="70">
        <v>0</v>
      </c>
      <c r="V185" s="138">
        <f t="shared" si="513"/>
        <v>0</v>
      </c>
      <c r="W185" s="167">
        <f t="shared" si="514"/>
        <v>0</v>
      </c>
      <c r="X185" s="70">
        <v>0</v>
      </c>
      <c r="Y185" s="138">
        <f t="shared" si="521"/>
        <v>0</v>
      </c>
      <c r="Z185" s="167">
        <f t="shared" si="522"/>
        <v>0</v>
      </c>
      <c r="AA185" s="70">
        <v>0</v>
      </c>
      <c r="AB185" s="138">
        <f t="shared" si="523"/>
        <v>0</v>
      </c>
      <c r="AC185" s="167">
        <f t="shared" si="524"/>
        <v>0</v>
      </c>
      <c r="AD185" s="70">
        <v>0</v>
      </c>
      <c r="AE185" s="138">
        <f t="shared" si="525"/>
        <v>0</v>
      </c>
      <c r="AF185" s="167">
        <f t="shared" si="526"/>
        <v>0</v>
      </c>
      <c r="AG185" s="70">
        <v>0</v>
      </c>
      <c r="AH185" s="138">
        <f t="shared" si="527"/>
        <v>0</v>
      </c>
      <c r="AI185" s="167">
        <f t="shared" si="528"/>
        <v>0</v>
      </c>
      <c r="AJ185" s="164">
        <f t="shared" si="529"/>
        <v>0</v>
      </c>
      <c r="AK185" s="165">
        <f t="shared" si="530"/>
        <v>0</v>
      </c>
    </row>
    <row r="186" spans="2:37" outlineLevel="1" x14ac:dyDescent="0.35">
      <c r="B186" s="48" t="s">
        <v>123</v>
      </c>
      <c r="C186" s="62" t="s">
        <v>141</v>
      </c>
      <c r="D186" s="70">
        <v>1</v>
      </c>
      <c r="E186" s="71">
        <v>119</v>
      </c>
      <c r="F186" s="68">
        <v>0</v>
      </c>
      <c r="G186" s="68">
        <v>119</v>
      </c>
      <c r="H186" s="167">
        <f t="shared" si="515"/>
        <v>0</v>
      </c>
      <c r="I186" s="81">
        <v>1</v>
      </c>
      <c r="J186" s="4">
        <v>120</v>
      </c>
      <c r="K186" s="167">
        <f t="shared" si="516"/>
        <v>8.4033613445378148E-3</v>
      </c>
      <c r="L186" s="81">
        <v>1</v>
      </c>
      <c r="M186" s="4">
        <v>121</v>
      </c>
      <c r="N186" s="167">
        <f t="shared" si="517"/>
        <v>8.3333333333333332E-3</v>
      </c>
      <c r="O186" s="81">
        <v>2</v>
      </c>
      <c r="P186" s="4">
        <v>123</v>
      </c>
      <c r="Q186" s="167">
        <f t="shared" si="518"/>
        <v>1.6528925619834711E-2</v>
      </c>
      <c r="R186" s="175">
        <f t="shared" si="519"/>
        <v>5</v>
      </c>
      <c r="S186" s="165">
        <f t="shared" si="520"/>
        <v>8.2994667588605076E-3</v>
      </c>
      <c r="U186" s="70">
        <v>2</v>
      </c>
      <c r="V186" s="138">
        <f t="shared" si="513"/>
        <v>125</v>
      </c>
      <c r="W186" s="167">
        <f t="shared" si="514"/>
        <v>1.6260162601626018E-2</v>
      </c>
      <c r="X186" s="70">
        <v>3</v>
      </c>
      <c r="Y186" s="138">
        <f t="shared" si="521"/>
        <v>128</v>
      </c>
      <c r="Z186" s="167">
        <f t="shared" si="522"/>
        <v>2.4E-2</v>
      </c>
      <c r="AA186" s="70">
        <v>3</v>
      </c>
      <c r="AB186" s="138">
        <f t="shared" si="523"/>
        <v>131</v>
      </c>
      <c r="AC186" s="167">
        <f t="shared" si="524"/>
        <v>2.34375E-2</v>
      </c>
      <c r="AD186" s="70">
        <v>2</v>
      </c>
      <c r="AE186" s="138">
        <f t="shared" si="525"/>
        <v>133</v>
      </c>
      <c r="AF186" s="167">
        <f t="shared" si="526"/>
        <v>1.5267175572519083E-2</v>
      </c>
      <c r="AG186" s="70">
        <v>2</v>
      </c>
      <c r="AH186" s="138">
        <f t="shared" si="527"/>
        <v>135</v>
      </c>
      <c r="AI186" s="167">
        <f t="shared" si="528"/>
        <v>1.5037593984962405E-2</v>
      </c>
      <c r="AJ186" s="164">
        <f t="shared" si="529"/>
        <v>12</v>
      </c>
      <c r="AK186" s="165">
        <f t="shared" si="530"/>
        <v>1.9426546908273501E-2</v>
      </c>
    </row>
    <row r="187" spans="2:37" outlineLevel="1" x14ac:dyDescent="0.35">
      <c r="B187" s="48" t="s">
        <v>124</v>
      </c>
      <c r="C187" s="62" t="s">
        <v>141</v>
      </c>
      <c r="D187" s="70">
        <v>1</v>
      </c>
      <c r="E187" s="71">
        <v>1</v>
      </c>
      <c r="F187" s="68">
        <v>0</v>
      </c>
      <c r="G187" s="68">
        <v>1</v>
      </c>
      <c r="H187" s="167">
        <f t="shared" si="515"/>
        <v>0</v>
      </c>
      <c r="I187" s="81">
        <v>0</v>
      </c>
      <c r="J187" s="4">
        <v>1</v>
      </c>
      <c r="K187" s="167">
        <f t="shared" si="516"/>
        <v>0</v>
      </c>
      <c r="L187" s="81">
        <v>0</v>
      </c>
      <c r="M187" s="4">
        <v>1</v>
      </c>
      <c r="N187" s="167">
        <f t="shared" si="517"/>
        <v>0</v>
      </c>
      <c r="O187" s="81">
        <v>0</v>
      </c>
      <c r="P187" s="4">
        <v>1</v>
      </c>
      <c r="Q187" s="167">
        <f t="shared" si="518"/>
        <v>0</v>
      </c>
      <c r="R187" s="175">
        <f t="shared" si="519"/>
        <v>1</v>
      </c>
      <c r="S187" s="165">
        <f t="shared" si="520"/>
        <v>0</v>
      </c>
      <c r="U187" s="70">
        <v>0</v>
      </c>
      <c r="V187" s="138">
        <f t="shared" si="513"/>
        <v>1</v>
      </c>
      <c r="W187" s="167">
        <f t="shared" si="514"/>
        <v>0</v>
      </c>
      <c r="X187" s="70">
        <v>0</v>
      </c>
      <c r="Y187" s="138">
        <f t="shared" si="521"/>
        <v>1</v>
      </c>
      <c r="Z187" s="167">
        <f t="shared" si="522"/>
        <v>0</v>
      </c>
      <c r="AA187" s="70">
        <v>0</v>
      </c>
      <c r="AB187" s="138">
        <f t="shared" si="523"/>
        <v>1</v>
      </c>
      <c r="AC187" s="167">
        <f t="shared" si="524"/>
        <v>0</v>
      </c>
      <c r="AD187" s="70">
        <v>0</v>
      </c>
      <c r="AE187" s="138">
        <f t="shared" si="525"/>
        <v>1</v>
      </c>
      <c r="AF187" s="167">
        <f t="shared" si="526"/>
        <v>0</v>
      </c>
      <c r="AG187" s="70">
        <v>0</v>
      </c>
      <c r="AH187" s="138">
        <f t="shared" si="527"/>
        <v>1</v>
      </c>
      <c r="AI187" s="167">
        <f t="shared" si="528"/>
        <v>0</v>
      </c>
      <c r="AJ187" s="164">
        <f t="shared" si="529"/>
        <v>0</v>
      </c>
      <c r="AK187" s="165">
        <f t="shared" si="530"/>
        <v>0</v>
      </c>
    </row>
    <row r="188" spans="2:37" outlineLevel="1" x14ac:dyDescent="0.35">
      <c r="B188" s="48" t="s">
        <v>125</v>
      </c>
      <c r="C188" s="62" t="s">
        <v>141</v>
      </c>
      <c r="D188" s="70">
        <v>1</v>
      </c>
      <c r="E188" s="71">
        <v>12</v>
      </c>
      <c r="F188" s="68">
        <v>0</v>
      </c>
      <c r="G188" s="68">
        <v>12</v>
      </c>
      <c r="H188" s="167">
        <f t="shared" si="515"/>
        <v>0</v>
      </c>
      <c r="I188" s="81">
        <v>0</v>
      </c>
      <c r="J188" s="4">
        <v>12</v>
      </c>
      <c r="K188" s="167">
        <f t="shared" si="516"/>
        <v>0</v>
      </c>
      <c r="L188" s="81">
        <v>2</v>
      </c>
      <c r="M188" s="4">
        <v>14</v>
      </c>
      <c r="N188" s="167">
        <f t="shared" si="517"/>
        <v>0.16666666666666666</v>
      </c>
      <c r="O188" s="81">
        <v>0</v>
      </c>
      <c r="P188" s="4">
        <v>14</v>
      </c>
      <c r="Q188" s="167">
        <f t="shared" si="518"/>
        <v>0</v>
      </c>
      <c r="R188" s="175">
        <f t="shared" si="519"/>
        <v>3</v>
      </c>
      <c r="S188" s="165">
        <f t="shared" si="520"/>
        <v>3.9289877625411807E-2</v>
      </c>
      <c r="U188" s="70">
        <v>0</v>
      </c>
      <c r="V188" s="138">
        <f t="shared" si="513"/>
        <v>14</v>
      </c>
      <c r="W188" s="167">
        <f t="shared" si="514"/>
        <v>0</v>
      </c>
      <c r="X188" s="70">
        <v>0</v>
      </c>
      <c r="Y188" s="138">
        <f t="shared" si="521"/>
        <v>14</v>
      </c>
      <c r="Z188" s="167">
        <f t="shared" si="522"/>
        <v>0</v>
      </c>
      <c r="AA188" s="70">
        <v>0</v>
      </c>
      <c r="AB188" s="138">
        <f t="shared" si="523"/>
        <v>14</v>
      </c>
      <c r="AC188" s="167">
        <f t="shared" si="524"/>
        <v>0</v>
      </c>
      <c r="AD188" s="70">
        <v>0</v>
      </c>
      <c r="AE188" s="138">
        <f t="shared" si="525"/>
        <v>14</v>
      </c>
      <c r="AF188" s="167">
        <f t="shared" si="526"/>
        <v>0</v>
      </c>
      <c r="AG188" s="70">
        <v>0</v>
      </c>
      <c r="AH188" s="138">
        <f t="shared" si="527"/>
        <v>14</v>
      </c>
      <c r="AI188" s="167">
        <f t="shared" si="528"/>
        <v>0</v>
      </c>
      <c r="AJ188" s="164">
        <f t="shared" si="529"/>
        <v>0</v>
      </c>
      <c r="AK188" s="165">
        <f t="shared" si="530"/>
        <v>0</v>
      </c>
    </row>
    <row r="189" spans="2:37" outlineLevel="1" x14ac:dyDescent="0.35">
      <c r="B189" s="48" t="s">
        <v>126</v>
      </c>
      <c r="C189" s="62" t="s">
        <v>141</v>
      </c>
      <c r="D189" s="70">
        <v>-3</v>
      </c>
      <c r="E189" s="71">
        <v>92</v>
      </c>
      <c r="F189" s="68">
        <v>2</v>
      </c>
      <c r="G189" s="68">
        <v>94</v>
      </c>
      <c r="H189" s="167">
        <f t="shared" si="515"/>
        <v>2.1739130434782608E-2</v>
      </c>
      <c r="I189" s="81">
        <v>5</v>
      </c>
      <c r="J189" s="4">
        <v>99</v>
      </c>
      <c r="K189" s="167">
        <f t="shared" si="516"/>
        <v>5.3191489361702128E-2</v>
      </c>
      <c r="L189" s="81">
        <v>2</v>
      </c>
      <c r="M189" s="4">
        <v>101</v>
      </c>
      <c r="N189" s="167">
        <f t="shared" si="517"/>
        <v>2.0202020202020204E-2</v>
      </c>
      <c r="O189" s="81">
        <v>0</v>
      </c>
      <c r="P189" s="4">
        <v>101</v>
      </c>
      <c r="Q189" s="167">
        <f t="shared" si="518"/>
        <v>0</v>
      </c>
      <c r="R189" s="175">
        <f t="shared" si="519"/>
        <v>6</v>
      </c>
      <c r="S189" s="165">
        <f t="shared" si="520"/>
        <v>2.3607328638404868E-2</v>
      </c>
      <c r="U189" s="70">
        <v>2</v>
      </c>
      <c r="V189" s="138">
        <f t="shared" si="513"/>
        <v>103</v>
      </c>
      <c r="W189" s="167">
        <f t="shared" si="514"/>
        <v>1.9801980198019802E-2</v>
      </c>
      <c r="X189" s="70">
        <v>2</v>
      </c>
      <c r="Y189" s="138">
        <f t="shared" si="521"/>
        <v>105</v>
      </c>
      <c r="Z189" s="167">
        <f t="shared" si="522"/>
        <v>1.9417475728155338E-2</v>
      </c>
      <c r="AA189" s="70">
        <v>2</v>
      </c>
      <c r="AB189" s="138">
        <f t="shared" si="523"/>
        <v>107</v>
      </c>
      <c r="AC189" s="167">
        <f t="shared" si="524"/>
        <v>1.9047619047619049E-2</v>
      </c>
      <c r="AD189" s="70">
        <v>1</v>
      </c>
      <c r="AE189" s="138">
        <f t="shared" si="525"/>
        <v>108</v>
      </c>
      <c r="AF189" s="167">
        <f t="shared" si="526"/>
        <v>9.3457943925233638E-3</v>
      </c>
      <c r="AG189" s="70">
        <v>2</v>
      </c>
      <c r="AH189" s="138">
        <f t="shared" si="527"/>
        <v>110</v>
      </c>
      <c r="AI189" s="167">
        <f t="shared" si="528"/>
        <v>1.8518518518518517E-2</v>
      </c>
      <c r="AJ189" s="164">
        <f t="shared" si="529"/>
        <v>9</v>
      </c>
      <c r="AK189" s="165">
        <f t="shared" si="530"/>
        <v>1.6573689065292996E-2</v>
      </c>
    </row>
    <row r="190" spans="2:37" outlineLevel="1" x14ac:dyDescent="0.35">
      <c r="B190" s="342" t="s">
        <v>127</v>
      </c>
      <c r="C190" s="62" t="s">
        <v>141</v>
      </c>
      <c r="D190" s="70">
        <v>0</v>
      </c>
      <c r="E190" s="71">
        <v>0</v>
      </c>
      <c r="F190" s="68">
        <v>0</v>
      </c>
      <c r="G190" s="68">
        <v>0</v>
      </c>
      <c r="H190" s="167">
        <f t="shared" si="515"/>
        <v>0</v>
      </c>
      <c r="I190" s="267">
        <v>0</v>
      </c>
      <c r="J190" s="4">
        <v>0</v>
      </c>
      <c r="K190" s="167">
        <f t="shared" si="516"/>
        <v>0</v>
      </c>
      <c r="L190" s="267">
        <v>0</v>
      </c>
      <c r="M190" s="4">
        <v>0</v>
      </c>
      <c r="N190" s="167">
        <f t="shared" si="517"/>
        <v>0</v>
      </c>
      <c r="O190" s="267">
        <v>0</v>
      </c>
      <c r="P190" s="4"/>
      <c r="Q190" s="167">
        <f t="shared" si="518"/>
        <v>0</v>
      </c>
      <c r="R190" s="175">
        <f t="shared" si="519"/>
        <v>0</v>
      </c>
      <c r="S190" s="165">
        <f t="shared" si="520"/>
        <v>0</v>
      </c>
      <c r="U190" s="70">
        <v>0</v>
      </c>
      <c r="V190" s="138">
        <f t="shared" si="513"/>
        <v>0</v>
      </c>
      <c r="W190" s="167">
        <f t="shared" si="514"/>
        <v>0</v>
      </c>
      <c r="X190" s="70">
        <v>0</v>
      </c>
      <c r="Y190" s="138">
        <f t="shared" si="521"/>
        <v>0</v>
      </c>
      <c r="Z190" s="167">
        <f t="shared" si="522"/>
        <v>0</v>
      </c>
      <c r="AA190" s="70">
        <v>0</v>
      </c>
      <c r="AB190" s="138">
        <f t="shared" si="523"/>
        <v>0</v>
      </c>
      <c r="AC190" s="167">
        <f t="shared" si="524"/>
        <v>0</v>
      </c>
      <c r="AD190" s="70">
        <v>0</v>
      </c>
      <c r="AE190" s="138">
        <f t="shared" si="525"/>
        <v>0</v>
      </c>
      <c r="AF190" s="167">
        <f t="shared" si="526"/>
        <v>0</v>
      </c>
      <c r="AG190" s="70">
        <v>0</v>
      </c>
      <c r="AH190" s="138">
        <f t="shared" si="527"/>
        <v>0</v>
      </c>
      <c r="AI190" s="167">
        <f t="shared" si="528"/>
        <v>0</v>
      </c>
      <c r="AJ190" s="164">
        <f t="shared" si="529"/>
        <v>0</v>
      </c>
      <c r="AK190" s="165">
        <f t="shared" si="530"/>
        <v>0</v>
      </c>
    </row>
    <row r="191" spans="2:37" s="245" customFormat="1" ht="15" customHeight="1" x14ac:dyDescent="0.35">
      <c r="B191" s="246" t="s">
        <v>138</v>
      </c>
      <c r="C191" s="247" t="s">
        <v>141</v>
      </c>
      <c r="D191" s="248">
        <f>SUM(D137:D190)</f>
        <v>28</v>
      </c>
      <c r="E191" s="248">
        <f t="shared" ref="E191:G191" si="531">SUM(E137:E190)</f>
        <v>4861</v>
      </c>
      <c r="F191" s="248">
        <f t="shared" si="531"/>
        <v>23</v>
      </c>
      <c r="G191" s="248">
        <f t="shared" si="531"/>
        <v>4884</v>
      </c>
      <c r="H191" s="260">
        <f t="shared" si="515"/>
        <v>4.7315367208393333E-3</v>
      </c>
      <c r="I191" s="248">
        <f>SUM(I137:I190)</f>
        <v>22</v>
      </c>
      <c r="J191" s="248">
        <f t="shared" ref="J191" si="532">SUM(J137:J190)</f>
        <v>4906</v>
      </c>
      <c r="K191" s="248">
        <f t="shared" ref="K191" si="533">SUM(K137:K190)</f>
        <v>2.8424879886596255</v>
      </c>
      <c r="L191" s="248">
        <f t="shared" ref="L191" si="534">SUM(L137:L190)</f>
        <v>11</v>
      </c>
      <c r="M191" s="248">
        <f>SUM(M137:M190)</f>
        <v>4917</v>
      </c>
      <c r="N191" s="260">
        <f t="shared" si="517"/>
        <v>2.242152466367713E-3</v>
      </c>
      <c r="O191" s="248">
        <f t="shared" ref="O191" si="535">SUM(O137:O190)</f>
        <v>-24</v>
      </c>
      <c r="P191" s="248">
        <f>SUM(P137:P190)</f>
        <v>4893</v>
      </c>
      <c r="Q191" s="266">
        <f t="shared" si="518"/>
        <v>-4.881025015253203E-3</v>
      </c>
      <c r="R191" s="265">
        <f t="shared" si="519"/>
        <v>60</v>
      </c>
      <c r="S191" s="252">
        <f t="shared" si="520"/>
        <v>1.6417046849626082E-3</v>
      </c>
      <c r="U191" s="253">
        <f>SUM(U137:U190)</f>
        <v>80</v>
      </c>
      <c r="V191" s="253">
        <f>SUM(V137:V190)</f>
        <v>4973</v>
      </c>
      <c r="W191" s="250">
        <f>IFERROR((V191-P191)/P191,0)</f>
        <v>1.6349887594522789E-2</v>
      </c>
      <c r="X191" s="253">
        <f>SUM(X137:X190)</f>
        <v>105</v>
      </c>
      <c r="Y191" s="253">
        <f>SUM(Y137:Y190)</f>
        <v>5078</v>
      </c>
      <c r="Z191" s="260">
        <f t="shared" si="522"/>
        <v>2.1114015684697365E-2</v>
      </c>
      <c r="AA191" s="253">
        <f>SUM(AA137:AA190)</f>
        <v>105</v>
      </c>
      <c r="AB191" s="253">
        <f>SUM(AB137:AB190)</f>
        <v>5183</v>
      </c>
      <c r="AC191" s="266">
        <f t="shared" si="524"/>
        <v>2.067743205986609E-2</v>
      </c>
      <c r="AD191" s="259">
        <f>SUM(AD137:AD190)</f>
        <v>95</v>
      </c>
      <c r="AE191" s="253">
        <f>SUM(AE137:AE190)</f>
        <v>5278</v>
      </c>
      <c r="AF191" s="266">
        <f t="shared" si="526"/>
        <v>1.8329153000192937E-2</v>
      </c>
      <c r="AG191" s="259">
        <f>SUM(AG137:AG190)</f>
        <v>90</v>
      </c>
      <c r="AH191" s="268">
        <f t="shared" si="527"/>
        <v>5368</v>
      </c>
      <c r="AI191" s="260">
        <f t="shared" si="528"/>
        <v>1.7051913603637742E-2</v>
      </c>
      <c r="AJ191" s="264">
        <f>SUM(AJ137:AJ190)</f>
        <v>475</v>
      </c>
      <c r="AK191" s="252">
        <f t="shared" si="530"/>
        <v>1.9291756742182198E-2</v>
      </c>
    </row>
    <row r="192" spans="2:37" ht="15" customHeight="1" x14ac:dyDescent="0.35">
      <c r="B192" s="17"/>
    </row>
    <row r="193" spans="2:37" ht="15.5" x14ac:dyDescent="0.35">
      <c r="B193" s="419" t="s">
        <v>52</v>
      </c>
      <c r="C193" s="419"/>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c r="AJ193" s="419"/>
      <c r="AK193" s="419"/>
    </row>
    <row r="194" spans="2:37" ht="5.9" customHeight="1" outlineLevel="1" x14ac:dyDescent="0.35">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row>
    <row r="195" spans="2:37" ht="15" outlineLevel="1" thickBot="1" x14ac:dyDescent="0.4">
      <c r="B195" s="462"/>
      <c r="C195" s="465" t="s">
        <v>134</v>
      </c>
      <c r="D195" s="435" t="s">
        <v>169</v>
      </c>
      <c r="E195" s="436"/>
      <c r="F195" s="436"/>
      <c r="G195" s="436"/>
      <c r="H195" s="436"/>
      <c r="I195" s="436"/>
      <c r="J195" s="436"/>
      <c r="K195" s="436"/>
      <c r="L195" s="436"/>
      <c r="M195" s="436"/>
      <c r="N195" s="436"/>
      <c r="O195" s="435" t="s">
        <v>210</v>
      </c>
      <c r="P195" s="436"/>
      <c r="Q195" s="437"/>
      <c r="R195" s="431" t="str">
        <f xml:space="preserve"> D196&amp;" - "&amp;O196</f>
        <v>2019 - 2023</v>
      </c>
      <c r="S195" s="456"/>
      <c r="U195" s="435" t="s">
        <v>211</v>
      </c>
      <c r="V195" s="436"/>
      <c r="W195" s="436"/>
      <c r="X195" s="469"/>
      <c r="Y195" s="469"/>
      <c r="Z195" s="469"/>
      <c r="AA195" s="469"/>
      <c r="AB195" s="469"/>
      <c r="AC195" s="469"/>
      <c r="AD195" s="469"/>
      <c r="AE195" s="469"/>
      <c r="AF195" s="469"/>
      <c r="AG195" s="469"/>
      <c r="AH195" s="469"/>
      <c r="AI195" s="469"/>
      <c r="AJ195" s="469"/>
      <c r="AK195" s="470"/>
    </row>
    <row r="196" spans="2:37" outlineLevel="1" x14ac:dyDescent="0.35">
      <c r="B196" s="463"/>
      <c r="C196" s="465"/>
      <c r="D196" s="435">
        <f>$C$3-5</f>
        <v>2019</v>
      </c>
      <c r="E196" s="437"/>
      <c r="F196" s="436">
        <f>$C$3-4</f>
        <v>2020</v>
      </c>
      <c r="G196" s="436"/>
      <c r="H196" s="436"/>
      <c r="I196" s="435">
        <f>$C$3-3</f>
        <v>2021</v>
      </c>
      <c r="J196" s="436"/>
      <c r="K196" s="437"/>
      <c r="L196" s="435">
        <f>$C$3-2</f>
        <v>2022</v>
      </c>
      <c r="M196" s="436"/>
      <c r="N196" s="437"/>
      <c r="O196" s="435">
        <f>$C$3-1</f>
        <v>2023</v>
      </c>
      <c r="P196" s="436"/>
      <c r="Q196" s="437"/>
      <c r="R196" s="433"/>
      <c r="S196" s="457"/>
      <c r="U196" s="435">
        <f>$C$3</f>
        <v>2024</v>
      </c>
      <c r="V196" s="436"/>
      <c r="W196" s="437"/>
      <c r="X196" s="471">
        <f>$C$3+1</f>
        <v>2025</v>
      </c>
      <c r="Y196" s="472"/>
      <c r="Z196" s="473"/>
      <c r="AA196" s="472">
        <f>$C$3+2</f>
        <v>2026</v>
      </c>
      <c r="AB196" s="472"/>
      <c r="AC196" s="473"/>
      <c r="AD196" s="471">
        <f>$C$3+3</f>
        <v>2027</v>
      </c>
      <c r="AE196" s="472"/>
      <c r="AF196" s="473"/>
      <c r="AG196" s="471">
        <f>$C$3+4</f>
        <v>2028</v>
      </c>
      <c r="AH196" s="472"/>
      <c r="AI196" s="473"/>
      <c r="AJ196" s="474" t="str">
        <f>U196&amp;" - "&amp;AG196</f>
        <v>2024 - 2028</v>
      </c>
      <c r="AK196" s="475"/>
    </row>
    <row r="197" spans="2:37" ht="29" outlineLevel="1" x14ac:dyDescent="0.35">
      <c r="B197" s="464"/>
      <c r="C197" s="465"/>
      <c r="D197" s="66" t="s">
        <v>192</v>
      </c>
      <c r="E197" s="67" t="s">
        <v>193</v>
      </c>
      <c r="F197" s="313" t="s">
        <v>192</v>
      </c>
      <c r="G197" s="9" t="s">
        <v>193</v>
      </c>
      <c r="H197" s="67" t="s">
        <v>173</v>
      </c>
      <c r="I197" s="313" t="s">
        <v>192</v>
      </c>
      <c r="J197" s="9" t="s">
        <v>193</v>
      </c>
      <c r="K197" s="67" t="s">
        <v>173</v>
      </c>
      <c r="L197" s="313" t="s">
        <v>192</v>
      </c>
      <c r="M197" s="9" t="s">
        <v>193</v>
      </c>
      <c r="N197" s="67" t="s">
        <v>173</v>
      </c>
      <c r="O197" s="313" t="s">
        <v>192</v>
      </c>
      <c r="P197" s="9" t="s">
        <v>193</v>
      </c>
      <c r="Q197" s="67" t="s">
        <v>173</v>
      </c>
      <c r="R197" s="66" t="s">
        <v>164</v>
      </c>
      <c r="S197" s="134" t="s">
        <v>174</v>
      </c>
      <c r="U197" s="66" t="s">
        <v>192</v>
      </c>
      <c r="V197" s="9" t="s">
        <v>193</v>
      </c>
      <c r="W197" s="67" t="s">
        <v>173</v>
      </c>
      <c r="X197" s="66" t="s">
        <v>192</v>
      </c>
      <c r="Y197" s="9" t="s">
        <v>193</v>
      </c>
      <c r="Z197" s="67" t="s">
        <v>173</v>
      </c>
      <c r="AA197" s="313" t="s">
        <v>192</v>
      </c>
      <c r="AB197" s="9" t="s">
        <v>193</v>
      </c>
      <c r="AC197" s="67" t="s">
        <v>173</v>
      </c>
      <c r="AD197" s="66" t="s">
        <v>192</v>
      </c>
      <c r="AE197" s="9" t="s">
        <v>193</v>
      </c>
      <c r="AF197" s="67" t="s">
        <v>173</v>
      </c>
      <c r="AG197" s="66" t="s">
        <v>192</v>
      </c>
      <c r="AH197" s="9" t="s">
        <v>193</v>
      </c>
      <c r="AI197" s="67" t="s">
        <v>173</v>
      </c>
      <c r="AJ197" s="66" t="s">
        <v>164</v>
      </c>
      <c r="AK197" s="134" t="s">
        <v>174</v>
      </c>
    </row>
    <row r="198" spans="2:37" outlineLevel="1" x14ac:dyDescent="0.35">
      <c r="B198" s="48" t="s">
        <v>74</v>
      </c>
      <c r="C198" s="62" t="s">
        <v>141</v>
      </c>
      <c r="D198" s="81">
        <v>2</v>
      </c>
      <c r="E198" s="4">
        <v>33</v>
      </c>
      <c r="F198" s="81">
        <v>1</v>
      </c>
      <c r="G198" s="4">
        <v>34</v>
      </c>
      <c r="H198" s="185">
        <f t="shared" ref="H198:H251" si="536">IFERROR((G198-E198)/E198,0)</f>
        <v>3.0303030303030304E-2</v>
      </c>
      <c r="I198" s="81">
        <v>-1</v>
      </c>
      <c r="J198" s="4">
        <v>33</v>
      </c>
      <c r="K198" s="167">
        <f t="shared" ref="K198:K252" si="537">IFERROR((J198-G198)/G198,0)</f>
        <v>-2.9411764705882353E-2</v>
      </c>
      <c r="L198" s="81">
        <v>-1</v>
      </c>
      <c r="M198" s="4">
        <v>32</v>
      </c>
      <c r="N198" s="167">
        <f t="shared" ref="N198:N252" si="538">IFERROR((M198-J198)/J198,0)</f>
        <v>-3.0303030303030304E-2</v>
      </c>
      <c r="O198" s="81">
        <v>0</v>
      </c>
      <c r="P198" s="4">
        <v>32</v>
      </c>
      <c r="Q198" s="167">
        <f>IFERROR((P198-M198)/M198,0)</f>
        <v>0</v>
      </c>
      <c r="R198" s="164">
        <f>D198+F198+I198+L198+O198</f>
        <v>1</v>
      </c>
      <c r="S198" s="165">
        <f>IFERROR((P198/E198)^(1/4)-1,0)</f>
        <v>-7.6633999319274393E-3</v>
      </c>
      <c r="U198" s="70">
        <v>0</v>
      </c>
      <c r="V198" s="138">
        <f t="shared" ref="V198:V251" si="539">P198+U198</f>
        <v>32</v>
      </c>
      <c r="W198" s="167">
        <f t="shared" ref="W198:W251" si="540">IFERROR((V198-P198)/P198,0)</f>
        <v>0</v>
      </c>
      <c r="X198" s="70">
        <v>1</v>
      </c>
      <c r="Y198" s="138">
        <f>V198+X198</f>
        <v>33</v>
      </c>
      <c r="Z198" s="167">
        <f>IFERROR((Y198-V198)/V198,0)</f>
        <v>3.125E-2</v>
      </c>
      <c r="AA198" s="68">
        <v>3</v>
      </c>
      <c r="AB198" s="138">
        <f>Y198+AA198</f>
        <v>36</v>
      </c>
      <c r="AC198" s="167">
        <f>IFERROR((AB198-Y198)/Y198,0)</f>
        <v>9.0909090909090912E-2</v>
      </c>
      <c r="AD198" s="70">
        <v>3</v>
      </c>
      <c r="AE198" s="138">
        <f>AB198+AD198</f>
        <v>39</v>
      </c>
      <c r="AF198" s="167">
        <f>IFERROR((AE198-AB198)/AB198,0)</f>
        <v>8.3333333333333329E-2</v>
      </c>
      <c r="AG198" s="70">
        <v>3</v>
      </c>
      <c r="AH198" s="138">
        <f>AE198+AG198</f>
        <v>42</v>
      </c>
      <c r="AI198" s="167">
        <f>IFERROR((AH198-AE198)/AE198,0)</f>
        <v>7.6923076923076927E-2</v>
      </c>
      <c r="AJ198" s="164">
        <f>U198+X198+AA198+AD198+AG198</f>
        <v>10</v>
      </c>
      <c r="AK198" s="165">
        <f>IFERROR((AH198/V198)^(1/4)-1,0)</f>
        <v>7.0347571464036251E-2</v>
      </c>
    </row>
    <row r="199" spans="2:37" outlineLevel="1" x14ac:dyDescent="0.35">
      <c r="B199" s="48" t="s">
        <v>75</v>
      </c>
      <c r="C199" s="62" t="s">
        <v>141</v>
      </c>
      <c r="D199" s="81">
        <v>2</v>
      </c>
      <c r="E199" s="4">
        <v>112</v>
      </c>
      <c r="F199" s="81">
        <v>7</v>
      </c>
      <c r="G199" s="4">
        <v>119</v>
      </c>
      <c r="H199" s="185">
        <f t="shared" si="536"/>
        <v>6.25E-2</v>
      </c>
      <c r="I199" s="81">
        <v>3</v>
      </c>
      <c r="J199" s="4">
        <v>122</v>
      </c>
      <c r="K199" s="167">
        <f t="shared" si="537"/>
        <v>2.5210084033613446E-2</v>
      </c>
      <c r="L199" s="81">
        <v>2</v>
      </c>
      <c r="M199" s="4">
        <v>124</v>
      </c>
      <c r="N199" s="167">
        <f t="shared" si="538"/>
        <v>1.6393442622950821E-2</v>
      </c>
      <c r="O199" s="81">
        <v>-3</v>
      </c>
      <c r="P199" s="4">
        <v>121</v>
      </c>
      <c r="Q199" s="167">
        <f t="shared" ref="Q199:Q251" si="541">IFERROR((P199-M199)/M199,0)</f>
        <v>-2.4193548387096774E-2</v>
      </c>
      <c r="R199" s="164">
        <f t="shared" ref="R199:R251" si="542">D199+F199+I199+L199+O199</f>
        <v>11</v>
      </c>
      <c r="S199" s="165">
        <f t="shared" ref="S199:S251" si="543">IFERROR((P199/E199)^(1/4)-1,0)</f>
        <v>1.951081444748537E-2</v>
      </c>
      <c r="U199" s="70">
        <v>2</v>
      </c>
      <c r="V199" s="138">
        <f t="shared" si="539"/>
        <v>123</v>
      </c>
      <c r="W199" s="167">
        <f t="shared" si="540"/>
        <v>1.6528925619834711E-2</v>
      </c>
      <c r="X199" s="70">
        <v>3</v>
      </c>
      <c r="Y199" s="138">
        <f t="shared" ref="Y199:Y251" si="544">V199+X199</f>
        <v>126</v>
      </c>
      <c r="Z199" s="167">
        <f t="shared" ref="Z199:Z251" si="545">IFERROR((Y199-V199)/V199,0)</f>
        <v>2.4390243902439025E-2</v>
      </c>
      <c r="AA199" s="68">
        <v>3</v>
      </c>
      <c r="AB199" s="138">
        <f t="shared" ref="AB199:AB251" si="546">Y199+AA199</f>
        <v>129</v>
      </c>
      <c r="AC199" s="167">
        <f t="shared" ref="AC199:AC251" si="547">IFERROR((AB199-Y199)/Y199,0)</f>
        <v>2.3809523809523808E-2</v>
      </c>
      <c r="AD199" s="70">
        <v>3</v>
      </c>
      <c r="AE199" s="138">
        <f t="shared" ref="AE199:AE251" si="548">AB199+AD199</f>
        <v>132</v>
      </c>
      <c r="AF199" s="167">
        <f t="shared" ref="AF199:AF251" si="549">IFERROR((AE199-AB199)/AB199,0)</f>
        <v>2.3255813953488372E-2</v>
      </c>
      <c r="AG199" s="70">
        <v>3</v>
      </c>
      <c r="AH199" s="138">
        <f t="shared" ref="AH199:AH251" si="550">AE199+AG199</f>
        <v>135</v>
      </c>
      <c r="AI199" s="167">
        <f t="shared" ref="AI199:AI251" si="551">IFERROR((AH199-AE199)/AE199,0)</f>
        <v>2.2727272727272728E-2</v>
      </c>
      <c r="AJ199" s="164">
        <f t="shared" ref="AJ199:AJ252" si="552">U199+X199+AA199+AD199+AG199</f>
        <v>14</v>
      </c>
      <c r="AK199" s="165">
        <f t="shared" ref="AK199:AK252" si="553">IFERROR((AH199/V199)^(1/4)-1,0)</f>
        <v>2.3545525931488509E-2</v>
      </c>
    </row>
    <row r="200" spans="2:37" outlineLevel="1" x14ac:dyDescent="0.35">
      <c r="B200" s="48" t="s">
        <v>76</v>
      </c>
      <c r="C200" s="62" t="s">
        <v>141</v>
      </c>
      <c r="D200" s="81">
        <v>3</v>
      </c>
      <c r="E200" s="4">
        <v>89</v>
      </c>
      <c r="F200" s="81">
        <v>5</v>
      </c>
      <c r="G200" s="4">
        <v>94</v>
      </c>
      <c r="H200" s="185">
        <f t="shared" si="536"/>
        <v>5.6179775280898875E-2</v>
      </c>
      <c r="I200" s="81">
        <v>5</v>
      </c>
      <c r="J200" s="4">
        <v>99</v>
      </c>
      <c r="K200" s="167">
        <f t="shared" si="537"/>
        <v>5.3191489361702128E-2</v>
      </c>
      <c r="L200" s="81">
        <v>-4</v>
      </c>
      <c r="M200" s="4">
        <v>95</v>
      </c>
      <c r="N200" s="167">
        <f t="shared" si="538"/>
        <v>-4.0404040404040407E-2</v>
      </c>
      <c r="O200" s="81">
        <v>-1</v>
      </c>
      <c r="P200" s="4">
        <v>94</v>
      </c>
      <c r="Q200" s="167">
        <f t="shared" si="541"/>
        <v>-1.0526315789473684E-2</v>
      </c>
      <c r="R200" s="164">
        <f t="shared" si="542"/>
        <v>8</v>
      </c>
      <c r="S200" s="165">
        <f t="shared" si="543"/>
        <v>1.3758390526149133E-2</v>
      </c>
      <c r="U200" s="70">
        <v>4</v>
      </c>
      <c r="V200" s="138">
        <f t="shared" si="539"/>
        <v>98</v>
      </c>
      <c r="W200" s="167">
        <f t="shared" si="540"/>
        <v>4.2553191489361701E-2</v>
      </c>
      <c r="X200" s="70">
        <v>4</v>
      </c>
      <c r="Y200" s="138">
        <f t="shared" si="544"/>
        <v>102</v>
      </c>
      <c r="Z200" s="167">
        <f t="shared" si="545"/>
        <v>4.0816326530612242E-2</v>
      </c>
      <c r="AA200" s="68">
        <v>7</v>
      </c>
      <c r="AB200" s="138">
        <f t="shared" si="546"/>
        <v>109</v>
      </c>
      <c r="AC200" s="167">
        <f t="shared" si="547"/>
        <v>6.8627450980392163E-2</v>
      </c>
      <c r="AD200" s="70">
        <v>7</v>
      </c>
      <c r="AE200" s="138">
        <f t="shared" si="548"/>
        <v>116</v>
      </c>
      <c r="AF200" s="167">
        <f t="shared" si="549"/>
        <v>6.4220183486238536E-2</v>
      </c>
      <c r="AG200" s="70">
        <v>8</v>
      </c>
      <c r="AH200" s="138">
        <f t="shared" si="550"/>
        <v>124</v>
      </c>
      <c r="AI200" s="167">
        <f t="shared" si="551"/>
        <v>6.8965517241379309E-2</v>
      </c>
      <c r="AJ200" s="164">
        <f t="shared" si="552"/>
        <v>30</v>
      </c>
      <c r="AK200" s="165">
        <f t="shared" si="553"/>
        <v>6.0593356435902468E-2</v>
      </c>
    </row>
    <row r="201" spans="2:37" outlineLevel="1" x14ac:dyDescent="0.35">
      <c r="B201" s="48" t="s">
        <v>77</v>
      </c>
      <c r="C201" s="62" t="s">
        <v>141</v>
      </c>
      <c r="D201" s="81">
        <v>0</v>
      </c>
      <c r="E201" s="4">
        <v>28</v>
      </c>
      <c r="F201" s="81">
        <v>1</v>
      </c>
      <c r="G201" s="4">
        <v>29</v>
      </c>
      <c r="H201" s="185">
        <f t="shared" si="536"/>
        <v>3.5714285714285712E-2</v>
      </c>
      <c r="I201" s="81">
        <v>3</v>
      </c>
      <c r="J201" s="4">
        <v>32</v>
      </c>
      <c r="K201" s="167">
        <f t="shared" si="537"/>
        <v>0.10344827586206896</v>
      </c>
      <c r="L201" s="81">
        <v>2</v>
      </c>
      <c r="M201" s="4">
        <v>34</v>
      </c>
      <c r="N201" s="167">
        <f t="shared" si="538"/>
        <v>6.25E-2</v>
      </c>
      <c r="O201" s="81">
        <v>-3</v>
      </c>
      <c r="P201" s="4">
        <v>31</v>
      </c>
      <c r="Q201" s="167">
        <f t="shared" si="541"/>
        <v>-8.8235294117647065E-2</v>
      </c>
      <c r="R201" s="164">
        <f t="shared" si="542"/>
        <v>3</v>
      </c>
      <c r="S201" s="165">
        <f t="shared" si="543"/>
        <v>2.5772178223947728E-2</v>
      </c>
      <c r="U201" s="70">
        <v>1</v>
      </c>
      <c r="V201" s="138">
        <f t="shared" si="539"/>
        <v>32</v>
      </c>
      <c r="W201" s="167">
        <f t="shared" si="540"/>
        <v>3.2258064516129031E-2</v>
      </c>
      <c r="X201" s="70">
        <v>1</v>
      </c>
      <c r="Y201" s="138">
        <f t="shared" si="544"/>
        <v>33</v>
      </c>
      <c r="Z201" s="167">
        <f t="shared" si="545"/>
        <v>3.125E-2</v>
      </c>
      <c r="AA201" s="68">
        <v>1</v>
      </c>
      <c r="AB201" s="138">
        <f t="shared" si="546"/>
        <v>34</v>
      </c>
      <c r="AC201" s="167">
        <f t="shared" si="547"/>
        <v>3.0303030303030304E-2</v>
      </c>
      <c r="AD201" s="70">
        <v>2</v>
      </c>
      <c r="AE201" s="138">
        <f t="shared" si="548"/>
        <v>36</v>
      </c>
      <c r="AF201" s="167">
        <f t="shared" si="549"/>
        <v>5.8823529411764705E-2</v>
      </c>
      <c r="AG201" s="70">
        <v>1</v>
      </c>
      <c r="AH201" s="138">
        <f t="shared" si="550"/>
        <v>37</v>
      </c>
      <c r="AI201" s="167">
        <f t="shared" si="551"/>
        <v>2.7777777777777776E-2</v>
      </c>
      <c r="AJ201" s="164">
        <f t="shared" si="552"/>
        <v>6</v>
      </c>
      <c r="AK201" s="165">
        <f t="shared" si="553"/>
        <v>3.6962226110637264E-2</v>
      </c>
    </row>
    <row r="202" spans="2:37" outlineLevel="1" x14ac:dyDescent="0.35">
      <c r="B202" s="48" t="s">
        <v>78</v>
      </c>
      <c r="C202" s="62" t="s">
        <v>141</v>
      </c>
      <c r="D202" s="81">
        <v>48</v>
      </c>
      <c r="E202" s="4">
        <v>3079</v>
      </c>
      <c r="F202" s="81">
        <v>50</v>
      </c>
      <c r="G202" s="4">
        <v>3129</v>
      </c>
      <c r="H202" s="185">
        <f t="shared" si="536"/>
        <v>1.6239038648911984E-2</v>
      </c>
      <c r="I202" s="81">
        <v>35</v>
      </c>
      <c r="J202" s="4">
        <v>3164</v>
      </c>
      <c r="K202" s="167">
        <f t="shared" si="537"/>
        <v>1.1185682326621925E-2</v>
      </c>
      <c r="L202" s="81">
        <v>-29</v>
      </c>
      <c r="M202" s="4">
        <v>3135</v>
      </c>
      <c r="N202" s="167">
        <f t="shared" si="538"/>
        <v>-9.165613147914033E-3</v>
      </c>
      <c r="O202" s="81">
        <v>-47</v>
      </c>
      <c r="P202" s="4">
        <v>3088</v>
      </c>
      <c r="Q202" s="167">
        <f t="shared" si="541"/>
        <v>-1.4992025518341308E-2</v>
      </c>
      <c r="R202" s="164">
        <f t="shared" si="542"/>
        <v>57</v>
      </c>
      <c r="S202" s="165">
        <f t="shared" si="543"/>
        <v>7.2995709414280796E-4</v>
      </c>
      <c r="U202" s="70">
        <v>104</v>
      </c>
      <c r="V202" s="138">
        <f t="shared" si="539"/>
        <v>3192</v>
      </c>
      <c r="W202" s="167">
        <f t="shared" si="540"/>
        <v>3.367875647668394E-2</v>
      </c>
      <c r="X202" s="70">
        <v>91</v>
      </c>
      <c r="Y202" s="138">
        <f t="shared" si="544"/>
        <v>3283</v>
      </c>
      <c r="Z202" s="167">
        <f t="shared" si="545"/>
        <v>2.850877192982456E-2</v>
      </c>
      <c r="AA202" s="68">
        <v>85</v>
      </c>
      <c r="AB202" s="138">
        <f t="shared" si="546"/>
        <v>3368</v>
      </c>
      <c r="AC202" s="167">
        <f t="shared" si="547"/>
        <v>2.5890953396283885E-2</v>
      </c>
      <c r="AD202" s="70">
        <v>79</v>
      </c>
      <c r="AE202" s="138">
        <f t="shared" si="548"/>
        <v>3447</v>
      </c>
      <c r="AF202" s="167">
        <f t="shared" si="549"/>
        <v>2.3456057007125889E-2</v>
      </c>
      <c r="AG202" s="70">
        <v>68</v>
      </c>
      <c r="AH202" s="138">
        <f t="shared" si="550"/>
        <v>3515</v>
      </c>
      <c r="AI202" s="167">
        <f t="shared" si="551"/>
        <v>1.9727299100667246E-2</v>
      </c>
      <c r="AJ202" s="164">
        <f t="shared" si="552"/>
        <v>427</v>
      </c>
      <c r="AK202" s="165">
        <f t="shared" si="553"/>
        <v>2.4390663738321328E-2</v>
      </c>
    </row>
    <row r="203" spans="2:37" outlineLevel="1" x14ac:dyDescent="0.35">
      <c r="B203" s="48" t="s">
        <v>79</v>
      </c>
      <c r="C203" s="62" t="s">
        <v>141</v>
      </c>
      <c r="D203" s="81">
        <v>5</v>
      </c>
      <c r="E203" s="4">
        <v>126</v>
      </c>
      <c r="F203" s="81">
        <v>3</v>
      </c>
      <c r="G203" s="4">
        <v>129</v>
      </c>
      <c r="H203" s="185">
        <f t="shared" si="536"/>
        <v>2.3809523809523808E-2</v>
      </c>
      <c r="I203" s="81">
        <v>-2</v>
      </c>
      <c r="J203" s="4">
        <v>127</v>
      </c>
      <c r="K203" s="167">
        <f t="shared" si="537"/>
        <v>-1.5503875968992248E-2</v>
      </c>
      <c r="L203" s="81">
        <v>-6</v>
      </c>
      <c r="M203" s="4">
        <v>121</v>
      </c>
      <c r="N203" s="167">
        <f t="shared" si="538"/>
        <v>-4.7244094488188976E-2</v>
      </c>
      <c r="O203" s="81">
        <v>-2</v>
      </c>
      <c r="P203" s="4">
        <v>119</v>
      </c>
      <c r="Q203" s="167">
        <f t="shared" si="541"/>
        <v>-1.6528925619834711E-2</v>
      </c>
      <c r="R203" s="164">
        <f t="shared" si="542"/>
        <v>-2</v>
      </c>
      <c r="S203" s="165">
        <f t="shared" si="543"/>
        <v>-1.4187991649751708E-2</v>
      </c>
      <c r="U203" s="70">
        <v>1</v>
      </c>
      <c r="V203" s="138">
        <f t="shared" si="539"/>
        <v>120</v>
      </c>
      <c r="W203" s="167">
        <f t="shared" si="540"/>
        <v>8.4033613445378148E-3</v>
      </c>
      <c r="X203" s="70">
        <v>1</v>
      </c>
      <c r="Y203" s="138">
        <f t="shared" si="544"/>
        <v>121</v>
      </c>
      <c r="Z203" s="167">
        <f t="shared" si="545"/>
        <v>8.3333333333333332E-3</v>
      </c>
      <c r="AA203" s="68">
        <v>1</v>
      </c>
      <c r="AB203" s="138">
        <f t="shared" si="546"/>
        <v>122</v>
      </c>
      <c r="AC203" s="167">
        <f t="shared" si="547"/>
        <v>8.2644628099173556E-3</v>
      </c>
      <c r="AD203" s="70">
        <v>1</v>
      </c>
      <c r="AE203" s="138">
        <f t="shared" si="548"/>
        <v>123</v>
      </c>
      <c r="AF203" s="167">
        <f t="shared" si="549"/>
        <v>8.1967213114754103E-3</v>
      </c>
      <c r="AG203" s="70">
        <v>2</v>
      </c>
      <c r="AH203" s="138">
        <f t="shared" si="550"/>
        <v>125</v>
      </c>
      <c r="AI203" s="167">
        <f t="shared" si="551"/>
        <v>1.6260162601626018E-2</v>
      </c>
      <c r="AJ203" s="164">
        <f t="shared" si="552"/>
        <v>6</v>
      </c>
      <c r="AK203" s="165">
        <f t="shared" si="553"/>
        <v>1.025775233831161E-2</v>
      </c>
    </row>
    <row r="204" spans="2:37" outlineLevel="1" x14ac:dyDescent="0.35">
      <c r="B204" s="48" t="s">
        <v>80</v>
      </c>
      <c r="C204" s="62" t="s">
        <v>141</v>
      </c>
      <c r="D204" s="81">
        <v>3</v>
      </c>
      <c r="E204" s="4">
        <v>42</v>
      </c>
      <c r="F204" s="81">
        <v>5</v>
      </c>
      <c r="G204" s="4">
        <v>47</v>
      </c>
      <c r="H204" s="185">
        <f t="shared" si="536"/>
        <v>0.11904761904761904</v>
      </c>
      <c r="I204" s="81">
        <v>1</v>
      </c>
      <c r="J204" s="4">
        <v>48</v>
      </c>
      <c r="K204" s="167">
        <f t="shared" si="537"/>
        <v>2.1276595744680851E-2</v>
      </c>
      <c r="L204" s="81">
        <v>-1</v>
      </c>
      <c r="M204" s="4">
        <v>47</v>
      </c>
      <c r="N204" s="167">
        <f t="shared" si="538"/>
        <v>-2.0833333333333332E-2</v>
      </c>
      <c r="O204" s="81">
        <v>2</v>
      </c>
      <c r="P204" s="4">
        <v>49</v>
      </c>
      <c r="Q204" s="167">
        <f t="shared" si="541"/>
        <v>4.2553191489361701E-2</v>
      </c>
      <c r="R204" s="164">
        <f t="shared" si="542"/>
        <v>10</v>
      </c>
      <c r="S204" s="165">
        <f t="shared" si="543"/>
        <v>3.9289877625411807E-2</v>
      </c>
      <c r="U204" s="70">
        <v>5</v>
      </c>
      <c r="V204" s="138">
        <f t="shared" si="539"/>
        <v>54</v>
      </c>
      <c r="W204" s="167">
        <f t="shared" si="540"/>
        <v>0.10204081632653061</v>
      </c>
      <c r="X204" s="70">
        <v>5</v>
      </c>
      <c r="Y204" s="138">
        <f t="shared" si="544"/>
        <v>59</v>
      </c>
      <c r="Z204" s="167">
        <f t="shared" si="545"/>
        <v>9.2592592592592587E-2</v>
      </c>
      <c r="AA204" s="68">
        <v>4</v>
      </c>
      <c r="AB204" s="138">
        <f t="shared" si="546"/>
        <v>63</v>
      </c>
      <c r="AC204" s="167">
        <f t="shared" si="547"/>
        <v>6.7796610169491525E-2</v>
      </c>
      <c r="AD204" s="70">
        <v>4</v>
      </c>
      <c r="AE204" s="138">
        <f t="shared" si="548"/>
        <v>67</v>
      </c>
      <c r="AF204" s="167">
        <f t="shared" si="549"/>
        <v>6.3492063492063489E-2</v>
      </c>
      <c r="AG204" s="70">
        <v>3</v>
      </c>
      <c r="AH204" s="138">
        <f t="shared" si="550"/>
        <v>70</v>
      </c>
      <c r="AI204" s="167">
        <f t="shared" si="551"/>
        <v>4.4776119402985072E-2</v>
      </c>
      <c r="AJ204" s="164">
        <f t="shared" si="552"/>
        <v>21</v>
      </c>
      <c r="AK204" s="165">
        <f t="shared" si="553"/>
        <v>6.7028624314559915E-2</v>
      </c>
    </row>
    <row r="205" spans="2:37" outlineLevel="1" x14ac:dyDescent="0.35">
      <c r="B205" s="48" t="s">
        <v>81</v>
      </c>
      <c r="C205" s="62" t="s">
        <v>141</v>
      </c>
      <c r="D205" s="81">
        <v>14</v>
      </c>
      <c r="E205" s="4">
        <v>238</v>
      </c>
      <c r="F205" s="81">
        <v>5</v>
      </c>
      <c r="G205" s="4">
        <v>243</v>
      </c>
      <c r="H205" s="185">
        <f t="shared" si="536"/>
        <v>2.100840336134454E-2</v>
      </c>
      <c r="I205" s="81">
        <v>2</v>
      </c>
      <c r="J205" s="4">
        <v>245</v>
      </c>
      <c r="K205" s="167">
        <f t="shared" si="537"/>
        <v>8.23045267489712E-3</v>
      </c>
      <c r="L205" s="81">
        <v>6</v>
      </c>
      <c r="M205" s="4">
        <v>251</v>
      </c>
      <c r="N205" s="167">
        <f t="shared" si="538"/>
        <v>2.4489795918367346E-2</v>
      </c>
      <c r="O205" s="81">
        <v>-6</v>
      </c>
      <c r="P205" s="4">
        <v>245</v>
      </c>
      <c r="Q205" s="167">
        <f t="shared" si="541"/>
        <v>-2.3904382470119521E-2</v>
      </c>
      <c r="R205" s="164">
        <f t="shared" si="542"/>
        <v>21</v>
      </c>
      <c r="S205" s="165">
        <f t="shared" si="543"/>
        <v>7.2732064300056187E-3</v>
      </c>
      <c r="U205" s="70">
        <v>5</v>
      </c>
      <c r="V205" s="138">
        <f t="shared" si="539"/>
        <v>250</v>
      </c>
      <c r="W205" s="167">
        <f t="shared" si="540"/>
        <v>2.0408163265306121E-2</v>
      </c>
      <c r="X205" s="70">
        <v>4</v>
      </c>
      <c r="Y205" s="138">
        <f t="shared" si="544"/>
        <v>254</v>
      </c>
      <c r="Z205" s="167">
        <f t="shared" si="545"/>
        <v>1.6E-2</v>
      </c>
      <c r="AA205" s="68">
        <v>4</v>
      </c>
      <c r="AB205" s="138">
        <f t="shared" si="546"/>
        <v>258</v>
      </c>
      <c r="AC205" s="167">
        <f t="shared" si="547"/>
        <v>1.5748031496062992E-2</v>
      </c>
      <c r="AD205" s="70">
        <v>3</v>
      </c>
      <c r="AE205" s="138">
        <f t="shared" si="548"/>
        <v>261</v>
      </c>
      <c r="AF205" s="167">
        <f t="shared" si="549"/>
        <v>1.1627906976744186E-2</v>
      </c>
      <c r="AG205" s="70">
        <v>2</v>
      </c>
      <c r="AH205" s="138">
        <f t="shared" si="550"/>
        <v>263</v>
      </c>
      <c r="AI205" s="167">
        <f t="shared" si="551"/>
        <v>7.6628352490421452E-3</v>
      </c>
      <c r="AJ205" s="164">
        <f t="shared" si="552"/>
        <v>18</v>
      </c>
      <c r="AK205" s="165">
        <f t="shared" si="553"/>
        <v>1.27539248981694E-2</v>
      </c>
    </row>
    <row r="206" spans="2:37" outlineLevel="1" x14ac:dyDescent="0.35">
      <c r="B206" s="48" t="s">
        <v>82</v>
      </c>
      <c r="C206" s="62" t="s">
        <v>141</v>
      </c>
      <c r="D206" s="81">
        <v>2</v>
      </c>
      <c r="E206" s="4">
        <v>11</v>
      </c>
      <c r="F206" s="81">
        <v>0</v>
      </c>
      <c r="G206" s="4">
        <v>11</v>
      </c>
      <c r="H206" s="185">
        <f t="shared" si="536"/>
        <v>0</v>
      </c>
      <c r="I206" s="81">
        <v>0</v>
      </c>
      <c r="J206" s="4">
        <v>11</v>
      </c>
      <c r="K206" s="167">
        <f t="shared" si="537"/>
        <v>0</v>
      </c>
      <c r="L206" s="81">
        <v>-1</v>
      </c>
      <c r="M206" s="4">
        <v>10</v>
      </c>
      <c r="N206" s="167">
        <f t="shared" si="538"/>
        <v>-9.0909090909090912E-2</v>
      </c>
      <c r="O206" s="81">
        <v>1</v>
      </c>
      <c r="P206" s="4">
        <v>11</v>
      </c>
      <c r="Q206" s="167">
        <f t="shared" si="541"/>
        <v>0.1</v>
      </c>
      <c r="R206" s="164">
        <f t="shared" si="542"/>
        <v>2</v>
      </c>
      <c r="S206" s="165">
        <f t="shared" si="543"/>
        <v>0</v>
      </c>
      <c r="U206" s="70">
        <v>0</v>
      </c>
      <c r="V206" s="138">
        <f t="shared" si="539"/>
        <v>11</v>
      </c>
      <c r="W206" s="167">
        <f t="shared" si="540"/>
        <v>0</v>
      </c>
      <c r="X206" s="70">
        <v>0</v>
      </c>
      <c r="Y206" s="138">
        <f t="shared" si="544"/>
        <v>11</v>
      </c>
      <c r="Z206" s="167">
        <f t="shared" si="545"/>
        <v>0</v>
      </c>
      <c r="AA206" s="68">
        <v>0</v>
      </c>
      <c r="AB206" s="138">
        <f t="shared" si="546"/>
        <v>11</v>
      </c>
      <c r="AC206" s="167">
        <f t="shared" si="547"/>
        <v>0</v>
      </c>
      <c r="AD206" s="70">
        <v>0</v>
      </c>
      <c r="AE206" s="138">
        <f t="shared" si="548"/>
        <v>11</v>
      </c>
      <c r="AF206" s="167">
        <f t="shared" si="549"/>
        <v>0</v>
      </c>
      <c r="AG206" s="70">
        <v>0</v>
      </c>
      <c r="AH206" s="138">
        <f t="shared" si="550"/>
        <v>11</v>
      </c>
      <c r="AI206" s="167">
        <f t="shared" si="551"/>
        <v>0</v>
      </c>
      <c r="AJ206" s="164">
        <f t="shared" si="552"/>
        <v>0</v>
      </c>
      <c r="AK206" s="165">
        <f t="shared" si="553"/>
        <v>0</v>
      </c>
    </row>
    <row r="207" spans="2:37" outlineLevel="1" x14ac:dyDescent="0.35">
      <c r="B207" s="48" t="s">
        <v>83</v>
      </c>
      <c r="C207" s="62" t="s">
        <v>141</v>
      </c>
      <c r="D207" s="81">
        <v>2</v>
      </c>
      <c r="E207" s="4">
        <v>46</v>
      </c>
      <c r="F207" s="81">
        <v>1</v>
      </c>
      <c r="G207" s="4">
        <v>47</v>
      </c>
      <c r="H207" s="185">
        <f t="shared" si="536"/>
        <v>2.1739130434782608E-2</v>
      </c>
      <c r="I207" s="81">
        <v>2</v>
      </c>
      <c r="J207" s="4">
        <v>49</v>
      </c>
      <c r="K207" s="167">
        <f t="shared" si="537"/>
        <v>4.2553191489361701E-2</v>
      </c>
      <c r="L207" s="81">
        <v>-1</v>
      </c>
      <c r="M207" s="4">
        <v>48</v>
      </c>
      <c r="N207" s="167">
        <f t="shared" si="538"/>
        <v>-2.0408163265306121E-2</v>
      </c>
      <c r="O207" s="81">
        <v>-2</v>
      </c>
      <c r="P207" s="4">
        <v>46</v>
      </c>
      <c r="Q207" s="167">
        <f t="shared" si="541"/>
        <v>-4.1666666666666664E-2</v>
      </c>
      <c r="R207" s="164">
        <f t="shared" si="542"/>
        <v>2</v>
      </c>
      <c r="S207" s="165">
        <f t="shared" si="543"/>
        <v>0</v>
      </c>
      <c r="U207" s="70">
        <v>5</v>
      </c>
      <c r="V207" s="138">
        <f t="shared" si="539"/>
        <v>51</v>
      </c>
      <c r="W207" s="167">
        <f t="shared" si="540"/>
        <v>0.10869565217391304</v>
      </c>
      <c r="X207" s="70">
        <v>4</v>
      </c>
      <c r="Y207" s="138">
        <f t="shared" si="544"/>
        <v>55</v>
      </c>
      <c r="Z207" s="167">
        <f t="shared" si="545"/>
        <v>7.8431372549019607E-2</v>
      </c>
      <c r="AA207" s="68">
        <v>4</v>
      </c>
      <c r="AB207" s="138">
        <f t="shared" si="546"/>
        <v>59</v>
      </c>
      <c r="AC207" s="167">
        <f t="shared" si="547"/>
        <v>7.2727272727272724E-2</v>
      </c>
      <c r="AD207" s="70">
        <v>4</v>
      </c>
      <c r="AE207" s="138">
        <f t="shared" si="548"/>
        <v>63</v>
      </c>
      <c r="AF207" s="167">
        <f t="shared" si="549"/>
        <v>6.7796610169491525E-2</v>
      </c>
      <c r="AG207" s="70">
        <v>3</v>
      </c>
      <c r="AH207" s="138">
        <f t="shared" si="550"/>
        <v>66</v>
      </c>
      <c r="AI207" s="167">
        <f t="shared" si="551"/>
        <v>4.7619047619047616E-2</v>
      </c>
      <c r="AJ207" s="164">
        <f t="shared" si="552"/>
        <v>20</v>
      </c>
      <c r="AK207" s="165">
        <f t="shared" si="553"/>
        <v>6.6580010120685706E-2</v>
      </c>
    </row>
    <row r="208" spans="2:37" outlineLevel="1" x14ac:dyDescent="0.35">
      <c r="B208" s="48" t="s">
        <v>84</v>
      </c>
      <c r="C208" s="62" t="s">
        <v>141</v>
      </c>
      <c r="D208" s="81">
        <v>-1</v>
      </c>
      <c r="E208" s="4">
        <v>35</v>
      </c>
      <c r="F208" s="81">
        <v>0</v>
      </c>
      <c r="G208" s="4">
        <v>35</v>
      </c>
      <c r="H208" s="185">
        <f t="shared" si="536"/>
        <v>0</v>
      </c>
      <c r="I208" s="81">
        <v>1</v>
      </c>
      <c r="J208" s="4">
        <v>36</v>
      </c>
      <c r="K208" s="167">
        <f t="shared" si="537"/>
        <v>2.8571428571428571E-2</v>
      </c>
      <c r="L208" s="81">
        <v>1</v>
      </c>
      <c r="M208" s="4">
        <v>37</v>
      </c>
      <c r="N208" s="167">
        <f t="shared" si="538"/>
        <v>2.7777777777777776E-2</v>
      </c>
      <c r="O208" s="81">
        <v>0</v>
      </c>
      <c r="P208" s="4">
        <v>37</v>
      </c>
      <c r="Q208" s="167">
        <f t="shared" si="541"/>
        <v>0</v>
      </c>
      <c r="R208" s="164">
        <f t="shared" si="542"/>
        <v>1</v>
      </c>
      <c r="S208" s="165">
        <f t="shared" si="543"/>
        <v>1.3989411481672098E-2</v>
      </c>
      <c r="U208" s="70">
        <v>5</v>
      </c>
      <c r="V208" s="138">
        <f t="shared" si="539"/>
        <v>42</v>
      </c>
      <c r="W208" s="167">
        <f t="shared" si="540"/>
        <v>0.13513513513513514</v>
      </c>
      <c r="X208" s="70">
        <v>3</v>
      </c>
      <c r="Y208" s="138">
        <f t="shared" si="544"/>
        <v>45</v>
      </c>
      <c r="Z208" s="167">
        <f t="shared" si="545"/>
        <v>7.1428571428571425E-2</v>
      </c>
      <c r="AA208" s="68">
        <v>4</v>
      </c>
      <c r="AB208" s="138">
        <f t="shared" si="546"/>
        <v>49</v>
      </c>
      <c r="AC208" s="167">
        <f t="shared" si="547"/>
        <v>8.8888888888888892E-2</v>
      </c>
      <c r="AD208" s="70">
        <v>5</v>
      </c>
      <c r="AE208" s="138">
        <f t="shared" si="548"/>
        <v>54</v>
      </c>
      <c r="AF208" s="167">
        <f t="shared" si="549"/>
        <v>0.10204081632653061</v>
      </c>
      <c r="AG208" s="70">
        <v>5</v>
      </c>
      <c r="AH208" s="138">
        <f t="shared" si="550"/>
        <v>59</v>
      </c>
      <c r="AI208" s="167">
        <f t="shared" si="551"/>
        <v>9.2592592592592587E-2</v>
      </c>
      <c r="AJ208" s="164">
        <f t="shared" si="552"/>
        <v>22</v>
      </c>
      <c r="AK208" s="165">
        <f t="shared" si="553"/>
        <v>8.8681092167584241E-2</v>
      </c>
    </row>
    <row r="209" spans="2:37" outlineLevel="1" x14ac:dyDescent="0.35">
      <c r="B209" s="48" t="s">
        <v>85</v>
      </c>
      <c r="C209" s="62" t="s">
        <v>141</v>
      </c>
      <c r="D209" s="81">
        <v>4</v>
      </c>
      <c r="E209" s="4">
        <v>25</v>
      </c>
      <c r="F209" s="81">
        <v>5</v>
      </c>
      <c r="G209" s="4">
        <v>30</v>
      </c>
      <c r="H209" s="185">
        <f t="shared" si="536"/>
        <v>0.2</v>
      </c>
      <c r="I209" s="81">
        <v>5</v>
      </c>
      <c r="J209" s="4">
        <v>35</v>
      </c>
      <c r="K209" s="167">
        <f t="shared" si="537"/>
        <v>0.16666666666666666</v>
      </c>
      <c r="L209" s="81">
        <v>-1</v>
      </c>
      <c r="M209" s="4">
        <v>34</v>
      </c>
      <c r="N209" s="167">
        <f t="shared" si="538"/>
        <v>-2.8571428571428571E-2</v>
      </c>
      <c r="O209" s="81">
        <v>1</v>
      </c>
      <c r="P209" s="4">
        <v>35</v>
      </c>
      <c r="Q209" s="167">
        <f t="shared" si="541"/>
        <v>2.9411764705882353E-2</v>
      </c>
      <c r="R209" s="164">
        <f t="shared" si="542"/>
        <v>14</v>
      </c>
      <c r="S209" s="165">
        <f t="shared" si="543"/>
        <v>8.7757305937277152E-2</v>
      </c>
      <c r="U209" s="70">
        <v>0</v>
      </c>
      <c r="V209" s="138">
        <f t="shared" si="539"/>
        <v>35</v>
      </c>
      <c r="W209" s="167">
        <f t="shared" si="540"/>
        <v>0</v>
      </c>
      <c r="X209" s="70">
        <v>1</v>
      </c>
      <c r="Y209" s="138">
        <f t="shared" si="544"/>
        <v>36</v>
      </c>
      <c r="Z209" s="167">
        <f t="shared" si="545"/>
        <v>2.8571428571428571E-2</v>
      </c>
      <c r="AA209" s="68">
        <v>1</v>
      </c>
      <c r="AB209" s="138">
        <f t="shared" si="546"/>
        <v>37</v>
      </c>
      <c r="AC209" s="167">
        <f t="shared" si="547"/>
        <v>2.7777777777777776E-2</v>
      </c>
      <c r="AD209" s="70">
        <v>1</v>
      </c>
      <c r="AE209" s="138">
        <f t="shared" si="548"/>
        <v>38</v>
      </c>
      <c r="AF209" s="167">
        <f t="shared" si="549"/>
        <v>2.7027027027027029E-2</v>
      </c>
      <c r="AG209" s="70">
        <v>1</v>
      </c>
      <c r="AH209" s="138">
        <f t="shared" si="550"/>
        <v>39</v>
      </c>
      <c r="AI209" s="167">
        <f t="shared" si="551"/>
        <v>2.6315789473684209E-2</v>
      </c>
      <c r="AJ209" s="164">
        <f t="shared" si="552"/>
        <v>4</v>
      </c>
      <c r="AK209" s="165">
        <f t="shared" si="553"/>
        <v>2.7422661723740305E-2</v>
      </c>
    </row>
    <row r="210" spans="2:37" outlineLevel="1" x14ac:dyDescent="0.35">
      <c r="B210" s="48" t="s">
        <v>86</v>
      </c>
      <c r="C210" s="62" t="s">
        <v>141</v>
      </c>
      <c r="D210" s="81">
        <v>2</v>
      </c>
      <c r="E210" s="4">
        <v>57</v>
      </c>
      <c r="F210" s="81">
        <v>6</v>
      </c>
      <c r="G210" s="4">
        <v>63</v>
      </c>
      <c r="H210" s="185">
        <f t="shared" si="536"/>
        <v>0.10526315789473684</v>
      </c>
      <c r="I210" s="81">
        <v>4</v>
      </c>
      <c r="J210" s="4">
        <v>67</v>
      </c>
      <c r="K210" s="167">
        <f t="shared" si="537"/>
        <v>6.3492063492063489E-2</v>
      </c>
      <c r="L210" s="81">
        <v>2</v>
      </c>
      <c r="M210" s="4">
        <v>69</v>
      </c>
      <c r="N210" s="167">
        <f t="shared" si="538"/>
        <v>2.9850746268656716E-2</v>
      </c>
      <c r="O210" s="81">
        <v>1</v>
      </c>
      <c r="P210" s="4">
        <v>70</v>
      </c>
      <c r="Q210" s="167">
        <f t="shared" si="541"/>
        <v>1.4492753623188406E-2</v>
      </c>
      <c r="R210" s="164">
        <f t="shared" si="542"/>
        <v>15</v>
      </c>
      <c r="S210" s="165">
        <f t="shared" si="543"/>
        <v>5.270284363978095E-2</v>
      </c>
      <c r="U210" s="70">
        <v>2</v>
      </c>
      <c r="V210" s="138">
        <f t="shared" si="539"/>
        <v>72</v>
      </c>
      <c r="W210" s="167">
        <f t="shared" si="540"/>
        <v>2.8571428571428571E-2</v>
      </c>
      <c r="X210" s="70">
        <v>6</v>
      </c>
      <c r="Y210" s="138">
        <f t="shared" si="544"/>
        <v>78</v>
      </c>
      <c r="Z210" s="167">
        <f t="shared" si="545"/>
        <v>8.3333333333333329E-2</v>
      </c>
      <c r="AA210" s="68">
        <v>10</v>
      </c>
      <c r="AB210" s="138">
        <f t="shared" si="546"/>
        <v>88</v>
      </c>
      <c r="AC210" s="167">
        <f t="shared" si="547"/>
        <v>0.12820512820512819</v>
      </c>
      <c r="AD210" s="70">
        <v>10</v>
      </c>
      <c r="AE210" s="138">
        <f t="shared" si="548"/>
        <v>98</v>
      </c>
      <c r="AF210" s="167">
        <f t="shared" si="549"/>
        <v>0.11363636363636363</v>
      </c>
      <c r="AG210" s="70">
        <v>9</v>
      </c>
      <c r="AH210" s="138">
        <f t="shared" si="550"/>
        <v>107</v>
      </c>
      <c r="AI210" s="167">
        <f t="shared" si="551"/>
        <v>9.1836734693877556E-2</v>
      </c>
      <c r="AJ210" s="164">
        <f t="shared" si="552"/>
        <v>37</v>
      </c>
      <c r="AK210" s="165">
        <f t="shared" si="553"/>
        <v>0.10411121263242751</v>
      </c>
    </row>
    <row r="211" spans="2:37" outlineLevel="1" x14ac:dyDescent="0.35">
      <c r="B211" s="48" t="s">
        <v>87</v>
      </c>
      <c r="C211" s="62" t="s">
        <v>141</v>
      </c>
      <c r="D211" s="81">
        <v>1</v>
      </c>
      <c r="E211" s="4">
        <v>70</v>
      </c>
      <c r="F211" s="81">
        <v>6</v>
      </c>
      <c r="G211" s="4">
        <v>76</v>
      </c>
      <c r="H211" s="185">
        <f t="shared" si="536"/>
        <v>8.5714285714285715E-2</v>
      </c>
      <c r="I211" s="81">
        <v>-3</v>
      </c>
      <c r="J211" s="4">
        <v>73</v>
      </c>
      <c r="K211" s="167">
        <f t="shared" si="537"/>
        <v>-3.9473684210526314E-2</v>
      </c>
      <c r="L211" s="81">
        <v>1</v>
      </c>
      <c r="M211" s="4">
        <v>74</v>
      </c>
      <c r="N211" s="167">
        <f t="shared" si="538"/>
        <v>1.3698630136986301E-2</v>
      </c>
      <c r="O211" s="81">
        <v>2</v>
      </c>
      <c r="P211" s="4">
        <v>76</v>
      </c>
      <c r="Q211" s="167">
        <f t="shared" si="541"/>
        <v>2.7027027027027029E-2</v>
      </c>
      <c r="R211" s="164">
        <f t="shared" si="542"/>
        <v>7</v>
      </c>
      <c r="S211" s="165">
        <f t="shared" si="543"/>
        <v>2.0772327457722284E-2</v>
      </c>
      <c r="U211" s="70">
        <v>4</v>
      </c>
      <c r="V211" s="138">
        <f t="shared" si="539"/>
        <v>80</v>
      </c>
      <c r="W211" s="167">
        <f t="shared" si="540"/>
        <v>5.2631578947368418E-2</v>
      </c>
      <c r="X211" s="70">
        <v>5</v>
      </c>
      <c r="Y211" s="138">
        <f t="shared" si="544"/>
        <v>85</v>
      </c>
      <c r="Z211" s="167">
        <f t="shared" si="545"/>
        <v>6.25E-2</v>
      </c>
      <c r="AA211" s="68">
        <v>5</v>
      </c>
      <c r="AB211" s="138">
        <f t="shared" si="546"/>
        <v>90</v>
      </c>
      <c r="AC211" s="167">
        <f t="shared" si="547"/>
        <v>5.8823529411764705E-2</v>
      </c>
      <c r="AD211" s="70">
        <v>4</v>
      </c>
      <c r="AE211" s="138">
        <f t="shared" si="548"/>
        <v>94</v>
      </c>
      <c r="AF211" s="167">
        <f t="shared" si="549"/>
        <v>4.4444444444444446E-2</v>
      </c>
      <c r="AG211" s="70">
        <v>4</v>
      </c>
      <c r="AH211" s="138">
        <f t="shared" si="550"/>
        <v>98</v>
      </c>
      <c r="AI211" s="167">
        <f t="shared" si="551"/>
        <v>4.2553191489361701E-2</v>
      </c>
      <c r="AJ211" s="164">
        <f t="shared" si="552"/>
        <v>22</v>
      </c>
      <c r="AK211" s="165">
        <f t="shared" si="553"/>
        <v>5.2044286643358362E-2</v>
      </c>
    </row>
    <row r="212" spans="2:37" outlineLevel="1" x14ac:dyDescent="0.35">
      <c r="B212" s="48" t="s">
        <v>88</v>
      </c>
      <c r="C212" s="62" t="s">
        <v>141</v>
      </c>
      <c r="D212" s="81">
        <v>-2</v>
      </c>
      <c r="E212" s="4">
        <v>149</v>
      </c>
      <c r="F212" s="81">
        <v>3</v>
      </c>
      <c r="G212" s="4">
        <v>152</v>
      </c>
      <c r="H212" s="185">
        <f t="shared" si="536"/>
        <v>2.0134228187919462E-2</v>
      </c>
      <c r="I212" s="81">
        <v>4</v>
      </c>
      <c r="J212" s="4">
        <v>156</v>
      </c>
      <c r="K212" s="167">
        <f t="shared" si="537"/>
        <v>2.6315789473684209E-2</v>
      </c>
      <c r="L212" s="81">
        <v>2</v>
      </c>
      <c r="M212" s="4">
        <v>158</v>
      </c>
      <c r="N212" s="167">
        <f t="shared" si="538"/>
        <v>1.282051282051282E-2</v>
      </c>
      <c r="O212" s="81">
        <v>14</v>
      </c>
      <c r="P212" s="4">
        <v>172</v>
      </c>
      <c r="Q212" s="167">
        <f t="shared" si="541"/>
        <v>8.8607594936708861E-2</v>
      </c>
      <c r="R212" s="164">
        <f t="shared" si="542"/>
        <v>21</v>
      </c>
      <c r="S212" s="165">
        <f t="shared" si="543"/>
        <v>3.6538755276373625E-2</v>
      </c>
      <c r="U212" s="70">
        <v>7</v>
      </c>
      <c r="V212" s="138">
        <f t="shared" si="539"/>
        <v>179</v>
      </c>
      <c r="W212" s="167">
        <f t="shared" si="540"/>
        <v>4.0697674418604654E-2</v>
      </c>
      <c r="X212" s="70">
        <v>9</v>
      </c>
      <c r="Y212" s="138">
        <f t="shared" si="544"/>
        <v>188</v>
      </c>
      <c r="Z212" s="167">
        <f t="shared" si="545"/>
        <v>5.027932960893855E-2</v>
      </c>
      <c r="AA212" s="68">
        <v>11</v>
      </c>
      <c r="AB212" s="138">
        <f t="shared" si="546"/>
        <v>199</v>
      </c>
      <c r="AC212" s="167">
        <f t="shared" si="547"/>
        <v>5.8510638297872342E-2</v>
      </c>
      <c r="AD212" s="70">
        <v>9</v>
      </c>
      <c r="AE212" s="138">
        <f t="shared" si="548"/>
        <v>208</v>
      </c>
      <c r="AF212" s="167">
        <f t="shared" si="549"/>
        <v>4.5226130653266333E-2</v>
      </c>
      <c r="AG212" s="70">
        <v>9</v>
      </c>
      <c r="AH212" s="138">
        <f t="shared" si="550"/>
        <v>217</v>
      </c>
      <c r="AI212" s="167">
        <f t="shared" si="551"/>
        <v>4.3269230769230768E-2</v>
      </c>
      <c r="AJ212" s="164">
        <f t="shared" si="552"/>
        <v>45</v>
      </c>
      <c r="AK212" s="165">
        <f t="shared" si="553"/>
        <v>4.9304839113295973E-2</v>
      </c>
    </row>
    <row r="213" spans="2:37" outlineLevel="1" x14ac:dyDescent="0.35">
      <c r="B213" s="48" t="s">
        <v>89</v>
      </c>
      <c r="C213" s="62" t="s">
        <v>141</v>
      </c>
      <c r="D213" s="81">
        <v>1</v>
      </c>
      <c r="E213" s="4">
        <v>63</v>
      </c>
      <c r="F213" s="81">
        <v>2</v>
      </c>
      <c r="G213" s="4">
        <v>65</v>
      </c>
      <c r="H213" s="185">
        <f t="shared" si="536"/>
        <v>3.1746031746031744E-2</v>
      </c>
      <c r="I213" s="81">
        <v>2</v>
      </c>
      <c r="J213" s="4">
        <v>67</v>
      </c>
      <c r="K213" s="167">
        <f t="shared" si="537"/>
        <v>3.0769230769230771E-2</v>
      </c>
      <c r="L213" s="81">
        <v>6</v>
      </c>
      <c r="M213" s="4">
        <v>73</v>
      </c>
      <c r="N213" s="167">
        <f t="shared" si="538"/>
        <v>8.9552238805970144E-2</v>
      </c>
      <c r="O213" s="81">
        <v>-1</v>
      </c>
      <c r="P213" s="4">
        <v>72</v>
      </c>
      <c r="Q213" s="167">
        <f t="shared" si="541"/>
        <v>-1.3698630136986301E-2</v>
      </c>
      <c r="R213" s="164">
        <f t="shared" si="542"/>
        <v>10</v>
      </c>
      <c r="S213" s="165">
        <f t="shared" si="543"/>
        <v>3.3946307914341167E-2</v>
      </c>
      <c r="U213" s="70">
        <v>3</v>
      </c>
      <c r="V213" s="138">
        <f t="shared" si="539"/>
        <v>75</v>
      </c>
      <c r="W213" s="167">
        <f t="shared" si="540"/>
        <v>4.1666666666666664E-2</v>
      </c>
      <c r="X213" s="70">
        <v>3</v>
      </c>
      <c r="Y213" s="138">
        <f t="shared" si="544"/>
        <v>78</v>
      </c>
      <c r="Z213" s="167">
        <f t="shared" si="545"/>
        <v>0.04</v>
      </c>
      <c r="AA213" s="68">
        <v>4</v>
      </c>
      <c r="AB213" s="138">
        <f t="shared" si="546"/>
        <v>82</v>
      </c>
      <c r="AC213" s="167">
        <f t="shared" si="547"/>
        <v>5.128205128205128E-2</v>
      </c>
      <c r="AD213" s="70">
        <v>4</v>
      </c>
      <c r="AE213" s="138">
        <f t="shared" si="548"/>
        <v>86</v>
      </c>
      <c r="AF213" s="167">
        <f t="shared" si="549"/>
        <v>4.878048780487805E-2</v>
      </c>
      <c r="AG213" s="70">
        <v>4</v>
      </c>
      <c r="AH213" s="138">
        <f t="shared" si="550"/>
        <v>90</v>
      </c>
      <c r="AI213" s="167">
        <f t="shared" si="551"/>
        <v>4.6511627906976744E-2</v>
      </c>
      <c r="AJ213" s="164">
        <f t="shared" si="552"/>
        <v>18</v>
      </c>
      <c r="AK213" s="165">
        <f t="shared" si="553"/>
        <v>4.6635139392105618E-2</v>
      </c>
    </row>
    <row r="214" spans="2:37" outlineLevel="1" x14ac:dyDescent="0.35">
      <c r="B214" s="48" t="s">
        <v>90</v>
      </c>
      <c r="C214" s="62" t="s">
        <v>141</v>
      </c>
      <c r="D214" s="81">
        <v>1</v>
      </c>
      <c r="E214" s="4">
        <v>14</v>
      </c>
      <c r="F214" s="81">
        <v>-1</v>
      </c>
      <c r="G214" s="4">
        <v>13</v>
      </c>
      <c r="H214" s="185">
        <f t="shared" si="536"/>
        <v>-7.1428571428571425E-2</v>
      </c>
      <c r="I214" s="81">
        <v>1</v>
      </c>
      <c r="J214" s="4">
        <v>14</v>
      </c>
      <c r="K214" s="167">
        <f t="shared" si="537"/>
        <v>7.6923076923076927E-2</v>
      </c>
      <c r="L214" s="81">
        <v>-1</v>
      </c>
      <c r="M214" s="4">
        <v>13</v>
      </c>
      <c r="N214" s="167">
        <f t="shared" si="538"/>
        <v>-7.1428571428571425E-2</v>
      </c>
      <c r="O214" s="81">
        <v>-1</v>
      </c>
      <c r="P214" s="4">
        <v>12</v>
      </c>
      <c r="Q214" s="167">
        <f t="shared" si="541"/>
        <v>-7.6923076923076927E-2</v>
      </c>
      <c r="R214" s="164">
        <f t="shared" si="542"/>
        <v>-1</v>
      </c>
      <c r="S214" s="165">
        <f t="shared" si="543"/>
        <v>-3.7804541804238534E-2</v>
      </c>
      <c r="U214" s="70">
        <v>0</v>
      </c>
      <c r="V214" s="138">
        <f t="shared" si="539"/>
        <v>12</v>
      </c>
      <c r="W214" s="167">
        <f t="shared" si="540"/>
        <v>0</v>
      </c>
      <c r="X214" s="70">
        <v>0</v>
      </c>
      <c r="Y214" s="138">
        <f t="shared" si="544"/>
        <v>12</v>
      </c>
      <c r="Z214" s="167">
        <f t="shared" si="545"/>
        <v>0</v>
      </c>
      <c r="AA214" s="68">
        <v>0</v>
      </c>
      <c r="AB214" s="138">
        <f t="shared" si="546"/>
        <v>12</v>
      </c>
      <c r="AC214" s="167">
        <f t="shared" si="547"/>
        <v>0</v>
      </c>
      <c r="AD214" s="70">
        <v>0</v>
      </c>
      <c r="AE214" s="138">
        <f t="shared" si="548"/>
        <v>12</v>
      </c>
      <c r="AF214" s="167">
        <f t="shared" si="549"/>
        <v>0</v>
      </c>
      <c r="AG214" s="70">
        <v>0</v>
      </c>
      <c r="AH214" s="138">
        <f t="shared" si="550"/>
        <v>12</v>
      </c>
      <c r="AI214" s="167">
        <f t="shared" si="551"/>
        <v>0</v>
      </c>
      <c r="AJ214" s="164">
        <f t="shared" si="552"/>
        <v>0</v>
      </c>
      <c r="AK214" s="165">
        <f t="shared" si="553"/>
        <v>0</v>
      </c>
    </row>
    <row r="215" spans="2:37" outlineLevel="1" x14ac:dyDescent="0.35">
      <c r="B215" s="48" t="s">
        <v>91</v>
      </c>
      <c r="C215" s="62" t="s">
        <v>141</v>
      </c>
      <c r="D215" s="81">
        <v>1</v>
      </c>
      <c r="E215" s="4">
        <v>10</v>
      </c>
      <c r="F215" s="81">
        <v>0</v>
      </c>
      <c r="G215" s="4">
        <v>10</v>
      </c>
      <c r="H215" s="185">
        <f t="shared" si="536"/>
        <v>0</v>
      </c>
      <c r="I215" s="81">
        <v>0</v>
      </c>
      <c r="J215" s="4">
        <v>10</v>
      </c>
      <c r="K215" s="167">
        <f t="shared" si="537"/>
        <v>0</v>
      </c>
      <c r="L215" s="81">
        <v>0</v>
      </c>
      <c r="M215" s="4">
        <v>10</v>
      </c>
      <c r="N215" s="167">
        <f t="shared" si="538"/>
        <v>0</v>
      </c>
      <c r="O215" s="81">
        <v>-1</v>
      </c>
      <c r="P215" s="4">
        <v>9</v>
      </c>
      <c r="Q215" s="167">
        <f t="shared" si="541"/>
        <v>-0.1</v>
      </c>
      <c r="R215" s="164">
        <f t="shared" si="542"/>
        <v>0</v>
      </c>
      <c r="S215" s="165">
        <f t="shared" si="543"/>
        <v>-2.5996253574703254E-2</v>
      </c>
      <c r="U215" s="70">
        <v>0</v>
      </c>
      <c r="V215" s="138">
        <f t="shared" si="539"/>
        <v>9</v>
      </c>
      <c r="W215" s="167">
        <f t="shared" si="540"/>
        <v>0</v>
      </c>
      <c r="X215" s="70">
        <v>0</v>
      </c>
      <c r="Y215" s="138">
        <f t="shared" si="544"/>
        <v>9</v>
      </c>
      <c r="Z215" s="167">
        <f t="shared" si="545"/>
        <v>0</v>
      </c>
      <c r="AA215" s="68">
        <v>0</v>
      </c>
      <c r="AB215" s="138">
        <f t="shared" si="546"/>
        <v>9</v>
      </c>
      <c r="AC215" s="167">
        <f t="shared" si="547"/>
        <v>0</v>
      </c>
      <c r="AD215" s="70">
        <v>0</v>
      </c>
      <c r="AE215" s="138">
        <f t="shared" si="548"/>
        <v>9</v>
      </c>
      <c r="AF215" s="167">
        <f t="shared" si="549"/>
        <v>0</v>
      </c>
      <c r="AG215" s="70">
        <v>0</v>
      </c>
      <c r="AH215" s="138">
        <f t="shared" si="550"/>
        <v>9</v>
      </c>
      <c r="AI215" s="167">
        <f t="shared" si="551"/>
        <v>0</v>
      </c>
      <c r="AJ215" s="164">
        <f t="shared" si="552"/>
        <v>0</v>
      </c>
      <c r="AK215" s="165">
        <f t="shared" si="553"/>
        <v>0</v>
      </c>
    </row>
    <row r="216" spans="2:37" outlineLevel="1" x14ac:dyDescent="0.35">
      <c r="B216" s="48" t="s">
        <v>92</v>
      </c>
      <c r="C216" s="62" t="s">
        <v>141</v>
      </c>
      <c r="D216" s="81">
        <v>-3</v>
      </c>
      <c r="E216" s="4">
        <v>85</v>
      </c>
      <c r="F216" s="81">
        <v>10</v>
      </c>
      <c r="G216" s="4">
        <v>95</v>
      </c>
      <c r="H216" s="185">
        <f t="shared" si="536"/>
        <v>0.11764705882352941</v>
      </c>
      <c r="I216" s="81">
        <v>10</v>
      </c>
      <c r="J216" s="4">
        <v>105</v>
      </c>
      <c r="K216" s="167">
        <f t="shared" si="537"/>
        <v>0.10526315789473684</v>
      </c>
      <c r="L216" s="81">
        <v>-4</v>
      </c>
      <c r="M216" s="4">
        <v>101</v>
      </c>
      <c r="N216" s="167">
        <f t="shared" si="538"/>
        <v>-3.8095238095238099E-2</v>
      </c>
      <c r="O216" s="81">
        <v>1</v>
      </c>
      <c r="P216" s="4">
        <v>102</v>
      </c>
      <c r="Q216" s="167">
        <f t="shared" si="541"/>
        <v>9.9009900990099011E-3</v>
      </c>
      <c r="R216" s="164">
        <f t="shared" si="542"/>
        <v>14</v>
      </c>
      <c r="S216" s="165">
        <f t="shared" si="543"/>
        <v>4.6635139392105618E-2</v>
      </c>
      <c r="U216" s="70">
        <v>4</v>
      </c>
      <c r="V216" s="138">
        <f t="shared" si="539"/>
        <v>106</v>
      </c>
      <c r="W216" s="167">
        <f t="shared" si="540"/>
        <v>3.9215686274509803E-2</v>
      </c>
      <c r="X216" s="70">
        <v>4</v>
      </c>
      <c r="Y216" s="138">
        <f t="shared" si="544"/>
        <v>110</v>
      </c>
      <c r="Z216" s="167">
        <f t="shared" si="545"/>
        <v>3.7735849056603772E-2</v>
      </c>
      <c r="AA216" s="68">
        <v>5</v>
      </c>
      <c r="AB216" s="138">
        <f t="shared" si="546"/>
        <v>115</v>
      </c>
      <c r="AC216" s="167">
        <f t="shared" si="547"/>
        <v>4.5454545454545456E-2</v>
      </c>
      <c r="AD216" s="70">
        <v>4</v>
      </c>
      <c r="AE216" s="138">
        <f t="shared" si="548"/>
        <v>119</v>
      </c>
      <c r="AF216" s="167">
        <f t="shared" si="549"/>
        <v>3.4782608695652174E-2</v>
      </c>
      <c r="AG216" s="70">
        <v>5</v>
      </c>
      <c r="AH216" s="138">
        <f t="shared" si="550"/>
        <v>124</v>
      </c>
      <c r="AI216" s="167">
        <f t="shared" si="551"/>
        <v>4.2016806722689079E-2</v>
      </c>
      <c r="AJ216" s="164">
        <f t="shared" si="552"/>
        <v>22</v>
      </c>
      <c r="AK216" s="165">
        <f t="shared" si="553"/>
        <v>3.998950096175502E-2</v>
      </c>
    </row>
    <row r="217" spans="2:37" outlineLevel="1" x14ac:dyDescent="0.35">
      <c r="B217" s="48" t="s">
        <v>93</v>
      </c>
      <c r="C217" s="62" t="s">
        <v>141</v>
      </c>
      <c r="D217" s="81">
        <v>10</v>
      </c>
      <c r="E217" s="4">
        <v>52</v>
      </c>
      <c r="F217" s="81">
        <v>8</v>
      </c>
      <c r="G217" s="4">
        <v>60</v>
      </c>
      <c r="H217" s="185">
        <f t="shared" si="536"/>
        <v>0.15384615384615385</v>
      </c>
      <c r="I217" s="81">
        <v>13</v>
      </c>
      <c r="J217" s="4">
        <v>73</v>
      </c>
      <c r="K217" s="167">
        <f t="shared" si="537"/>
        <v>0.21666666666666667</v>
      </c>
      <c r="L217" s="81">
        <v>2</v>
      </c>
      <c r="M217" s="4">
        <v>75</v>
      </c>
      <c r="N217" s="167">
        <f t="shared" si="538"/>
        <v>2.7397260273972601E-2</v>
      </c>
      <c r="O217" s="81">
        <v>1</v>
      </c>
      <c r="P217" s="4">
        <v>76</v>
      </c>
      <c r="Q217" s="167">
        <f t="shared" si="541"/>
        <v>1.3333333333333334E-2</v>
      </c>
      <c r="R217" s="164">
        <f t="shared" si="542"/>
        <v>34</v>
      </c>
      <c r="S217" s="165">
        <f t="shared" si="543"/>
        <v>9.9518553574234891E-2</v>
      </c>
      <c r="U217" s="70">
        <v>5</v>
      </c>
      <c r="V217" s="138">
        <f t="shared" si="539"/>
        <v>81</v>
      </c>
      <c r="W217" s="167">
        <f t="shared" si="540"/>
        <v>6.5789473684210523E-2</v>
      </c>
      <c r="X217" s="70">
        <v>7</v>
      </c>
      <c r="Y217" s="138">
        <f t="shared" si="544"/>
        <v>88</v>
      </c>
      <c r="Z217" s="167">
        <f t="shared" si="545"/>
        <v>8.6419753086419748E-2</v>
      </c>
      <c r="AA217" s="68">
        <v>12</v>
      </c>
      <c r="AB217" s="138">
        <f t="shared" si="546"/>
        <v>100</v>
      </c>
      <c r="AC217" s="167">
        <f t="shared" si="547"/>
        <v>0.13636363636363635</v>
      </c>
      <c r="AD217" s="70">
        <v>14</v>
      </c>
      <c r="AE217" s="138">
        <f t="shared" si="548"/>
        <v>114</v>
      </c>
      <c r="AF217" s="167">
        <f t="shared" si="549"/>
        <v>0.14000000000000001</v>
      </c>
      <c r="AG217" s="70">
        <v>13</v>
      </c>
      <c r="AH217" s="138">
        <f t="shared" si="550"/>
        <v>127</v>
      </c>
      <c r="AI217" s="167">
        <f t="shared" si="551"/>
        <v>0.11403508771929824</v>
      </c>
      <c r="AJ217" s="164">
        <f t="shared" si="552"/>
        <v>51</v>
      </c>
      <c r="AK217" s="165">
        <f t="shared" si="553"/>
        <v>0.11899894099764441</v>
      </c>
    </row>
    <row r="218" spans="2:37" outlineLevel="1" x14ac:dyDescent="0.35">
      <c r="B218" s="48" t="s">
        <v>94</v>
      </c>
      <c r="C218" s="62" t="s">
        <v>141</v>
      </c>
      <c r="D218" s="81">
        <v>1</v>
      </c>
      <c r="E218" s="4">
        <v>104</v>
      </c>
      <c r="F218" s="81">
        <v>2</v>
      </c>
      <c r="G218" s="4">
        <v>106</v>
      </c>
      <c r="H218" s="185">
        <f t="shared" si="536"/>
        <v>1.9230769230769232E-2</v>
      </c>
      <c r="I218" s="81">
        <v>3</v>
      </c>
      <c r="J218" s="4">
        <v>109</v>
      </c>
      <c r="K218" s="167">
        <f t="shared" si="537"/>
        <v>2.8301886792452831E-2</v>
      </c>
      <c r="L218" s="81">
        <v>-3</v>
      </c>
      <c r="M218" s="4">
        <v>106</v>
      </c>
      <c r="N218" s="167">
        <f t="shared" si="538"/>
        <v>-2.7522935779816515E-2</v>
      </c>
      <c r="O218" s="81">
        <v>2</v>
      </c>
      <c r="P218" s="4">
        <v>108</v>
      </c>
      <c r="Q218" s="167">
        <f t="shared" si="541"/>
        <v>1.8867924528301886E-2</v>
      </c>
      <c r="R218" s="164">
        <f t="shared" si="542"/>
        <v>5</v>
      </c>
      <c r="S218" s="165">
        <f t="shared" si="543"/>
        <v>9.4797326990454511E-3</v>
      </c>
      <c r="U218" s="70">
        <v>2</v>
      </c>
      <c r="V218" s="138">
        <f t="shared" si="539"/>
        <v>110</v>
      </c>
      <c r="W218" s="167">
        <f t="shared" si="540"/>
        <v>1.8518518518518517E-2</v>
      </c>
      <c r="X218" s="70">
        <v>3</v>
      </c>
      <c r="Y218" s="138">
        <f t="shared" si="544"/>
        <v>113</v>
      </c>
      <c r="Z218" s="167">
        <f t="shared" si="545"/>
        <v>2.7272727272727271E-2</v>
      </c>
      <c r="AA218" s="68">
        <v>5</v>
      </c>
      <c r="AB218" s="138">
        <f t="shared" si="546"/>
        <v>118</v>
      </c>
      <c r="AC218" s="167">
        <f t="shared" si="547"/>
        <v>4.4247787610619468E-2</v>
      </c>
      <c r="AD218" s="70">
        <v>4</v>
      </c>
      <c r="AE218" s="138">
        <f t="shared" si="548"/>
        <v>122</v>
      </c>
      <c r="AF218" s="167">
        <f t="shared" si="549"/>
        <v>3.3898305084745763E-2</v>
      </c>
      <c r="AG218" s="70">
        <v>5</v>
      </c>
      <c r="AH218" s="138">
        <f t="shared" si="550"/>
        <v>127</v>
      </c>
      <c r="AI218" s="167">
        <f t="shared" si="551"/>
        <v>4.0983606557377046E-2</v>
      </c>
      <c r="AJ218" s="164">
        <f t="shared" si="552"/>
        <v>19</v>
      </c>
      <c r="AK218" s="165">
        <f t="shared" si="553"/>
        <v>3.6579841843265681E-2</v>
      </c>
    </row>
    <row r="219" spans="2:37" outlineLevel="1" x14ac:dyDescent="0.35">
      <c r="B219" s="48" t="s">
        <v>95</v>
      </c>
      <c r="C219" s="62" t="s">
        <v>141</v>
      </c>
      <c r="D219" s="81">
        <v>5</v>
      </c>
      <c r="E219" s="4">
        <v>79</v>
      </c>
      <c r="F219" s="81">
        <v>4</v>
      </c>
      <c r="G219" s="4">
        <v>83</v>
      </c>
      <c r="H219" s="185">
        <f t="shared" si="536"/>
        <v>5.0632911392405063E-2</v>
      </c>
      <c r="I219" s="81">
        <v>1</v>
      </c>
      <c r="J219" s="4">
        <v>84</v>
      </c>
      <c r="K219" s="167">
        <f t="shared" si="537"/>
        <v>1.2048192771084338E-2</v>
      </c>
      <c r="L219" s="81">
        <v>-6</v>
      </c>
      <c r="M219" s="4">
        <v>78</v>
      </c>
      <c r="N219" s="167">
        <f t="shared" si="538"/>
        <v>-7.1428571428571425E-2</v>
      </c>
      <c r="O219" s="81">
        <v>-2</v>
      </c>
      <c r="P219" s="4">
        <v>76</v>
      </c>
      <c r="Q219" s="167">
        <f t="shared" si="541"/>
        <v>-2.564102564102564E-2</v>
      </c>
      <c r="R219" s="164">
        <f t="shared" si="542"/>
        <v>2</v>
      </c>
      <c r="S219" s="165">
        <f t="shared" si="543"/>
        <v>-9.6319408687657315E-3</v>
      </c>
      <c r="U219" s="70">
        <v>1</v>
      </c>
      <c r="V219" s="138">
        <f t="shared" si="539"/>
        <v>77</v>
      </c>
      <c r="W219" s="167">
        <f t="shared" si="540"/>
        <v>1.3157894736842105E-2</v>
      </c>
      <c r="X219" s="70">
        <v>1</v>
      </c>
      <c r="Y219" s="138">
        <f t="shared" si="544"/>
        <v>78</v>
      </c>
      <c r="Z219" s="167">
        <f t="shared" si="545"/>
        <v>1.2987012987012988E-2</v>
      </c>
      <c r="AA219" s="68">
        <v>2</v>
      </c>
      <c r="AB219" s="138">
        <f t="shared" si="546"/>
        <v>80</v>
      </c>
      <c r="AC219" s="167">
        <f t="shared" si="547"/>
        <v>2.564102564102564E-2</v>
      </c>
      <c r="AD219" s="70">
        <v>3</v>
      </c>
      <c r="AE219" s="138">
        <f t="shared" si="548"/>
        <v>83</v>
      </c>
      <c r="AF219" s="167">
        <f t="shared" si="549"/>
        <v>3.7499999999999999E-2</v>
      </c>
      <c r="AG219" s="70">
        <v>2</v>
      </c>
      <c r="AH219" s="138">
        <f t="shared" si="550"/>
        <v>85</v>
      </c>
      <c r="AI219" s="167">
        <f t="shared" si="551"/>
        <v>2.4096385542168676E-2</v>
      </c>
      <c r="AJ219" s="164">
        <f t="shared" si="552"/>
        <v>9</v>
      </c>
      <c r="AK219" s="165">
        <f t="shared" si="553"/>
        <v>2.501931740253438E-2</v>
      </c>
    </row>
    <row r="220" spans="2:37" outlineLevel="1" x14ac:dyDescent="0.35">
      <c r="B220" s="48" t="s">
        <v>96</v>
      </c>
      <c r="C220" s="62" t="s">
        <v>141</v>
      </c>
      <c r="D220" s="81">
        <v>2</v>
      </c>
      <c r="E220" s="4">
        <v>69</v>
      </c>
      <c r="F220" s="81">
        <v>2</v>
      </c>
      <c r="G220" s="4">
        <v>71</v>
      </c>
      <c r="H220" s="185">
        <f t="shared" si="536"/>
        <v>2.8985507246376812E-2</v>
      </c>
      <c r="I220" s="81">
        <v>1</v>
      </c>
      <c r="J220" s="4">
        <v>72</v>
      </c>
      <c r="K220" s="167">
        <f t="shared" si="537"/>
        <v>1.4084507042253521E-2</v>
      </c>
      <c r="L220" s="81">
        <v>3</v>
      </c>
      <c r="M220" s="4">
        <v>75</v>
      </c>
      <c r="N220" s="167">
        <f t="shared" si="538"/>
        <v>4.1666666666666664E-2</v>
      </c>
      <c r="O220" s="81">
        <v>-3</v>
      </c>
      <c r="P220" s="4">
        <v>72</v>
      </c>
      <c r="Q220" s="167">
        <f t="shared" si="541"/>
        <v>-0.04</v>
      </c>
      <c r="R220" s="164">
        <f t="shared" si="542"/>
        <v>5</v>
      </c>
      <c r="S220" s="165">
        <f t="shared" si="543"/>
        <v>1.0696708667094823E-2</v>
      </c>
      <c r="U220" s="70">
        <v>1</v>
      </c>
      <c r="V220" s="138">
        <f t="shared" si="539"/>
        <v>73</v>
      </c>
      <c r="W220" s="167">
        <f t="shared" si="540"/>
        <v>1.3888888888888888E-2</v>
      </c>
      <c r="X220" s="70">
        <v>2</v>
      </c>
      <c r="Y220" s="138">
        <f t="shared" si="544"/>
        <v>75</v>
      </c>
      <c r="Z220" s="167">
        <f t="shared" si="545"/>
        <v>2.7397260273972601E-2</v>
      </c>
      <c r="AA220" s="68">
        <v>3</v>
      </c>
      <c r="AB220" s="138">
        <f t="shared" si="546"/>
        <v>78</v>
      </c>
      <c r="AC220" s="167">
        <f t="shared" si="547"/>
        <v>0.04</v>
      </c>
      <c r="AD220" s="70">
        <v>3</v>
      </c>
      <c r="AE220" s="138">
        <f t="shared" si="548"/>
        <v>81</v>
      </c>
      <c r="AF220" s="167">
        <f t="shared" si="549"/>
        <v>3.8461538461538464E-2</v>
      </c>
      <c r="AG220" s="70">
        <v>3</v>
      </c>
      <c r="AH220" s="138">
        <f t="shared" si="550"/>
        <v>84</v>
      </c>
      <c r="AI220" s="167">
        <f t="shared" si="551"/>
        <v>3.7037037037037035E-2</v>
      </c>
      <c r="AJ220" s="164">
        <f t="shared" si="552"/>
        <v>12</v>
      </c>
      <c r="AK220" s="165">
        <f t="shared" si="553"/>
        <v>3.5712234600650872E-2</v>
      </c>
    </row>
    <row r="221" spans="2:37" outlineLevel="1" x14ac:dyDescent="0.35">
      <c r="B221" s="48" t="s">
        <v>97</v>
      </c>
      <c r="C221" s="62" t="s">
        <v>141</v>
      </c>
      <c r="D221" s="81">
        <v>6</v>
      </c>
      <c r="E221" s="4">
        <v>213</v>
      </c>
      <c r="F221" s="81">
        <v>5</v>
      </c>
      <c r="G221" s="4">
        <v>218</v>
      </c>
      <c r="H221" s="185">
        <f t="shared" si="536"/>
        <v>2.3474178403755867E-2</v>
      </c>
      <c r="I221" s="81">
        <v>5</v>
      </c>
      <c r="J221" s="4">
        <v>223</v>
      </c>
      <c r="K221" s="167">
        <f t="shared" si="537"/>
        <v>2.2935779816513763E-2</v>
      </c>
      <c r="L221" s="81">
        <v>4</v>
      </c>
      <c r="M221" s="4">
        <v>227</v>
      </c>
      <c r="N221" s="167">
        <f t="shared" si="538"/>
        <v>1.7937219730941704E-2</v>
      </c>
      <c r="O221" s="81">
        <v>1</v>
      </c>
      <c r="P221" s="4">
        <v>228</v>
      </c>
      <c r="Q221" s="167">
        <f t="shared" si="541"/>
        <v>4.4052863436123352E-3</v>
      </c>
      <c r="R221" s="164">
        <f t="shared" si="542"/>
        <v>21</v>
      </c>
      <c r="S221" s="165">
        <f t="shared" si="543"/>
        <v>1.7158917388490957E-2</v>
      </c>
      <c r="U221" s="70">
        <v>10</v>
      </c>
      <c r="V221" s="138">
        <f t="shared" si="539"/>
        <v>238</v>
      </c>
      <c r="W221" s="167">
        <f t="shared" si="540"/>
        <v>4.3859649122807015E-2</v>
      </c>
      <c r="X221" s="70">
        <v>13</v>
      </c>
      <c r="Y221" s="138">
        <f t="shared" si="544"/>
        <v>251</v>
      </c>
      <c r="Z221" s="167">
        <f t="shared" si="545"/>
        <v>5.4621848739495799E-2</v>
      </c>
      <c r="AA221" s="68">
        <v>13</v>
      </c>
      <c r="AB221" s="138">
        <f t="shared" si="546"/>
        <v>264</v>
      </c>
      <c r="AC221" s="167">
        <f t="shared" si="547"/>
        <v>5.1792828685258967E-2</v>
      </c>
      <c r="AD221" s="70">
        <v>10</v>
      </c>
      <c r="AE221" s="138">
        <f t="shared" si="548"/>
        <v>274</v>
      </c>
      <c r="AF221" s="167">
        <f t="shared" si="549"/>
        <v>3.787878787878788E-2</v>
      </c>
      <c r="AG221" s="70">
        <v>11</v>
      </c>
      <c r="AH221" s="138">
        <f t="shared" si="550"/>
        <v>285</v>
      </c>
      <c r="AI221" s="167">
        <f t="shared" si="551"/>
        <v>4.0145985401459854E-2</v>
      </c>
      <c r="AJ221" s="164">
        <f t="shared" si="552"/>
        <v>57</v>
      </c>
      <c r="AK221" s="165">
        <f t="shared" si="553"/>
        <v>4.6085002466510927E-2</v>
      </c>
    </row>
    <row r="222" spans="2:37" outlineLevel="1" x14ac:dyDescent="0.35">
      <c r="B222" s="48" t="s">
        <v>98</v>
      </c>
      <c r="C222" s="62" t="s">
        <v>141</v>
      </c>
      <c r="D222" s="81">
        <v>3</v>
      </c>
      <c r="E222" s="4">
        <v>91</v>
      </c>
      <c r="F222" s="81">
        <v>5</v>
      </c>
      <c r="G222" s="4">
        <v>96</v>
      </c>
      <c r="H222" s="185">
        <f t="shared" si="536"/>
        <v>5.4945054945054944E-2</v>
      </c>
      <c r="I222" s="81">
        <v>2</v>
      </c>
      <c r="J222" s="4">
        <v>98</v>
      </c>
      <c r="K222" s="167">
        <f t="shared" si="537"/>
        <v>2.0833333333333332E-2</v>
      </c>
      <c r="L222" s="81">
        <v>-4</v>
      </c>
      <c r="M222" s="4">
        <v>94</v>
      </c>
      <c r="N222" s="167">
        <f t="shared" si="538"/>
        <v>-4.0816326530612242E-2</v>
      </c>
      <c r="O222" s="81">
        <v>1</v>
      </c>
      <c r="P222" s="4">
        <v>95</v>
      </c>
      <c r="Q222" s="167">
        <f t="shared" si="541"/>
        <v>1.0638297872340425E-2</v>
      </c>
      <c r="R222" s="164">
        <f t="shared" si="542"/>
        <v>7</v>
      </c>
      <c r="S222" s="165">
        <f t="shared" si="543"/>
        <v>1.0812382112040719E-2</v>
      </c>
      <c r="U222" s="70">
        <v>1</v>
      </c>
      <c r="V222" s="138">
        <f t="shared" si="539"/>
        <v>96</v>
      </c>
      <c r="W222" s="167">
        <f t="shared" si="540"/>
        <v>1.0526315789473684E-2</v>
      </c>
      <c r="X222" s="70">
        <v>3</v>
      </c>
      <c r="Y222" s="138">
        <f t="shared" si="544"/>
        <v>99</v>
      </c>
      <c r="Z222" s="167">
        <f t="shared" si="545"/>
        <v>3.125E-2</v>
      </c>
      <c r="AA222" s="68">
        <v>5</v>
      </c>
      <c r="AB222" s="138">
        <f t="shared" si="546"/>
        <v>104</v>
      </c>
      <c r="AC222" s="167">
        <f t="shared" si="547"/>
        <v>5.0505050505050504E-2</v>
      </c>
      <c r="AD222" s="70">
        <v>5</v>
      </c>
      <c r="AE222" s="138">
        <f t="shared" si="548"/>
        <v>109</v>
      </c>
      <c r="AF222" s="167">
        <f t="shared" si="549"/>
        <v>4.807692307692308E-2</v>
      </c>
      <c r="AG222" s="70">
        <v>6</v>
      </c>
      <c r="AH222" s="138">
        <f t="shared" si="550"/>
        <v>115</v>
      </c>
      <c r="AI222" s="167">
        <f t="shared" si="551"/>
        <v>5.5045871559633031E-2</v>
      </c>
      <c r="AJ222" s="164">
        <f t="shared" si="552"/>
        <v>20</v>
      </c>
      <c r="AK222" s="165">
        <f t="shared" si="553"/>
        <v>4.6180574620672932E-2</v>
      </c>
    </row>
    <row r="223" spans="2:37" outlineLevel="1" x14ac:dyDescent="0.35">
      <c r="B223" s="48" t="s">
        <v>99</v>
      </c>
      <c r="C223" s="62" t="s">
        <v>141</v>
      </c>
      <c r="D223" s="81">
        <v>6</v>
      </c>
      <c r="E223" s="4">
        <v>227</v>
      </c>
      <c r="F223" s="81">
        <v>11</v>
      </c>
      <c r="G223" s="4">
        <v>238</v>
      </c>
      <c r="H223" s="185">
        <f t="shared" si="536"/>
        <v>4.8458149779735685E-2</v>
      </c>
      <c r="I223" s="81">
        <v>16</v>
      </c>
      <c r="J223" s="4">
        <v>254</v>
      </c>
      <c r="K223" s="167">
        <f t="shared" si="537"/>
        <v>6.7226890756302518E-2</v>
      </c>
      <c r="L223" s="81">
        <v>7</v>
      </c>
      <c r="M223" s="4">
        <v>261</v>
      </c>
      <c r="N223" s="167">
        <f t="shared" si="538"/>
        <v>2.7559055118110236E-2</v>
      </c>
      <c r="O223" s="81">
        <v>1</v>
      </c>
      <c r="P223" s="4">
        <v>262</v>
      </c>
      <c r="Q223" s="167">
        <f t="shared" si="541"/>
        <v>3.8314176245210726E-3</v>
      </c>
      <c r="R223" s="164">
        <f t="shared" si="542"/>
        <v>41</v>
      </c>
      <c r="S223" s="165">
        <f t="shared" si="543"/>
        <v>3.6498931033459803E-2</v>
      </c>
      <c r="U223" s="70">
        <v>11</v>
      </c>
      <c r="V223" s="138">
        <f t="shared" si="539"/>
        <v>273</v>
      </c>
      <c r="W223" s="167">
        <f t="shared" si="540"/>
        <v>4.1984732824427481E-2</v>
      </c>
      <c r="X223" s="70">
        <v>10</v>
      </c>
      <c r="Y223" s="138">
        <f t="shared" si="544"/>
        <v>283</v>
      </c>
      <c r="Z223" s="167">
        <f t="shared" si="545"/>
        <v>3.6630036630036632E-2</v>
      </c>
      <c r="AA223" s="68">
        <v>10</v>
      </c>
      <c r="AB223" s="138">
        <f t="shared" si="546"/>
        <v>293</v>
      </c>
      <c r="AC223" s="167">
        <f t="shared" si="547"/>
        <v>3.5335689045936397E-2</v>
      </c>
      <c r="AD223" s="70">
        <v>9</v>
      </c>
      <c r="AE223" s="138">
        <f t="shared" si="548"/>
        <v>302</v>
      </c>
      <c r="AF223" s="167">
        <f t="shared" si="549"/>
        <v>3.0716723549488054E-2</v>
      </c>
      <c r="AG223" s="70">
        <v>8</v>
      </c>
      <c r="AH223" s="138">
        <f t="shared" si="550"/>
        <v>310</v>
      </c>
      <c r="AI223" s="167">
        <f t="shared" si="551"/>
        <v>2.6490066225165563E-2</v>
      </c>
      <c r="AJ223" s="164">
        <f t="shared" si="552"/>
        <v>48</v>
      </c>
      <c r="AK223" s="165">
        <f t="shared" si="553"/>
        <v>3.2285344627799528E-2</v>
      </c>
    </row>
    <row r="224" spans="2:37" outlineLevel="1" x14ac:dyDescent="0.35">
      <c r="B224" s="48" t="s">
        <v>100</v>
      </c>
      <c r="C224" s="62" t="s">
        <v>141</v>
      </c>
      <c r="D224" s="81">
        <v>2</v>
      </c>
      <c r="E224" s="4">
        <v>62</v>
      </c>
      <c r="F224" s="81">
        <v>3</v>
      </c>
      <c r="G224" s="4">
        <v>65</v>
      </c>
      <c r="H224" s="185">
        <f t="shared" si="536"/>
        <v>4.8387096774193547E-2</v>
      </c>
      <c r="I224" s="81">
        <v>3</v>
      </c>
      <c r="J224" s="4">
        <v>68</v>
      </c>
      <c r="K224" s="167">
        <f t="shared" si="537"/>
        <v>4.6153846153846156E-2</v>
      </c>
      <c r="L224" s="81">
        <v>-1</v>
      </c>
      <c r="M224" s="4">
        <v>67</v>
      </c>
      <c r="N224" s="167">
        <f t="shared" si="538"/>
        <v>-1.4705882352941176E-2</v>
      </c>
      <c r="O224" s="81">
        <v>1</v>
      </c>
      <c r="P224" s="4">
        <v>68</v>
      </c>
      <c r="Q224" s="167">
        <f t="shared" si="541"/>
        <v>1.4925373134328358E-2</v>
      </c>
      <c r="R224" s="164">
        <f t="shared" si="542"/>
        <v>8</v>
      </c>
      <c r="S224" s="165">
        <f t="shared" si="543"/>
        <v>2.3362045503587003E-2</v>
      </c>
      <c r="U224" s="70">
        <v>6</v>
      </c>
      <c r="V224" s="138">
        <f t="shared" si="539"/>
        <v>74</v>
      </c>
      <c r="W224" s="167">
        <f t="shared" si="540"/>
        <v>8.8235294117647065E-2</v>
      </c>
      <c r="X224" s="70">
        <v>7</v>
      </c>
      <c r="Y224" s="138">
        <f t="shared" si="544"/>
        <v>81</v>
      </c>
      <c r="Z224" s="167">
        <f t="shared" si="545"/>
        <v>9.45945945945946E-2</v>
      </c>
      <c r="AA224" s="68">
        <v>9</v>
      </c>
      <c r="AB224" s="138">
        <f t="shared" si="546"/>
        <v>90</v>
      </c>
      <c r="AC224" s="167">
        <f t="shared" si="547"/>
        <v>0.1111111111111111</v>
      </c>
      <c r="AD224" s="70">
        <v>8</v>
      </c>
      <c r="AE224" s="138">
        <f t="shared" si="548"/>
        <v>98</v>
      </c>
      <c r="AF224" s="167">
        <f t="shared" si="549"/>
        <v>8.8888888888888892E-2</v>
      </c>
      <c r="AG224" s="70">
        <v>10</v>
      </c>
      <c r="AH224" s="138">
        <f t="shared" si="550"/>
        <v>108</v>
      </c>
      <c r="AI224" s="167">
        <f t="shared" si="551"/>
        <v>0.10204081632653061</v>
      </c>
      <c r="AJ224" s="164">
        <f t="shared" si="552"/>
        <v>40</v>
      </c>
      <c r="AK224" s="165">
        <f t="shared" si="553"/>
        <v>9.9127335382595216E-2</v>
      </c>
    </row>
    <row r="225" spans="2:37" outlineLevel="1" x14ac:dyDescent="0.35">
      <c r="B225" s="48" t="s">
        <v>101</v>
      </c>
      <c r="C225" s="62" t="s">
        <v>141</v>
      </c>
      <c r="D225" s="81">
        <v>2</v>
      </c>
      <c r="E225" s="4">
        <v>16</v>
      </c>
      <c r="F225" s="81">
        <v>0</v>
      </c>
      <c r="G225" s="4">
        <v>16</v>
      </c>
      <c r="H225" s="185">
        <f t="shared" si="536"/>
        <v>0</v>
      </c>
      <c r="I225" s="81">
        <v>2</v>
      </c>
      <c r="J225" s="4">
        <v>18</v>
      </c>
      <c r="K225" s="167">
        <f t="shared" si="537"/>
        <v>0.125</v>
      </c>
      <c r="L225" s="81">
        <v>0</v>
      </c>
      <c r="M225" s="4">
        <v>18</v>
      </c>
      <c r="N225" s="167">
        <f t="shared" si="538"/>
        <v>0</v>
      </c>
      <c r="O225" s="81">
        <v>1</v>
      </c>
      <c r="P225" s="4">
        <v>19</v>
      </c>
      <c r="Q225" s="167">
        <f t="shared" si="541"/>
        <v>5.5555555555555552E-2</v>
      </c>
      <c r="R225" s="164">
        <f t="shared" si="542"/>
        <v>5</v>
      </c>
      <c r="S225" s="165">
        <f t="shared" si="543"/>
        <v>4.3898814964921984E-2</v>
      </c>
      <c r="U225" s="70">
        <v>0</v>
      </c>
      <c r="V225" s="138">
        <f t="shared" si="539"/>
        <v>19</v>
      </c>
      <c r="W225" s="167">
        <f t="shared" si="540"/>
        <v>0</v>
      </c>
      <c r="X225" s="70">
        <v>0</v>
      </c>
      <c r="Y225" s="138">
        <f t="shared" si="544"/>
        <v>19</v>
      </c>
      <c r="Z225" s="167">
        <f t="shared" si="545"/>
        <v>0</v>
      </c>
      <c r="AA225" s="68">
        <v>0</v>
      </c>
      <c r="AB225" s="138">
        <f t="shared" si="546"/>
        <v>19</v>
      </c>
      <c r="AC225" s="167">
        <f t="shared" si="547"/>
        <v>0</v>
      </c>
      <c r="AD225" s="70">
        <v>0</v>
      </c>
      <c r="AE225" s="138">
        <f t="shared" si="548"/>
        <v>19</v>
      </c>
      <c r="AF225" s="167">
        <f t="shared" si="549"/>
        <v>0</v>
      </c>
      <c r="AG225" s="70">
        <v>0</v>
      </c>
      <c r="AH225" s="138">
        <f t="shared" si="550"/>
        <v>19</v>
      </c>
      <c r="AI225" s="167">
        <f t="shared" si="551"/>
        <v>0</v>
      </c>
      <c r="AJ225" s="164">
        <f t="shared" si="552"/>
        <v>0</v>
      </c>
      <c r="AK225" s="165">
        <f t="shared" si="553"/>
        <v>0</v>
      </c>
    </row>
    <row r="226" spans="2:37" outlineLevel="1" x14ac:dyDescent="0.35">
      <c r="B226" s="48" t="s">
        <v>102</v>
      </c>
      <c r="C226" s="62" t="s">
        <v>141</v>
      </c>
      <c r="D226" s="81">
        <v>1</v>
      </c>
      <c r="E226" s="4">
        <v>83</v>
      </c>
      <c r="F226" s="81">
        <v>2</v>
      </c>
      <c r="G226" s="4">
        <v>85</v>
      </c>
      <c r="H226" s="185">
        <f t="shared" si="536"/>
        <v>2.4096385542168676E-2</v>
      </c>
      <c r="I226" s="81">
        <v>7</v>
      </c>
      <c r="J226" s="4">
        <v>92</v>
      </c>
      <c r="K226" s="167">
        <f t="shared" si="537"/>
        <v>8.2352941176470587E-2</v>
      </c>
      <c r="L226" s="81">
        <v>4</v>
      </c>
      <c r="M226" s="4">
        <v>96</v>
      </c>
      <c r="N226" s="167">
        <f t="shared" si="538"/>
        <v>4.3478260869565216E-2</v>
      </c>
      <c r="O226" s="81">
        <v>-1</v>
      </c>
      <c r="P226" s="4">
        <v>95</v>
      </c>
      <c r="Q226" s="167">
        <f t="shared" si="541"/>
        <v>-1.0416666666666666E-2</v>
      </c>
      <c r="R226" s="164">
        <f t="shared" si="542"/>
        <v>13</v>
      </c>
      <c r="S226" s="165">
        <f t="shared" si="543"/>
        <v>3.433537526744912E-2</v>
      </c>
      <c r="U226" s="70">
        <v>2</v>
      </c>
      <c r="V226" s="138">
        <f t="shared" si="539"/>
        <v>97</v>
      </c>
      <c r="W226" s="167">
        <f t="shared" si="540"/>
        <v>2.1052631578947368E-2</v>
      </c>
      <c r="X226" s="70">
        <v>2</v>
      </c>
      <c r="Y226" s="138">
        <f t="shared" si="544"/>
        <v>99</v>
      </c>
      <c r="Z226" s="167">
        <f t="shared" si="545"/>
        <v>2.0618556701030927E-2</v>
      </c>
      <c r="AA226" s="68">
        <v>2</v>
      </c>
      <c r="AB226" s="138">
        <f t="shared" si="546"/>
        <v>101</v>
      </c>
      <c r="AC226" s="167">
        <f t="shared" si="547"/>
        <v>2.0202020202020204E-2</v>
      </c>
      <c r="AD226" s="70">
        <v>2</v>
      </c>
      <c r="AE226" s="138">
        <f t="shared" si="548"/>
        <v>103</v>
      </c>
      <c r="AF226" s="167">
        <f t="shared" si="549"/>
        <v>1.9801980198019802E-2</v>
      </c>
      <c r="AG226" s="70">
        <v>1</v>
      </c>
      <c r="AH226" s="138">
        <f t="shared" si="550"/>
        <v>104</v>
      </c>
      <c r="AI226" s="167">
        <f t="shared" si="551"/>
        <v>9.7087378640776691E-3</v>
      </c>
      <c r="AJ226" s="164">
        <f t="shared" si="552"/>
        <v>9</v>
      </c>
      <c r="AK226" s="165">
        <f t="shared" si="553"/>
        <v>1.7572592896244021E-2</v>
      </c>
    </row>
    <row r="227" spans="2:37" outlineLevel="1" x14ac:dyDescent="0.35">
      <c r="B227" s="48" t="s">
        <v>103</v>
      </c>
      <c r="C227" s="62" t="s">
        <v>141</v>
      </c>
      <c r="D227" s="81">
        <v>-1</v>
      </c>
      <c r="E227" s="4">
        <v>8</v>
      </c>
      <c r="F227" s="81">
        <v>0</v>
      </c>
      <c r="G227" s="4">
        <v>8</v>
      </c>
      <c r="H227" s="185">
        <f t="shared" si="536"/>
        <v>0</v>
      </c>
      <c r="I227" s="81">
        <v>0</v>
      </c>
      <c r="J227" s="4">
        <v>8</v>
      </c>
      <c r="K227" s="167">
        <f t="shared" si="537"/>
        <v>0</v>
      </c>
      <c r="L227" s="81">
        <v>0</v>
      </c>
      <c r="M227" s="4">
        <v>8</v>
      </c>
      <c r="N227" s="167">
        <f t="shared" si="538"/>
        <v>0</v>
      </c>
      <c r="O227" s="81">
        <v>1</v>
      </c>
      <c r="P227" s="4">
        <v>9</v>
      </c>
      <c r="Q227" s="167">
        <f t="shared" si="541"/>
        <v>0.125</v>
      </c>
      <c r="R227" s="164">
        <f t="shared" si="542"/>
        <v>0</v>
      </c>
      <c r="S227" s="165">
        <f t="shared" si="543"/>
        <v>2.9883571953558841E-2</v>
      </c>
      <c r="U227" s="70">
        <v>0</v>
      </c>
      <c r="V227" s="138">
        <f t="shared" si="539"/>
        <v>9</v>
      </c>
      <c r="W227" s="167">
        <f t="shared" si="540"/>
        <v>0</v>
      </c>
      <c r="X227" s="70">
        <v>0</v>
      </c>
      <c r="Y227" s="138">
        <f t="shared" si="544"/>
        <v>9</v>
      </c>
      <c r="Z227" s="167">
        <f t="shared" si="545"/>
        <v>0</v>
      </c>
      <c r="AA227" s="68">
        <v>0</v>
      </c>
      <c r="AB227" s="138">
        <f t="shared" si="546"/>
        <v>9</v>
      </c>
      <c r="AC227" s="167">
        <f t="shared" si="547"/>
        <v>0</v>
      </c>
      <c r="AD227" s="70">
        <v>0</v>
      </c>
      <c r="AE227" s="138">
        <f t="shared" si="548"/>
        <v>9</v>
      </c>
      <c r="AF227" s="167">
        <f t="shared" si="549"/>
        <v>0</v>
      </c>
      <c r="AG227" s="70">
        <v>0</v>
      </c>
      <c r="AH227" s="138">
        <f t="shared" si="550"/>
        <v>9</v>
      </c>
      <c r="AI227" s="167">
        <f t="shared" si="551"/>
        <v>0</v>
      </c>
      <c r="AJ227" s="164">
        <f t="shared" si="552"/>
        <v>0</v>
      </c>
      <c r="AK227" s="165">
        <f t="shared" si="553"/>
        <v>0</v>
      </c>
    </row>
    <row r="228" spans="2:37" outlineLevel="1" x14ac:dyDescent="0.35">
      <c r="B228" s="48" t="s">
        <v>104</v>
      </c>
      <c r="C228" s="62" t="s">
        <v>141</v>
      </c>
      <c r="D228" s="81">
        <v>0</v>
      </c>
      <c r="E228" s="4">
        <v>1</v>
      </c>
      <c r="F228" s="81">
        <v>0</v>
      </c>
      <c r="G228" s="4">
        <v>1</v>
      </c>
      <c r="H228" s="185">
        <f t="shared" si="536"/>
        <v>0</v>
      </c>
      <c r="I228" s="81">
        <v>0</v>
      </c>
      <c r="J228" s="4">
        <v>1</v>
      </c>
      <c r="K228" s="167">
        <f t="shared" si="537"/>
        <v>0</v>
      </c>
      <c r="L228" s="81">
        <v>0</v>
      </c>
      <c r="M228" s="4">
        <v>1</v>
      </c>
      <c r="N228" s="167">
        <f t="shared" si="538"/>
        <v>0</v>
      </c>
      <c r="O228" s="81">
        <v>0</v>
      </c>
      <c r="P228" s="4">
        <v>1</v>
      </c>
      <c r="Q228" s="167">
        <f t="shared" si="541"/>
        <v>0</v>
      </c>
      <c r="R228" s="164">
        <f t="shared" si="542"/>
        <v>0</v>
      </c>
      <c r="S228" s="165">
        <f t="shared" si="543"/>
        <v>0</v>
      </c>
      <c r="U228" s="70">
        <v>0</v>
      </c>
      <c r="V228" s="138">
        <f t="shared" si="539"/>
        <v>1</v>
      </c>
      <c r="W228" s="167">
        <f t="shared" si="540"/>
        <v>0</v>
      </c>
      <c r="X228" s="70">
        <v>0</v>
      </c>
      <c r="Y228" s="138">
        <f t="shared" si="544"/>
        <v>1</v>
      </c>
      <c r="Z228" s="167">
        <f t="shared" si="545"/>
        <v>0</v>
      </c>
      <c r="AA228" s="68">
        <v>0</v>
      </c>
      <c r="AB228" s="138">
        <f t="shared" si="546"/>
        <v>1</v>
      </c>
      <c r="AC228" s="167">
        <f t="shared" si="547"/>
        <v>0</v>
      </c>
      <c r="AD228" s="70">
        <v>1</v>
      </c>
      <c r="AE228" s="138">
        <f t="shared" si="548"/>
        <v>2</v>
      </c>
      <c r="AF228" s="167">
        <f t="shared" si="549"/>
        <v>1</v>
      </c>
      <c r="AG228" s="70">
        <v>2</v>
      </c>
      <c r="AH228" s="138">
        <f t="shared" si="550"/>
        <v>4</v>
      </c>
      <c r="AI228" s="167">
        <f t="shared" si="551"/>
        <v>1</v>
      </c>
      <c r="AJ228" s="164">
        <f t="shared" si="552"/>
        <v>3</v>
      </c>
      <c r="AK228" s="165">
        <f t="shared" si="553"/>
        <v>0.41421356237309492</v>
      </c>
    </row>
    <row r="229" spans="2:37" outlineLevel="1" x14ac:dyDescent="0.35">
      <c r="B229" s="48" t="s">
        <v>136</v>
      </c>
      <c r="C229" s="62" t="s">
        <v>141</v>
      </c>
      <c r="D229" s="81">
        <v>0</v>
      </c>
      <c r="E229" s="4">
        <v>0</v>
      </c>
      <c r="F229" s="81">
        <v>0</v>
      </c>
      <c r="G229" s="4">
        <v>0</v>
      </c>
      <c r="H229" s="185">
        <f t="shared" si="536"/>
        <v>0</v>
      </c>
      <c r="I229" s="81">
        <v>0</v>
      </c>
      <c r="J229" s="4">
        <v>0</v>
      </c>
      <c r="K229" s="167">
        <f t="shared" si="537"/>
        <v>0</v>
      </c>
      <c r="L229" s="81">
        <v>0</v>
      </c>
      <c r="M229" s="4">
        <v>0</v>
      </c>
      <c r="N229" s="167">
        <f t="shared" si="538"/>
        <v>0</v>
      </c>
      <c r="O229" s="81">
        <v>0</v>
      </c>
      <c r="P229" s="4">
        <v>0</v>
      </c>
      <c r="Q229" s="167">
        <f t="shared" si="541"/>
        <v>0</v>
      </c>
      <c r="R229" s="164">
        <f t="shared" si="542"/>
        <v>0</v>
      </c>
      <c r="S229" s="165">
        <f t="shared" si="543"/>
        <v>0</v>
      </c>
      <c r="U229" s="70">
        <v>0</v>
      </c>
      <c r="V229" s="138">
        <f t="shared" si="539"/>
        <v>0</v>
      </c>
      <c r="W229" s="167">
        <f t="shared" si="540"/>
        <v>0</v>
      </c>
      <c r="X229" s="70">
        <v>0</v>
      </c>
      <c r="Y229" s="138">
        <f t="shared" si="544"/>
        <v>0</v>
      </c>
      <c r="Z229" s="167">
        <f t="shared" si="545"/>
        <v>0</v>
      </c>
      <c r="AA229" s="68">
        <v>0</v>
      </c>
      <c r="AB229" s="138">
        <f t="shared" si="546"/>
        <v>0</v>
      </c>
      <c r="AC229" s="167">
        <f t="shared" si="547"/>
        <v>0</v>
      </c>
      <c r="AD229" s="70">
        <v>1</v>
      </c>
      <c r="AE229" s="138">
        <f t="shared" si="548"/>
        <v>1</v>
      </c>
      <c r="AF229" s="167">
        <f t="shared" si="549"/>
        <v>0</v>
      </c>
      <c r="AG229" s="70">
        <v>1</v>
      </c>
      <c r="AH229" s="138">
        <f t="shared" si="550"/>
        <v>2</v>
      </c>
      <c r="AI229" s="167">
        <f t="shared" si="551"/>
        <v>1</v>
      </c>
      <c r="AJ229" s="164">
        <f t="shared" si="552"/>
        <v>2</v>
      </c>
      <c r="AK229" s="165">
        <f t="shared" si="553"/>
        <v>0</v>
      </c>
    </row>
    <row r="230" spans="2:37" outlineLevel="1" x14ac:dyDescent="0.35">
      <c r="B230" s="48" t="s">
        <v>106</v>
      </c>
      <c r="C230" s="62" t="s">
        <v>141</v>
      </c>
      <c r="D230" s="81">
        <v>6</v>
      </c>
      <c r="E230" s="4">
        <v>64</v>
      </c>
      <c r="F230" s="81">
        <v>4</v>
      </c>
      <c r="G230" s="4">
        <v>68</v>
      </c>
      <c r="H230" s="185">
        <f t="shared" si="536"/>
        <v>6.25E-2</v>
      </c>
      <c r="I230" s="81">
        <v>6</v>
      </c>
      <c r="J230" s="4">
        <v>74</v>
      </c>
      <c r="K230" s="167">
        <f t="shared" si="537"/>
        <v>8.8235294117647065E-2</v>
      </c>
      <c r="L230" s="81">
        <v>-2</v>
      </c>
      <c r="M230" s="4">
        <v>72</v>
      </c>
      <c r="N230" s="167">
        <f t="shared" si="538"/>
        <v>-2.7027027027027029E-2</v>
      </c>
      <c r="O230" s="81">
        <v>-2</v>
      </c>
      <c r="P230" s="4">
        <v>70</v>
      </c>
      <c r="Q230" s="167">
        <f t="shared" si="541"/>
        <v>-2.7777777777777776E-2</v>
      </c>
      <c r="R230" s="164">
        <f t="shared" si="542"/>
        <v>12</v>
      </c>
      <c r="S230" s="165">
        <f t="shared" si="543"/>
        <v>2.265587230876176E-2</v>
      </c>
      <c r="U230" s="70">
        <v>0</v>
      </c>
      <c r="V230" s="138">
        <f t="shared" si="539"/>
        <v>70</v>
      </c>
      <c r="W230" s="167">
        <f t="shared" si="540"/>
        <v>0</v>
      </c>
      <c r="X230" s="70">
        <v>1</v>
      </c>
      <c r="Y230" s="138">
        <f t="shared" si="544"/>
        <v>71</v>
      </c>
      <c r="Z230" s="167">
        <f t="shared" si="545"/>
        <v>1.4285714285714285E-2</v>
      </c>
      <c r="AA230" s="68">
        <v>1</v>
      </c>
      <c r="AB230" s="138">
        <f t="shared" si="546"/>
        <v>72</v>
      </c>
      <c r="AC230" s="167">
        <f t="shared" si="547"/>
        <v>1.4084507042253521E-2</v>
      </c>
      <c r="AD230" s="70">
        <v>2</v>
      </c>
      <c r="AE230" s="138">
        <f t="shared" si="548"/>
        <v>74</v>
      </c>
      <c r="AF230" s="167">
        <f t="shared" si="549"/>
        <v>2.7777777777777776E-2</v>
      </c>
      <c r="AG230" s="70">
        <v>2</v>
      </c>
      <c r="AH230" s="138">
        <f t="shared" si="550"/>
        <v>76</v>
      </c>
      <c r="AI230" s="167">
        <f t="shared" si="551"/>
        <v>2.7027027027027029E-2</v>
      </c>
      <c r="AJ230" s="164">
        <f t="shared" si="552"/>
        <v>6</v>
      </c>
      <c r="AK230" s="165">
        <f t="shared" si="553"/>
        <v>2.0772327457722284E-2</v>
      </c>
    </row>
    <row r="231" spans="2:37" outlineLevel="1" x14ac:dyDescent="0.35">
      <c r="B231" s="48" t="s">
        <v>107</v>
      </c>
      <c r="C231" s="62" t="s">
        <v>141</v>
      </c>
      <c r="D231" s="81">
        <v>0</v>
      </c>
      <c r="E231" s="4">
        <v>81</v>
      </c>
      <c r="F231" s="81">
        <v>2</v>
      </c>
      <c r="G231" s="4">
        <v>83</v>
      </c>
      <c r="H231" s="185">
        <f t="shared" si="536"/>
        <v>2.4691358024691357E-2</v>
      </c>
      <c r="I231" s="81">
        <v>7</v>
      </c>
      <c r="J231" s="4">
        <v>90</v>
      </c>
      <c r="K231" s="167">
        <f t="shared" si="537"/>
        <v>8.4337349397590355E-2</v>
      </c>
      <c r="L231" s="81">
        <v>-2</v>
      </c>
      <c r="M231" s="4">
        <v>88</v>
      </c>
      <c r="N231" s="167">
        <f t="shared" si="538"/>
        <v>-2.2222222222222223E-2</v>
      </c>
      <c r="O231" s="81">
        <v>-2</v>
      </c>
      <c r="P231" s="4">
        <v>86</v>
      </c>
      <c r="Q231" s="167">
        <f t="shared" si="541"/>
        <v>-2.2727272727272728E-2</v>
      </c>
      <c r="R231" s="164">
        <f t="shared" si="542"/>
        <v>5</v>
      </c>
      <c r="S231" s="165">
        <f t="shared" si="543"/>
        <v>1.5087215491889738E-2</v>
      </c>
      <c r="U231" s="70">
        <v>3</v>
      </c>
      <c r="V231" s="138">
        <f t="shared" si="539"/>
        <v>89</v>
      </c>
      <c r="W231" s="167">
        <f t="shared" si="540"/>
        <v>3.4883720930232558E-2</v>
      </c>
      <c r="X231" s="70">
        <v>4</v>
      </c>
      <c r="Y231" s="138">
        <f t="shared" si="544"/>
        <v>93</v>
      </c>
      <c r="Z231" s="167">
        <f t="shared" si="545"/>
        <v>4.49438202247191E-2</v>
      </c>
      <c r="AA231" s="68">
        <v>3</v>
      </c>
      <c r="AB231" s="138">
        <f t="shared" si="546"/>
        <v>96</v>
      </c>
      <c r="AC231" s="167">
        <f t="shared" si="547"/>
        <v>3.2258064516129031E-2</v>
      </c>
      <c r="AD231" s="70">
        <v>3</v>
      </c>
      <c r="AE231" s="138">
        <f t="shared" si="548"/>
        <v>99</v>
      </c>
      <c r="AF231" s="167">
        <f t="shared" si="549"/>
        <v>3.125E-2</v>
      </c>
      <c r="AG231" s="70">
        <v>2</v>
      </c>
      <c r="AH231" s="138">
        <f t="shared" si="550"/>
        <v>101</v>
      </c>
      <c r="AI231" s="167">
        <f t="shared" si="551"/>
        <v>2.0202020202020204E-2</v>
      </c>
      <c r="AJ231" s="164">
        <f t="shared" si="552"/>
        <v>15</v>
      </c>
      <c r="AK231" s="165">
        <f t="shared" si="553"/>
        <v>3.2126293275960727E-2</v>
      </c>
    </row>
    <row r="232" spans="2:37" outlineLevel="1" x14ac:dyDescent="0.35">
      <c r="B232" s="48" t="s">
        <v>108</v>
      </c>
      <c r="C232" s="62" t="s">
        <v>141</v>
      </c>
      <c r="D232" s="81">
        <v>-2</v>
      </c>
      <c r="E232" s="4">
        <v>86</v>
      </c>
      <c r="F232" s="81">
        <v>7</v>
      </c>
      <c r="G232" s="4">
        <v>93</v>
      </c>
      <c r="H232" s="185">
        <f t="shared" si="536"/>
        <v>8.1395348837209308E-2</v>
      </c>
      <c r="I232" s="81">
        <v>6</v>
      </c>
      <c r="J232" s="4">
        <v>99</v>
      </c>
      <c r="K232" s="167">
        <f t="shared" si="537"/>
        <v>6.4516129032258063E-2</v>
      </c>
      <c r="L232" s="81">
        <v>2</v>
      </c>
      <c r="M232" s="4">
        <v>101</v>
      </c>
      <c r="N232" s="167">
        <f t="shared" si="538"/>
        <v>2.0202020202020204E-2</v>
      </c>
      <c r="O232" s="81">
        <v>3</v>
      </c>
      <c r="P232" s="4">
        <v>104</v>
      </c>
      <c r="Q232" s="167">
        <f t="shared" si="541"/>
        <v>2.9702970297029702E-2</v>
      </c>
      <c r="R232" s="164">
        <f t="shared" si="542"/>
        <v>16</v>
      </c>
      <c r="S232" s="165">
        <f t="shared" si="543"/>
        <v>4.8657632184267774E-2</v>
      </c>
      <c r="U232" s="70">
        <v>6</v>
      </c>
      <c r="V232" s="138">
        <f t="shared" si="539"/>
        <v>110</v>
      </c>
      <c r="W232" s="167">
        <f t="shared" si="540"/>
        <v>5.7692307692307696E-2</v>
      </c>
      <c r="X232" s="70">
        <v>5</v>
      </c>
      <c r="Y232" s="138">
        <f t="shared" si="544"/>
        <v>115</v>
      </c>
      <c r="Z232" s="167">
        <f t="shared" si="545"/>
        <v>4.5454545454545456E-2</v>
      </c>
      <c r="AA232" s="68">
        <v>7</v>
      </c>
      <c r="AB232" s="138">
        <f t="shared" si="546"/>
        <v>122</v>
      </c>
      <c r="AC232" s="167">
        <f t="shared" si="547"/>
        <v>6.0869565217391307E-2</v>
      </c>
      <c r="AD232" s="70">
        <v>10</v>
      </c>
      <c r="AE232" s="138">
        <f t="shared" si="548"/>
        <v>132</v>
      </c>
      <c r="AF232" s="167">
        <f t="shared" si="549"/>
        <v>8.1967213114754092E-2</v>
      </c>
      <c r="AG232" s="70">
        <v>9</v>
      </c>
      <c r="AH232" s="138">
        <f t="shared" si="550"/>
        <v>141</v>
      </c>
      <c r="AI232" s="167">
        <f t="shared" si="551"/>
        <v>6.8181818181818177E-2</v>
      </c>
      <c r="AJ232" s="164">
        <f t="shared" si="552"/>
        <v>37</v>
      </c>
      <c r="AK232" s="165">
        <f t="shared" si="553"/>
        <v>6.4036698234374079E-2</v>
      </c>
    </row>
    <row r="233" spans="2:37" outlineLevel="1" x14ac:dyDescent="0.35">
      <c r="B233" s="48" t="s">
        <v>109</v>
      </c>
      <c r="C233" s="62" t="s">
        <v>141</v>
      </c>
      <c r="D233" s="81">
        <v>5</v>
      </c>
      <c r="E233" s="4">
        <v>153</v>
      </c>
      <c r="F233" s="81">
        <v>13</v>
      </c>
      <c r="G233" s="4">
        <v>166</v>
      </c>
      <c r="H233" s="185">
        <f t="shared" si="536"/>
        <v>8.4967320261437912E-2</v>
      </c>
      <c r="I233" s="81">
        <v>12</v>
      </c>
      <c r="J233" s="4">
        <v>178</v>
      </c>
      <c r="K233" s="167">
        <f t="shared" si="537"/>
        <v>7.2289156626506021E-2</v>
      </c>
      <c r="L233" s="81">
        <v>-6</v>
      </c>
      <c r="M233" s="4">
        <v>172</v>
      </c>
      <c r="N233" s="167">
        <f t="shared" si="538"/>
        <v>-3.3707865168539325E-2</v>
      </c>
      <c r="O233" s="81">
        <v>-5</v>
      </c>
      <c r="P233" s="4">
        <v>167</v>
      </c>
      <c r="Q233" s="167">
        <f t="shared" si="541"/>
        <v>-2.9069767441860465E-2</v>
      </c>
      <c r="R233" s="164">
        <f t="shared" si="542"/>
        <v>19</v>
      </c>
      <c r="S233" s="165">
        <f t="shared" si="543"/>
        <v>2.2130293860825434E-2</v>
      </c>
      <c r="U233" s="70">
        <v>4</v>
      </c>
      <c r="V233" s="138">
        <f t="shared" si="539"/>
        <v>171</v>
      </c>
      <c r="W233" s="167">
        <f t="shared" si="540"/>
        <v>2.3952095808383235E-2</v>
      </c>
      <c r="X233" s="70">
        <v>4</v>
      </c>
      <c r="Y233" s="138">
        <f t="shared" si="544"/>
        <v>175</v>
      </c>
      <c r="Z233" s="167">
        <f t="shared" si="545"/>
        <v>2.3391812865497075E-2</v>
      </c>
      <c r="AA233" s="68">
        <v>4</v>
      </c>
      <c r="AB233" s="138">
        <f t="shared" si="546"/>
        <v>179</v>
      </c>
      <c r="AC233" s="167">
        <f t="shared" si="547"/>
        <v>2.2857142857142857E-2</v>
      </c>
      <c r="AD233" s="70">
        <v>3</v>
      </c>
      <c r="AE233" s="138">
        <f t="shared" si="548"/>
        <v>182</v>
      </c>
      <c r="AF233" s="167">
        <f t="shared" si="549"/>
        <v>1.6759776536312849E-2</v>
      </c>
      <c r="AG233" s="70">
        <v>3</v>
      </c>
      <c r="AH233" s="138">
        <f t="shared" si="550"/>
        <v>185</v>
      </c>
      <c r="AI233" s="167">
        <f t="shared" si="551"/>
        <v>1.6483516483516484E-2</v>
      </c>
      <c r="AJ233" s="164">
        <f t="shared" si="552"/>
        <v>18</v>
      </c>
      <c r="AK233" s="165">
        <f t="shared" si="553"/>
        <v>1.986785720509654E-2</v>
      </c>
    </row>
    <row r="234" spans="2:37" outlineLevel="1" x14ac:dyDescent="0.35">
      <c r="B234" s="48" t="s">
        <v>110</v>
      </c>
      <c r="C234" s="62" t="s">
        <v>141</v>
      </c>
      <c r="D234" s="81">
        <v>4</v>
      </c>
      <c r="E234" s="4">
        <v>72</v>
      </c>
      <c r="F234" s="81">
        <v>1</v>
      </c>
      <c r="G234" s="4">
        <v>73</v>
      </c>
      <c r="H234" s="185">
        <f t="shared" si="536"/>
        <v>1.3888888888888888E-2</v>
      </c>
      <c r="I234" s="81">
        <v>-1</v>
      </c>
      <c r="J234" s="4">
        <v>72</v>
      </c>
      <c r="K234" s="167">
        <f t="shared" si="537"/>
        <v>-1.3698630136986301E-2</v>
      </c>
      <c r="L234" s="81">
        <v>5</v>
      </c>
      <c r="M234" s="4">
        <v>77</v>
      </c>
      <c r="N234" s="167">
        <f t="shared" si="538"/>
        <v>6.9444444444444448E-2</v>
      </c>
      <c r="O234" s="81">
        <v>5</v>
      </c>
      <c r="P234" s="4">
        <v>82</v>
      </c>
      <c r="Q234" s="167">
        <f t="shared" si="541"/>
        <v>6.4935064935064929E-2</v>
      </c>
      <c r="R234" s="164">
        <f t="shared" si="542"/>
        <v>14</v>
      </c>
      <c r="S234" s="165">
        <f t="shared" si="543"/>
        <v>3.3047614055361274E-2</v>
      </c>
      <c r="U234" s="70">
        <v>5</v>
      </c>
      <c r="V234" s="138">
        <f t="shared" si="539"/>
        <v>87</v>
      </c>
      <c r="W234" s="167">
        <f t="shared" si="540"/>
        <v>6.097560975609756E-2</v>
      </c>
      <c r="X234" s="70">
        <v>4</v>
      </c>
      <c r="Y234" s="138">
        <f t="shared" si="544"/>
        <v>91</v>
      </c>
      <c r="Z234" s="167">
        <f t="shared" si="545"/>
        <v>4.5977011494252873E-2</v>
      </c>
      <c r="AA234" s="68">
        <v>3</v>
      </c>
      <c r="AB234" s="138">
        <f t="shared" si="546"/>
        <v>94</v>
      </c>
      <c r="AC234" s="167">
        <f t="shared" si="547"/>
        <v>3.2967032967032968E-2</v>
      </c>
      <c r="AD234" s="70">
        <v>3</v>
      </c>
      <c r="AE234" s="138">
        <f t="shared" si="548"/>
        <v>97</v>
      </c>
      <c r="AF234" s="167">
        <f t="shared" si="549"/>
        <v>3.1914893617021274E-2</v>
      </c>
      <c r="AG234" s="70">
        <v>3</v>
      </c>
      <c r="AH234" s="138">
        <f t="shared" si="550"/>
        <v>100</v>
      </c>
      <c r="AI234" s="167">
        <f t="shared" si="551"/>
        <v>3.0927835051546393E-2</v>
      </c>
      <c r="AJ234" s="164">
        <f t="shared" si="552"/>
        <v>18</v>
      </c>
      <c r="AK234" s="165">
        <f t="shared" si="553"/>
        <v>3.5428672018403606E-2</v>
      </c>
    </row>
    <row r="235" spans="2:37" outlineLevel="1" x14ac:dyDescent="0.35">
      <c r="B235" s="48" t="s">
        <v>111</v>
      </c>
      <c r="C235" s="62" t="s">
        <v>141</v>
      </c>
      <c r="D235" s="81">
        <v>3</v>
      </c>
      <c r="E235" s="4">
        <v>50</v>
      </c>
      <c r="F235" s="81">
        <v>5</v>
      </c>
      <c r="G235" s="4">
        <v>55</v>
      </c>
      <c r="H235" s="185">
        <f t="shared" si="536"/>
        <v>0.1</v>
      </c>
      <c r="I235" s="81">
        <v>1</v>
      </c>
      <c r="J235" s="4">
        <v>56</v>
      </c>
      <c r="K235" s="167">
        <f t="shared" si="537"/>
        <v>1.8181818181818181E-2</v>
      </c>
      <c r="L235" s="81">
        <v>2</v>
      </c>
      <c r="M235" s="4">
        <v>58</v>
      </c>
      <c r="N235" s="167">
        <f t="shared" si="538"/>
        <v>3.5714285714285712E-2</v>
      </c>
      <c r="O235" s="81">
        <v>0</v>
      </c>
      <c r="P235" s="4">
        <v>58</v>
      </c>
      <c r="Q235" s="167">
        <f t="shared" si="541"/>
        <v>0</v>
      </c>
      <c r="R235" s="164">
        <f t="shared" si="542"/>
        <v>11</v>
      </c>
      <c r="S235" s="165">
        <f t="shared" si="543"/>
        <v>3.7801985653766579E-2</v>
      </c>
      <c r="U235" s="70">
        <v>2</v>
      </c>
      <c r="V235" s="138">
        <f t="shared" si="539"/>
        <v>60</v>
      </c>
      <c r="W235" s="167">
        <f t="shared" si="540"/>
        <v>3.4482758620689655E-2</v>
      </c>
      <c r="X235" s="70">
        <v>2</v>
      </c>
      <c r="Y235" s="138">
        <f t="shared" si="544"/>
        <v>62</v>
      </c>
      <c r="Z235" s="167">
        <f t="shared" si="545"/>
        <v>3.3333333333333333E-2</v>
      </c>
      <c r="AA235" s="68">
        <v>3</v>
      </c>
      <c r="AB235" s="138">
        <f t="shared" si="546"/>
        <v>65</v>
      </c>
      <c r="AC235" s="167">
        <f t="shared" si="547"/>
        <v>4.8387096774193547E-2</v>
      </c>
      <c r="AD235" s="70">
        <v>3</v>
      </c>
      <c r="AE235" s="138">
        <f t="shared" si="548"/>
        <v>68</v>
      </c>
      <c r="AF235" s="167">
        <f t="shared" si="549"/>
        <v>4.6153846153846156E-2</v>
      </c>
      <c r="AG235" s="70">
        <v>3</v>
      </c>
      <c r="AH235" s="138">
        <f t="shared" si="550"/>
        <v>71</v>
      </c>
      <c r="AI235" s="167">
        <f t="shared" si="551"/>
        <v>4.4117647058823532E-2</v>
      </c>
      <c r="AJ235" s="164">
        <f t="shared" si="552"/>
        <v>13</v>
      </c>
      <c r="AK235" s="165">
        <f t="shared" si="553"/>
        <v>4.2981906908607259E-2</v>
      </c>
    </row>
    <row r="236" spans="2:37" outlineLevel="1" x14ac:dyDescent="0.35">
      <c r="B236" s="48" t="s">
        <v>112</v>
      </c>
      <c r="C236" s="62" t="s">
        <v>141</v>
      </c>
      <c r="D236" s="81">
        <v>4</v>
      </c>
      <c r="E236" s="4">
        <v>146</v>
      </c>
      <c r="F236" s="81">
        <v>7</v>
      </c>
      <c r="G236" s="4">
        <v>153</v>
      </c>
      <c r="H236" s="185">
        <f t="shared" si="536"/>
        <v>4.7945205479452052E-2</v>
      </c>
      <c r="I236" s="81">
        <v>-1</v>
      </c>
      <c r="J236" s="4">
        <v>152</v>
      </c>
      <c r="K236" s="167">
        <f t="shared" si="537"/>
        <v>-6.5359477124183009E-3</v>
      </c>
      <c r="L236" s="81">
        <v>-1</v>
      </c>
      <c r="M236" s="4">
        <v>151</v>
      </c>
      <c r="N236" s="167">
        <f t="shared" si="538"/>
        <v>-6.5789473684210523E-3</v>
      </c>
      <c r="O236" s="81">
        <v>-6</v>
      </c>
      <c r="P236" s="4">
        <v>145</v>
      </c>
      <c r="Q236" s="167">
        <f t="shared" si="541"/>
        <v>-3.9735099337748346E-2</v>
      </c>
      <c r="R236" s="164">
        <f t="shared" si="542"/>
        <v>3</v>
      </c>
      <c r="S236" s="165">
        <f t="shared" si="543"/>
        <v>-1.7167445273433835E-3</v>
      </c>
      <c r="U236" s="70">
        <v>4</v>
      </c>
      <c r="V236" s="138">
        <f t="shared" si="539"/>
        <v>149</v>
      </c>
      <c r="W236" s="167">
        <f t="shared" si="540"/>
        <v>2.7586206896551724E-2</v>
      </c>
      <c r="X236" s="70">
        <v>5</v>
      </c>
      <c r="Y236" s="138">
        <f t="shared" si="544"/>
        <v>154</v>
      </c>
      <c r="Z236" s="167">
        <f t="shared" si="545"/>
        <v>3.3557046979865772E-2</v>
      </c>
      <c r="AA236" s="68">
        <v>7</v>
      </c>
      <c r="AB236" s="138">
        <f t="shared" si="546"/>
        <v>161</v>
      </c>
      <c r="AC236" s="167">
        <f t="shared" si="547"/>
        <v>4.5454545454545456E-2</v>
      </c>
      <c r="AD236" s="70">
        <v>6</v>
      </c>
      <c r="AE236" s="138">
        <f t="shared" si="548"/>
        <v>167</v>
      </c>
      <c r="AF236" s="167">
        <f t="shared" si="549"/>
        <v>3.7267080745341616E-2</v>
      </c>
      <c r="AG236" s="70">
        <v>7</v>
      </c>
      <c r="AH236" s="138">
        <f t="shared" si="550"/>
        <v>174</v>
      </c>
      <c r="AI236" s="167">
        <f t="shared" si="551"/>
        <v>4.1916167664670656E-2</v>
      </c>
      <c r="AJ236" s="164">
        <f t="shared" si="552"/>
        <v>29</v>
      </c>
      <c r="AK236" s="165">
        <f t="shared" si="553"/>
        <v>3.9538898819182045E-2</v>
      </c>
    </row>
    <row r="237" spans="2:37" outlineLevel="1" x14ac:dyDescent="0.35">
      <c r="B237" s="48" t="s">
        <v>113</v>
      </c>
      <c r="C237" s="62" t="s">
        <v>141</v>
      </c>
      <c r="D237" s="81">
        <v>0</v>
      </c>
      <c r="E237" s="4">
        <v>0</v>
      </c>
      <c r="F237" s="81">
        <v>0</v>
      </c>
      <c r="G237" s="4">
        <v>0</v>
      </c>
      <c r="H237" s="185">
        <f t="shared" si="536"/>
        <v>0</v>
      </c>
      <c r="I237" s="81">
        <v>0</v>
      </c>
      <c r="J237" s="4">
        <v>0</v>
      </c>
      <c r="K237" s="167">
        <f t="shared" si="537"/>
        <v>0</v>
      </c>
      <c r="L237" s="81">
        <v>0</v>
      </c>
      <c r="M237" s="4">
        <v>0</v>
      </c>
      <c r="N237" s="167">
        <f t="shared" si="538"/>
        <v>0</v>
      </c>
      <c r="O237" s="81">
        <v>0</v>
      </c>
      <c r="P237" s="4">
        <v>0</v>
      </c>
      <c r="Q237" s="167">
        <f t="shared" si="541"/>
        <v>0</v>
      </c>
      <c r="R237" s="164">
        <f t="shared" si="542"/>
        <v>0</v>
      </c>
      <c r="S237" s="165">
        <f t="shared" si="543"/>
        <v>0</v>
      </c>
      <c r="U237" s="70">
        <v>0</v>
      </c>
      <c r="V237" s="138">
        <f t="shared" si="539"/>
        <v>0</v>
      </c>
      <c r="W237" s="167">
        <f t="shared" si="540"/>
        <v>0</v>
      </c>
      <c r="X237" s="70">
        <v>0</v>
      </c>
      <c r="Y237" s="138">
        <f t="shared" si="544"/>
        <v>0</v>
      </c>
      <c r="Z237" s="167">
        <f t="shared" si="545"/>
        <v>0</v>
      </c>
      <c r="AA237" s="68">
        <v>0</v>
      </c>
      <c r="AB237" s="138">
        <f t="shared" si="546"/>
        <v>0</v>
      </c>
      <c r="AC237" s="167">
        <f t="shared" si="547"/>
        <v>0</v>
      </c>
      <c r="AD237" s="70">
        <v>0</v>
      </c>
      <c r="AE237" s="138">
        <f t="shared" si="548"/>
        <v>0</v>
      </c>
      <c r="AF237" s="167">
        <f t="shared" si="549"/>
        <v>0</v>
      </c>
      <c r="AG237" s="70">
        <v>0</v>
      </c>
      <c r="AH237" s="138">
        <f t="shared" si="550"/>
        <v>0</v>
      </c>
      <c r="AI237" s="167">
        <f t="shared" si="551"/>
        <v>0</v>
      </c>
      <c r="AJ237" s="164">
        <f t="shared" si="552"/>
        <v>0</v>
      </c>
      <c r="AK237" s="165">
        <f t="shared" si="553"/>
        <v>0</v>
      </c>
    </row>
    <row r="238" spans="2:37" outlineLevel="1" x14ac:dyDescent="0.35">
      <c r="B238" s="48" t="s">
        <v>114</v>
      </c>
      <c r="C238" s="62" t="s">
        <v>141</v>
      </c>
      <c r="D238" s="81">
        <v>2</v>
      </c>
      <c r="E238" s="4">
        <v>177</v>
      </c>
      <c r="F238" s="81">
        <v>6</v>
      </c>
      <c r="G238" s="4">
        <v>183</v>
      </c>
      <c r="H238" s="185">
        <f t="shared" si="536"/>
        <v>3.3898305084745763E-2</v>
      </c>
      <c r="I238" s="81">
        <v>-1</v>
      </c>
      <c r="J238" s="4">
        <v>182</v>
      </c>
      <c r="K238" s="167">
        <f t="shared" si="537"/>
        <v>-5.4644808743169399E-3</v>
      </c>
      <c r="L238" s="81">
        <v>-1</v>
      </c>
      <c r="M238" s="4">
        <v>181</v>
      </c>
      <c r="N238" s="167">
        <f t="shared" si="538"/>
        <v>-5.4945054945054949E-3</v>
      </c>
      <c r="O238" s="81">
        <v>-4</v>
      </c>
      <c r="P238" s="4">
        <v>177</v>
      </c>
      <c r="Q238" s="167">
        <f t="shared" si="541"/>
        <v>-2.2099447513812154E-2</v>
      </c>
      <c r="R238" s="164">
        <f t="shared" si="542"/>
        <v>2</v>
      </c>
      <c r="S238" s="165">
        <f t="shared" si="543"/>
        <v>0</v>
      </c>
      <c r="U238" s="70">
        <v>4</v>
      </c>
      <c r="V238" s="138">
        <f t="shared" si="539"/>
        <v>181</v>
      </c>
      <c r="W238" s="167">
        <f t="shared" si="540"/>
        <v>2.2598870056497175E-2</v>
      </c>
      <c r="X238" s="70">
        <v>4</v>
      </c>
      <c r="Y238" s="138">
        <f t="shared" si="544"/>
        <v>185</v>
      </c>
      <c r="Z238" s="167">
        <f t="shared" si="545"/>
        <v>2.2099447513812154E-2</v>
      </c>
      <c r="AA238" s="68">
        <v>3</v>
      </c>
      <c r="AB238" s="138">
        <f t="shared" si="546"/>
        <v>188</v>
      </c>
      <c r="AC238" s="167">
        <f t="shared" si="547"/>
        <v>1.6216216216216217E-2</v>
      </c>
      <c r="AD238" s="70">
        <v>2</v>
      </c>
      <c r="AE238" s="138">
        <f t="shared" si="548"/>
        <v>190</v>
      </c>
      <c r="AF238" s="167">
        <f t="shared" si="549"/>
        <v>1.0638297872340425E-2</v>
      </c>
      <c r="AG238" s="70">
        <v>2</v>
      </c>
      <c r="AH238" s="138">
        <f t="shared" si="550"/>
        <v>192</v>
      </c>
      <c r="AI238" s="167">
        <f t="shared" si="551"/>
        <v>1.0526315789473684E-2</v>
      </c>
      <c r="AJ238" s="164">
        <f t="shared" si="552"/>
        <v>15</v>
      </c>
      <c r="AK238" s="165">
        <f t="shared" si="553"/>
        <v>1.4858897095994639E-2</v>
      </c>
    </row>
    <row r="239" spans="2:37" outlineLevel="1" x14ac:dyDescent="0.35">
      <c r="B239" s="48" t="s">
        <v>115</v>
      </c>
      <c r="C239" s="62" t="s">
        <v>141</v>
      </c>
      <c r="D239" s="81">
        <v>5</v>
      </c>
      <c r="E239" s="4">
        <v>8</v>
      </c>
      <c r="F239" s="81">
        <v>9</v>
      </c>
      <c r="G239" s="4">
        <v>17</v>
      </c>
      <c r="H239" s="185">
        <f t="shared" si="536"/>
        <v>1.125</v>
      </c>
      <c r="I239" s="81">
        <v>3</v>
      </c>
      <c r="J239" s="4">
        <v>20</v>
      </c>
      <c r="K239" s="167">
        <f t="shared" si="537"/>
        <v>0.17647058823529413</v>
      </c>
      <c r="L239" s="81">
        <v>3</v>
      </c>
      <c r="M239" s="4">
        <v>23</v>
      </c>
      <c r="N239" s="167">
        <f t="shared" si="538"/>
        <v>0.15</v>
      </c>
      <c r="O239" s="81">
        <v>1</v>
      </c>
      <c r="P239" s="4">
        <v>24</v>
      </c>
      <c r="Q239" s="167">
        <f t="shared" si="541"/>
        <v>4.3478260869565216E-2</v>
      </c>
      <c r="R239" s="164">
        <f t="shared" si="542"/>
        <v>21</v>
      </c>
      <c r="S239" s="165">
        <f t="shared" si="543"/>
        <v>0.3160740129524926</v>
      </c>
      <c r="U239" s="70">
        <v>2</v>
      </c>
      <c r="V239" s="138">
        <f t="shared" si="539"/>
        <v>26</v>
      </c>
      <c r="W239" s="167">
        <f t="shared" si="540"/>
        <v>8.3333333333333329E-2</v>
      </c>
      <c r="X239" s="70">
        <v>3</v>
      </c>
      <c r="Y239" s="138">
        <f t="shared" si="544"/>
        <v>29</v>
      </c>
      <c r="Z239" s="167">
        <f t="shared" si="545"/>
        <v>0.11538461538461539</v>
      </c>
      <c r="AA239" s="68">
        <v>3</v>
      </c>
      <c r="AB239" s="138">
        <f t="shared" si="546"/>
        <v>32</v>
      </c>
      <c r="AC239" s="167">
        <f t="shared" si="547"/>
        <v>0.10344827586206896</v>
      </c>
      <c r="AD239" s="70">
        <v>3</v>
      </c>
      <c r="AE239" s="138">
        <f t="shared" si="548"/>
        <v>35</v>
      </c>
      <c r="AF239" s="167">
        <f t="shared" si="549"/>
        <v>9.375E-2</v>
      </c>
      <c r="AG239" s="70">
        <v>4</v>
      </c>
      <c r="AH239" s="138">
        <f t="shared" si="550"/>
        <v>39</v>
      </c>
      <c r="AI239" s="167">
        <f t="shared" si="551"/>
        <v>0.11428571428571428</v>
      </c>
      <c r="AJ239" s="164">
        <f t="shared" si="552"/>
        <v>15</v>
      </c>
      <c r="AK239" s="165">
        <f t="shared" si="553"/>
        <v>0.1066819197003217</v>
      </c>
    </row>
    <row r="240" spans="2:37" outlineLevel="1" x14ac:dyDescent="0.35">
      <c r="B240" s="48" t="s">
        <v>116</v>
      </c>
      <c r="C240" s="62" t="s">
        <v>141</v>
      </c>
      <c r="D240" s="81">
        <v>4</v>
      </c>
      <c r="E240" s="4">
        <v>112</v>
      </c>
      <c r="F240" s="81">
        <v>4</v>
      </c>
      <c r="G240" s="4">
        <v>116</v>
      </c>
      <c r="H240" s="185">
        <f t="shared" si="536"/>
        <v>3.5714285714285712E-2</v>
      </c>
      <c r="I240" s="81">
        <v>1</v>
      </c>
      <c r="J240" s="4">
        <v>117</v>
      </c>
      <c r="K240" s="167">
        <f t="shared" si="537"/>
        <v>8.6206896551724137E-3</v>
      </c>
      <c r="L240" s="81">
        <v>1</v>
      </c>
      <c r="M240" s="4">
        <v>118</v>
      </c>
      <c r="N240" s="167">
        <f t="shared" si="538"/>
        <v>8.5470085470085479E-3</v>
      </c>
      <c r="O240" s="81">
        <v>3</v>
      </c>
      <c r="P240" s="4">
        <v>121</v>
      </c>
      <c r="Q240" s="167">
        <f t="shared" si="541"/>
        <v>2.5423728813559324E-2</v>
      </c>
      <c r="R240" s="164">
        <f t="shared" si="542"/>
        <v>13</v>
      </c>
      <c r="S240" s="165">
        <f t="shared" si="543"/>
        <v>1.951081444748537E-2</v>
      </c>
      <c r="U240" s="70">
        <v>6</v>
      </c>
      <c r="V240" s="138">
        <f t="shared" si="539"/>
        <v>127</v>
      </c>
      <c r="W240" s="167">
        <f t="shared" si="540"/>
        <v>4.9586776859504134E-2</v>
      </c>
      <c r="X240" s="70">
        <v>5</v>
      </c>
      <c r="Y240" s="138">
        <f t="shared" si="544"/>
        <v>132</v>
      </c>
      <c r="Z240" s="167">
        <f t="shared" si="545"/>
        <v>3.937007874015748E-2</v>
      </c>
      <c r="AA240" s="68">
        <v>4</v>
      </c>
      <c r="AB240" s="138">
        <f t="shared" si="546"/>
        <v>136</v>
      </c>
      <c r="AC240" s="167">
        <f t="shared" si="547"/>
        <v>3.0303030303030304E-2</v>
      </c>
      <c r="AD240" s="70">
        <v>3</v>
      </c>
      <c r="AE240" s="138">
        <f t="shared" si="548"/>
        <v>139</v>
      </c>
      <c r="AF240" s="167">
        <f t="shared" si="549"/>
        <v>2.2058823529411766E-2</v>
      </c>
      <c r="AG240" s="70">
        <v>3</v>
      </c>
      <c r="AH240" s="138">
        <f t="shared" si="550"/>
        <v>142</v>
      </c>
      <c r="AI240" s="167">
        <f t="shared" si="551"/>
        <v>2.1582733812949641E-2</v>
      </c>
      <c r="AJ240" s="164">
        <f t="shared" si="552"/>
        <v>21</v>
      </c>
      <c r="AK240" s="165">
        <f t="shared" si="553"/>
        <v>2.8303125556183861E-2</v>
      </c>
    </row>
    <row r="241" spans="2:37" outlineLevel="1" x14ac:dyDescent="0.35">
      <c r="B241" s="48" t="s">
        <v>117</v>
      </c>
      <c r="C241" s="62" t="s">
        <v>141</v>
      </c>
      <c r="D241" s="81">
        <v>17</v>
      </c>
      <c r="E241" s="4">
        <v>319</v>
      </c>
      <c r="F241" s="81">
        <v>7</v>
      </c>
      <c r="G241" s="4">
        <v>326</v>
      </c>
      <c r="H241" s="185">
        <f t="shared" si="536"/>
        <v>2.1943573667711599E-2</v>
      </c>
      <c r="I241" s="81">
        <v>11</v>
      </c>
      <c r="J241" s="4">
        <v>337</v>
      </c>
      <c r="K241" s="167">
        <f t="shared" si="537"/>
        <v>3.3742331288343558E-2</v>
      </c>
      <c r="L241" s="81">
        <v>-6</v>
      </c>
      <c r="M241" s="4">
        <v>331</v>
      </c>
      <c r="N241" s="167">
        <f t="shared" si="538"/>
        <v>-1.7804154302670624E-2</v>
      </c>
      <c r="O241" s="81">
        <v>-1</v>
      </c>
      <c r="P241" s="4">
        <v>330</v>
      </c>
      <c r="Q241" s="167">
        <f t="shared" si="541"/>
        <v>-3.0211480362537764E-3</v>
      </c>
      <c r="R241" s="164">
        <f t="shared" si="542"/>
        <v>28</v>
      </c>
      <c r="S241" s="165">
        <f t="shared" si="543"/>
        <v>8.5114057020949652E-3</v>
      </c>
      <c r="U241" s="70">
        <v>14</v>
      </c>
      <c r="V241" s="138">
        <f t="shared" si="539"/>
        <v>344</v>
      </c>
      <c r="W241" s="167">
        <f t="shared" si="540"/>
        <v>4.2424242424242427E-2</v>
      </c>
      <c r="X241" s="70">
        <v>18</v>
      </c>
      <c r="Y241" s="138">
        <f t="shared" si="544"/>
        <v>362</v>
      </c>
      <c r="Z241" s="167">
        <f t="shared" si="545"/>
        <v>5.232558139534884E-2</v>
      </c>
      <c r="AA241" s="68">
        <v>20</v>
      </c>
      <c r="AB241" s="138">
        <f t="shared" si="546"/>
        <v>382</v>
      </c>
      <c r="AC241" s="167">
        <f t="shared" si="547"/>
        <v>5.5248618784530384E-2</v>
      </c>
      <c r="AD241" s="70">
        <v>22</v>
      </c>
      <c r="AE241" s="138">
        <f t="shared" si="548"/>
        <v>404</v>
      </c>
      <c r="AF241" s="167">
        <f t="shared" si="549"/>
        <v>5.7591623036649213E-2</v>
      </c>
      <c r="AG241" s="70">
        <v>21</v>
      </c>
      <c r="AH241" s="138">
        <f t="shared" si="550"/>
        <v>425</v>
      </c>
      <c r="AI241" s="167">
        <f t="shared" si="551"/>
        <v>5.1980198019801978E-2</v>
      </c>
      <c r="AJ241" s="164">
        <f t="shared" si="552"/>
        <v>95</v>
      </c>
      <c r="AK241" s="165">
        <f t="shared" si="553"/>
        <v>5.428401512715042E-2</v>
      </c>
    </row>
    <row r="242" spans="2:37" outlineLevel="1" x14ac:dyDescent="0.35">
      <c r="B242" s="48" t="s">
        <v>118</v>
      </c>
      <c r="C242" s="62" t="s">
        <v>141</v>
      </c>
      <c r="D242" s="81">
        <v>-2</v>
      </c>
      <c r="E242" s="4">
        <v>62</v>
      </c>
      <c r="F242" s="81">
        <v>8</v>
      </c>
      <c r="G242" s="4">
        <v>70</v>
      </c>
      <c r="H242" s="185">
        <f t="shared" si="536"/>
        <v>0.12903225806451613</v>
      </c>
      <c r="I242" s="81">
        <v>7</v>
      </c>
      <c r="J242" s="4">
        <v>77</v>
      </c>
      <c r="K242" s="167">
        <f t="shared" si="537"/>
        <v>0.1</v>
      </c>
      <c r="L242" s="81">
        <v>3</v>
      </c>
      <c r="M242" s="4">
        <v>80</v>
      </c>
      <c r="N242" s="167">
        <f t="shared" si="538"/>
        <v>3.896103896103896E-2</v>
      </c>
      <c r="O242" s="81">
        <v>-4</v>
      </c>
      <c r="P242" s="4">
        <v>76</v>
      </c>
      <c r="Q242" s="167">
        <f t="shared" si="541"/>
        <v>-0.05</v>
      </c>
      <c r="R242" s="164">
        <f t="shared" si="542"/>
        <v>12</v>
      </c>
      <c r="S242" s="165">
        <f t="shared" si="543"/>
        <v>5.2217391426944371E-2</v>
      </c>
      <c r="U242" s="70">
        <v>2</v>
      </c>
      <c r="V242" s="138">
        <f t="shared" si="539"/>
        <v>78</v>
      </c>
      <c r="W242" s="167">
        <f t="shared" si="540"/>
        <v>2.6315789473684209E-2</v>
      </c>
      <c r="X242" s="70">
        <v>2</v>
      </c>
      <c r="Y242" s="138">
        <f t="shared" si="544"/>
        <v>80</v>
      </c>
      <c r="Z242" s="167">
        <f t="shared" si="545"/>
        <v>2.564102564102564E-2</v>
      </c>
      <c r="AA242" s="68">
        <v>1</v>
      </c>
      <c r="AB242" s="138">
        <f t="shared" si="546"/>
        <v>81</v>
      </c>
      <c r="AC242" s="167">
        <f t="shared" si="547"/>
        <v>1.2500000000000001E-2</v>
      </c>
      <c r="AD242" s="70">
        <v>1</v>
      </c>
      <c r="AE242" s="138">
        <f t="shared" si="548"/>
        <v>82</v>
      </c>
      <c r="AF242" s="167">
        <f t="shared" si="549"/>
        <v>1.2345679012345678E-2</v>
      </c>
      <c r="AG242" s="70">
        <v>1</v>
      </c>
      <c r="AH242" s="138">
        <f t="shared" si="550"/>
        <v>83</v>
      </c>
      <c r="AI242" s="167">
        <f t="shared" si="551"/>
        <v>1.2195121951219513E-2</v>
      </c>
      <c r="AJ242" s="164">
        <f t="shared" si="552"/>
        <v>7</v>
      </c>
      <c r="AK242" s="165">
        <f t="shared" si="553"/>
        <v>1.5654208516109103E-2</v>
      </c>
    </row>
    <row r="243" spans="2:37" outlineLevel="1" x14ac:dyDescent="0.35">
      <c r="B243" s="48" t="s">
        <v>119</v>
      </c>
      <c r="C243" s="62" t="s">
        <v>141</v>
      </c>
      <c r="D243" s="81">
        <v>0</v>
      </c>
      <c r="E243" s="4">
        <v>7</v>
      </c>
      <c r="F243" s="81">
        <v>1</v>
      </c>
      <c r="G243" s="4">
        <v>8</v>
      </c>
      <c r="H243" s="185">
        <f t="shared" si="536"/>
        <v>0.14285714285714285</v>
      </c>
      <c r="I243" s="81">
        <v>2</v>
      </c>
      <c r="J243" s="4">
        <v>10</v>
      </c>
      <c r="K243" s="167">
        <f t="shared" si="537"/>
        <v>0.25</v>
      </c>
      <c r="L243" s="81">
        <v>-1</v>
      </c>
      <c r="M243" s="4">
        <v>9</v>
      </c>
      <c r="N243" s="167">
        <f t="shared" si="538"/>
        <v>-0.1</v>
      </c>
      <c r="O243" s="81">
        <v>1</v>
      </c>
      <c r="P243" s="4">
        <v>10</v>
      </c>
      <c r="Q243" s="167">
        <f t="shared" si="541"/>
        <v>0.1111111111111111</v>
      </c>
      <c r="R243" s="164">
        <f t="shared" si="542"/>
        <v>3</v>
      </c>
      <c r="S243" s="165">
        <f t="shared" si="543"/>
        <v>9.3265113929093424E-2</v>
      </c>
      <c r="U243" s="70">
        <v>-1</v>
      </c>
      <c r="V243" s="138">
        <f t="shared" si="539"/>
        <v>9</v>
      </c>
      <c r="W243" s="167">
        <f t="shared" si="540"/>
        <v>-0.1</v>
      </c>
      <c r="X243" s="70">
        <v>0</v>
      </c>
      <c r="Y243" s="138">
        <f t="shared" si="544"/>
        <v>9</v>
      </c>
      <c r="Z243" s="167">
        <f t="shared" si="545"/>
        <v>0</v>
      </c>
      <c r="AA243" s="68">
        <v>0</v>
      </c>
      <c r="AB243" s="138">
        <f t="shared" si="546"/>
        <v>9</v>
      </c>
      <c r="AC243" s="167">
        <f t="shared" si="547"/>
        <v>0</v>
      </c>
      <c r="AD243" s="70">
        <v>0</v>
      </c>
      <c r="AE243" s="138">
        <f t="shared" si="548"/>
        <v>9</v>
      </c>
      <c r="AF243" s="167">
        <f t="shared" si="549"/>
        <v>0</v>
      </c>
      <c r="AG243" s="70">
        <v>0</v>
      </c>
      <c r="AH243" s="138">
        <f t="shared" si="550"/>
        <v>9</v>
      </c>
      <c r="AI243" s="167">
        <f t="shared" si="551"/>
        <v>0</v>
      </c>
      <c r="AJ243" s="164">
        <f t="shared" si="552"/>
        <v>-1</v>
      </c>
      <c r="AK243" s="165">
        <f t="shared" si="553"/>
        <v>0</v>
      </c>
    </row>
    <row r="244" spans="2:37" outlineLevel="1" x14ac:dyDescent="0.35">
      <c r="B244" s="48" t="s">
        <v>120</v>
      </c>
      <c r="C244" s="62" t="s">
        <v>141</v>
      </c>
      <c r="D244" s="81">
        <v>19</v>
      </c>
      <c r="E244" s="4">
        <v>269</v>
      </c>
      <c r="F244" s="81">
        <v>15</v>
      </c>
      <c r="G244" s="4">
        <v>284</v>
      </c>
      <c r="H244" s="185">
        <f t="shared" si="536"/>
        <v>5.5762081784386616E-2</v>
      </c>
      <c r="I244" s="81">
        <v>13</v>
      </c>
      <c r="J244" s="4">
        <v>297</v>
      </c>
      <c r="K244" s="167">
        <f t="shared" si="537"/>
        <v>4.5774647887323945E-2</v>
      </c>
      <c r="L244" s="81">
        <v>-6</v>
      </c>
      <c r="M244" s="4">
        <v>291</v>
      </c>
      <c r="N244" s="167">
        <f t="shared" si="538"/>
        <v>-2.0202020202020204E-2</v>
      </c>
      <c r="O244" s="81">
        <v>-1</v>
      </c>
      <c r="P244" s="4">
        <v>290</v>
      </c>
      <c r="Q244" s="167">
        <f t="shared" si="541"/>
        <v>-3.4364261168384879E-3</v>
      </c>
      <c r="R244" s="164">
        <f t="shared" si="542"/>
        <v>40</v>
      </c>
      <c r="S244" s="165">
        <f t="shared" si="543"/>
        <v>1.897007404400064E-2</v>
      </c>
      <c r="U244" s="70">
        <v>9</v>
      </c>
      <c r="V244" s="138">
        <f t="shared" si="539"/>
        <v>299</v>
      </c>
      <c r="W244" s="167">
        <f t="shared" si="540"/>
        <v>3.1034482758620689E-2</v>
      </c>
      <c r="X244" s="70">
        <v>8</v>
      </c>
      <c r="Y244" s="138">
        <f t="shared" si="544"/>
        <v>307</v>
      </c>
      <c r="Z244" s="167">
        <f t="shared" si="545"/>
        <v>2.6755852842809364E-2</v>
      </c>
      <c r="AA244" s="68">
        <v>9</v>
      </c>
      <c r="AB244" s="138">
        <f t="shared" si="546"/>
        <v>316</v>
      </c>
      <c r="AC244" s="167">
        <f t="shared" si="547"/>
        <v>2.9315960912052116E-2</v>
      </c>
      <c r="AD244" s="70">
        <v>8</v>
      </c>
      <c r="AE244" s="138">
        <f t="shared" si="548"/>
        <v>324</v>
      </c>
      <c r="AF244" s="167">
        <f t="shared" si="549"/>
        <v>2.5316455696202531E-2</v>
      </c>
      <c r="AG244" s="70">
        <v>8</v>
      </c>
      <c r="AH244" s="138">
        <f t="shared" si="550"/>
        <v>332</v>
      </c>
      <c r="AI244" s="167">
        <f t="shared" si="551"/>
        <v>2.4691358024691357E-2</v>
      </c>
      <c r="AJ244" s="164">
        <f t="shared" si="552"/>
        <v>42</v>
      </c>
      <c r="AK244" s="165">
        <f t="shared" si="553"/>
        <v>2.6518365691114765E-2</v>
      </c>
    </row>
    <row r="245" spans="2:37" outlineLevel="1" x14ac:dyDescent="0.35">
      <c r="B245" s="48" t="s">
        <v>121</v>
      </c>
      <c r="C245" s="62" t="s">
        <v>141</v>
      </c>
      <c r="D245" s="81">
        <v>-1</v>
      </c>
      <c r="E245" s="4">
        <v>13</v>
      </c>
      <c r="F245" s="81">
        <v>2</v>
      </c>
      <c r="G245" s="4">
        <v>15</v>
      </c>
      <c r="H245" s="185">
        <f t="shared" si="536"/>
        <v>0.15384615384615385</v>
      </c>
      <c r="I245" s="81">
        <v>6</v>
      </c>
      <c r="J245" s="4">
        <v>21</v>
      </c>
      <c r="K245" s="167">
        <f t="shared" si="537"/>
        <v>0.4</v>
      </c>
      <c r="L245" s="81">
        <v>2</v>
      </c>
      <c r="M245" s="4">
        <v>23</v>
      </c>
      <c r="N245" s="167">
        <f t="shared" si="538"/>
        <v>9.5238095238095233E-2</v>
      </c>
      <c r="O245" s="81">
        <v>0</v>
      </c>
      <c r="P245" s="4">
        <v>23</v>
      </c>
      <c r="Q245" s="167">
        <f t="shared" si="541"/>
        <v>0</v>
      </c>
      <c r="R245" s="164">
        <f t="shared" si="542"/>
        <v>9</v>
      </c>
      <c r="S245" s="165">
        <f t="shared" si="543"/>
        <v>0.15331016796105312</v>
      </c>
      <c r="U245" s="70">
        <v>0</v>
      </c>
      <c r="V245" s="138">
        <f t="shared" si="539"/>
        <v>23</v>
      </c>
      <c r="W245" s="167">
        <f t="shared" si="540"/>
        <v>0</v>
      </c>
      <c r="X245" s="70">
        <v>1</v>
      </c>
      <c r="Y245" s="138">
        <f t="shared" si="544"/>
        <v>24</v>
      </c>
      <c r="Z245" s="167">
        <f t="shared" si="545"/>
        <v>4.3478260869565216E-2</v>
      </c>
      <c r="AA245" s="68">
        <v>3</v>
      </c>
      <c r="AB245" s="138">
        <f t="shared" si="546"/>
        <v>27</v>
      </c>
      <c r="AC245" s="167">
        <f t="shared" si="547"/>
        <v>0.125</v>
      </c>
      <c r="AD245" s="70">
        <v>3</v>
      </c>
      <c r="AE245" s="138">
        <f t="shared" si="548"/>
        <v>30</v>
      </c>
      <c r="AF245" s="167">
        <f t="shared" si="549"/>
        <v>0.1111111111111111</v>
      </c>
      <c r="AG245" s="70">
        <v>5</v>
      </c>
      <c r="AH245" s="138">
        <f t="shared" si="550"/>
        <v>35</v>
      </c>
      <c r="AI245" s="167">
        <f t="shared" si="551"/>
        <v>0.16666666666666666</v>
      </c>
      <c r="AJ245" s="164">
        <f t="shared" si="552"/>
        <v>12</v>
      </c>
      <c r="AK245" s="165">
        <f t="shared" si="553"/>
        <v>0.1106700272753931</v>
      </c>
    </row>
    <row r="246" spans="2:37" outlineLevel="1" x14ac:dyDescent="0.35">
      <c r="B246" s="48" t="s">
        <v>137</v>
      </c>
      <c r="C246" s="62" t="s">
        <v>141</v>
      </c>
      <c r="D246" s="81">
        <v>0</v>
      </c>
      <c r="E246" s="4">
        <v>0</v>
      </c>
      <c r="F246" s="81">
        <v>0</v>
      </c>
      <c r="G246" s="4">
        <v>0</v>
      </c>
      <c r="H246" s="185">
        <f t="shared" si="536"/>
        <v>0</v>
      </c>
      <c r="I246" s="81">
        <v>0</v>
      </c>
      <c r="J246" s="4">
        <v>0</v>
      </c>
      <c r="K246" s="167">
        <f t="shared" si="537"/>
        <v>0</v>
      </c>
      <c r="L246" s="81">
        <v>0</v>
      </c>
      <c r="M246" s="4">
        <v>0</v>
      </c>
      <c r="N246" s="167">
        <f t="shared" si="538"/>
        <v>0</v>
      </c>
      <c r="O246" s="81">
        <v>0</v>
      </c>
      <c r="P246" s="4">
        <v>0</v>
      </c>
      <c r="Q246" s="167">
        <f t="shared" si="541"/>
        <v>0</v>
      </c>
      <c r="R246" s="164">
        <f t="shared" si="542"/>
        <v>0</v>
      </c>
      <c r="S246" s="165">
        <f t="shared" si="543"/>
        <v>0</v>
      </c>
      <c r="U246" s="70">
        <v>0</v>
      </c>
      <c r="V246" s="138">
        <f t="shared" si="539"/>
        <v>0</v>
      </c>
      <c r="W246" s="167">
        <f t="shared" si="540"/>
        <v>0</v>
      </c>
      <c r="X246" s="70">
        <v>0</v>
      </c>
      <c r="Y246" s="138">
        <f t="shared" si="544"/>
        <v>0</v>
      </c>
      <c r="Z246" s="167">
        <f t="shared" si="545"/>
        <v>0</v>
      </c>
      <c r="AA246" s="68">
        <v>0</v>
      </c>
      <c r="AB246" s="138">
        <f t="shared" si="546"/>
        <v>0</v>
      </c>
      <c r="AC246" s="167">
        <f t="shared" si="547"/>
        <v>0</v>
      </c>
      <c r="AD246" s="70">
        <v>0</v>
      </c>
      <c r="AE246" s="138">
        <f t="shared" si="548"/>
        <v>0</v>
      </c>
      <c r="AF246" s="167">
        <f t="shared" si="549"/>
        <v>0</v>
      </c>
      <c r="AG246" s="70">
        <v>0</v>
      </c>
      <c r="AH246" s="138">
        <f t="shared" si="550"/>
        <v>0</v>
      </c>
      <c r="AI246" s="167">
        <f t="shared" si="551"/>
        <v>0</v>
      </c>
      <c r="AJ246" s="164">
        <f t="shared" si="552"/>
        <v>0</v>
      </c>
      <c r="AK246" s="165">
        <f t="shared" si="553"/>
        <v>0</v>
      </c>
    </row>
    <row r="247" spans="2:37" outlineLevel="1" x14ac:dyDescent="0.35">
      <c r="B247" s="48" t="s">
        <v>123</v>
      </c>
      <c r="C247" s="62" t="s">
        <v>141</v>
      </c>
      <c r="D247" s="81">
        <v>5</v>
      </c>
      <c r="E247" s="4">
        <v>113</v>
      </c>
      <c r="F247" s="81">
        <v>1</v>
      </c>
      <c r="G247" s="4">
        <v>114</v>
      </c>
      <c r="H247" s="185">
        <f t="shared" si="536"/>
        <v>8.8495575221238937E-3</v>
      </c>
      <c r="I247" s="81">
        <v>5</v>
      </c>
      <c r="J247" s="4">
        <v>119</v>
      </c>
      <c r="K247" s="167">
        <f t="shared" si="537"/>
        <v>4.3859649122807015E-2</v>
      </c>
      <c r="L247" s="81">
        <v>-2</v>
      </c>
      <c r="M247" s="4">
        <v>117</v>
      </c>
      <c r="N247" s="167">
        <f t="shared" si="538"/>
        <v>-1.680672268907563E-2</v>
      </c>
      <c r="O247" s="81">
        <v>1</v>
      </c>
      <c r="P247" s="4">
        <v>118</v>
      </c>
      <c r="Q247" s="167">
        <f t="shared" si="541"/>
        <v>8.5470085470085479E-3</v>
      </c>
      <c r="R247" s="164">
        <f t="shared" si="542"/>
        <v>10</v>
      </c>
      <c r="S247" s="165">
        <f t="shared" si="543"/>
        <v>1.0882995046522126E-2</v>
      </c>
      <c r="U247" s="70">
        <v>1</v>
      </c>
      <c r="V247" s="138">
        <f t="shared" si="539"/>
        <v>119</v>
      </c>
      <c r="W247" s="167">
        <f t="shared" si="540"/>
        <v>8.4745762711864406E-3</v>
      </c>
      <c r="X247" s="70">
        <v>1</v>
      </c>
      <c r="Y247" s="138">
        <f t="shared" si="544"/>
        <v>120</v>
      </c>
      <c r="Z247" s="167">
        <f t="shared" si="545"/>
        <v>8.4033613445378148E-3</v>
      </c>
      <c r="AA247" s="68">
        <v>2</v>
      </c>
      <c r="AB247" s="138">
        <f t="shared" si="546"/>
        <v>122</v>
      </c>
      <c r="AC247" s="167">
        <f t="shared" si="547"/>
        <v>1.6666666666666666E-2</v>
      </c>
      <c r="AD247" s="70">
        <v>2</v>
      </c>
      <c r="AE247" s="138">
        <f t="shared" si="548"/>
        <v>124</v>
      </c>
      <c r="AF247" s="167">
        <f t="shared" si="549"/>
        <v>1.6393442622950821E-2</v>
      </c>
      <c r="AG247" s="70">
        <v>2</v>
      </c>
      <c r="AH247" s="138">
        <f t="shared" si="550"/>
        <v>126</v>
      </c>
      <c r="AI247" s="167">
        <f t="shared" si="551"/>
        <v>1.6129032258064516E-2</v>
      </c>
      <c r="AJ247" s="164">
        <f t="shared" si="552"/>
        <v>8</v>
      </c>
      <c r="AK247" s="165">
        <f t="shared" si="553"/>
        <v>1.4392187891376196E-2</v>
      </c>
    </row>
    <row r="248" spans="2:37" outlineLevel="1" x14ac:dyDescent="0.35">
      <c r="B248" s="48" t="s">
        <v>124</v>
      </c>
      <c r="C248" s="62" t="s">
        <v>141</v>
      </c>
      <c r="D248" s="81">
        <v>1</v>
      </c>
      <c r="E248" s="4">
        <v>6</v>
      </c>
      <c r="F248" s="81">
        <v>2</v>
      </c>
      <c r="G248" s="4">
        <v>8</v>
      </c>
      <c r="H248" s="185">
        <f t="shared" si="536"/>
        <v>0.33333333333333331</v>
      </c>
      <c r="I248" s="81">
        <v>4</v>
      </c>
      <c r="J248" s="4">
        <v>12</v>
      </c>
      <c r="K248" s="167">
        <f t="shared" si="537"/>
        <v>0.5</v>
      </c>
      <c r="L248" s="81">
        <v>0</v>
      </c>
      <c r="M248" s="4">
        <v>12</v>
      </c>
      <c r="N248" s="167">
        <f t="shared" si="538"/>
        <v>0</v>
      </c>
      <c r="O248" s="81">
        <v>0</v>
      </c>
      <c r="P248" s="4">
        <v>12</v>
      </c>
      <c r="Q248" s="167">
        <f t="shared" si="541"/>
        <v>0</v>
      </c>
      <c r="R248" s="164">
        <f t="shared" si="542"/>
        <v>7</v>
      </c>
      <c r="S248" s="165">
        <f t="shared" si="543"/>
        <v>0.18920711500272103</v>
      </c>
      <c r="U248" s="70">
        <v>2</v>
      </c>
      <c r="V248" s="138">
        <f t="shared" si="539"/>
        <v>14</v>
      </c>
      <c r="W248" s="167">
        <f t="shared" si="540"/>
        <v>0.16666666666666666</v>
      </c>
      <c r="X248" s="70">
        <v>1</v>
      </c>
      <c r="Y248" s="138">
        <f t="shared" si="544"/>
        <v>15</v>
      </c>
      <c r="Z248" s="167">
        <f t="shared" si="545"/>
        <v>7.1428571428571425E-2</v>
      </c>
      <c r="AA248" s="68">
        <v>1</v>
      </c>
      <c r="AB248" s="138">
        <f t="shared" si="546"/>
        <v>16</v>
      </c>
      <c r="AC248" s="167">
        <f t="shared" si="547"/>
        <v>6.6666666666666666E-2</v>
      </c>
      <c r="AD248" s="70">
        <v>1</v>
      </c>
      <c r="AE248" s="138">
        <f t="shared" si="548"/>
        <v>17</v>
      </c>
      <c r="AF248" s="167">
        <f t="shared" si="549"/>
        <v>6.25E-2</v>
      </c>
      <c r="AG248" s="70">
        <v>1</v>
      </c>
      <c r="AH248" s="138">
        <f t="shared" si="550"/>
        <v>18</v>
      </c>
      <c r="AI248" s="167">
        <f t="shared" si="551"/>
        <v>5.8823529411764705E-2</v>
      </c>
      <c r="AJ248" s="164">
        <f t="shared" si="552"/>
        <v>6</v>
      </c>
      <c r="AK248" s="165">
        <f t="shared" si="553"/>
        <v>6.4844316803015944E-2</v>
      </c>
    </row>
    <row r="249" spans="2:37" outlineLevel="1" x14ac:dyDescent="0.35">
      <c r="B249" s="48" t="s">
        <v>125</v>
      </c>
      <c r="C249" s="62" t="s">
        <v>141</v>
      </c>
      <c r="D249" s="81">
        <v>1</v>
      </c>
      <c r="E249" s="4">
        <v>46</v>
      </c>
      <c r="F249" s="81">
        <v>1</v>
      </c>
      <c r="G249" s="4">
        <v>47</v>
      </c>
      <c r="H249" s="185">
        <f t="shared" si="536"/>
        <v>2.1739130434782608E-2</v>
      </c>
      <c r="I249" s="81">
        <v>3</v>
      </c>
      <c r="J249" s="4">
        <v>50</v>
      </c>
      <c r="K249" s="167">
        <f t="shared" si="537"/>
        <v>6.3829787234042548E-2</v>
      </c>
      <c r="L249" s="81">
        <v>0</v>
      </c>
      <c r="M249" s="4">
        <v>50</v>
      </c>
      <c r="N249" s="167">
        <f t="shared" si="538"/>
        <v>0</v>
      </c>
      <c r="O249" s="81">
        <v>2</v>
      </c>
      <c r="P249" s="4">
        <v>52</v>
      </c>
      <c r="Q249" s="167">
        <f t="shared" si="541"/>
        <v>0.04</v>
      </c>
      <c r="R249" s="164">
        <f t="shared" si="542"/>
        <v>7</v>
      </c>
      <c r="S249" s="165">
        <f t="shared" si="543"/>
        <v>3.1125145723054137E-2</v>
      </c>
      <c r="U249" s="70">
        <v>3</v>
      </c>
      <c r="V249" s="138">
        <f t="shared" si="539"/>
        <v>55</v>
      </c>
      <c r="W249" s="167">
        <f t="shared" si="540"/>
        <v>5.7692307692307696E-2</v>
      </c>
      <c r="X249" s="70">
        <v>3</v>
      </c>
      <c r="Y249" s="138">
        <f t="shared" si="544"/>
        <v>58</v>
      </c>
      <c r="Z249" s="167">
        <f t="shared" si="545"/>
        <v>5.4545454545454543E-2</v>
      </c>
      <c r="AA249" s="68">
        <v>2</v>
      </c>
      <c r="AB249" s="138">
        <f t="shared" si="546"/>
        <v>60</v>
      </c>
      <c r="AC249" s="167">
        <f t="shared" si="547"/>
        <v>3.4482758620689655E-2</v>
      </c>
      <c r="AD249" s="70">
        <v>2</v>
      </c>
      <c r="AE249" s="138">
        <f t="shared" si="548"/>
        <v>62</v>
      </c>
      <c r="AF249" s="167">
        <f t="shared" si="549"/>
        <v>3.3333333333333333E-2</v>
      </c>
      <c r="AG249" s="70">
        <v>1</v>
      </c>
      <c r="AH249" s="138">
        <f t="shared" si="550"/>
        <v>63</v>
      </c>
      <c r="AI249" s="167">
        <f t="shared" si="551"/>
        <v>1.6129032258064516E-2</v>
      </c>
      <c r="AJ249" s="164">
        <f t="shared" si="552"/>
        <v>11</v>
      </c>
      <c r="AK249" s="165">
        <f t="shared" si="553"/>
        <v>3.4533277385997652E-2</v>
      </c>
    </row>
    <row r="250" spans="2:37" outlineLevel="1" x14ac:dyDescent="0.35">
      <c r="B250" s="48" t="s">
        <v>126</v>
      </c>
      <c r="C250" s="62" t="s">
        <v>141</v>
      </c>
      <c r="D250" s="81">
        <v>2</v>
      </c>
      <c r="E250" s="4">
        <v>123</v>
      </c>
      <c r="F250" s="81">
        <v>9</v>
      </c>
      <c r="G250" s="4">
        <v>132</v>
      </c>
      <c r="H250" s="185">
        <f t="shared" si="536"/>
        <v>7.3170731707317069E-2</v>
      </c>
      <c r="I250" s="81">
        <v>18</v>
      </c>
      <c r="J250" s="4">
        <v>150</v>
      </c>
      <c r="K250" s="167">
        <f t="shared" si="537"/>
        <v>0.13636363636363635</v>
      </c>
      <c r="L250" s="81">
        <v>1</v>
      </c>
      <c r="M250" s="4">
        <v>151</v>
      </c>
      <c r="N250" s="167">
        <f t="shared" si="538"/>
        <v>6.6666666666666671E-3</v>
      </c>
      <c r="O250" s="81">
        <v>1</v>
      </c>
      <c r="P250" s="4">
        <v>152</v>
      </c>
      <c r="Q250" s="167">
        <f t="shared" si="541"/>
        <v>6.6225165562913907E-3</v>
      </c>
      <c r="R250" s="164">
        <f t="shared" si="542"/>
        <v>31</v>
      </c>
      <c r="S250" s="165">
        <f t="shared" si="543"/>
        <v>5.4349555128264004E-2</v>
      </c>
      <c r="U250" s="70">
        <v>8</v>
      </c>
      <c r="V250" s="138">
        <f t="shared" si="539"/>
        <v>160</v>
      </c>
      <c r="W250" s="167">
        <f t="shared" si="540"/>
        <v>5.2631578947368418E-2</v>
      </c>
      <c r="X250" s="70">
        <v>9</v>
      </c>
      <c r="Y250" s="138">
        <f t="shared" si="544"/>
        <v>169</v>
      </c>
      <c r="Z250" s="167">
        <f t="shared" si="545"/>
        <v>5.6250000000000001E-2</v>
      </c>
      <c r="AA250" s="68">
        <v>9</v>
      </c>
      <c r="AB250" s="138">
        <f t="shared" si="546"/>
        <v>178</v>
      </c>
      <c r="AC250" s="167">
        <f t="shared" si="547"/>
        <v>5.3254437869822487E-2</v>
      </c>
      <c r="AD250" s="70">
        <v>6</v>
      </c>
      <c r="AE250" s="138">
        <f t="shared" si="548"/>
        <v>184</v>
      </c>
      <c r="AF250" s="167">
        <f t="shared" si="549"/>
        <v>3.3707865168539325E-2</v>
      </c>
      <c r="AG250" s="70">
        <v>7</v>
      </c>
      <c r="AH250" s="138">
        <f t="shared" si="550"/>
        <v>191</v>
      </c>
      <c r="AI250" s="167">
        <f t="shared" si="551"/>
        <v>3.8043478260869568E-2</v>
      </c>
      <c r="AJ250" s="164">
        <f t="shared" si="552"/>
        <v>39</v>
      </c>
      <c r="AK250" s="165">
        <f t="shared" si="553"/>
        <v>4.5269663374293057E-2</v>
      </c>
    </row>
    <row r="251" spans="2:37" outlineLevel="1" x14ac:dyDescent="0.35">
      <c r="B251" s="342" t="s">
        <v>127</v>
      </c>
      <c r="C251" s="247" t="s">
        <v>141</v>
      </c>
      <c r="D251" s="81">
        <v>0</v>
      </c>
      <c r="E251" s="4">
        <v>0</v>
      </c>
      <c r="F251" s="81">
        <v>0</v>
      </c>
      <c r="G251" s="4">
        <v>0</v>
      </c>
      <c r="H251" s="185">
        <f t="shared" si="536"/>
        <v>0</v>
      </c>
      <c r="I251" s="81">
        <v>0</v>
      </c>
      <c r="J251" s="4">
        <v>0</v>
      </c>
      <c r="K251" s="167">
        <f t="shared" si="537"/>
        <v>0</v>
      </c>
      <c r="L251" s="81">
        <v>0</v>
      </c>
      <c r="M251" s="4">
        <v>0</v>
      </c>
      <c r="N251" s="167">
        <f t="shared" si="538"/>
        <v>0</v>
      </c>
      <c r="O251" s="81">
        <v>0</v>
      </c>
      <c r="P251" s="4">
        <v>0</v>
      </c>
      <c r="Q251" s="167">
        <f t="shared" si="541"/>
        <v>0</v>
      </c>
      <c r="R251" s="164">
        <f t="shared" si="542"/>
        <v>0</v>
      </c>
      <c r="S251" s="165">
        <f t="shared" si="543"/>
        <v>0</v>
      </c>
      <c r="U251" s="70">
        <v>0</v>
      </c>
      <c r="V251" s="138">
        <f t="shared" si="539"/>
        <v>0</v>
      </c>
      <c r="W251" s="167">
        <f t="shared" si="540"/>
        <v>0</v>
      </c>
      <c r="X251" s="70">
        <v>0</v>
      </c>
      <c r="Y251" s="138">
        <f t="shared" si="544"/>
        <v>0</v>
      </c>
      <c r="Z251" s="169">
        <f t="shared" si="545"/>
        <v>0</v>
      </c>
      <c r="AA251" s="68">
        <v>0</v>
      </c>
      <c r="AB251" s="138">
        <f t="shared" si="546"/>
        <v>0</v>
      </c>
      <c r="AC251" s="167">
        <f t="shared" si="547"/>
        <v>0</v>
      </c>
      <c r="AD251" s="70">
        <v>0</v>
      </c>
      <c r="AE251" s="138">
        <f t="shared" si="548"/>
        <v>0</v>
      </c>
      <c r="AF251" s="167">
        <f t="shared" si="549"/>
        <v>0</v>
      </c>
      <c r="AG251" s="70">
        <v>0</v>
      </c>
      <c r="AH251" s="138">
        <f t="shared" si="550"/>
        <v>0</v>
      </c>
      <c r="AI251" s="167">
        <f t="shared" si="551"/>
        <v>0</v>
      </c>
      <c r="AJ251" s="164">
        <f t="shared" si="552"/>
        <v>0</v>
      </c>
      <c r="AK251" s="165">
        <f t="shared" si="553"/>
        <v>0</v>
      </c>
    </row>
    <row r="252" spans="2:37" s="245" customFormat="1" ht="15" customHeight="1" outlineLevel="1" thickBot="1" x14ac:dyDescent="0.4">
      <c r="B252" s="246" t="s">
        <v>138</v>
      </c>
      <c r="C252" s="247" t="s">
        <v>141</v>
      </c>
      <c r="D252" s="248">
        <f>SUM(D198:D251)</f>
        <v>195</v>
      </c>
      <c r="E252" s="248">
        <f t="shared" ref="E252:G252" si="554">SUM(E198:E251)</f>
        <v>7224</v>
      </c>
      <c r="F252" s="248">
        <f t="shared" si="554"/>
        <v>255</v>
      </c>
      <c r="G252" s="248">
        <f t="shared" si="554"/>
        <v>7479</v>
      </c>
      <c r="H252" s="250">
        <f>IFERROR((G252-E252)/E252,0)</f>
        <v>3.5299003322259138E-2</v>
      </c>
      <c r="I252" s="248">
        <f>SUM(I198:I251)</f>
        <v>227</v>
      </c>
      <c r="J252" s="248">
        <f t="shared" ref="J252" si="555">SUM(J198:J251)</f>
        <v>7706</v>
      </c>
      <c r="K252" s="250">
        <f t="shared" si="537"/>
        <v>3.035165129027945E-2</v>
      </c>
      <c r="L252" s="248">
        <f>SUM(L198:L251)</f>
        <v>-29</v>
      </c>
      <c r="M252" s="248">
        <f t="shared" ref="M252" si="556">SUM(M198:M251)</f>
        <v>7677</v>
      </c>
      <c r="N252" s="250">
        <f t="shared" si="538"/>
        <v>-3.7633013236439139E-3</v>
      </c>
      <c r="O252" s="248">
        <f>SUM(O198:O251)</f>
        <v>-50</v>
      </c>
      <c r="P252" s="248">
        <f t="shared" ref="P252" si="557">SUM(P198:P251)</f>
        <v>7627</v>
      </c>
      <c r="Q252" s="250">
        <f>IFERROR((P252-M252)/M252,0)</f>
        <v>-6.5129607919760324E-3</v>
      </c>
      <c r="R252" s="251">
        <f>D252+F252+I252+L252+O252</f>
        <v>598</v>
      </c>
      <c r="S252" s="252">
        <f>IFERROR((P252/E252)^(1/4)-1,0)</f>
        <v>1.3663951807148411E-2</v>
      </c>
      <c r="U252" s="248">
        <f>SUM(U198:U251)</f>
        <v>265</v>
      </c>
      <c r="V252" s="248">
        <f>SUM(V198:V251)</f>
        <v>7892</v>
      </c>
      <c r="W252" s="250">
        <f>IFERROR((V252-P252)/P252,0)</f>
        <v>3.4744984921987673E-2</v>
      </c>
      <c r="X252" s="269">
        <f>SUM(X198:X251)</f>
        <v>273</v>
      </c>
      <c r="Y252" s="270">
        <f>SUM(Y198:Y251)</f>
        <v>8165</v>
      </c>
      <c r="Z252" s="271">
        <f>IFERROR((Y252-V252)/V252,0)</f>
        <v>3.4591991890522047E-2</v>
      </c>
      <c r="AA252" s="272">
        <f>SUM(AA198:AA251)</f>
        <v>298</v>
      </c>
      <c r="AB252" s="270">
        <f>SUM(AB198:AB251)</f>
        <v>8463</v>
      </c>
      <c r="AC252" s="273">
        <f>IFERROR((AB252-Y252)/Y252,0)</f>
        <v>3.6497244335578688E-2</v>
      </c>
      <c r="AD252" s="269">
        <f>SUM(AD198:AD251)</f>
        <v>286</v>
      </c>
      <c r="AE252" s="270">
        <f>SUM(AE198:AE251)</f>
        <v>8749</v>
      </c>
      <c r="AF252" s="273">
        <f>IFERROR((AE252-AB252)/AB252,0)</f>
        <v>3.3794162826420893E-2</v>
      </c>
      <c r="AG252" s="269">
        <f>SUM(AG198:AG251)</f>
        <v>276</v>
      </c>
      <c r="AH252" s="270">
        <f>SUM(AH198:AH251)</f>
        <v>9025</v>
      </c>
      <c r="AI252" s="271">
        <f>IFERROR((AH252-AE252)/AE252,0)</f>
        <v>3.1546462452851753E-2</v>
      </c>
      <c r="AJ252" s="317">
        <f t="shared" si="552"/>
        <v>1398</v>
      </c>
      <c r="AK252" s="274">
        <f t="shared" si="553"/>
        <v>3.4105941754901226E-2</v>
      </c>
    </row>
    <row r="254" spans="2:37" ht="15.5" x14ac:dyDescent="0.35">
      <c r="B254" s="419" t="s">
        <v>152</v>
      </c>
      <c r="C254" s="419"/>
      <c r="D254" s="419"/>
      <c r="E254" s="419"/>
      <c r="F254" s="419"/>
      <c r="G254" s="419"/>
      <c r="H254" s="419"/>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c r="AJ254" s="419"/>
      <c r="AK254" s="419"/>
    </row>
    <row r="255" spans="2:37" ht="5.9" hidden="1" customHeight="1" outlineLevel="1" x14ac:dyDescent="0.35">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row>
    <row r="256" spans="2:37" hidden="1" outlineLevel="1" x14ac:dyDescent="0.35">
      <c r="B256" s="462"/>
      <c r="C256" s="465" t="s">
        <v>134</v>
      </c>
      <c r="D256" s="435" t="s">
        <v>169</v>
      </c>
      <c r="E256" s="436"/>
      <c r="F256" s="436"/>
      <c r="G256" s="436"/>
      <c r="H256" s="436"/>
      <c r="I256" s="436"/>
      <c r="J256" s="436"/>
      <c r="K256" s="436"/>
      <c r="L256" s="436"/>
      <c r="M256" s="436"/>
      <c r="N256" s="436"/>
      <c r="O256" s="435" t="s">
        <v>207</v>
      </c>
      <c r="P256" s="436"/>
      <c r="Q256" s="437"/>
      <c r="R256" s="431" t="str">
        <f xml:space="preserve"> D257&amp;" - "&amp;O257</f>
        <v>2019 - 2023</v>
      </c>
      <c r="S256" s="456"/>
      <c r="U256" s="435" t="s">
        <v>211</v>
      </c>
      <c r="V256" s="436"/>
      <c r="W256" s="436"/>
      <c r="X256" s="436"/>
      <c r="Y256" s="436"/>
      <c r="Z256" s="436"/>
      <c r="AA256" s="436"/>
      <c r="AB256" s="436"/>
      <c r="AC256" s="436"/>
      <c r="AD256" s="436"/>
      <c r="AE256" s="436"/>
      <c r="AF256" s="436"/>
      <c r="AG256" s="436"/>
      <c r="AH256" s="436"/>
      <c r="AI256" s="436"/>
      <c r="AJ256" s="436"/>
      <c r="AK256" s="437"/>
    </row>
    <row r="257" spans="2:37" hidden="1" outlineLevel="1" x14ac:dyDescent="0.35">
      <c r="B257" s="463"/>
      <c r="C257" s="465"/>
      <c r="D257" s="435">
        <f>$C$3-5</f>
        <v>2019</v>
      </c>
      <c r="E257" s="437"/>
      <c r="F257" s="436">
        <f>$C$3-4</f>
        <v>2020</v>
      </c>
      <c r="G257" s="436"/>
      <c r="H257" s="436"/>
      <c r="I257" s="435">
        <f>$C$3-3</f>
        <v>2021</v>
      </c>
      <c r="J257" s="436"/>
      <c r="K257" s="437"/>
      <c r="L257" s="435">
        <f>$C$3-2</f>
        <v>2022</v>
      </c>
      <c r="M257" s="436"/>
      <c r="N257" s="437"/>
      <c r="O257" s="435">
        <f>$C$3-1</f>
        <v>2023</v>
      </c>
      <c r="P257" s="436"/>
      <c r="Q257" s="437"/>
      <c r="R257" s="433"/>
      <c r="S257" s="457"/>
      <c r="U257" s="435">
        <f>$C$3</f>
        <v>2024</v>
      </c>
      <c r="V257" s="436"/>
      <c r="W257" s="437"/>
      <c r="X257" s="436">
        <f>$C$3+1</f>
        <v>2025</v>
      </c>
      <c r="Y257" s="436"/>
      <c r="Z257" s="436"/>
      <c r="AA257" s="435">
        <f>$C$3+2</f>
        <v>2026</v>
      </c>
      <c r="AB257" s="436"/>
      <c r="AC257" s="437"/>
      <c r="AD257" s="436">
        <f>$C$3+3</f>
        <v>2027</v>
      </c>
      <c r="AE257" s="436"/>
      <c r="AF257" s="436"/>
      <c r="AG257" s="435">
        <f>$C$3+4</f>
        <v>2028</v>
      </c>
      <c r="AH257" s="436"/>
      <c r="AI257" s="437"/>
      <c r="AJ257" s="439" t="str">
        <f>U257&amp;" - "&amp;AG257</f>
        <v>2024 - 2028</v>
      </c>
      <c r="AK257" s="458"/>
    </row>
    <row r="258" spans="2:37" ht="29" hidden="1" outlineLevel="1" x14ac:dyDescent="0.35">
      <c r="B258" s="464"/>
      <c r="C258" s="465"/>
      <c r="D258" s="66" t="s">
        <v>192</v>
      </c>
      <c r="E258" s="67" t="s">
        <v>193</v>
      </c>
      <c r="F258" s="313" t="s">
        <v>192</v>
      </c>
      <c r="G258" s="9" t="s">
        <v>193</v>
      </c>
      <c r="H258" s="67" t="s">
        <v>173</v>
      </c>
      <c r="I258" s="313" t="s">
        <v>192</v>
      </c>
      <c r="J258" s="9" t="s">
        <v>193</v>
      </c>
      <c r="K258" s="67" t="s">
        <v>173</v>
      </c>
      <c r="L258" s="313" t="s">
        <v>192</v>
      </c>
      <c r="M258" s="9" t="s">
        <v>193</v>
      </c>
      <c r="N258" s="67" t="s">
        <v>173</v>
      </c>
      <c r="O258" s="313" t="s">
        <v>192</v>
      </c>
      <c r="P258" s="9" t="s">
        <v>193</v>
      </c>
      <c r="Q258" s="67" t="s">
        <v>173</v>
      </c>
      <c r="R258" s="66" t="s">
        <v>164</v>
      </c>
      <c r="S258" s="134" t="s">
        <v>174</v>
      </c>
      <c r="U258" s="66" t="s">
        <v>192</v>
      </c>
      <c r="V258" s="9" t="s">
        <v>193</v>
      </c>
      <c r="W258" s="67" t="s">
        <v>173</v>
      </c>
      <c r="X258" s="313" t="s">
        <v>192</v>
      </c>
      <c r="Y258" s="9" t="s">
        <v>193</v>
      </c>
      <c r="Z258" s="67" t="s">
        <v>173</v>
      </c>
      <c r="AA258" s="313" t="s">
        <v>192</v>
      </c>
      <c r="AB258" s="9" t="s">
        <v>193</v>
      </c>
      <c r="AC258" s="67" t="s">
        <v>173</v>
      </c>
      <c r="AD258" s="313" t="s">
        <v>192</v>
      </c>
      <c r="AE258" s="9" t="s">
        <v>193</v>
      </c>
      <c r="AF258" s="67" t="s">
        <v>173</v>
      </c>
      <c r="AG258" s="313" t="s">
        <v>192</v>
      </c>
      <c r="AH258" s="9" t="s">
        <v>193</v>
      </c>
      <c r="AI258" s="67" t="s">
        <v>173</v>
      </c>
      <c r="AJ258" s="313" t="s">
        <v>164</v>
      </c>
      <c r="AK258" s="134" t="s">
        <v>174</v>
      </c>
    </row>
    <row r="259" spans="2:37" hidden="1" outlineLevel="1" x14ac:dyDescent="0.35">
      <c r="B259" s="48"/>
      <c r="C259" s="64"/>
      <c r="D259" s="275"/>
      <c r="E259" s="276"/>
      <c r="F259" s="277"/>
      <c r="G259" s="278"/>
      <c r="H259" s="279"/>
      <c r="I259" s="275"/>
      <c r="J259" s="278"/>
      <c r="K259" s="169"/>
      <c r="L259" s="277"/>
      <c r="M259" s="278"/>
      <c r="N259" s="279"/>
      <c r="O259" s="275"/>
      <c r="P259" s="278"/>
      <c r="Q259" s="169"/>
      <c r="R259" s="180"/>
      <c r="S259" s="280"/>
      <c r="U259" s="275"/>
      <c r="V259" s="281"/>
      <c r="W259" s="169"/>
      <c r="X259" s="275"/>
      <c r="Y259" s="281"/>
      <c r="Z259" s="282"/>
      <c r="AA259" s="275"/>
      <c r="AB259" s="281"/>
      <c r="AC259" s="283"/>
      <c r="AD259" s="275"/>
      <c r="AE259" s="281"/>
      <c r="AF259" s="282"/>
      <c r="AG259" s="275"/>
      <c r="AH259" s="281"/>
      <c r="AI259" s="169"/>
      <c r="AJ259" s="180"/>
      <c r="AK259" s="165"/>
    </row>
    <row r="260" spans="2:37" ht="15" hidden="1" customHeight="1" outlineLevel="1" x14ac:dyDescent="0.35">
      <c r="B260" s="48" t="s">
        <v>138</v>
      </c>
      <c r="C260" s="59" t="s">
        <v>141</v>
      </c>
      <c r="D260" s="171" t="e">
        <f>SUM(#REF!+#REF!+#REF!+#REF!)</f>
        <v>#REF!</v>
      </c>
      <c r="E260" s="172" t="e">
        <f>SUM(#REF!+#REF!+#REF!+#REF!)</f>
        <v>#REF!</v>
      </c>
      <c r="F260" s="183" t="e">
        <f>SUM(#REF!+#REF!+#REF!+#REF!)</f>
        <v>#REF!</v>
      </c>
      <c r="G260" s="143" t="e">
        <f>SUM(#REF!+#REF!+#REF!+#REF!)</f>
        <v>#REF!</v>
      </c>
      <c r="H260" s="182">
        <f>IFERROR((G260-E260)/E260,0)</f>
        <v>0</v>
      </c>
      <c r="I260" s="171" t="e">
        <f>SUM(#REF!+#REF!+#REF!+#REF!)</f>
        <v>#REF!</v>
      </c>
      <c r="J260" s="143" t="e">
        <f>SUM(#REF!+#REF!+#REF!+#REF!)</f>
        <v>#REF!</v>
      </c>
      <c r="K260" s="166">
        <f t="shared" ref="K260" si="558">IFERROR((J260-G260)/G260,0)</f>
        <v>0</v>
      </c>
      <c r="L260" s="183" t="e">
        <f>SUM(#REF!+#REF!+#REF!+#REF!)</f>
        <v>#REF!</v>
      </c>
      <c r="M260" s="143" t="e">
        <f>SUM(#REF!+#REF!+#REF!+#REF!)</f>
        <v>#REF!</v>
      </c>
      <c r="N260" s="182">
        <f t="shared" ref="N260" si="559">IFERROR((M260-J260)/J260,0)</f>
        <v>0</v>
      </c>
      <c r="O260" s="171" t="e">
        <f>SUM(#REF!+#REF!+#REF!+#REF!)</f>
        <v>#REF!</v>
      </c>
      <c r="P260" s="143" t="e">
        <f>SUM(#REF!+#REF!+#REF!+#REF!)</f>
        <v>#REF!</v>
      </c>
      <c r="Q260" s="166">
        <f>IFERROR((P260-M260)/M260,0)</f>
        <v>0</v>
      </c>
      <c r="R260" s="176" t="e">
        <f>SUM(#REF!,#REF!,#REF!,#REF!)</f>
        <v>#REF!</v>
      </c>
      <c r="S260" s="162">
        <f>IFERROR((P260/E260)^(1/4)-1,0)</f>
        <v>0</v>
      </c>
      <c r="U260" s="158" t="e">
        <f>SUM(#REF!,#REF!,#REF!,#REF!)</f>
        <v>#REF!</v>
      </c>
      <c r="V260" s="176" t="e">
        <f>SUM(#REF!,#REF!,#REF!,#REF!)</f>
        <v>#REF!</v>
      </c>
      <c r="W260" s="166">
        <f>IFERROR((V260-P260)/P260,0)</f>
        <v>0</v>
      </c>
      <c r="X260" s="158" t="e">
        <f>SUM(#REF!,#REF!,#REF!,#REF!)</f>
        <v>#REF!</v>
      </c>
      <c r="Y260" s="176" t="e">
        <f>SUM(#REF!,#REF!,#REF!,#REF!)</f>
        <v>#REF!</v>
      </c>
      <c r="Z260" s="178">
        <f>IFERROR((Y260-V260)/V260,0)</f>
        <v>0</v>
      </c>
      <c r="AA260" s="158" t="e">
        <f>SUM(#REF!,#REF!,#REF!,#REF!)</f>
        <v>#REF!</v>
      </c>
      <c r="AB260" s="176" t="e">
        <f>SUM(#REF!,#REF!,#REF!,#REF!)</f>
        <v>#REF!</v>
      </c>
      <c r="AC260" s="177">
        <f>IFERROR((AB260-Y260)/Y260,0)</f>
        <v>0</v>
      </c>
      <c r="AD260" s="158" t="e">
        <f>SUM(#REF!,#REF!,#REF!,#REF!)</f>
        <v>#REF!</v>
      </c>
      <c r="AE260" s="176" t="e">
        <f>SUM(#REF!,#REF!,#REF!,#REF!)</f>
        <v>#REF!</v>
      </c>
      <c r="AF260" s="178">
        <f>IFERROR((AE260-AB260)/AB260,0)</f>
        <v>0</v>
      </c>
      <c r="AG260" s="158" t="e">
        <f>SUM(#REF!,#REF!,#REF!,#REF!)</f>
        <v>#REF!</v>
      </c>
      <c r="AH260" s="176" t="e">
        <f>SUM(#REF!,#REF!,#REF!,#REF!)</f>
        <v>#REF!</v>
      </c>
      <c r="AI260" s="161">
        <f>IFERROR((AH260-AE260)/AE260,0)</f>
        <v>0</v>
      </c>
      <c r="AJ260" s="176" t="e">
        <f>SUM(#REF!,#REF!,#REF!,#REF!)</f>
        <v>#REF!</v>
      </c>
      <c r="AK260" s="165">
        <f t="shared" ref="AK260" si="560">IFERROR((AH260/V260)^(1/4)-1,0)</f>
        <v>0</v>
      </c>
    </row>
    <row r="261" spans="2:37" collapsed="1" x14ac:dyDescent="0.35"/>
    <row r="262" spans="2:37" ht="15.5" x14ac:dyDescent="0.35">
      <c r="B262" s="419" t="s">
        <v>144</v>
      </c>
      <c r="C262" s="419"/>
      <c r="D262" s="419"/>
      <c r="E262" s="419"/>
      <c r="F262" s="419"/>
      <c r="G262" s="419"/>
      <c r="H262" s="419"/>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c r="AJ262" s="419"/>
      <c r="AK262" s="419"/>
    </row>
    <row r="263" spans="2:37" ht="5.9" customHeight="1" outlineLevel="1" x14ac:dyDescent="0.35">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row>
    <row r="264" spans="2:37" ht="15" outlineLevel="1" thickBot="1" x14ac:dyDescent="0.4">
      <c r="B264" s="462"/>
      <c r="C264" s="465" t="s">
        <v>134</v>
      </c>
      <c r="D264" s="435" t="s">
        <v>169</v>
      </c>
      <c r="E264" s="436"/>
      <c r="F264" s="436"/>
      <c r="G264" s="436"/>
      <c r="H264" s="436"/>
      <c r="I264" s="436"/>
      <c r="J264" s="436"/>
      <c r="K264" s="436"/>
      <c r="L264" s="436"/>
      <c r="M264" s="436"/>
      <c r="N264" s="436"/>
      <c r="O264" s="435" t="s">
        <v>210</v>
      </c>
      <c r="P264" s="436"/>
      <c r="Q264" s="437"/>
      <c r="R264" s="431" t="str">
        <f xml:space="preserve"> D265&amp;" - "&amp;O265</f>
        <v>2019 - 2023</v>
      </c>
      <c r="S264" s="456"/>
      <c r="U264" s="435" t="s">
        <v>211</v>
      </c>
      <c r="V264" s="436"/>
      <c r="W264" s="436"/>
      <c r="X264" s="469"/>
      <c r="Y264" s="469"/>
      <c r="Z264" s="469"/>
      <c r="AA264" s="469"/>
      <c r="AB264" s="469"/>
      <c r="AC264" s="469"/>
      <c r="AD264" s="469"/>
      <c r="AE264" s="469"/>
      <c r="AF264" s="469"/>
      <c r="AG264" s="469"/>
      <c r="AH264" s="469"/>
      <c r="AI264" s="469"/>
      <c r="AJ264" s="469"/>
      <c r="AK264" s="470"/>
    </row>
    <row r="265" spans="2:37" outlineLevel="1" x14ac:dyDescent="0.35">
      <c r="B265" s="463"/>
      <c r="C265" s="465"/>
      <c r="D265" s="435">
        <f>$C$3-5</f>
        <v>2019</v>
      </c>
      <c r="E265" s="437"/>
      <c r="F265" s="436">
        <f>$C$3-4</f>
        <v>2020</v>
      </c>
      <c r="G265" s="436"/>
      <c r="H265" s="436"/>
      <c r="I265" s="435">
        <f>$C$3-3</f>
        <v>2021</v>
      </c>
      <c r="J265" s="436"/>
      <c r="K265" s="437"/>
      <c r="L265" s="435">
        <f>$C$3-2</f>
        <v>2022</v>
      </c>
      <c r="M265" s="436"/>
      <c r="N265" s="437"/>
      <c r="O265" s="435">
        <f>$C$3-1</f>
        <v>2023</v>
      </c>
      <c r="P265" s="436"/>
      <c r="Q265" s="437"/>
      <c r="R265" s="433"/>
      <c r="S265" s="457"/>
      <c r="U265" s="435">
        <f>$C$3</f>
        <v>2024</v>
      </c>
      <c r="V265" s="436"/>
      <c r="W265" s="436"/>
      <c r="X265" s="471">
        <f>$C$3+1</f>
        <v>2025</v>
      </c>
      <c r="Y265" s="472"/>
      <c r="Z265" s="473"/>
      <c r="AA265" s="471">
        <f>$C$3+2</f>
        <v>2026</v>
      </c>
      <c r="AB265" s="472"/>
      <c r="AC265" s="473"/>
      <c r="AD265" s="471">
        <f>$C$3+3</f>
        <v>2027</v>
      </c>
      <c r="AE265" s="472"/>
      <c r="AF265" s="472"/>
      <c r="AG265" s="471">
        <f>$C$3+4</f>
        <v>2028</v>
      </c>
      <c r="AH265" s="472"/>
      <c r="AI265" s="473"/>
      <c r="AJ265" s="474" t="str">
        <f>U265&amp;" - "&amp;AG265</f>
        <v>2024 - 2028</v>
      </c>
      <c r="AK265" s="475"/>
    </row>
    <row r="266" spans="2:37" ht="29" outlineLevel="1" x14ac:dyDescent="0.35">
      <c r="B266" s="464"/>
      <c r="C266" s="465"/>
      <c r="D266" s="66" t="s">
        <v>192</v>
      </c>
      <c r="E266" s="67" t="s">
        <v>193</v>
      </c>
      <c r="F266" s="313" t="s">
        <v>192</v>
      </c>
      <c r="G266" s="9" t="s">
        <v>193</v>
      </c>
      <c r="H266" s="67" t="s">
        <v>173</v>
      </c>
      <c r="I266" s="313" t="s">
        <v>192</v>
      </c>
      <c r="J266" s="9" t="s">
        <v>193</v>
      </c>
      <c r="K266" s="67" t="s">
        <v>173</v>
      </c>
      <c r="L266" s="313" t="s">
        <v>192</v>
      </c>
      <c r="M266" s="9" t="s">
        <v>193</v>
      </c>
      <c r="N266" s="67" t="s">
        <v>173</v>
      </c>
      <c r="O266" s="313" t="s">
        <v>192</v>
      </c>
      <c r="P266" s="9" t="s">
        <v>193</v>
      </c>
      <c r="Q266" s="67" t="s">
        <v>173</v>
      </c>
      <c r="R266" s="66" t="s">
        <v>164</v>
      </c>
      <c r="S266" s="134" t="s">
        <v>174</v>
      </c>
      <c r="U266" s="66" t="s">
        <v>192</v>
      </c>
      <c r="V266" s="9" t="s">
        <v>193</v>
      </c>
      <c r="W266" s="73" t="s">
        <v>173</v>
      </c>
      <c r="X266" s="66" t="s">
        <v>192</v>
      </c>
      <c r="Y266" s="9" t="s">
        <v>193</v>
      </c>
      <c r="Z266" s="67" t="s">
        <v>173</v>
      </c>
      <c r="AA266" s="66" t="s">
        <v>192</v>
      </c>
      <c r="AB266" s="9" t="s">
        <v>193</v>
      </c>
      <c r="AC266" s="67" t="s">
        <v>173</v>
      </c>
      <c r="AD266" s="66" t="s">
        <v>192</v>
      </c>
      <c r="AE266" s="9" t="s">
        <v>193</v>
      </c>
      <c r="AF266" s="73" t="s">
        <v>173</v>
      </c>
      <c r="AG266" s="66" t="s">
        <v>192</v>
      </c>
      <c r="AH266" s="9" t="s">
        <v>193</v>
      </c>
      <c r="AI266" s="67" t="s">
        <v>173</v>
      </c>
      <c r="AJ266" s="66" t="s">
        <v>164</v>
      </c>
      <c r="AK266" s="134" t="s">
        <v>174</v>
      </c>
    </row>
    <row r="267" spans="2:37" outlineLevel="1" x14ac:dyDescent="0.35">
      <c r="B267" s="48" t="s">
        <v>74</v>
      </c>
      <c r="C267" s="62" t="s">
        <v>141</v>
      </c>
      <c r="D267" s="81">
        <v>0</v>
      </c>
      <c r="E267" s="4">
        <v>0</v>
      </c>
      <c r="F267" s="70">
        <v>1</v>
      </c>
      <c r="G267" s="4">
        <v>1</v>
      </c>
      <c r="H267" s="185">
        <f t="shared" ref="H267:H321" si="561">IFERROR((G267-E267)/E267,0)</f>
        <v>0</v>
      </c>
      <c r="I267" s="70">
        <v>0</v>
      </c>
      <c r="J267" s="4">
        <v>1</v>
      </c>
      <c r="K267" s="167">
        <f t="shared" ref="K267:K321" si="562">IFERROR((J267-G267)/G267,0)</f>
        <v>0</v>
      </c>
      <c r="L267" s="70">
        <v>0</v>
      </c>
      <c r="M267" s="4">
        <v>1</v>
      </c>
      <c r="N267" s="167">
        <f t="shared" ref="N267:N321" si="563">IFERROR((M267-J267)/J267,0)</f>
        <v>0</v>
      </c>
      <c r="O267" s="70">
        <v>0</v>
      </c>
      <c r="P267" s="4">
        <v>1</v>
      </c>
      <c r="Q267" s="167">
        <f>IFERROR((P267-M267)/M267,0)</f>
        <v>0</v>
      </c>
      <c r="R267" s="164">
        <f>D267+F267+I267+L267+O267</f>
        <v>1</v>
      </c>
      <c r="S267" s="165">
        <f>IFERROR((P267/E267)^(1/4)-1,0)</f>
        <v>0</v>
      </c>
      <c r="U267" s="70">
        <v>0</v>
      </c>
      <c r="V267" s="138">
        <f t="shared" ref="V267:V320" si="564">P267+U267</f>
        <v>1</v>
      </c>
      <c r="W267" s="181">
        <f t="shared" ref="W267:W321" si="565">IFERROR((V267-P267)/P267,0)</f>
        <v>0</v>
      </c>
      <c r="X267" s="70">
        <v>0</v>
      </c>
      <c r="Y267" s="138">
        <f>V267+X267</f>
        <v>1</v>
      </c>
      <c r="Z267" s="167">
        <f>IFERROR((Y267-V267)/V267,0)</f>
        <v>0</v>
      </c>
      <c r="AA267" s="70"/>
      <c r="AB267" s="138">
        <f>Y267+AA267</f>
        <v>1</v>
      </c>
      <c r="AC267" s="167">
        <f>IFERROR((AB267-Y267)/Y267,0)</f>
        <v>0</v>
      </c>
      <c r="AD267" s="70">
        <v>0</v>
      </c>
      <c r="AE267" s="138">
        <f>AB267+AD267</f>
        <v>1</v>
      </c>
      <c r="AF267" s="181">
        <f>IFERROR((AE267-AB267)/AB267,0)</f>
        <v>0</v>
      </c>
      <c r="AG267" s="70"/>
      <c r="AH267" s="138">
        <f>AE267+AG267</f>
        <v>1</v>
      </c>
      <c r="AI267" s="167">
        <f>IFERROR((AH267-AE267)/AE267,0)</f>
        <v>0</v>
      </c>
      <c r="AJ267" s="164">
        <f>U267+X267+AA267+AD267+AG267</f>
        <v>0</v>
      </c>
      <c r="AK267" s="165">
        <f>IFERROR((AH267/V267)^(1/4)-1,0)</f>
        <v>0</v>
      </c>
    </row>
    <row r="268" spans="2:37" outlineLevel="1" x14ac:dyDescent="0.35">
      <c r="B268" s="48" t="s">
        <v>75</v>
      </c>
      <c r="C268" s="62" t="s">
        <v>141</v>
      </c>
      <c r="D268" s="81">
        <v>0</v>
      </c>
      <c r="E268" s="4">
        <v>0</v>
      </c>
      <c r="F268" s="70">
        <v>0</v>
      </c>
      <c r="G268" s="4">
        <v>0</v>
      </c>
      <c r="H268" s="185">
        <f t="shared" si="561"/>
        <v>0</v>
      </c>
      <c r="I268" s="70">
        <v>0</v>
      </c>
      <c r="J268" s="4">
        <v>0</v>
      </c>
      <c r="K268" s="167">
        <f t="shared" si="562"/>
        <v>0</v>
      </c>
      <c r="L268" s="70">
        <v>0</v>
      </c>
      <c r="M268" s="4"/>
      <c r="N268" s="167">
        <f t="shared" si="563"/>
        <v>0</v>
      </c>
      <c r="O268" s="70">
        <v>0</v>
      </c>
      <c r="P268" s="4"/>
      <c r="Q268" s="167">
        <f t="shared" ref="Q268:Q320" si="566">IFERROR((P268-M268)/M268,0)</f>
        <v>0</v>
      </c>
      <c r="R268" s="164">
        <f t="shared" ref="R268:R320" si="567">D268+F268+I268+L268+O268</f>
        <v>0</v>
      </c>
      <c r="S268" s="165">
        <f t="shared" ref="S268:S320" si="568">IFERROR((P268/E268)^(1/4)-1,0)</f>
        <v>0</v>
      </c>
      <c r="U268" s="70">
        <v>0</v>
      </c>
      <c r="V268" s="138">
        <f t="shared" si="564"/>
        <v>0</v>
      </c>
      <c r="W268" s="181">
        <f t="shared" si="565"/>
        <v>0</v>
      </c>
      <c r="X268" s="70">
        <v>0</v>
      </c>
      <c r="Y268" s="138">
        <f t="shared" ref="Y268:Y320" si="569">V268+X268</f>
        <v>0</v>
      </c>
      <c r="Z268" s="167">
        <f t="shared" ref="Z268:Z321" si="570">IFERROR((Y268-V268)/V268,0)</f>
        <v>0</v>
      </c>
      <c r="AA268" s="70"/>
      <c r="AB268" s="138">
        <f t="shared" ref="AB268:AB320" si="571">Y268+AA268</f>
        <v>0</v>
      </c>
      <c r="AC268" s="167">
        <f t="shared" ref="AC268:AC321" si="572">IFERROR((AB268-Y268)/Y268,0)</f>
        <v>0</v>
      </c>
      <c r="AD268" s="70">
        <v>0</v>
      </c>
      <c r="AE268" s="138">
        <f t="shared" ref="AE268:AE320" si="573">AB268+AD268</f>
        <v>0</v>
      </c>
      <c r="AF268" s="181">
        <f t="shared" ref="AF268:AF321" si="574">IFERROR((AE268-AB268)/AB268,0)</f>
        <v>0</v>
      </c>
      <c r="AG268" s="70"/>
      <c r="AH268" s="138">
        <f t="shared" ref="AH268:AH320" si="575">AE268+AG268</f>
        <v>0</v>
      </c>
      <c r="AI268" s="167">
        <f t="shared" ref="AI268:AI321" si="576">IFERROR((AH268-AE268)/AE268,0)</f>
        <v>0</v>
      </c>
      <c r="AJ268" s="164">
        <f t="shared" ref="AJ268:AJ313" si="577">U268+X268+AA268+AD268+AG268</f>
        <v>0</v>
      </c>
      <c r="AK268" s="165">
        <f t="shared" ref="AK268:AK313" si="578">IFERROR((AH268/V268)^(1/4)-1,0)</f>
        <v>0</v>
      </c>
    </row>
    <row r="269" spans="2:37" outlineLevel="1" x14ac:dyDescent="0.35">
      <c r="B269" s="48" t="s">
        <v>76</v>
      </c>
      <c r="C269" s="62" t="s">
        <v>141</v>
      </c>
      <c r="D269" s="81">
        <v>0</v>
      </c>
      <c r="E269" s="4">
        <v>0</v>
      </c>
      <c r="F269" s="70">
        <v>0</v>
      </c>
      <c r="G269" s="4">
        <v>0</v>
      </c>
      <c r="H269" s="185">
        <f t="shared" si="561"/>
        <v>0</v>
      </c>
      <c r="I269" s="70">
        <v>0</v>
      </c>
      <c r="J269" s="4">
        <v>0</v>
      </c>
      <c r="K269" s="167">
        <f t="shared" si="562"/>
        <v>0</v>
      </c>
      <c r="L269" s="70">
        <v>0</v>
      </c>
      <c r="M269" s="4"/>
      <c r="N269" s="167">
        <f t="shared" si="563"/>
        <v>0</v>
      </c>
      <c r="O269" s="70">
        <v>0</v>
      </c>
      <c r="P269" s="4"/>
      <c r="Q269" s="167">
        <f t="shared" si="566"/>
        <v>0</v>
      </c>
      <c r="R269" s="164">
        <f t="shared" si="567"/>
        <v>0</v>
      </c>
      <c r="S269" s="165">
        <f t="shared" si="568"/>
        <v>0</v>
      </c>
      <c r="U269" s="70">
        <v>0</v>
      </c>
      <c r="V269" s="138">
        <f t="shared" si="564"/>
        <v>0</v>
      </c>
      <c r="W269" s="181">
        <f t="shared" si="565"/>
        <v>0</v>
      </c>
      <c r="X269" s="70">
        <v>0</v>
      </c>
      <c r="Y269" s="138">
        <f t="shared" si="569"/>
        <v>0</v>
      </c>
      <c r="Z269" s="167">
        <f t="shared" si="570"/>
        <v>0</v>
      </c>
      <c r="AA269" s="70"/>
      <c r="AB269" s="138">
        <f t="shared" si="571"/>
        <v>0</v>
      </c>
      <c r="AC269" s="167">
        <f t="shared" si="572"/>
        <v>0</v>
      </c>
      <c r="AD269" s="70">
        <v>0</v>
      </c>
      <c r="AE269" s="138">
        <f t="shared" si="573"/>
        <v>0</v>
      </c>
      <c r="AF269" s="181">
        <f t="shared" si="574"/>
        <v>0</v>
      </c>
      <c r="AG269" s="70"/>
      <c r="AH269" s="138">
        <f t="shared" si="575"/>
        <v>0</v>
      </c>
      <c r="AI269" s="167">
        <f t="shared" si="576"/>
        <v>0</v>
      </c>
      <c r="AJ269" s="164">
        <f t="shared" si="577"/>
        <v>0</v>
      </c>
      <c r="AK269" s="165">
        <f t="shared" si="578"/>
        <v>0</v>
      </c>
    </row>
    <row r="270" spans="2:37" outlineLevel="1" x14ac:dyDescent="0.35">
      <c r="B270" s="48" t="s">
        <v>77</v>
      </c>
      <c r="C270" s="62" t="s">
        <v>141</v>
      </c>
      <c r="D270" s="81">
        <v>0</v>
      </c>
      <c r="E270" s="4">
        <v>0</v>
      </c>
      <c r="F270" s="70">
        <v>0</v>
      </c>
      <c r="G270" s="4">
        <v>0</v>
      </c>
      <c r="H270" s="185">
        <f t="shared" si="561"/>
        <v>0</v>
      </c>
      <c r="I270" s="70">
        <v>0</v>
      </c>
      <c r="J270" s="4">
        <v>0</v>
      </c>
      <c r="K270" s="167">
        <f t="shared" si="562"/>
        <v>0</v>
      </c>
      <c r="L270" s="70">
        <v>0</v>
      </c>
      <c r="M270" s="4"/>
      <c r="N270" s="167">
        <f t="shared" si="563"/>
        <v>0</v>
      </c>
      <c r="O270" s="70">
        <v>0</v>
      </c>
      <c r="P270" s="4"/>
      <c r="Q270" s="167">
        <f t="shared" si="566"/>
        <v>0</v>
      </c>
      <c r="R270" s="164">
        <f t="shared" si="567"/>
        <v>0</v>
      </c>
      <c r="S270" s="165">
        <f t="shared" si="568"/>
        <v>0</v>
      </c>
      <c r="U270" s="70">
        <v>0</v>
      </c>
      <c r="V270" s="138">
        <f t="shared" si="564"/>
        <v>0</v>
      </c>
      <c r="W270" s="181">
        <f t="shared" si="565"/>
        <v>0</v>
      </c>
      <c r="X270" s="70">
        <v>0</v>
      </c>
      <c r="Y270" s="138">
        <f t="shared" si="569"/>
        <v>0</v>
      </c>
      <c r="Z270" s="167">
        <f t="shared" si="570"/>
        <v>0</v>
      </c>
      <c r="AA270" s="70"/>
      <c r="AB270" s="138">
        <f t="shared" si="571"/>
        <v>0</v>
      </c>
      <c r="AC270" s="167">
        <f t="shared" si="572"/>
        <v>0</v>
      </c>
      <c r="AD270" s="70">
        <v>0</v>
      </c>
      <c r="AE270" s="138">
        <f t="shared" si="573"/>
        <v>0</v>
      </c>
      <c r="AF270" s="181">
        <f t="shared" si="574"/>
        <v>0</v>
      </c>
      <c r="AG270" s="70"/>
      <c r="AH270" s="138">
        <f t="shared" si="575"/>
        <v>0</v>
      </c>
      <c r="AI270" s="167">
        <f t="shared" si="576"/>
        <v>0</v>
      </c>
      <c r="AJ270" s="164">
        <f t="shared" si="577"/>
        <v>0</v>
      </c>
      <c r="AK270" s="165">
        <f t="shared" si="578"/>
        <v>0</v>
      </c>
    </row>
    <row r="271" spans="2:37" outlineLevel="1" x14ac:dyDescent="0.35">
      <c r="B271" s="48" t="s">
        <v>78</v>
      </c>
      <c r="C271" s="62" t="s">
        <v>141</v>
      </c>
      <c r="D271" s="81">
        <v>0</v>
      </c>
      <c r="E271" s="4">
        <v>6</v>
      </c>
      <c r="F271" s="70">
        <v>0</v>
      </c>
      <c r="G271" s="4">
        <v>6</v>
      </c>
      <c r="H271" s="185">
        <f t="shared" si="561"/>
        <v>0</v>
      </c>
      <c r="I271" s="70">
        <v>0</v>
      </c>
      <c r="J271" s="4">
        <v>6</v>
      </c>
      <c r="K271" s="167">
        <f t="shared" si="562"/>
        <v>0</v>
      </c>
      <c r="L271" s="70">
        <v>0</v>
      </c>
      <c r="M271" s="4">
        <v>6</v>
      </c>
      <c r="N271" s="167">
        <f t="shared" si="563"/>
        <v>0</v>
      </c>
      <c r="O271" s="70">
        <v>0</v>
      </c>
      <c r="P271" s="4">
        <v>6</v>
      </c>
      <c r="Q271" s="167">
        <f t="shared" si="566"/>
        <v>0</v>
      </c>
      <c r="R271" s="164">
        <f t="shared" si="567"/>
        <v>0</v>
      </c>
      <c r="S271" s="165">
        <f t="shared" si="568"/>
        <v>0</v>
      </c>
      <c r="U271" s="70">
        <v>0</v>
      </c>
      <c r="V271" s="138">
        <f t="shared" si="564"/>
        <v>6</v>
      </c>
      <c r="W271" s="181">
        <f t="shared" si="565"/>
        <v>0</v>
      </c>
      <c r="X271" s="70">
        <v>0</v>
      </c>
      <c r="Y271" s="138">
        <f t="shared" si="569"/>
        <v>6</v>
      </c>
      <c r="Z271" s="167">
        <f t="shared" si="570"/>
        <v>0</v>
      </c>
      <c r="AA271" s="70"/>
      <c r="AB271" s="138">
        <f t="shared" si="571"/>
        <v>6</v>
      </c>
      <c r="AC271" s="167">
        <f t="shared" si="572"/>
        <v>0</v>
      </c>
      <c r="AD271" s="70">
        <v>0</v>
      </c>
      <c r="AE271" s="138">
        <f t="shared" si="573"/>
        <v>6</v>
      </c>
      <c r="AF271" s="181">
        <f t="shared" si="574"/>
        <v>0</v>
      </c>
      <c r="AG271" s="70"/>
      <c r="AH271" s="138">
        <f t="shared" si="575"/>
        <v>6</v>
      </c>
      <c r="AI271" s="167">
        <f t="shared" si="576"/>
        <v>0</v>
      </c>
      <c r="AJ271" s="164">
        <f t="shared" si="577"/>
        <v>0</v>
      </c>
      <c r="AK271" s="165">
        <f t="shared" si="578"/>
        <v>0</v>
      </c>
    </row>
    <row r="272" spans="2:37" outlineLevel="1" x14ac:dyDescent="0.35">
      <c r="B272" s="48" t="s">
        <v>79</v>
      </c>
      <c r="C272" s="62" t="s">
        <v>141</v>
      </c>
      <c r="D272" s="81">
        <v>0</v>
      </c>
      <c r="E272" s="4">
        <v>3</v>
      </c>
      <c r="F272" s="70">
        <v>0</v>
      </c>
      <c r="G272" s="4">
        <v>3</v>
      </c>
      <c r="H272" s="185">
        <f t="shared" si="561"/>
        <v>0</v>
      </c>
      <c r="I272" s="70">
        <v>0</v>
      </c>
      <c r="J272" s="4">
        <v>3</v>
      </c>
      <c r="K272" s="167">
        <f t="shared" si="562"/>
        <v>0</v>
      </c>
      <c r="L272" s="70">
        <v>0</v>
      </c>
      <c r="M272" s="4">
        <v>3</v>
      </c>
      <c r="N272" s="167">
        <f t="shared" si="563"/>
        <v>0</v>
      </c>
      <c r="O272" s="70">
        <v>0</v>
      </c>
      <c r="P272" s="4">
        <v>3</v>
      </c>
      <c r="Q272" s="167">
        <f t="shared" si="566"/>
        <v>0</v>
      </c>
      <c r="R272" s="164">
        <f t="shared" si="567"/>
        <v>0</v>
      </c>
      <c r="S272" s="165">
        <f t="shared" si="568"/>
        <v>0</v>
      </c>
      <c r="U272" s="70">
        <v>0</v>
      </c>
      <c r="V272" s="138">
        <f t="shared" si="564"/>
        <v>3</v>
      </c>
      <c r="W272" s="181">
        <f t="shared" si="565"/>
        <v>0</v>
      </c>
      <c r="X272" s="70">
        <v>0</v>
      </c>
      <c r="Y272" s="138">
        <f t="shared" si="569"/>
        <v>3</v>
      </c>
      <c r="Z272" s="167">
        <f t="shared" si="570"/>
        <v>0</v>
      </c>
      <c r="AA272" s="70"/>
      <c r="AB272" s="138">
        <f t="shared" si="571"/>
        <v>3</v>
      </c>
      <c r="AC272" s="167">
        <f t="shared" si="572"/>
        <v>0</v>
      </c>
      <c r="AD272" s="70">
        <v>0</v>
      </c>
      <c r="AE272" s="138">
        <f t="shared" si="573"/>
        <v>3</v>
      </c>
      <c r="AF272" s="181">
        <f t="shared" si="574"/>
        <v>0</v>
      </c>
      <c r="AG272" s="70"/>
      <c r="AH272" s="138">
        <f t="shared" si="575"/>
        <v>3</v>
      </c>
      <c r="AI272" s="167">
        <f t="shared" si="576"/>
        <v>0</v>
      </c>
      <c r="AJ272" s="164">
        <f t="shared" si="577"/>
        <v>0</v>
      </c>
      <c r="AK272" s="165">
        <f t="shared" si="578"/>
        <v>0</v>
      </c>
    </row>
    <row r="273" spans="2:37" outlineLevel="1" x14ac:dyDescent="0.35">
      <c r="B273" s="48" t="s">
        <v>80</v>
      </c>
      <c r="C273" s="62" t="s">
        <v>141</v>
      </c>
      <c r="D273" s="81">
        <v>0</v>
      </c>
      <c r="E273" s="4">
        <v>2</v>
      </c>
      <c r="F273" s="70">
        <v>0</v>
      </c>
      <c r="G273" s="4">
        <v>2</v>
      </c>
      <c r="H273" s="185">
        <f t="shared" si="561"/>
        <v>0</v>
      </c>
      <c r="I273" s="70">
        <v>0</v>
      </c>
      <c r="J273" s="4">
        <v>2</v>
      </c>
      <c r="K273" s="167">
        <f t="shared" si="562"/>
        <v>0</v>
      </c>
      <c r="L273" s="70">
        <v>0</v>
      </c>
      <c r="M273" s="4">
        <v>2</v>
      </c>
      <c r="N273" s="167">
        <f t="shared" si="563"/>
        <v>0</v>
      </c>
      <c r="O273" s="70">
        <v>0</v>
      </c>
      <c r="P273" s="4">
        <v>2</v>
      </c>
      <c r="Q273" s="167">
        <f t="shared" si="566"/>
        <v>0</v>
      </c>
      <c r="R273" s="164">
        <f t="shared" si="567"/>
        <v>0</v>
      </c>
      <c r="S273" s="165">
        <f t="shared" si="568"/>
        <v>0</v>
      </c>
      <c r="U273" s="70">
        <v>0</v>
      </c>
      <c r="V273" s="138">
        <f t="shared" si="564"/>
        <v>2</v>
      </c>
      <c r="W273" s="181">
        <f t="shared" si="565"/>
        <v>0</v>
      </c>
      <c r="X273" s="70">
        <v>0</v>
      </c>
      <c r="Y273" s="138">
        <f t="shared" si="569"/>
        <v>2</v>
      </c>
      <c r="Z273" s="167">
        <f t="shared" si="570"/>
        <v>0</v>
      </c>
      <c r="AA273" s="70"/>
      <c r="AB273" s="138">
        <f t="shared" si="571"/>
        <v>2</v>
      </c>
      <c r="AC273" s="167">
        <f t="shared" si="572"/>
        <v>0</v>
      </c>
      <c r="AD273" s="70">
        <v>0</v>
      </c>
      <c r="AE273" s="138">
        <f t="shared" si="573"/>
        <v>2</v>
      </c>
      <c r="AF273" s="181">
        <f t="shared" si="574"/>
        <v>0</v>
      </c>
      <c r="AG273" s="70"/>
      <c r="AH273" s="138">
        <f t="shared" si="575"/>
        <v>2</v>
      </c>
      <c r="AI273" s="167">
        <f t="shared" si="576"/>
        <v>0</v>
      </c>
      <c r="AJ273" s="164">
        <f t="shared" si="577"/>
        <v>0</v>
      </c>
      <c r="AK273" s="165">
        <f t="shared" si="578"/>
        <v>0</v>
      </c>
    </row>
    <row r="274" spans="2:37" outlineLevel="1" x14ac:dyDescent="0.35">
      <c r="B274" s="48" t="s">
        <v>81</v>
      </c>
      <c r="C274" s="62" t="s">
        <v>141</v>
      </c>
      <c r="D274" s="81">
        <v>0</v>
      </c>
      <c r="E274" s="4">
        <v>0</v>
      </c>
      <c r="F274" s="70">
        <v>0</v>
      </c>
      <c r="G274" s="4">
        <v>0</v>
      </c>
      <c r="H274" s="185">
        <f t="shared" si="561"/>
        <v>0</v>
      </c>
      <c r="I274" s="70">
        <v>0</v>
      </c>
      <c r="J274" s="4">
        <v>0</v>
      </c>
      <c r="K274" s="167">
        <f t="shared" si="562"/>
        <v>0</v>
      </c>
      <c r="L274" s="70">
        <v>0</v>
      </c>
      <c r="M274" s="4"/>
      <c r="N274" s="167">
        <f t="shared" si="563"/>
        <v>0</v>
      </c>
      <c r="O274" s="70">
        <v>0</v>
      </c>
      <c r="P274" s="4"/>
      <c r="Q274" s="167">
        <f t="shared" si="566"/>
        <v>0</v>
      </c>
      <c r="R274" s="164">
        <f t="shared" si="567"/>
        <v>0</v>
      </c>
      <c r="S274" s="165">
        <f t="shared" si="568"/>
        <v>0</v>
      </c>
      <c r="U274" s="70">
        <v>0</v>
      </c>
      <c r="V274" s="138">
        <f t="shared" si="564"/>
        <v>0</v>
      </c>
      <c r="W274" s="181">
        <f t="shared" si="565"/>
        <v>0</v>
      </c>
      <c r="X274" s="70">
        <v>0</v>
      </c>
      <c r="Y274" s="138">
        <f t="shared" si="569"/>
        <v>0</v>
      </c>
      <c r="Z274" s="167">
        <f t="shared" si="570"/>
        <v>0</v>
      </c>
      <c r="AA274" s="70"/>
      <c r="AB274" s="138">
        <f t="shared" si="571"/>
        <v>0</v>
      </c>
      <c r="AC274" s="167">
        <f t="shared" si="572"/>
        <v>0</v>
      </c>
      <c r="AD274" s="70">
        <v>0</v>
      </c>
      <c r="AE274" s="138">
        <f t="shared" si="573"/>
        <v>0</v>
      </c>
      <c r="AF274" s="181">
        <f t="shared" si="574"/>
        <v>0</v>
      </c>
      <c r="AG274" s="70"/>
      <c r="AH274" s="138">
        <f t="shared" si="575"/>
        <v>0</v>
      </c>
      <c r="AI274" s="167">
        <f t="shared" si="576"/>
        <v>0</v>
      </c>
      <c r="AJ274" s="164">
        <f t="shared" si="577"/>
        <v>0</v>
      </c>
      <c r="AK274" s="165">
        <f t="shared" si="578"/>
        <v>0</v>
      </c>
    </row>
    <row r="275" spans="2:37" outlineLevel="1" x14ac:dyDescent="0.35">
      <c r="B275" s="48" t="s">
        <v>82</v>
      </c>
      <c r="C275" s="62" t="s">
        <v>141</v>
      </c>
      <c r="D275" s="81">
        <v>0</v>
      </c>
      <c r="E275" s="4">
        <v>7</v>
      </c>
      <c r="F275" s="70">
        <v>1</v>
      </c>
      <c r="G275" s="4">
        <v>8</v>
      </c>
      <c r="H275" s="185">
        <f t="shared" si="561"/>
        <v>0.14285714285714285</v>
      </c>
      <c r="I275" s="70">
        <v>0</v>
      </c>
      <c r="J275" s="4">
        <v>8</v>
      </c>
      <c r="K275" s="167">
        <f t="shared" si="562"/>
        <v>0</v>
      </c>
      <c r="L275" s="70">
        <v>0</v>
      </c>
      <c r="M275" s="4">
        <v>8</v>
      </c>
      <c r="N275" s="167">
        <f t="shared" si="563"/>
        <v>0</v>
      </c>
      <c r="O275" s="70">
        <v>-1</v>
      </c>
      <c r="P275" s="4">
        <v>7</v>
      </c>
      <c r="Q275" s="167">
        <f t="shared" si="566"/>
        <v>-0.125</v>
      </c>
      <c r="R275" s="164">
        <f t="shared" si="567"/>
        <v>0</v>
      </c>
      <c r="S275" s="165">
        <f t="shared" si="568"/>
        <v>0</v>
      </c>
      <c r="U275" s="70">
        <v>0</v>
      </c>
      <c r="V275" s="138">
        <f t="shared" si="564"/>
        <v>7</v>
      </c>
      <c r="W275" s="181">
        <f t="shared" si="565"/>
        <v>0</v>
      </c>
      <c r="X275" s="70">
        <v>0</v>
      </c>
      <c r="Y275" s="138">
        <f t="shared" si="569"/>
        <v>7</v>
      </c>
      <c r="Z275" s="167">
        <f t="shared" si="570"/>
        <v>0</v>
      </c>
      <c r="AA275" s="70"/>
      <c r="AB275" s="138">
        <f t="shared" si="571"/>
        <v>7</v>
      </c>
      <c r="AC275" s="167">
        <f t="shared" si="572"/>
        <v>0</v>
      </c>
      <c r="AD275" s="70">
        <v>0</v>
      </c>
      <c r="AE275" s="138">
        <f t="shared" si="573"/>
        <v>7</v>
      </c>
      <c r="AF275" s="181">
        <f t="shared" si="574"/>
        <v>0</v>
      </c>
      <c r="AG275" s="70"/>
      <c r="AH275" s="138">
        <f t="shared" si="575"/>
        <v>7</v>
      </c>
      <c r="AI275" s="167">
        <f t="shared" si="576"/>
        <v>0</v>
      </c>
      <c r="AJ275" s="164">
        <f t="shared" si="577"/>
        <v>0</v>
      </c>
      <c r="AK275" s="165">
        <f t="shared" si="578"/>
        <v>0</v>
      </c>
    </row>
    <row r="276" spans="2:37" outlineLevel="1" x14ac:dyDescent="0.35">
      <c r="B276" s="48" t="s">
        <v>83</v>
      </c>
      <c r="C276" s="62" t="s">
        <v>141</v>
      </c>
      <c r="D276" s="81">
        <v>1</v>
      </c>
      <c r="E276" s="4">
        <v>5</v>
      </c>
      <c r="F276" s="70">
        <v>0</v>
      </c>
      <c r="G276" s="4">
        <v>5</v>
      </c>
      <c r="H276" s="185">
        <f t="shared" si="561"/>
        <v>0</v>
      </c>
      <c r="I276" s="70">
        <v>3</v>
      </c>
      <c r="J276" s="4">
        <v>8</v>
      </c>
      <c r="K276" s="167">
        <f t="shared" si="562"/>
        <v>0.6</v>
      </c>
      <c r="L276" s="70">
        <v>0</v>
      </c>
      <c r="M276" s="4">
        <v>8</v>
      </c>
      <c r="N276" s="167">
        <f t="shared" si="563"/>
        <v>0</v>
      </c>
      <c r="O276" s="70">
        <v>0</v>
      </c>
      <c r="P276" s="4">
        <v>8</v>
      </c>
      <c r="Q276" s="167">
        <f t="shared" si="566"/>
        <v>0</v>
      </c>
      <c r="R276" s="164">
        <f t="shared" si="567"/>
        <v>4</v>
      </c>
      <c r="S276" s="165">
        <f t="shared" si="568"/>
        <v>0.12468265038069815</v>
      </c>
      <c r="U276" s="70">
        <v>0</v>
      </c>
      <c r="V276" s="138">
        <f t="shared" si="564"/>
        <v>8</v>
      </c>
      <c r="W276" s="181">
        <f t="shared" si="565"/>
        <v>0</v>
      </c>
      <c r="X276" s="70">
        <v>0</v>
      </c>
      <c r="Y276" s="138">
        <f t="shared" si="569"/>
        <v>8</v>
      </c>
      <c r="Z276" s="167">
        <f t="shared" si="570"/>
        <v>0</v>
      </c>
      <c r="AA276" s="70"/>
      <c r="AB276" s="138">
        <f t="shared" si="571"/>
        <v>8</v>
      </c>
      <c r="AC276" s="167">
        <f t="shared" si="572"/>
        <v>0</v>
      </c>
      <c r="AD276" s="70">
        <v>0</v>
      </c>
      <c r="AE276" s="138">
        <f t="shared" si="573"/>
        <v>8</v>
      </c>
      <c r="AF276" s="181">
        <f t="shared" si="574"/>
        <v>0</v>
      </c>
      <c r="AG276" s="70"/>
      <c r="AH276" s="138">
        <f t="shared" si="575"/>
        <v>8</v>
      </c>
      <c r="AI276" s="167">
        <f t="shared" si="576"/>
        <v>0</v>
      </c>
      <c r="AJ276" s="164">
        <f t="shared" si="577"/>
        <v>0</v>
      </c>
      <c r="AK276" s="165">
        <f t="shared" si="578"/>
        <v>0</v>
      </c>
    </row>
    <row r="277" spans="2:37" outlineLevel="1" x14ac:dyDescent="0.35">
      <c r="B277" s="48" t="s">
        <v>84</v>
      </c>
      <c r="C277" s="62" t="s">
        <v>141</v>
      </c>
      <c r="D277" s="81">
        <v>0</v>
      </c>
      <c r="E277" s="4">
        <v>0</v>
      </c>
      <c r="F277" s="70">
        <v>0</v>
      </c>
      <c r="G277" s="4">
        <v>0</v>
      </c>
      <c r="H277" s="185">
        <f t="shared" si="561"/>
        <v>0</v>
      </c>
      <c r="I277" s="70">
        <v>0</v>
      </c>
      <c r="J277" s="4">
        <v>0</v>
      </c>
      <c r="K277" s="167">
        <f t="shared" si="562"/>
        <v>0</v>
      </c>
      <c r="L277" s="70">
        <v>0</v>
      </c>
      <c r="M277" s="4"/>
      <c r="N277" s="167">
        <f t="shared" si="563"/>
        <v>0</v>
      </c>
      <c r="O277" s="70">
        <v>0</v>
      </c>
      <c r="P277" s="4"/>
      <c r="Q277" s="167">
        <f t="shared" si="566"/>
        <v>0</v>
      </c>
      <c r="R277" s="164">
        <f t="shared" si="567"/>
        <v>0</v>
      </c>
      <c r="S277" s="165">
        <f t="shared" si="568"/>
        <v>0</v>
      </c>
      <c r="U277" s="70">
        <v>0</v>
      </c>
      <c r="V277" s="138">
        <f t="shared" si="564"/>
        <v>0</v>
      </c>
      <c r="W277" s="181">
        <f t="shared" si="565"/>
        <v>0</v>
      </c>
      <c r="X277" s="70">
        <v>0</v>
      </c>
      <c r="Y277" s="138">
        <f t="shared" si="569"/>
        <v>0</v>
      </c>
      <c r="Z277" s="167">
        <f t="shared" si="570"/>
        <v>0</v>
      </c>
      <c r="AA277" s="70"/>
      <c r="AB277" s="138">
        <f t="shared" si="571"/>
        <v>0</v>
      </c>
      <c r="AC277" s="167">
        <f t="shared" si="572"/>
        <v>0</v>
      </c>
      <c r="AD277" s="70">
        <v>0</v>
      </c>
      <c r="AE277" s="138">
        <f t="shared" si="573"/>
        <v>0</v>
      </c>
      <c r="AF277" s="181">
        <f t="shared" si="574"/>
        <v>0</v>
      </c>
      <c r="AG277" s="70"/>
      <c r="AH277" s="138">
        <f t="shared" si="575"/>
        <v>0</v>
      </c>
      <c r="AI277" s="167">
        <f t="shared" si="576"/>
        <v>0</v>
      </c>
      <c r="AJ277" s="164">
        <f t="shared" si="577"/>
        <v>0</v>
      </c>
      <c r="AK277" s="165">
        <f t="shared" si="578"/>
        <v>0</v>
      </c>
    </row>
    <row r="278" spans="2:37" outlineLevel="1" x14ac:dyDescent="0.35">
      <c r="B278" s="48" t="s">
        <v>85</v>
      </c>
      <c r="C278" s="62" t="s">
        <v>141</v>
      </c>
      <c r="D278" s="81">
        <v>0</v>
      </c>
      <c r="E278" s="4">
        <v>0</v>
      </c>
      <c r="F278" s="70">
        <v>0</v>
      </c>
      <c r="G278" s="4">
        <v>0</v>
      </c>
      <c r="H278" s="185">
        <f t="shared" si="561"/>
        <v>0</v>
      </c>
      <c r="I278" s="70">
        <v>0</v>
      </c>
      <c r="J278" s="4">
        <v>0</v>
      </c>
      <c r="K278" s="167">
        <f t="shared" si="562"/>
        <v>0</v>
      </c>
      <c r="L278" s="70">
        <v>0</v>
      </c>
      <c r="M278" s="4"/>
      <c r="N278" s="167">
        <f t="shared" si="563"/>
        <v>0</v>
      </c>
      <c r="O278" s="70">
        <v>0</v>
      </c>
      <c r="P278" s="4"/>
      <c r="Q278" s="167">
        <f t="shared" si="566"/>
        <v>0</v>
      </c>
      <c r="R278" s="164">
        <f t="shared" si="567"/>
        <v>0</v>
      </c>
      <c r="S278" s="165">
        <f t="shared" si="568"/>
        <v>0</v>
      </c>
      <c r="U278" s="70">
        <v>0</v>
      </c>
      <c r="V278" s="138">
        <f t="shared" si="564"/>
        <v>0</v>
      </c>
      <c r="W278" s="181">
        <f t="shared" si="565"/>
        <v>0</v>
      </c>
      <c r="X278" s="70">
        <v>0</v>
      </c>
      <c r="Y278" s="138">
        <f t="shared" si="569"/>
        <v>0</v>
      </c>
      <c r="Z278" s="167">
        <f t="shared" si="570"/>
        <v>0</v>
      </c>
      <c r="AA278" s="70"/>
      <c r="AB278" s="138">
        <f t="shared" si="571"/>
        <v>0</v>
      </c>
      <c r="AC278" s="167">
        <f t="shared" si="572"/>
        <v>0</v>
      </c>
      <c r="AD278" s="70">
        <v>0</v>
      </c>
      <c r="AE278" s="138">
        <f t="shared" si="573"/>
        <v>0</v>
      </c>
      <c r="AF278" s="181">
        <f t="shared" si="574"/>
        <v>0</v>
      </c>
      <c r="AG278" s="70"/>
      <c r="AH278" s="138">
        <f t="shared" si="575"/>
        <v>0</v>
      </c>
      <c r="AI278" s="167">
        <f t="shared" si="576"/>
        <v>0</v>
      </c>
      <c r="AJ278" s="164">
        <f t="shared" si="577"/>
        <v>0</v>
      </c>
      <c r="AK278" s="165">
        <f t="shared" si="578"/>
        <v>0</v>
      </c>
    </row>
    <row r="279" spans="2:37" outlineLevel="1" x14ac:dyDescent="0.35">
      <c r="B279" s="48" t="s">
        <v>86</v>
      </c>
      <c r="C279" s="62" t="s">
        <v>141</v>
      </c>
      <c r="D279" s="81">
        <v>0</v>
      </c>
      <c r="E279" s="4">
        <v>0</v>
      </c>
      <c r="F279" s="70">
        <v>0</v>
      </c>
      <c r="G279" s="4">
        <v>0</v>
      </c>
      <c r="H279" s="185">
        <f t="shared" si="561"/>
        <v>0</v>
      </c>
      <c r="I279" s="70">
        <v>0</v>
      </c>
      <c r="J279" s="4">
        <v>0</v>
      </c>
      <c r="K279" s="167">
        <f t="shared" si="562"/>
        <v>0</v>
      </c>
      <c r="L279" s="70">
        <v>0</v>
      </c>
      <c r="M279" s="4"/>
      <c r="N279" s="167">
        <f t="shared" si="563"/>
        <v>0</v>
      </c>
      <c r="O279" s="70">
        <v>0</v>
      </c>
      <c r="P279" s="4"/>
      <c r="Q279" s="167">
        <f t="shared" si="566"/>
        <v>0</v>
      </c>
      <c r="R279" s="164">
        <f t="shared" si="567"/>
        <v>0</v>
      </c>
      <c r="S279" s="165">
        <f t="shared" si="568"/>
        <v>0</v>
      </c>
      <c r="U279" s="70">
        <v>0</v>
      </c>
      <c r="V279" s="138">
        <f t="shared" si="564"/>
        <v>0</v>
      </c>
      <c r="W279" s="181">
        <f t="shared" si="565"/>
        <v>0</v>
      </c>
      <c r="X279" s="70">
        <v>0</v>
      </c>
      <c r="Y279" s="138">
        <f t="shared" si="569"/>
        <v>0</v>
      </c>
      <c r="Z279" s="167">
        <f t="shared" si="570"/>
        <v>0</v>
      </c>
      <c r="AA279" s="70"/>
      <c r="AB279" s="138">
        <f t="shared" si="571"/>
        <v>0</v>
      </c>
      <c r="AC279" s="167">
        <f t="shared" si="572"/>
        <v>0</v>
      </c>
      <c r="AD279" s="70">
        <v>0</v>
      </c>
      <c r="AE279" s="138">
        <f t="shared" si="573"/>
        <v>0</v>
      </c>
      <c r="AF279" s="181">
        <f t="shared" si="574"/>
        <v>0</v>
      </c>
      <c r="AG279" s="70"/>
      <c r="AH279" s="138">
        <f t="shared" si="575"/>
        <v>0</v>
      </c>
      <c r="AI279" s="167">
        <f t="shared" si="576"/>
        <v>0</v>
      </c>
      <c r="AJ279" s="164">
        <f t="shared" si="577"/>
        <v>0</v>
      </c>
      <c r="AK279" s="165">
        <f t="shared" si="578"/>
        <v>0</v>
      </c>
    </row>
    <row r="280" spans="2:37" outlineLevel="1" x14ac:dyDescent="0.35">
      <c r="B280" s="48" t="s">
        <v>87</v>
      </c>
      <c r="C280" s="62" t="s">
        <v>141</v>
      </c>
      <c r="D280" s="81">
        <v>0</v>
      </c>
      <c r="E280" s="4">
        <v>0</v>
      </c>
      <c r="F280" s="70">
        <v>0</v>
      </c>
      <c r="G280" s="4">
        <v>0</v>
      </c>
      <c r="H280" s="185">
        <f t="shared" si="561"/>
        <v>0</v>
      </c>
      <c r="I280" s="70">
        <v>0</v>
      </c>
      <c r="J280" s="4">
        <v>0</v>
      </c>
      <c r="K280" s="167">
        <f t="shared" si="562"/>
        <v>0</v>
      </c>
      <c r="L280" s="70">
        <v>0</v>
      </c>
      <c r="M280" s="4"/>
      <c r="N280" s="167">
        <f t="shared" si="563"/>
        <v>0</v>
      </c>
      <c r="O280" s="70">
        <v>0</v>
      </c>
      <c r="P280" s="4"/>
      <c r="Q280" s="167">
        <f t="shared" si="566"/>
        <v>0</v>
      </c>
      <c r="R280" s="164">
        <f t="shared" si="567"/>
        <v>0</v>
      </c>
      <c r="S280" s="165">
        <f t="shared" si="568"/>
        <v>0</v>
      </c>
      <c r="U280" s="70">
        <v>0</v>
      </c>
      <c r="V280" s="138">
        <f t="shared" si="564"/>
        <v>0</v>
      </c>
      <c r="W280" s="181">
        <f t="shared" si="565"/>
        <v>0</v>
      </c>
      <c r="X280" s="70">
        <v>0</v>
      </c>
      <c r="Y280" s="138">
        <f t="shared" si="569"/>
        <v>0</v>
      </c>
      <c r="Z280" s="167">
        <f t="shared" si="570"/>
        <v>0</v>
      </c>
      <c r="AA280" s="70"/>
      <c r="AB280" s="138">
        <f t="shared" si="571"/>
        <v>0</v>
      </c>
      <c r="AC280" s="167">
        <f t="shared" si="572"/>
        <v>0</v>
      </c>
      <c r="AD280" s="70">
        <v>0</v>
      </c>
      <c r="AE280" s="138">
        <f t="shared" si="573"/>
        <v>0</v>
      </c>
      <c r="AF280" s="181">
        <f t="shared" si="574"/>
        <v>0</v>
      </c>
      <c r="AG280" s="70"/>
      <c r="AH280" s="138">
        <f t="shared" si="575"/>
        <v>0</v>
      </c>
      <c r="AI280" s="167">
        <f t="shared" si="576"/>
        <v>0</v>
      </c>
      <c r="AJ280" s="164">
        <f t="shared" si="577"/>
        <v>0</v>
      </c>
      <c r="AK280" s="165">
        <f t="shared" si="578"/>
        <v>0</v>
      </c>
    </row>
    <row r="281" spans="2:37" outlineLevel="1" x14ac:dyDescent="0.35">
      <c r="B281" s="48" t="s">
        <v>88</v>
      </c>
      <c r="C281" s="62" t="s">
        <v>141</v>
      </c>
      <c r="D281" s="81">
        <v>0</v>
      </c>
      <c r="E281" s="4">
        <v>0</v>
      </c>
      <c r="F281" s="70">
        <v>0</v>
      </c>
      <c r="G281" s="4">
        <v>0</v>
      </c>
      <c r="H281" s="185">
        <f t="shared" si="561"/>
        <v>0</v>
      </c>
      <c r="I281" s="70">
        <v>0</v>
      </c>
      <c r="J281" s="4">
        <v>0</v>
      </c>
      <c r="K281" s="167">
        <f t="shared" si="562"/>
        <v>0</v>
      </c>
      <c r="L281" s="70">
        <v>0</v>
      </c>
      <c r="M281" s="4"/>
      <c r="N281" s="167">
        <f t="shared" si="563"/>
        <v>0</v>
      </c>
      <c r="O281" s="70">
        <v>0</v>
      </c>
      <c r="P281" s="4"/>
      <c r="Q281" s="167">
        <f t="shared" si="566"/>
        <v>0</v>
      </c>
      <c r="R281" s="164">
        <f t="shared" si="567"/>
        <v>0</v>
      </c>
      <c r="S281" s="165">
        <f t="shared" si="568"/>
        <v>0</v>
      </c>
      <c r="U281" s="70">
        <v>0</v>
      </c>
      <c r="V281" s="138">
        <f t="shared" si="564"/>
        <v>0</v>
      </c>
      <c r="W281" s="181">
        <f t="shared" si="565"/>
        <v>0</v>
      </c>
      <c r="X281" s="70">
        <v>0</v>
      </c>
      <c r="Y281" s="138">
        <f t="shared" si="569"/>
        <v>0</v>
      </c>
      <c r="Z281" s="167">
        <f t="shared" si="570"/>
        <v>0</v>
      </c>
      <c r="AA281" s="70"/>
      <c r="AB281" s="138">
        <f t="shared" si="571"/>
        <v>0</v>
      </c>
      <c r="AC281" s="167">
        <f t="shared" si="572"/>
        <v>0</v>
      </c>
      <c r="AD281" s="70">
        <v>0</v>
      </c>
      <c r="AE281" s="138">
        <f t="shared" si="573"/>
        <v>0</v>
      </c>
      <c r="AF281" s="181">
        <f t="shared" si="574"/>
        <v>0</v>
      </c>
      <c r="AG281" s="70"/>
      <c r="AH281" s="138">
        <f t="shared" si="575"/>
        <v>0</v>
      </c>
      <c r="AI281" s="167">
        <f t="shared" si="576"/>
        <v>0</v>
      </c>
      <c r="AJ281" s="164">
        <f t="shared" si="577"/>
        <v>0</v>
      </c>
      <c r="AK281" s="165">
        <f t="shared" si="578"/>
        <v>0</v>
      </c>
    </row>
    <row r="282" spans="2:37" outlineLevel="1" x14ac:dyDescent="0.35">
      <c r="B282" s="48" t="s">
        <v>89</v>
      </c>
      <c r="C282" s="62" t="s">
        <v>141</v>
      </c>
      <c r="D282" s="81">
        <v>0</v>
      </c>
      <c r="E282" s="4">
        <v>1</v>
      </c>
      <c r="F282" s="70">
        <v>0</v>
      </c>
      <c r="G282" s="4">
        <v>1</v>
      </c>
      <c r="H282" s="185">
        <f t="shared" si="561"/>
        <v>0</v>
      </c>
      <c r="I282" s="70">
        <v>0</v>
      </c>
      <c r="J282" s="4">
        <v>1</v>
      </c>
      <c r="K282" s="167">
        <f t="shared" si="562"/>
        <v>0</v>
      </c>
      <c r="L282" s="70">
        <v>-1</v>
      </c>
      <c r="M282" s="4"/>
      <c r="N282" s="167">
        <f t="shared" si="563"/>
        <v>-1</v>
      </c>
      <c r="O282" s="70">
        <v>1</v>
      </c>
      <c r="P282" s="4">
        <v>1</v>
      </c>
      <c r="Q282" s="167">
        <f t="shared" si="566"/>
        <v>0</v>
      </c>
      <c r="R282" s="164">
        <f t="shared" si="567"/>
        <v>0</v>
      </c>
      <c r="S282" s="165">
        <f t="shared" si="568"/>
        <v>0</v>
      </c>
      <c r="U282" s="70">
        <v>0</v>
      </c>
      <c r="V282" s="138">
        <f t="shared" si="564"/>
        <v>1</v>
      </c>
      <c r="W282" s="181">
        <f t="shared" si="565"/>
        <v>0</v>
      </c>
      <c r="X282" s="70">
        <v>0</v>
      </c>
      <c r="Y282" s="138">
        <f t="shared" si="569"/>
        <v>1</v>
      </c>
      <c r="Z282" s="167">
        <f t="shared" si="570"/>
        <v>0</v>
      </c>
      <c r="AA282" s="70"/>
      <c r="AB282" s="138">
        <f t="shared" si="571"/>
        <v>1</v>
      </c>
      <c r="AC282" s="167">
        <f t="shared" si="572"/>
        <v>0</v>
      </c>
      <c r="AD282" s="70">
        <v>0</v>
      </c>
      <c r="AE282" s="138">
        <f t="shared" si="573"/>
        <v>1</v>
      </c>
      <c r="AF282" s="181">
        <f t="shared" si="574"/>
        <v>0</v>
      </c>
      <c r="AG282" s="70"/>
      <c r="AH282" s="138">
        <f t="shared" si="575"/>
        <v>1</v>
      </c>
      <c r="AI282" s="167">
        <f t="shared" si="576"/>
        <v>0</v>
      </c>
      <c r="AJ282" s="164">
        <f t="shared" si="577"/>
        <v>0</v>
      </c>
      <c r="AK282" s="165">
        <f t="shared" si="578"/>
        <v>0</v>
      </c>
    </row>
    <row r="283" spans="2:37" outlineLevel="1" x14ac:dyDescent="0.35">
      <c r="B283" s="48" t="s">
        <v>90</v>
      </c>
      <c r="C283" s="62" t="s">
        <v>141</v>
      </c>
      <c r="D283" s="81">
        <v>-2</v>
      </c>
      <c r="E283" s="4">
        <v>5</v>
      </c>
      <c r="F283" s="70">
        <v>1</v>
      </c>
      <c r="G283" s="4">
        <v>6</v>
      </c>
      <c r="H283" s="185">
        <f t="shared" si="561"/>
        <v>0.2</v>
      </c>
      <c r="I283" s="70">
        <v>-1</v>
      </c>
      <c r="J283" s="4">
        <v>5</v>
      </c>
      <c r="K283" s="167">
        <f t="shared" si="562"/>
        <v>-0.16666666666666666</v>
      </c>
      <c r="L283" s="70">
        <v>1</v>
      </c>
      <c r="M283" s="4">
        <v>6</v>
      </c>
      <c r="N283" s="167">
        <f t="shared" si="563"/>
        <v>0.2</v>
      </c>
      <c r="O283" s="70">
        <v>0</v>
      </c>
      <c r="P283" s="4">
        <v>6</v>
      </c>
      <c r="Q283" s="167">
        <f t="shared" si="566"/>
        <v>0</v>
      </c>
      <c r="R283" s="164">
        <f t="shared" si="567"/>
        <v>-1</v>
      </c>
      <c r="S283" s="165">
        <f t="shared" si="568"/>
        <v>4.6635139392105618E-2</v>
      </c>
      <c r="U283" s="70">
        <v>1</v>
      </c>
      <c r="V283" s="138">
        <f t="shared" si="564"/>
        <v>7</v>
      </c>
      <c r="W283" s="181">
        <f t="shared" si="565"/>
        <v>0.16666666666666666</v>
      </c>
      <c r="X283" s="70">
        <v>0</v>
      </c>
      <c r="Y283" s="138">
        <f t="shared" si="569"/>
        <v>7</v>
      </c>
      <c r="Z283" s="167">
        <f t="shared" si="570"/>
        <v>0</v>
      </c>
      <c r="AA283" s="70"/>
      <c r="AB283" s="138">
        <f t="shared" si="571"/>
        <v>7</v>
      </c>
      <c r="AC283" s="167">
        <f t="shared" si="572"/>
        <v>0</v>
      </c>
      <c r="AD283" s="70">
        <v>0</v>
      </c>
      <c r="AE283" s="138">
        <f t="shared" si="573"/>
        <v>7</v>
      </c>
      <c r="AF283" s="181">
        <f t="shared" si="574"/>
        <v>0</v>
      </c>
      <c r="AG283" s="70"/>
      <c r="AH283" s="138">
        <f t="shared" si="575"/>
        <v>7</v>
      </c>
      <c r="AI283" s="167">
        <f t="shared" si="576"/>
        <v>0</v>
      </c>
      <c r="AJ283" s="164">
        <f t="shared" si="577"/>
        <v>1</v>
      </c>
      <c r="AK283" s="165">
        <f t="shared" si="578"/>
        <v>0</v>
      </c>
    </row>
    <row r="284" spans="2:37" outlineLevel="1" x14ac:dyDescent="0.35">
      <c r="B284" s="48" t="s">
        <v>91</v>
      </c>
      <c r="C284" s="62" t="s">
        <v>141</v>
      </c>
      <c r="D284" s="81">
        <v>0</v>
      </c>
      <c r="E284" s="4">
        <v>1</v>
      </c>
      <c r="F284" s="70">
        <v>0</v>
      </c>
      <c r="G284" s="4">
        <v>1</v>
      </c>
      <c r="H284" s="185">
        <f t="shared" si="561"/>
        <v>0</v>
      </c>
      <c r="I284" s="70">
        <v>0</v>
      </c>
      <c r="J284" s="4">
        <v>1</v>
      </c>
      <c r="K284" s="167">
        <f t="shared" si="562"/>
        <v>0</v>
      </c>
      <c r="L284" s="70">
        <v>0</v>
      </c>
      <c r="M284" s="4">
        <v>1</v>
      </c>
      <c r="N284" s="167">
        <f t="shared" si="563"/>
        <v>0</v>
      </c>
      <c r="O284" s="70">
        <v>0</v>
      </c>
      <c r="P284" s="4">
        <v>1</v>
      </c>
      <c r="Q284" s="167">
        <f t="shared" si="566"/>
        <v>0</v>
      </c>
      <c r="R284" s="164">
        <f t="shared" si="567"/>
        <v>0</v>
      </c>
      <c r="S284" s="165">
        <f t="shared" si="568"/>
        <v>0</v>
      </c>
      <c r="U284" s="70">
        <v>1</v>
      </c>
      <c r="V284" s="138">
        <f t="shared" si="564"/>
        <v>2</v>
      </c>
      <c r="W284" s="181">
        <f t="shared" si="565"/>
        <v>1</v>
      </c>
      <c r="X284" s="70">
        <v>0</v>
      </c>
      <c r="Y284" s="138">
        <f t="shared" si="569"/>
        <v>2</v>
      </c>
      <c r="Z284" s="167">
        <f t="shared" si="570"/>
        <v>0</v>
      </c>
      <c r="AA284" s="70"/>
      <c r="AB284" s="138">
        <f t="shared" si="571"/>
        <v>2</v>
      </c>
      <c r="AC284" s="167">
        <f t="shared" si="572"/>
        <v>0</v>
      </c>
      <c r="AD284" s="70">
        <v>0</v>
      </c>
      <c r="AE284" s="138">
        <f t="shared" si="573"/>
        <v>2</v>
      </c>
      <c r="AF284" s="181">
        <f t="shared" si="574"/>
        <v>0</v>
      </c>
      <c r="AG284" s="70"/>
      <c r="AH284" s="138">
        <f t="shared" si="575"/>
        <v>2</v>
      </c>
      <c r="AI284" s="167">
        <f t="shared" si="576"/>
        <v>0</v>
      </c>
      <c r="AJ284" s="164">
        <f t="shared" si="577"/>
        <v>1</v>
      </c>
      <c r="AK284" s="165">
        <f t="shared" si="578"/>
        <v>0</v>
      </c>
    </row>
    <row r="285" spans="2:37" outlineLevel="1" x14ac:dyDescent="0.35">
      <c r="B285" s="48" t="s">
        <v>92</v>
      </c>
      <c r="C285" s="62" t="s">
        <v>141</v>
      </c>
      <c r="D285" s="81">
        <v>0</v>
      </c>
      <c r="E285" s="4">
        <v>0</v>
      </c>
      <c r="F285" s="70">
        <v>0</v>
      </c>
      <c r="G285" s="4">
        <v>0</v>
      </c>
      <c r="H285" s="185">
        <f t="shared" si="561"/>
        <v>0</v>
      </c>
      <c r="I285" s="70">
        <v>0</v>
      </c>
      <c r="J285" s="4">
        <v>0</v>
      </c>
      <c r="K285" s="167">
        <f t="shared" si="562"/>
        <v>0</v>
      </c>
      <c r="L285" s="70">
        <v>0</v>
      </c>
      <c r="M285" s="4"/>
      <c r="N285" s="167">
        <f t="shared" si="563"/>
        <v>0</v>
      </c>
      <c r="O285" s="70">
        <v>0</v>
      </c>
      <c r="P285" s="4"/>
      <c r="Q285" s="167">
        <f t="shared" si="566"/>
        <v>0</v>
      </c>
      <c r="R285" s="164">
        <f t="shared" si="567"/>
        <v>0</v>
      </c>
      <c r="S285" s="165">
        <f t="shared" si="568"/>
        <v>0</v>
      </c>
      <c r="U285" s="70">
        <v>0</v>
      </c>
      <c r="V285" s="138">
        <f t="shared" si="564"/>
        <v>0</v>
      </c>
      <c r="W285" s="181">
        <f t="shared" si="565"/>
        <v>0</v>
      </c>
      <c r="X285" s="70">
        <v>0</v>
      </c>
      <c r="Y285" s="138">
        <f t="shared" si="569"/>
        <v>0</v>
      </c>
      <c r="Z285" s="167">
        <f t="shared" si="570"/>
        <v>0</v>
      </c>
      <c r="AA285" s="70"/>
      <c r="AB285" s="138">
        <f t="shared" si="571"/>
        <v>0</v>
      </c>
      <c r="AC285" s="167">
        <f t="shared" si="572"/>
        <v>0</v>
      </c>
      <c r="AD285" s="70">
        <v>0</v>
      </c>
      <c r="AE285" s="138">
        <f t="shared" si="573"/>
        <v>0</v>
      </c>
      <c r="AF285" s="181">
        <f t="shared" si="574"/>
        <v>0</v>
      </c>
      <c r="AG285" s="70"/>
      <c r="AH285" s="138">
        <f t="shared" si="575"/>
        <v>0</v>
      </c>
      <c r="AI285" s="167">
        <f t="shared" si="576"/>
        <v>0</v>
      </c>
      <c r="AJ285" s="164">
        <f t="shared" si="577"/>
        <v>0</v>
      </c>
      <c r="AK285" s="165">
        <f t="shared" si="578"/>
        <v>0</v>
      </c>
    </row>
    <row r="286" spans="2:37" outlineLevel="1" x14ac:dyDescent="0.35">
      <c r="B286" s="48" t="s">
        <v>93</v>
      </c>
      <c r="C286" s="62" t="s">
        <v>141</v>
      </c>
      <c r="D286" s="81">
        <v>0</v>
      </c>
      <c r="E286" s="4">
        <v>0</v>
      </c>
      <c r="F286" s="70">
        <v>0</v>
      </c>
      <c r="G286" s="4">
        <v>0</v>
      </c>
      <c r="H286" s="185">
        <f t="shared" si="561"/>
        <v>0</v>
      </c>
      <c r="I286" s="70">
        <v>0</v>
      </c>
      <c r="J286" s="4">
        <v>0</v>
      </c>
      <c r="K286" s="167">
        <f t="shared" si="562"/>
        <v>0</v>
      </c>
      <c r="L286" s="70">
        <v>0</v>
      </c>
      <c r="M286" s="4"/>
      <c r="N286" s="167">
        <f t="shared" si="563"/>
        <v>0</v>
      </c>
      <c r="O286" s="70">
        <v>0</v>
      </c>
      <c r="P286" s="4"/>
      <c r="Q286" s="167">
        <f t="shared" si="566"/>
        <v>0</v>
      </c>
      <c r="R286" s="164">
        <f t="shared" si="567"/>
        <v>0</v>
      </c>
      <c r="S286" s="165">
        <f t="shared" si="568"/>
        <v>0</v>
      </c>
      <c r="U286" s="70">
        <v>0</v>
      </c>
      <c r="V286" s="138">
        <f t="shared" si="564"/>
        <v>0</v>
      </c>
      <c r="W286" s="181">
        <f t="shared" si="565"/>
        <v>0</v>
      </c>
      <c r="X286" s="70">
        <v>0</v>
      </c>
      <c r="Y286" s="138">
        <f t="shared" si="569"/>
        <v>0</v>
      </c>
      <c r="Z286" s="167">
        <f t="shared" si="570"/>
        <v>0</v>
      </c>
      <c r="AA286" s="70"/>
      <c r="AB286" s="138">
        <f t="shared" si="571"/>
        <v>0</v>
      </c>
      <c r="AC286" s="167">
        <f t="shared" si="572"/>
        <v>0</v>
      </c>
      <c r="AD286" s="70">
        <v>0</v>
      </c>
      <c r="AE286" s="138">
        <f t="shared" si="573"/>
        <v>0</v>
      </c>
      <c r="AF286" s="181">
        <f t="shared" si="574"/>
        <v>0</v>
      </c>
      <c r="AG286" s="70"/>
      <c r="AH286" s="138">
        <f t="shared" si="575"/>
        <v>0</v>
      </c>
      <c r="AI286" s="167">
        <f t="shared" si="576"/>
        <v>0</v>
      </c>
      <c r="AJ286" s="164">
        <f t="shared" si="577"/>
        <v>0</v>
      </c>
      <c r="AK286" s="165">
        <f t="shared" si="578"/>
        <v>0</v>
      </c>
    </row>
    <row r="287" spans="2:37" outlineLevel="1" x14ac:dyDescent="0.35">
      <c r="B287" s="48" t="s">
        <v>94</v>
      </c>
      <c r="C287" s="62" t="s">
        <v>141</v>
      </c>
      <c r="D287" s="81">
        <v>0</v>
      </c>
      <c r="E287" s="4">
        <v>0</v>
      </c>
      <c r="F287" s="70">
        <v>0</v>
      </c>
      <c r="G287" s="4">
        <v>0</v>
      </c>
      <c r="H287" s="185">
        <f t="shared" si="561"/>
        <v>0</v>
      </c>
      <c r="I287" s="70">
        <v>0</v>
      </c>
      <c r="J287" s="4">
        <v>0</v>
      </c>
      <c r="K287" s="167">
        <f t="shared" si="562"/>
        <v>0</v>
      </c>
      <c r="L287" s="70">
        <v>0</v>
      </c>
      <c r="M287" s="4"/>
      <c r="N287" s="167">
        <f t="shared" si="563"/>
        <v>0</v>
      </c>
      <c r="O287" s="70">
        <v>0</v>
      </c>
      <c r="P287" s="4"/>
      <c r="Q287" s="167">
        <f t="shared" si="566"/>
        <v>0</v>
      </c>
      <c r="R287" s="164">
        <f t="shared" si="567"/>
        <v>0</v>
      </c>
      <c r="S287" s="165">
        <f t="shared" si="568"/>
        <v>0</v>
      </c>
      <c r="U287" s="70">
        <v>0</v>
      </c>
      <c r="V287" s="138">
        <f t="shared" si="564"/>
        <v>0</v>
      </c>
      <c r="W287" s="181">
        <f t="shared" si="565"/>
        <v>0</v>
      </c>
      <c r="X287" s="70">
        <v>0</v>
      </c>
      <c r="Y287" s="138">
        <f t="shared" si="569"/>
        <v>0</v>
      </c>
      <c r="Z287" s="167">
        <f t="shared" si="570"/>
        <v>0</v>
      </c>
      <c r="AA287" s="70"/>
      <c r="AB287" s="138">
        <f t="shared" si="571"/>
        <v>0</v>
      </c>
      <c r="AC287" s="167">
        <f t="shared" si="572"/>
        <v>0</v>
      </c>
      <c r="AD287" s="70">
        <v>0</v>
      </c>
      <c r="AE287" s="138">
        <f t="shared" si="573"/>
        <v>0</v>
      </c>
      <c r="AF287" s="181">
        <f t="shared" si="574"/>
        <v>0</v>
      </c>
      <c r="AG287" s="70"/>
      <c r="AH287" s="138">
        <f t="shared" si="575"/>
        <v>0</v>
      </c>
      <c r="AI287" s="167">
        <f t="shared" si="576"/>
        <v>0</v>
      </c>
      <c r="AJ287" s="164">
        <f t="shared" si="577"/>
        <v>0</v>
      </c>
      <c r="AK287" s="165">
        <f t="shared" si="578"/>
        <v>0</v>
      </c>
    </row>
    <row r="288" spans="2:37" outlineLevel="1" x14ac:dyDescent="0.35">
      <c r="B288" s="48" t="s">
        <v>95</v>
      </c>
      <c r="C288" s="62" t="s">
        <v>141</v>
      </c>
      <c r="D288" s="81">
        <v>0</v>
      </c>
      <c r="E288" s="4">
        <v>0</v>
      </c>
      <c r="F288" s="70">
        <v>0</v>
      </c>
      <c r="G288" s="4">
        <v>0</v>
      </c>
      <c r="H288" s="185">
        <f t="shared" si="561"/>
        <v>0</v>
      </c>
      <c r="I288" s="70">
        <v>0</v>
      </c>
      <c r="J288" s="4">
        <v>0</v>
      </c>
      <c r="K288" s="167">
        <f t="shared" si="562"/>
        <v>0</v>
      </c>
      <c r="L288" s="70">
        <v>0</v>
      </c>
      <c r="M288" s="4"/>
      <c r="N288" s="167">
        <f t="shared" si="563"/>
        <v>0</v>
      </c>
      <c r="O288" s="70">
        <v>0</v>
      </c>
      <c r="P288" s="4"/>
      <c r="Q288" s="167">
        <f t="shared" si="566"/>
        <v>0</v>
      </c>
      <c r="R288" s="164">
        <f t="shared" si="567"/>
        <v>0</v>
      </c>
      <c r="S288" s="165">
        <f t="shared" si="568"/>
        <v>0</v>
      </c>
      <c r="U288" s="70">
        <v>0</v>
      </c>
      <c r="V288" s="138">
        <f t="shared" si="564"/>
        <v>0</v>
      </c>
      <c r="W288" s="181">
        <f t="shared" si="565"/>
        <v>0</v>
      </c>
      <c r="X288" s="70">
        <v>0</v>
      </c>
      <c r="Y288" s="138">
        <f t="shared" si="569"/>
        <v>0</v>
      </c>
      <c r="Z288" s="167">
        <f t="shared" si="570"/>
        <v>0</v>
      </c>
      <c r="AA288" s="70"/>
      <c r="AB288" s="138">
        <f t="shared" si="571"/>
        <v>0</v>
      </c>
      <c r="AC288" s="167">
        <f t="shared" si="572"/>
        <v>0</v>
      </c>
      <c r="AD288" s="70">
        <v>0</v>
      </c>
      <c r="AE288" s="138">
        <f t="shared" si="573"/>
        <v>0</v>
      </c>
      <c r="AF288" s="181">
        <f t="shared" si="574"/>
        <v>0</v>
      </c>
      <c r="AG288" s="70"/>
      <c r="AH288" s="138">
        <f t="shared" si="575"/>
        <v>0</v>
      </c>
      <c r="AI288" s="167">
        <f t="shared" si="576"/>
        <v>0</v>
      </c>
      <c r="AJ288" s="164">
        <f t="shared" si="577"/>
        <v>0</v>
      </c>
      <c r="AK288" s="165">
        <f t="shared" si="578"/>
        <v>0</v>
      </c>
    </row>
    <row r="289" spans="2:37" outlineLevel="1" x14ac:dyDescent="0.35">
      <c r="B289" s="48" t="s">
        <v>96</v>
      </c>
      <c r="C289" s="62" t="s">
        <v>141</v>
      </c>
      <c r="D289" s="81">
        <v>0</v>
      </c>
      <c r="E289" s="4">
        <v>0</v>
      </c>
      <c r="F289" s="70">
        <v>0</v>
      </c>
      <c r="G289" s="4">
        <v>0</v>
      </c>
      <c r="H289" s="185">
        <f t="shared" si="561"/>
        <v>0</v>
      </c>
      <c r="I289" s="70">
        <v>0</v>
      </c>
      <c r="J289" s="4">
        <v>0</v>
      </c>
      <c r="K289" s="167">
        <f t="shared" si="562"/>
        <v>0</v>
      </c>
      <c r="L289" s="70">
        <v>0</v>
      </c>
      <c r="M289" s="4"/>
      <c r="N289" s="167">
        <f t="shared" si="563"/>
        <v>0</v>
      </c>
      <c r="O289" s="70">
        <v>0</v>
      </c>
      <c r="P289" s="4"/>
      <c r="Q289" s="167">
        <f t="shared" si="566"/>
        <v>0</v>
      </c>
      <c r="R289" s="164">
        <f t="shared" si="567"/>
        <v>0</v>
      </c>
      <c r="S289" s="165">
        <f t="shared" si="568"/>
        <v>0</v>
      </c>
      <c r="U289" s="70">
        <v>0</v>
      </c>
      <c r="V289" s="138">
        <f t="shared" si="564"/>
        <v>0</v>
      </c>
      <c r="W289" s="181">
        <f t="shared" si="565"/>
        <v>0</v>
      </c>
      <c r="X289" s="70">
        <v>0</v>
      </c>
      <c r="Y289" s="138">
        <f t="shared" si="569"/>
        <v>0</v>
      </c>
      <c r="Z289" s="167">
        <f t="shared" si="570"/>
        <v>0</v>
      </c>
      <c r="AA289" s="70"/>
      <c r="AB289" s="138">
        <f t="shared" si="571"/>
        <v>0</v>
      </c>
      <c r="AC289" s="167">
        <f t="shared" si="572"/>
        <v>0</v>
      </c>
      <c r="AD289" s="70">
        <v>0</v>
      </c>
      <c r="AE289" s="138">
        <f t="shared" si="573"/>
        <v>0</v>
      </c>
      <c r="AF289" s="181">
        <f t="shared" si="574"/>
        <v>0</v>
      </c>
      <c r="AG289" s="70"/>
      <c r="AH289" s="138">
        <f t="shared" si="575"/>
        <v>0</v>
      </c>
      <c r="AI289" s="167">
        <f t="shared" si="576"/>
        <v>0</v>
      </c>
      <c r="AJ289" s="164">
        <f t="shared" si="577"/>
        <v>0</v>
      </c>
      <c r="AK289" s="165">
        <f t="shared" si="578"/>
        <v>0</v>
      </c>
    </row>
    <row r="290" spans="2:37" outlineLevel="1" x14ac:dyDescent="0.35">
      <c r="B290" s="48" t="s">
        <v>97</v>
      </c>
      <c r="C290" s="62" t="s">
        <v>141</v>
      </c>
      <c r="D290" s="81">
        <v>0</v>
      </c>
      <c r="E290" s="4">
        <v>0</v>
      </c>
      <c r="F290" s="70">
        <v>0</v>
      </c>
      <c r="G290" s="4">
        <v>0</v>
      </c>
      <c r="H290" s="185">
        <f t="shared" si="561"/>
        <v>0</v>
      </c>
      <c r="I290" s="70">
        <v>0</v>
      </c>
      <c r="J290" s="4">
        <v>0</v>
      </c>
      <c r="K290" s="167">
        <f t="shared" si="562"/>
        <v>0</v>
      </c>
      <c r="L290" s="70">
        <v>0</v>
      </c>
      <c r="M290" s="4"/>
      <c r="N290" s="167">
        <f t="shared" si="563"/>
        <v>0</v>
      </c>
      <c r="O290" s="70">
        <v>0</v>
      </c>
      <c r="P290" s="4"/>
      <c r="Q290" s="167">
        <f t="shared" si="566"/>
        <v>0</v>
      </c>
      <c r="R290" s="164">
        <f t="shared" si="567"/>
        <v>0</v>
      </c>
      <c r="S290" s="165">
        <f t="shared" si="568"/>
        <v>0</v>
      </c>
      <c r="U290" s="70">
        <v>0</v>
      </c>
      <c r="V290" s="138">
        <f t="shared" si="564"/>
        <v>0</v>
      </c>
      <c r="W290" s="181">
        <f t="shared" si="565"/>
        <v>0</v>
      </c>
      <c r="X290" s="70">
        <v>0</v>
      </c>
      <c r="Y290" s="138">
        <f t="shared" si="569"/>
        <v>0</v>
      </c>
      <c r="Z290" s="167">
        <f t="shared" si="570"/>
        <v>0</v>
      </c>
      <c r="AA290" s="70"/>
      <c r="AB290" s="138">
        <f t="shared" si="571"/>
        <v>0</v>
      </c>
      <c r="AC290" s="167">
        <f t="shared" si="572"/>
        <v>0</v>
      </c>
      <c r="AD290" s="70">
        <v>0</v>
      </c>
      <c r="AE290" s="138">
        <f t="shared" si="573"/>
        <v>0</v>
      </c>
      <c r="AF290" s="181">
        <f t="shared" si="574"/>
        <v>0</v>
      </c>
      <c r="AG290" s="70"/>
      <c r="AH290" s="138">
        <f t="shared" si="575"/>
        <v>0</v>
      </c>
      <c r="AI290" s="167">
        <f t="shared" si="576"/>
        <v>0</v>
      </c>
      <c r="AJ290" s="164">
        <f t="shared" si="577"/>
        <v>0</v>
      </c>
      <c r="AK290" s="165">
        <f t="shared" si="578"/>
        <v>0</v>
      </c>
    </row>
    <row r="291" spans="2:37" outlineLevel="1" x14ac:dyDescent="0.35">
      <c r="B291" s="48" t="s">
        <v>98</v>
      </c>
      <c r="C291" s="62" t="s">
        <v>141</v>
      </c>
      <c r="D291" s="81">
        <v>0</v>
      </c>
      <c r="E291" s="4">
        <v>2</v>
      </c>
      <c r="F291" s="70">
        <v>0</v>
      </c>
      <c r="G291" s="4">
        <v>2</v>
      </c>
      <c r="H291" s="185">
        <f t="shared" si="561"/>
        <v>0</v>
      </c>
      <c r="I291" s="70">
        <v>0</v>
      </c>
      <c r="J291" s="4">
        <v>2</v>
      </c>
      <c r="K291" s="167">
        <f t="shared" si="562"/>
        <v>0</v>
      </c>
      <c r="L291" s="70">
        <v>0</v>
      </c>
      <c r="M291" s="4">
        <v>2</v>
      </c>
      <c r="N291" s="167">
        <f t="shared" si="563"/>
        <v>0</v>
      </c>
      <c r="O291" s="70">
        <v>0</v>
      </c>
      <c r="P291" s="4">
        <v>2</v>
      </c>
      <c r="Q291" s="167">
        <f t="shared" si="566"/>
        <v>0</v>
      </c>
      <c r="R291" s="164">
        <f t="shared" si="567"/>
        <v>0</v>
      </c>
      <c r="S291" s="165">
        <f t="shared" si="568"/>
        <v>0</v>
      </c>
      <c r="U291" s="70">
        <v>0</v>
      </c>
      <c r="V291" s="138">
        <f t="shared" si="564"/>
        <v>2</v>
      </c>
      <c r="W291" s="181">
        <f t="shared" si="565"/>
        <v>0</v>
      </c>
      <c r="X291" s="70">
        <v>0</v>
      </c>
      <c r="Y291" s="138">
        <f t="shared" si="569"/>
        <v>2</v>
      </c>
      <c r="Z291" s="167">
        <f t="shared" si="570"/>
        <v>0</v>
      </c>
      <c r="AA291" s="70"/>
      <c r="AB291" s="138">
        <f t="shared" si="571"/>
        <v>2</v>
      </c>
      <c r="AC291" s="167">
        <f t="shared" si="572"/>
        <v>0</v>
      </c>
      <c r="AD291" s="70">
        <v>0</v>
      </c>
      <c r="AE291" s="138">
        <f t="shared" si="573"/>
        <v>2</v>
      </c>
      <c r="AF291" s="181">
        <f t="shared" si="574"/>
        <v>0</v>
      </c>
      <c r="AG291" s="70"/>
      <c r="AH291" s="138">
        <f t="shared" si="575"/>
        <v>2</v>
      </c>
      <c r="AI291" s="167">
        <f t="shared" si="576"/>
        <v>0</v>
      </c>
      <c r="AJ291" s="164">
        <f t="shared" si="577"/>
        <v>0</v>
      </c>
      <c r="AK291" s="165">
        <f t="shared" si="578"/>
        <v>0</v>
      </c>
    </row>
    <row r="292" spans="2:37" outlineLevel="1" x14ac:dyDescent="0.35">
      <c r="B292" s="48" t="s">
        <v>99</v>
      </c>
      <c r="C292" s="62" t="s">
        <v>141</v>
      </c>
      <c r="D292" s="81">
        <v>0</v>
      </c>
      <c r="E292" s="4">
        <v>4</v>
      </c>
      <c r="F292" s="70">
        <v>1</v>
      </c>
      <c r="G292" s="4">
        <v>5</v>
      </c>
      <c r="H292" s="185">
        <f t="shared" si="561"/>
        <v>0.25</v>
      </c>
      <c r="I292" s="70">
        <v>0</v>
      </c>
      <c r="J292" s="4">
        <v>5</v>
      </c>
      <c r="K292" s="167">
        <f t="shared" si="562"/>
        <v>0</v>
      </c>
      <c r="L292" s="70">
        <v>0</v>
      </c>
      <c r="M292" s="4">
        <v>5</v>
      </c>
      <c r="N292" s="167">
        <f t="shared" si="563"/>
        <v>0</v>
      </c>
      <c r="O292" s="70">
        <v>0</v>
      </c>
      <c r="P292" s="4">
        <v>5</v>
      </c>
      <c r="Q292" s="167">
        <f t="shared" si="566"/>
        <v>0</v>
      </c>
      <c r="R292" s="164">
        <f t="shared" si="567"/>
        <v>1</v>
      </c>
      <c r="S292" s="165">
        <f t="shared" si="568"/>
        <v>5.7371263440564091E-2</v>
      </c>
      <c r="U292" s="70">
        <v>0</v>
      </c>
      <c r="V292" s="138">
        <f t="shared" si="564"/>
        <v>5</v>
      </c>
      <c r="W292" s="181">
        <f t="shared" si="565"/>
        <v>0</v>
      </c>
      <c r="X292" s="70">
        <v>0</v>
      </c>
      <c r="Y292" s="138">
        <f t="shared" si="569"/>
        <v>5</v>
      </c>
      <c r="Z292" s="167">
        <f t="shared" si="570"/>
        <v>0</v>
      </c>
      <c r="AA292" s="70"/>
      <c r="AB292" s="138">
        <f t="shared" si="571"/>
        <v>5</v>
      </c>
      <c r="AC292" s="167">
        <f t="shared" si="572"/>
        <v>0</v>
      </c>
      <c r="AD292" s="70">
        <v>1</v>
      </c>
      <c r="AE292" s="138">
        <f t="shared" si="573"/>
        <v>6</v>
      </c>
      <c r="AF292" s="181">
        <f t="shared" si="574"/>
        <v>0.2</v>
      </c>
      <c r="AG292" s="70"/>
      <c r="AH292" s="138">
        <f t="shared" si="575"/>
        <v>6</v>
      </c>
      <c r="AI292" s="167">
        <f t="shared" si="576"/>
        <v>0</v>
      </c>
      <c r="AJ292" s="164">
        <f t="shared" si="577"/>
        <v>1</v>
      </c>
      <c r="AK292" s="165">
        <f t="shared" si="578"/>
        <v>4.6635139392105618E-2</v>
      </c>
    </row>
    <row r="293" spans="2:37" outlineLevel="1" x14ac:dyDescent="0.35">
      <c r="B293" s="48" t="s">
        <v>100</v>
      </c>
      <c r="C293" s="62" t="s">
        <v>141</v>
      </c>
      <c r="D293" s="81">
        <v>0</v>
      </c>
      <c r="E293" s="4">
        <v>0</v>
      </c>
      <c r="F293" s="70">
        <v>0</v>
      </c>
      <c r="G293" s="4">
        <v>0</v>
      </c>
      <c r="H293" s="185">
        <f t="shared" si="561"/>
        <v>0</v>
      </c>
      <c r="I293" s="70">
        <v>0</v>
      </c>
      <c r="J293" s="4">
        <v>0</v>
      </c>
      <c r="K293" s="167">
        <f t="shared" si="562"/>
        <v>0</v>
      </c>
      <c r="L293" s="70">
        <v>0</v>
      </c>
      <c r="M293" s="4"/>
      <c r="N293" s="167">
        <f t="shared" si="563"/>
        <v>0</v>
      </c>
      <c r="O293" s="70">
        <v>0</v>
      </c>
      <c r="P293" s="4"/>
      <c r="Q293" s="167">
        <f t="shared" si="566"/>
        <v>0</v>
      </c>
      <c r="R293" s="164">
        <f t="shared" si="567"/>
        <v>0</v>
      </c>
      <c r="S293" s="165">
        <f t="shared" si="568"/>
        <v>0</v>
      </c>
      <c r="U293" s="70">
        <v>0</v>
      </c>
      <c r="V293" s="138">
        <f t="shared" si="564"/>
        <v>0</v>
      </c>
      <c r="W293" s="181">
        <f t="shared" si="565"/>
        <v>0</v>
      </c>
      <c r="X293" s="70">
        <v>0</v>
      </c>
      <c r="Y293" s="138">
        <f t="shared" si="569"/>
        <v>0</v>
      </c>
      <c r="Z293" s="167">
        <f t="shared" si="570"/>
        <v>0</v>
      </c>
      <c r="AA293" s="70"/>
      <c r="AB293" s="138">
        <f t="shared" si="571"/>
        <v>0</v>
      </c>
      <c r="AC293" s="167">
        <f t="shared" si="572"/>
        <v>0</v>
      </c>
      <c r="AD293" s="70">
        <v>0</v>
      </c>
      <c r="AE293" s="138">
        <f t="shared" si="573"/>
        <v>0</v>
      </c>
      <c r="AF293" s="181">
        <f t="shared" si="574"/>
        <v>0</v>
      </c>
      <c r="AG293" s="70"/>
      <c r="AH293" s="138">
        <f t="shared" si="575"/>
        <v>0</v>
      </c>
      <c r="AI293" s="167">
        <f t="shared" si="576"/>
        <v>0</v>
      </c>
      <c r="AJ293" s="164">
        <f t="shared" si="577"/>
        <v>0</v>
      </c>
      <c r="AK293" s="165">
        <f t="shared" si="578"/>
        <v>0</v>
      </c>
    </row>
    <row r="294" spans="2:37" outlineLevel="1" x14ac:dyDescent="0.35">
      <c r="B294" s="48" t="s">
        <v>101</v>
      </c>
      <c r="C294" s="62" t="s">
        <v>141</v>
      </c>
      <c r="D294" s="81">
        <v>1</v>
      </c>
      <c r="E294" s="4">
        <v>9</v>
      </c>
      <c r="F294" s="70">
        <v>1</v>
      </c>
      <c r="G294" s="4">
        <v>10</v>
      </c>
      <c r="H294" s="185">
        <f t="shared" si="561"/>
        <v>0.1111111111111111</v>
      </c>
      <c r="I294" s="70">
        <v>1</v>
      </c>
      <c r="J294" s="4">
        <v>11</v>
      </c>
      <c r="K294" s="167">
        <f t="shared" si="562"/>
        <v>0.1</v>
      </c>
      <c r="L294" s="70">
        <v>-1</v>
      </c>
      <c r="M294" s="4">
        <v>10</v>
      </c>
      <c r="N294" s="167">
        <f t="shared" si="563"/>
        <v>-9.0909090909090912E-2</v>
      </c>
      <c r="O294" s="70">
        <v>-1</v>
      </c>
      <c r="P294" s="4">
        <v>9</v>
      </c>
      <c r="Q294" s="167">
        <f t="shared" si="566"/>
        <v>-0.1</v>
      </c>
      <c r="R294" s="164">
        <f t="shared" si="567"/>
        <v>1</v>
      </c>
      <c r="S294" s="165">
        <f t="shared" si="568"/>
        <v>0</v>
      </c>
      <c r="U294" s="70">
        <v>2</v>
      </c>
      <c r="V294" s="138">
        <f t="shared" si="564"/>
        <v>11</v>
      </c>
      <c r="W294" s="181">
        <f t="shared" si="565"/>
        <v>0.22222222222222221</v>
      </c>
      <c r="X294" s="70">
        <v>0</v>
      </c>
      <c r="Y294" s="138">
        <f t="shared" si="569"/>
        <v>11</v>
      </c>
      <c r="Z294" s="167">
        <f t="shared" si="570"/>
        <v>0</v>
      </c>
      <c r="AA294" s="70"/>
      <c r="AB294" s="138">
        <f t="shared" si="571"/>
        <v>11</v>
      </c>
      <c r="AC294" s="167">
        <f t="shared" si="572"/>
        <v>0</v>
      </c>
      <c r="AD294" s="70">
        <v>0</v>
      </c>
      <c r="AE294" s="138">
        <f t="shared" si="573"/>
        <v>11</v>
      </c>
      <c r="AF294" s="181">
        <f t="shared" si="574"/>
        <v>0</v>
      </c>
      <c r="AG294" s="70"/>
      <c r="AH294" s="138">
        <f t="shared" si="575"/>
        <v>11</v>
      </c>
      <c r="AI294" s="167">
        <f t="shared" si="576"/>
        <v>0</v>
      </c>
      <c r="AJ294" s="164">
        <f t="shared" si="577"/>
        <v>2</v>
      </c>
      <c r="AK294" s="165">
        <f t="shared" si="578"/>
        <v>0</v>
      </c>
    </row>
    <row r="295" spans="2:37" outlineLevel="1" x14ac:dyDescent="0.35">
      <c r="B295" s="48" t="s">
        <v>102</v>
      </c>
      <c r="C295" s="62" t="s">
        <v>141</v>
      </c>
      <c r="D295" s="81">
        <v>0</v>
      </c>
      <c r="E295" s="4">
        <v>0</v>
      </c>
      <c r="F295" s="70">
        <v>0</v>
      </c>
      <c r="G295" s="4">
        <v>0</v>
      </c>
      <c r="H295" s="185">
        <f t="shared" si="561"/>
        <v>0</v>
      </c>
      <c r="I295" s="70">
        <v>0</v>
      </c>
      <c r="J295" s="4">
        <v>0</v>
      </c>
      <c r="K295" s="167">
        <f t="shared" si="562"/>
        <v>0</v>
      </c>
      <c r="L295" s="70">
        <v>0</v>
      </c>
      <c r="M295" s="4"/>
      <c r="N295" s="167">
        <f t="shared" si="563"/>
        <v>0</v>
      </c>
      <c r="O295" s="70">
        <v>0</v>
      </c>
      <c r="P295" s="4"/>
      <c r="Q295" s="167">
        <f t="shared" si="566"/>
        <v>0</v>
      </c>
      <c r="R295" s="164">
        <f t="shared" si="567"/>
        <v>0</v>
      </c>
      <c r="S295" s="165">
        <f t="shared" si="568"/>
        <v>0</v>
      </c>
      <c r="U295" s="70">
        <v>0</v>
      </c>
      <c r="V295" s="138">
        <f t="shared" si="564"/>
        <v>0</v>
      </c>
      <c r="W295" s="181">
        <f t="shared" si="565"/>
        <v>0</v>
      </c>
      <c r="X295" s="70">
        <v>0</v>
      </c>
      <c r="Y295" s="138">
        <f t="shared" si="569"/>
        <v>0</v>
      </c>
      <c r="Z295" s="167">
        <f t="shared" si="570"/>
        <v>0</v>
      </c>
      <c r="AA295" s="70"/>
      <c r="AB295" s="138">
        <f t="shared" si="571"/>
        <v>0</v>
      </c>
      <c r="AC295" s="167">
        <f t="shared" si="572"/>
        <v>0</v>
      </c>
      <c r="AD295" s="70">
        <v>0</v>
      </c>
      <c r="AE295" s="138">
        <f t="shared" si="573"/>
        <v>0</v>
      </c>
      <c r="AF295" s="181">
        <f t="shared" si="574"/>
        <v>0</v>
      </c>
      <c r="AG295" s="70"/>
      <c r="AH295" s="138">
        <f t="shared" si="575"/>
        <v>0</v>
      </c>
      <c r="AI295" s="167">
        <f t="shared" si="576"/>
        <v>0</v>
      </c>
      <c r="AJ295" s="164">
        <f t="shared" si="577"/>
        <v>0</v>
      </c>
      <c r="AK295" s="165">
        <f t="shared" si="578"/>
        <v>0</v>
      </c>
    </row>
    <row r="296" spans="2:37" outlineLevel="1" x14ac:dyDescent="0.35">
      <c r="B296" s="48" t="s">
        <v>103</v>
      </c>
      <c r="C296" s="62" t="s">
        <v>141</v>
      </c>
      <c r="D296" s="81">
        <v>0</v>
      </c>
      <c r="E296" s="4">
        <v>9</v>
      </c>
      <c r="F296" s="70">
        <v>0</v>
      </c>
      <c r="G296" s="4">
        <v>9</v>
      </c>
      <c r="H296" s="185">
        <f t="shared" si="561"/>
        <v>0</v>
      </c>
      <c r="I296" s="70">
        <v>0</v>
      </c>
      <c r="J296" s="4">
        <v>9</v>
      </c>
      <c r="K296" s="167">
        <f t="shared" si="562"/>
        <v>0</v>
      </c>
      <c r="L296" s="70">
        <v>0</v>
      </c>
      <c r="M296" s="4">
        <v>9</v>
      </c>
      <c r="N296" s="167">
        <f t="shared" si="563"/>
        <v>0</v>
      </c>
      <c r="O296" s="70">
        <v>-1</v>
      </c>
      <c r="P296" s="4">
        <v>8</v>
      </c>
      <c r="Q296" s="167">
        <f t="shared" si="566"/>
        <v>-0.1111111111111111</v>
      </c>
      <c r="R296" s="164">
        <f t="shared" si="567"/>
        <v>-1</v>
      </c>
      <c r="S296" s="165">
        <f t="shared" si="568"/>
        <v>-2.9016456585353123E-2</v>
      </c>
      <c r="U296" s="70">
        <v>0</v>
      </c>
      <c r="V296" s="138">
        <f t="shared" si="564"/>
        <v>8</v>
      </c>
      <c r="W296" s="181">
        <f t="shared" si="565"/>
        <v>0</v>
      </c>
      <c r="X296" s="70">
        <v>0</v>
      </c>
      <c r="Y296" s="138">
        <f t="shared" si="569"/>
        <v>8</v>
      </c>
      <c r="Z296" s="167">
        <f t="shared" si="570"/>
        <v>0</v>
      </c>
      <c r="AA296" s="70"/>
      <c r="AB296" s="138">
        <f t="shared" si="571"/>
        <v>8</v>
      </c>
      <c r="AC296" s="167">
        <f t="shared" si="572"/>
        <v>0</v>
      </c>
      <c r="AD296" s="70">
        <v>0</v>
      </c>
      <c r="AE296" s="138">
        <f t="shared" si="573"/>
        <v>8</v>
      </c>
      <c r="AF296" s="181">
        <f t="shared" si="574"/>
        <v>0</v>
      </c>
      <c r="AG296" s="70"/>
      <c r="AH296" s="138">
        <f t="shared" si="575"/>
        <v>8</v>
      </c>
      <c r="AI296" s="167">
        <f t="shared" si="576"/>
        <v>0</v>
      </c>
      <c r="AJ296" s="164">
        <f t="shared" si="577"/>
        <v>0</v>
      </c>
      <c r="AK296" s="165">
        <f t="shared" si="578"/>
        <v>0</v>
      </c>
    </row>
    <row r="297" spans="2:37" outlineLevel="1" x14ac:dyDescent="0.35">
      <c r="B297" s="48" t="s">
        <v>104</v>
      </c>
      <c r="C297" s="62" t="s">
        <v>141</v>
      </c>
      <c r="D297" s="81">
        <v>0</v>
      </c>
      <c r="E297" s="4">
        <v>0</v>
      </c>
      <c r="F297" s="70">
        <v>0</v>
      </c>
      <c r="G297" s="4">
        <v>0</v>
      </c>
      <c r="H297" s="185">
        <f t="shared" si="561"/>
        <v>0</v>
      </c>
      <c r="I297" s="70">
        <v>0</v>
      </c>
      <c r="J297" s="4">
        <v>0</v>
      </c>
      <c r="K297" s="167">
        <f t="shared" si="562"/>
        <v>0</v>
      </c>
      <c r="L297" s="70">
        <v>0</v>
      </c>
      <c r="M297" s="4"/>
      <c r="N297" s="167">
        <f t="shared" si="563"/>
        <v>0</v>
      </c>
      <c r="O297" s="70">
        <v>0</v>
      </c>
      <c r="P297" s="4"/>
      <c r="Q297" s="167">
        <f t="shared" si="566"/>
        <v>0</v>
      </c>
      <c r="R297" s="164">
        <f t="shared" si="567"/>
        <v>0</v>
      </c>
      <c r="S297" s="165">
        <f t="shared" si="568"/>
        <v>0</v>
      </c>
      <c r="U297" s="70">
        <v>0</v>
      </c>
      <c r="V297" s="138">
        <f t="shared" si="564"/>
        <v>0</v>
      </c>
      <c r="W297" s="181">
        <f t="shared" si="565"/>
        <v>0</v>
      </c>
      <c r="X297" s="70">
        <v>0</v>
      </c>
      <c r="Y297" s="138">
        <f t="shared" si="569"/>
        <v>0</v>
      </c>
      <c r="Z297" s="167">
        <f t="shared" si="570"/>
        <v>0</v>
      </c>
      <c r="AA297" s="70"/>
      <c r="AB297" s="138">
        <f t="shared" si="571"/>
        <v>0</v>
      </c>
      <c r="AC297" s="167">
        <f t="shared" si="572"/>
        <v>0</v>
      </c>
      <c r="AD297" s="70">
        <v>0</v>
      </c>
      <c r="AE297" s="138">
        <f t="shared" si="573"/>
        <v>0</v>
      </c>
      <c r="AF297" s="181">
        <f t="shared" si="574"/>
        <v>0</v>
      </c>
      <c r="AG297" s="70"/>
      <c r="AH297" s="138">
        <f t="shared" si="575"/>
        <v>0</v>
      </c>
      <c r="AI297" s="167">
        <f t="shared" si="576"/>
        <v>0</v>
      </c>
      <c r="AJ297" s="164">
        <f t="shared" si="577"/>
        <v>0</v>
      </c>
      <c r="AK297" s="165">
        <f t="shared" si="578"/>
        <v>0</v>
      </c>
    </row>
    <row r="298" spans="2:37" outlineLevel="1" x14ac:dyDescent="0.35">
      <c r="B298" s="48" t="s">
        <v>136</v>
      </c>
      <c r="C298" s="62" t="s">
        <v>141</v>
      </c>
      <c r="D298" s="81">
        <v>0</v>
      </c>
      <c r="E298" s="4">
        <v>0</v>
      </c>
      <c r="F298" s="70">
        <v>0</v>
      </c>
      <c r="G298" s="4">
        <v>0</v>
      </c>
      <c r="H298" s="185">
        <f t="shared" si="561"/>
        <v>0</v>
      </c>
      <c r="I298" s="70">
        <v>0</v>
      </c>
      <c r="J298" s="4">
        <v>0</v>
      </c>
      <c r="K298" s="167">
        <f t="shared" si="562"/>
        <v>0</v>
      </c>
      <c r="L298" s="70">
        <v>0</v>
      </c>
      <c r="M298" s="4"/>
      <c r="N298" s="167">
        <f t="shared" si="563"/>
        <v>0</v>
      </c>
      <c r="O298" s="70">
        <v>0</v>
      </c>
      <c r="P298" s="4"/>
      <c r="Q298" s="167">
        <f t="shared" si="566"/>
        <v>0</v>
      </c>
      <c r="R298" s="164">
        <f t="shared" si="567"/>
        <v>0</v>
      </c>
      <c r="S298" s="165">
        <f t="shared" si="568"/>
        <v>0</v>
      </c>
      <c r="U298" s="70">
        <v>0</v>
      </c>
      <c r="V298" s="138">
        <f t="shared" si="564"/>
        <v>0</v>
      </c>
      <c r="W298" s="181">
        <f t="shared" si="565"/>
        <v>0</v>
      </c>
      <c r="X298" s="70">
        <v>0</v>
      </c>
      <c r="Y298" s="138">
        <f t="shared" si="569"/>
        <v>0</v>
      </c>
      <c r="Z298" s="167">
        <f t="shared" si="570"/>
        <v>0</v>
      </c>
      <c r="AA298" s="70"/>
      <c r="AB298" s="138">
        <f t="shared" si="571"/>
        <v>0</v>
      </c>
      <c r="AC298" s="167">
        <f t="shared" si="572"/>
        <v>0</v>
      </c>
      <c r="AD298" s="70">
        <v>0</v>
      </c>
      <c r="AE298" s="138">
        <f t="shared" si="573"/>
        <v>0</v>
      </c>
      <c r="AF298" s="181">
        <f t="shared" si="574"/>
        <v>0</v>
      </c>
      <c r="AG298" s="70"/>
      <c r="AH298" s="138">
        <f t="shared" si="575"/>
        <v>0</v>
      </c>
      <c r="AI298" s="167">
        <f t="shared" si="576"/>
        <v>0</v>
      </c>
      <c r="AJ298" s="164">
        <f t="shared" si="577"/>
        <v>0</v>
      </c>
      <c r="AK298" s="165">
        <f t="shared" si="578"/>
        <v>0</v>
      </c>
    </row>
    <row r="299" spans="2:37" outlineLevel="1" x14ac:dyDescent="0.35">
      <c r="B299" s="48" t="s">
        <v>106</v>
      </c>
      <c r="C299" s="62" t="s">
        <v>141</v>
      </c>
      <c r="D299" s="81">
        <v>0</v>
      </c>
      <c r="E299" s="4">
        <v>3</v>
      </c>
      <c r="F299" s="70">
        <v>0</v>
      </c>
      <c r="G299" s="4">
        <v>3</v>
      </c>
      <c r="H299" s="185">
        <f t="shared" si="561"/>
        <v>0</v>
      </c>
      <c r="I299" s="70">
        <v>0</v>
      </c>
      <c r="J299" s="4">
        <v>3</v>
      </c>
      <c r="K299" s="167">
        <f t="shared" si="562"/>
        <v>0</v>
      </c>
      <c r="L299" s="70">
        <v>0</v>
      </c>
      <c r="M299" s="4">
        <v>3</v>
      </c>
      <c r="N299" s="167">
        <f t="shared" si="563"/>
        <v>0</v>
      </c>
      <c r="O299" s="70">
        <v>0</v>
      </c>
      <c r="P299" s="4">
        <v>3</v>
      </c>
      <c r="Q299" s="167">
        <f t="shared" si="566"/>
        <v>0</v>
      </c>
      <c r="R299" s="164">
        <f t="shared" si="567"/>
        <v>0</v>
      </c>
      <c r="S299" s="165">
        <f t="shared" si="568"/>
        <v>0</v>
      </c>
      <c r="U299" s="70">
        <v>1</v>
      </c>
      <c r="V299" s="138">
        <f t="shared" si="564"/>
        <v>4</v>
      </c>
      <c r="W299" s="181">
        <f t="shared" si="565"/>
        <v>0.33333333333333331</v>
      </c>
      <c r="X299" s="70">
        <v>1</v>
      </c>
      <c r="Y299" s="138">
        <f t="shared" si="569"/>
        <v>5</v>
      </c>
      <c r="Z299" s="167">
        <f t="shared" si="570"/>
        <v>0.25</v>
      </c>
      <c r="AA299" s="70"/>
      <c r="AB299" s="138">
        <f t="shared" si="571"/>
        <v>5</v>
      </c>
      <c r="AC299" s="167">
        <f t="shared" si="572"/>
        <v>0</v>
      </c>
      <c r="AD299" s="70">
        <v>0</v>
      </c>
      <c r="AE299" s="138">
        <f t="shared" si="573"/>
        <v>5</v>
      </c>
      <c r="AF299" s="181">
        <f t="shared" si="574"/>
        <v>0</v>
      </c>
      <c r="AG299" s="70"/>
      <c r="AH299" s="138">
        <f t="shared" si="575"/>
        <v>5</v>
      </c>
      <c r="AI299" s="167">
        <f t="shared" si="576"/>
        <v>0</v>
      </c>
      <c r="AJ299" s="164">
        <f t="shared" si="577"/>
        <v>2</v>
      </c>
      <c r="AK299" s="165">
        <f t="shared" si="578"/>
        <v>5.7371263440564091E-2</v>
      </c>
    </row>
    <row r="300" spans="2:37" outlineLevel="1" x14ac:dyDescent="0.35">
      <c r="B300" s="48" t="s">
        <v>107</v>
      </c>
      <c r="C300" s="62" t="s">
        <v>141</v>
      </c>
      <c r="D300" s="81">
        <v>0</v>
      </c>
      <c r="E300" s="4">
        <v>2</v>
      </c>
      <c r="F300" s="70">
        <v>0</v>
      </c>
      <c r="G300" s="4">
        <v>2</v>
      </c>
      <c r="H300" s="185">
        <f t="shared" si="561"/>
        <v>0</v>
      </c>
      <c r="I300" s="70">
        <v>-1</v>
      </c>
      <c r="J300" s="4">
        <v>1</v>
      </c>
      <c r="K300" s="167">
        <f t="shared" si="562"/>
        <v>-0.5</v>
      </c>
      <c r="L300" s="70">
        <v>0</v>
      </c>
      <c r="M300" s="4">
        <v>1</v>
      </c>
      <c r="N300" s="167">
        <f t="shared" si="563"/>
        <v>0</v>
      </c>
      <c r="O300" s="70">
        <v>0</v>
      </c>
      <c r="P300" s="4">
        <v>1</v>
      </c>
      <c r="Q300" s="167">
        <f t="shared" si="566"/>
        <v>0</v>
      </c>
      <c r="R300" s="164">
        <f t="shared" si="567"/>
        <v>-1</v>
      </c>
      <c r="S300" s="165">
        <f t="shared" si="568"/>
        <v>-0.1591035847462855</v>
      </c>
      <c r="U300" s="70">
        <v>0</v>
      </c>
      <c r="V300" s="138">
        <f t="shared" si="564"/>
        <v>1</v>
      </c>
      <c r="W300" s="181">
        <f t="shared" si="565"/>
        <v>0</v>
      </c>
      <c r="X300" s="70">
        <v>0</v>
      </c>
      <c r="Y300" s="138">
        <f t="shared" si="569"/>
        <v>1</v>
      </c>
      <c r="Z300" s="167">
        <f t="shared" si="570"/>
        <v>0</v>
      </c>
      <c r="AA300" s="70"/>
      <c r="AB300" s="138">
        <f t="shared" si="571"/>
        <v>1</v>
      </c>
      <c r="AC300" s="167">
        <f t="shared" si="572"/>
        <v>0</v>
      </c>
      <c r="AD300" s="70">
        <v>0</v>
      </c>
      <c r="AE300" s="138">
        <f t="shared" si="573"/>
        <v>1</v>
      </c>
      <c r="AF300" s="181">
        <f t="shared" si="574"/>
        <v>0</v>
      </c>
      <c r="AG300" s="70"/>
      <c r="AH300" s="138">
        <f t="shared" si="575"/>
        <v>1</v>
      </c>
      <c r="AI300" s="167">
        <f t="shared" si="576"/>
        <v>0</v>
      </c>
      <c r="AJ300" s="164">
        <f t="shared" si="577"/>
        <v>0</v>
      </c>
      <c r="AK300" s="165">
        <f t="shared" si="578"/>
        <v>0</v>
      </c>
    </row>
    <row r="301" spans="2:37" outlineLevel="1" x14ac:dyDescent="0.35">
      <c r="B301" s="48" t="s">
        <v>108</v>
      </c>
      <c r="C301" s="62" t="s">
        <v>141</v>
      </c>
      <c r="D301" s="81">
        <v>0</v>
      </c>
      <c r="E301" s="4">
        <v>0</v>
      </c>
      <c r="F301" s="70">
        <v>0</v>
      </c>
      <c r="G301" s="4">
        <v>0</v>
      </c>
      <c r="H301" s="185">
        <f t="shared" si="561"/>
        <v>0</v>
      </c>
      <c r="I301" s="70">
        <v>0</v>
      </c>
      <c r="J301" s="4">
        <v>0</v>
      </c>
      <c r="K301" s="167">
        <f t="shared" si="562"/>
        <v>0</v>
      </c>
      <c r="L301" s="70">
        <v>0</v>
      </c>
      <c r="M301" s="4"/>
      <c r="N301" s="167">
        <f t="shared" si="563"/>
        <v>0</v>
      </c>
      <c r="O301" s="70">
        <v>0</v>
      </c>
      <c r="P301" s="4"/>
      <c r="Q301" s="167">
        <f t="shared" si="566"/>
        <v>0</v>
      </c>
      <c r="R301" s="164">
        <f t="shared" si="567"/>
        <v>0</v>
      </c>
      <c r="S301" s="165">
        <f t="shared" si="568"/>
        <v>0</v>
      </c>
      <c r="U301" s="70">
        <v>0</v>
      </c>
      <c r="V301" s="138">
        <f t="shared" si="564"/>
        <v>0</v>
      </c>
      <c r="W301" s="181">
        <f t="shared" si="565"/>
        <v>0</v>
      </c>
      <c r="X301" s="70">
        <v>0</v>
      </c>
      <c r="Y301" s="138">
        <f t="shared" si="569"/>
        <v>0</v>
      </c>
      <c r="Z301" s="167">
        <f t="shared" si="570"/>
        <v>0</v>
      </c>
      <c r="AA301" s="70"/>
      <c r="AB301" s="138">
        <f t="shared" si="571"/>
        <v>0</v>
      </c>
      <c r="AC301" s="167">
        <f t="shared" si="572"/>
        <v>0</v>
      </c>
      <c r="AD301" s="70">
        <v>0</v>
      </c>
      <c r="AE301" s="138">
        <f t="shared" si="573"/>
        <v>0</v>
      </c>
      <c r="AF301" s="181">
        <f t="shared" si="574"/>
        <v>0</v>
      </c>
      <c r="AG301" s="70"/>
      <c r="AH301" s="138">
        <f t="shared" si="575"/>
        <v>0</v>
      </c>
      <c r="AI301" s="167">
        <f t="shared" si="576"/>
        <v>0</v>
      </c>
      <c r="AJ301" s="164">
        <f t="shared" si="577"/>
        <v>0</v>
      </c>
      <c r="AK301" s="165">
        <f t="shared" si="578"/>
        <v>0</v>
      </c>
    </row>
    <row r="302" spans="2:37" outlineLevel="1" x14ac:dyDescent="0.35">
      <c r="B302" s="48" t="s">
        <v>109</v>
      </c>
      <c r="C302" s="62" t="s">
        <v>141</v>
      </c>
      <c r="D302" s="81">
        <v>0</v>
      </c>
      <c r="E302" s="4">
        <v>0</v>
      </c>
      <c r="F302" s="70">
        <v>0</v>
      </c>
      <c r="G302" s="4">
        <v>0</v>
      </c>
      <c r="H302" s="185">
        <f t="shared" si="561"/>
        <v>0</v>
      </c>
      <c r="I302" s="70">
        <v>0</v>
      </c>
      <c r="J302" s="4">
        <v>0</v>
      </c>
      <c r="K302" s="167">
        <f t="shared" si="562"/>
        <v>0</v>
      </c>
      <c r="L302" s="70">
        <v>0</v>
      </c>
      <c r="M302" s="4"/>
      <c r="N302" s="167">
        <f t="shared" si="563"/>
        <v>0</v>
      </c>
      <c r="O302" s="70">
        <v>0</v>
      </c>
      <c r="P302" s="4"/>
      <c r="Q302" s="167">
        <f t="shared" si="566"/>
        <v>0</v>
      </c>
      <c r="R302" s="164">
        <f t="shared" si="567"/>
        <v>0</v>
      </c>
      <c r="S302" s="165">
        <f t="shared" si="568"/>
        <v>0</v>
      </c>
      <c r="U302" s="70">
        <v>0</v>
      </c>
      <c r="V302" s="138">
        <f t="shared" si="564"/>
        <v>0</v>
      </c>
      <c r="W302" s="181">
        <f t="shared" si="565"/>
        <v>0</v>
      </c>
      <c r="X302" s="70">
        <v>0</v>
      </c>
      <c r="Y302" s="138">
        <f t="shared" si="569"/>
        <v>0</v>
      </c>
      <c r="Z302" s="167">
        <f t="shared" si="570"/>
        <v>0</v>
      </c>
      <c r="AA302" s="70"/>
      <c r="AB302" s="138">
        <f t="shared" si="571"/>
        <v>0</v>
      </c>
      <c r="AC302" s="167">
        <f t="shared" si="572"/>
        <v>0</v>
      </c>
      <c r="AD302" s="70">
        <v>0</v>
      </c>
      <c r="AE302" s="138">
        <f t="shared" si="573"/>
        <v>0</v>
      </c>
      <c r="AF302" s="181">
        <f t="shared" si="574"/>
        <v>0</v>
      </c>
      <c r="AG302" s="70"/>
      <c r="AH302" s="138">
        <f t="shared" si="575"/>
        <v>0</v>
      </c>
      <c r="AI302" s="167">
        <f t="shared" si="576"/>
        <v>0</v>
      </c>
      <c r="AJ302" s="164">
        <f t="shared" si="577"/>
        <v>0</v>
      </c>
      <c r="AK302" s="165">
        <f t="shared" si="578"/>
        <v>0</v>
      </c>
    </row>
    <row r="303" spans="2:37" outlineLevel="1" x14ac:dyDescent="0.35">
      <c r="B303" s="48" t="s">
        <v>110</v>
      </c>
      <c r="C303" s="62" t="s">
        <v>141</v>
      </c>
      <c r="D303" s="81">
        <v>0</v>
      </c>
      <c r="E303" s="4">
        <v>0</v>
      </c>
      <c r="F303" s="70">
        <v>0</v>
      </c>
      <c r="G303" s="4">
        <v>0</v>
      </c>
      <c r="H303" s="185">
        <f t="shared" si="561"/>
        <v>0</v>
      </c>
      <c r="I303" s="70">
        <v>0</v>
      </c>
      <c r="J303" s="4">
        <v>0</v>
      </c>
      <c r="K303" s="167">
        <f t="shared" si="562"/>
        <v>0</v>
      </c>
      <c r="L303" s="70">
        <v>0</v>
      </c>
      <c r="M303" s="4"/>
      <c r="N303" s="167">
        <f t="shared" si="563"/>
        <v>0</v>
      </c>
      <c r="O303" s="70">
        <v>0</v>
      </c>
      <c r="P303" s="4"/>
      <c r="Q303" s="167">
        <f t="shared" si="566"/>
        <v>0</v>
      </c>
      <c r="R303" s="164">
        <f t="shared" si="567"/>
        <v>0</v>
      </c>
      <c r="S303" s="165">
        <f t="shared" si="568"/>
        <v>0</v>
      </c>
      <c r="U303" s="70">
        <v>0</v>
      </c>
      <c r="V303" s="138">
        <f t="shared" si="564"/>
        <v>0</v>
      </c>
      <c r="W303" s="181">
        <f t="shared" si="565"/>
        <v>0</v>
      </c>
      <c r="X303" s="70">
        <v>0</v>
      </c>
      <c r="Y303" s="138">
        <f t="shared" si="569"/>
        <v>0</v>
      </c>
      <c r="Z303" s="167">
        <f t="shared" si="570"/>
        <v>0</v>
      </c>
      <c r="AA303" s="70"/>
      <c r="AB303" s="138">
        <f t="shared" si="571"/>
        <v>0</v>
      </c>
      <c r="AC303" s="167">
        <f t="shared" si="572"/>
        <v>0</v>
      </c>
      <c r="AD303" s="70">
        <v>0</v>
      </c>
      <c r="AE303" s="138">
        <f t="shared" si="573"/>
        <v>0</v>
      </c>
      <c r="AF303" s="181">
        <f t="shared" si="574"/>
        <v>0</v>
      </c>
      <c r="AG303" s="70"/>
      <c r="AH303" s="138">
        <f t="shared" si="575"/>
        <v>0</v>
      </c>
      <c r="AI303" s="167">
        <f t="shared" si="576"/>
        <v>0</v>
      </c>
      <c r="AJ303" s="164">
        <f t="shared" si="577"/>
        <v>0</v>
      </c>
      <c r="AK303" s="165">
        <f t="shared" si="578"/>
        <v>0</v>
      </c>
    </row>
    <row r="304" spans="2:37" outlineLevel="1" x14ac:dyDescent="0.35">
      <c r="B304" s="48" t="s">
        <v>111</v>
      </c>
      <c r="C304" s="62" t="s">
        <v>141</v>
      </c>
      <c r="D304" s="81">
        <v>0</v>
      </c>
      <c r="E304" s="4">
        <v>1</v>
      </c>
      <c r="F304" s="70">
        <v>0</v>
      </c>
      <c r="G304" s="4">
        <v>1</v>
      </c>
      <c r="H304" s="185">
        <f t="shared" si="561"/>
        <v>0</v>
      </c>
      <c r="I304" s="70">
        <v>0</v>
      </c>
      <c r="J304" s="4">
        <v>1</v>
      </c>
      <c r="K304" s="167">
        <f t="shared" si="562"/>
        <v>0</v>
      </c>
      <c r="L304" s="70">
        <v>0</v>
      </c>
      <c r="M304" s="4">
        <v>1</v>
      </c>
      <c r="N304" s="167">
        <f t="shared" si="563"/>
        <v>0</v>
      </c>
      <c r="O304" s="70">
        <v>0</v>
      </c>
      <c r="P304" s="4">
        <v>1</v>
      </c>
      <c r="Q304" s="167">
        <f t="shared" si="566"/>
        <v>0</v>
      </c>
      <c r="R304" s="164">
        <f t="shared" si="567"/>
        <v>0</v>
      </c>
      <c r="S304" s="165">
        <f t="shared" si="568"/>
        <v>0</v>
      </c>
      <c r="U304" s="70">
        <v>0</v>
      </c>
      <c r="V304" s="138">
        <f t="shared" si="564"/>
        <v>1</v>
      </c>
      <c r="W304" s="181">
        <f t="shared" si="565"/>
        <v>0</v>
      </c>
      <c r="X304" s="70">
        <v>0</v>
      </c>
      <c r="Y304" s="138">
        <f t="shared" si="569"/>
        <v>1</v>
      </c>
      <c r="Z304" s="167">
        <f t="shared" si="570"/>
        <v>0</v>
      </c>
      <c r="AA304" s="70"/>
      <c r="AB304" s="138">
        <f t="shared" si="571"/>
        <v>1</v>
      </c>
      <c r="AC304" s="167">
        <f t="shared" si="572"/>
        <v>0</v>
      </c>
      <c r="AD304" s="70">
        <v>0</v>
      </c>
      <c r="AE304" s="138">
        <f t="shared" si="573"/>
        <v>1</v>
      </c>
      <c r="AF304" s="181">
        <f t="shared" si="574"/>
        <v>0</v>
      </c>
      <c r="AG304" s="70"/>
      <c r="AH304" s="138">
        <f t="shared" si="575"/>
        <v>1</v>
      </c>
      <c r="AI304" s="167">
        <f t="shared" si="576"/>
        <v>0</v>
      </c>
      <c r="AJ304" s="164">
        <f t="shared" si="577"/>
        <v>0</v>
      </c>
      <c r="AK304" s="165">
        <f t="shared" si="578"/>
        <v>0</v>
      </c>
    </row>
    <row r="305" spans="1:37" outlineLevel="1" x14ac:dyDescent="0.35">
      <c r="B305" s="48" t="s">
        <v>112</v>
      </c>
      <c r="C305" s="62" t="s">
        <v>141</v>
      </c>
      <c r="D305" s="81">
        <v>0</v>
      </c>
      <c r="E305" s="4">
        <v>5</v>
      </c>
      <c r="F305" s="70">
        <v>0</v>
      </c>
      <c r="G305" s="4">
        <v>5</v>
      </c>
      <c r="H305" s="185">
        <f t="shared" si="561"/>
        <v>0</v>
      </c>
      <c r="I305" s="70">
        <v>0</v>
      </c>
      <c r="J305" s="4">
        <v>5</v>
      </c>
      <c r="K305" s="167">
        <f t="shared" si="562"/>
        <v>0</v>
      </c>
      <c r="L305" s="70">
        <v>-1</v>
      </c>
      <c r="M305" s="4">
        <v>4</v>
      </c>
      <c r="N305" s="167">
        <f t="shared" si="563"/>
        <v>-0.2</v>
      </c>
      <c r="O305" s="70">
        <v>0</v>
      </c>
      <c r="P305" s="4">
        <v>4</v>
      </c>
      <c r="Q305" s="167">
        <f t="shared" si="566"/>
        <v>0</v>
      </c>
      <c r="R305" s="164">
        <f t="shared" si="567"/>
        <v>-1</v>
      </c>
      <c r="S305" s="165">
        <f t="shared" si="568"/>
        <v>-5.4258390996824168E-2</v>
      </c>
      <c r="U305" s="70">
        <v>0</v>
      </c>
      <c r="V305" s="138">
        <f t="shared" si="564"/>
        <v>4</v>
      </c>
      <c r="W305" s="181">
        <f t="shared" si="565"/>
        <v>0</v>
      </c>
      <c r="X305" s="70">
        <v>0</v>
      </c>
      <c r="Y305" s="138">
        <f t="shared" si="569"/>
        <v>4</v>
      </c>
      <c r="Z305" s="167">
        <f t="shared" si="570"/>
        <v>0</v>
      </c>
      <c r="AA305" s="70"/>
      <c r="AB305" s="138">
        <f t="shared" si="571"/>
        <v>4</v>
      </c>
      <c r="AC305" s="167">
        <f t="shared" si="572"/>
        <v>0</v>
      </c>
      <c r="AD305" s="70">
        <v>0</v>
      </c>
      <c r="AE305" s="138">
        <f t="shared" si="573"/>
        <v>4</v>
      </c>
      <c r="AF305" s="181">
        <f t="shared" si="574"/>
        <v>0</v>
      </c>
      <c r="AG305" s="70"/>
      <c r="AH305" s="138">
        <f t="shared" si="575"/>
        <v>4</v>
      </c>
      <c r="AI305" s="167">
        <f t="shared" si="576"/>
        <v>0</v>
      </c>
      <c r="AJ305" s="164">
        <f t="shared" si="577"/>
        <v>0</v>
      </c>
      <c r="AK305" s="165">
        <f t="shared" si="578"/>
        <v>0</v>
      </c>
    </row>
    <row r="306" spans="1:37" outlineLevel="1" x14ac:dyDescent="0.35">
      <c r="B306" s="48" t="s">
        <v>113</v>
      </c>
      <c r="C306" s="62" t="s">
        <v>141</v>
      </c>
      <c r="D306" s="81">
        <v>0</v>
      </c>
      <c r="E306" s="4">
        <v>0</v>
      </c>
      <c r="F306" s="70">
        <v>0</v>
      </c>
      <c r="G306" s="4">
        <v>0</v>
      </c>
      <c r="H306" s="185">
        <f t="shared" si="561"/>
        <v>0</v>
      </c>
      <c r="I306" s="70">
        <v>0</v>
      </c>
      <c r="J306" s="4">
        <v>0</v>
      </c>
      <c r="K306" s="167">
        <f t="shared" si="562"/>
        <v>0</v>
      </c>
      <c r="L306" s="70">
        <v>0</v>
      </c>
      <c r="M306" s="4"/>
      <c r="N306" s="167">
        <f t="shared" si="563"/>
        <v>0</v>
      </c>
      <c r="O306" s="70">
        <v>1</v>
      </c>
      <c r="P306" s="4">
        <v>1</v>
      </c>
      <c r="Q306" s="167">
        <f t="shared" si="566"/>
        <v>0</v>
      </c>
      <c r="R306" s="164">
        <f t="shared" si="567"/>
        <v>1</v>
      </c>
      <c r="S306" s="165">
        <f t="shared" si="568"/>
        <v>0</v>
      </c>
      <c r="U306" s="70">
        <v>0</v>
      </c>
      <c r="V306" s="138">
        <f t="shared" si="564"/>
        <v>1</v>
      </c>
      <c r="W306" s="181">
        <f t="shared" si="565"/>
        <v>0</v>
      </c>
      <c r="X306" s="70">
        <v>0</v>
      </c>
      <c r="Y306" s="138">
        <f t="shared" si="569"/>
        <v>1</v>
      </c>
      <c r="Z306" s="167">
        <f t="shared" si="570"/>
        <v>0</v>
      </c>
      <c r="AA306" s="70"/>
      <c r="AB306" s="138">
        <f t="shared" si="571"/>
        <v>1</v>
      </c>
      <c r="AC306" s="167">
        <f t="shared" si="572"/>
        <v>0</v>
      </c>
      <c r="AD306" s="70">
        <v>0</v>
      </c>
      <c r="AE306" s="138">
        <f t="shared" si="573"/>
        <v>1</v>
      </c>
      <c r="AF306" s="181">
        <f t="shared" si="574"/>
        <v>0</v>
      </c>
      <c r="AG306" s="70"/>
      <c r="AH306" s="138">
        <f t="shared" si="575"/>
        <v>1</v>
      </c>
      <c r="AI306" s="167">
        <f t="shared" si="576"/>
        <v>0</v>
      </c>
      <c r="AJ306" s="164">
        <f t="shared" si="577"/>
        <v>0</v>
      </c>
      <c r="AK306" s="165">
        <f t="shared" si="578"/>
        <v>0</v>
      </c>
    </row>
    <row r="307" spans="1:37" outlineLevel="1" x14ac:dyDescent="0.35">
      <c r="B307" s="48" t="s">
        <v>114</v>
      </c>
      <c r="C307" s="62" t="s">
        <v>141</v>
      </c>
      <c r="D307" s="81">
        <v>0</v>
      </c>
      <c r="E307" s="4">
        <v>0</v>
      </c>
      <c r="F307" s="70">
        <v>0</v>
      </c>
      <c r="G307" s="4">
        <v>0</v>
      </c>
      <c r="H307" s="185">
        <f t="shared" si="561"/>
        <v>0</v>
      </c>
      <c r="I307" s="70">
        <v>0</v>
      </c>
      <c r="J307" s="4">
        <v>0</v>
      </c>
      <c r="K307" s="167">
        <f t="shared" si="562"/>
        <v>0</v>
      </c>
      <c r="L307" s="70">
        <v>0</v>
      </c>
      <c r="M307" s="4"/>
      <c r="N307" s="167">
        <f t="shared" si="563"/>
        <v>0</v>
      </c>
      <c r="O307" s="70">
        <v>0</v>
      </c>
      <c r="P307" s="4"/>
      <c r="Q307" s="167">
        <f t="shared" si="566"/>
        <v>0</v>
      </c>
      <c r="R307" s="164">
        <f t="shared" si="567"/>
        <v>0</v>
      </c>
      <c r="S307" s="165">
        <f t="shared" si="568"/>
        <v>0</v>
      </c>
      <c r="U307" s="70">
        <v>0</v>
      </c>
      <c r="V307" s="138">
        <f t="shared" si="564"/>
        <v>0</v>
      </c>
      <c r="W307" s="181">
        <f t="shared" si="565"/>
        <v>0</v>
      </c>
      <c r="X307" s="70">
        <v>0</v>
      </c>
      <c r="Y307" s="138">
        <f t="shared" si="569"/>
        <v>0</v>
      </c>
      <c r="Z307" s="167">
        <f t="shared" si="570"/>
        <v>0</v>
      </c>
      <c r="AA307" s="70"/>
      <c r="AB307" s="138">
        <f t="shared" si="571"/>
        <v>0</v>
      </c>
      <c r="AC307" s="167">
        <f t="shared" si="572"/>
        <v>0</v>
      </c>
      <c r="AD307" s="70">
        <v>0</v>
      </c>
      <c r="AE307" s="138">
        <f t="shared" si="573"/>
        <v>0</v>
      </c>
      <c r="AF307" s="181">
        <f t="shared" si="574"/>
        <v>0</v>
      </c>
      <c r="AG307" s="70"/>
      <c r="AH307" s="138">
        <f t="shared" si="575"/>
        <v>0</v>
      </c>
      <c r="AI307" s="167">
        <f t="shared" si="576"/>
        <v>0</v>
      </c>
      <c r="AJ307" s="164">
        <f t="shared" si="577"/>
        <v>0</v>
      </c>
      <c r="AK307" s="165">
        <f t="shared" si="578"/>
        <v>0</v>
      </c>
    </row>
    <row r="308" spans="1:37" outlineLevel="1" x14ac:dyDescent="0.35">
      <c r="B308" s="48" t="s">
        <v>115</v>
      </c>
      <c r="C308" s="62" t="s">
        <v>141</v>
      </c>
      <c r="D308" s="81">
        <v>0</v>
      </c>
      <c r="E308" s="4">
        <v>0</v>
      </c>
      <c r="F308" s="70">
        <v>0</v>
      </c>
      <c r="G308" s="4">
        <v>0</v>
      </c>
      <c r="H308" s="185">
        <f t="shared" si="561"/>
        <v>0</v>
      </c>
      <c r="I308" s="70">
        <v>0</v>
      </c>
      <c r="J308" s="4">
        <v>0</v>
      </c>
      <c r="K308" s="167">
        <f t="shared" si="562"/>
        <v>0</v>
      </c>
      <c r="L308" s="70">
        <v>0</v>
      </c>
      <c r="M308" s="4"/>
      <c r="N308" s="167">
        <f t="shared" si="563"/>
        <v>0</v>
      </c>
      <c r="O308" s="70">
        <v>0</v>
      </c>
      <c r="P308" s="4"/>
      <c r="Q308" s="167">
        <f t="shared" si="566"/>
        <v>0</v>
      </c>
      <c r="R308" s="164">
        <f t="shared" si="567"/>
        <v>0</v>
      </c>
      <c r="S308" s="165">
        <f t="shared" si="568"/>
        <v>0</v>
      </c>
      <c r="U308" s="70">
        <v>1</v>
      </c>
      <c r="V308" s="138">
        <f t="shared" si="564"/>
        <v>1</v>
      </c>
      <c r="W308" s="181">
        <f t="shared" si="565"/>
        <v>0</v>
      </c>
      <c r="X308" s="70">
        <v>0</v>
      </c>
      <c r="Y308" s="138">
        <f t="shared" si="569"/>
        <v>1</v>
      </c>
      <c r="Z308" s="167">
        <f t="shared" si="570"/>
        <v>0</v>
      </c>
      <c r="AA308" s="70"/>
      <c r="AB308" s="138">
        <f t="shared" si="571"/>
        <v>1</v>
      </c>
      <c r="AC308" s="167">
        <f t="shared" si="572"/>
        <v>0</v>
      </c>
      <c r="AD308" s="70">
        <v>0</v>
      </c>
      <c r="AE308" s="138">
        <f t="shared" si="573"/>
        <v>1</v>
      </c>
      <c r="AF308" s="181">
        <f t="shared" si="574"/>
        <v>0</v>
      </c>
      <c r="AG308" s="70"/>
      <c r="AH308" s="138">
        <f t="shared" si="575"/>
        <v>1</v>
      </c>
      <c r="AI308" s="167">
        <f t="shared" si="576"/>
        <v>0</v>
      </c>
      <c r="AJ308" s="164">
        <f t="shared" si="577"/>
        <v>1</v>
      </c>
      <c r="AK308" s="165">
        <f t="shared" si="578"/>
        <v>0</v>
      </c>
    </row>
    <row r="309" spans="1:37" outlineLevel="1" x14ac:dyDescent="0.35">
      <c r="B309" s="48" t="s">
        <v>116</v>
      </c>
      <c r="C309" s="62" t="s">
        <v>141</v>
      </c>
      <c r="D309" s="81">
        <v>0</v>
      </c>
      <c r="E309" s="4">
        <v>0</v>
      </c>
      <c r="F309" s="70">
        <v>0</v>
      </c>
      <c r="G309" s="4">
        <v>0</v>
      </c>
      <c r="H309" s="185">
        <f t="shared" si="561"/>
        <v>0</v>
      </c>
      <c r="I309" s="70">
        <v>0</v>
      </c>
      <c r="J309" s="4">
        <v>0</v>
      </c>
      <c r="K309" s="167">
        <f t="shared" si="562"/>
        <v>0</v>
      </c>
      <c r="L309" s="70">
        <v>0</v>
      </c>
      <c r="M309" s="4"/>
      <c r="N309" s="167">
        <f t="shared" si="563"/>
        <v>0</v>
      </c>
      <c r="O309" s="70">
        <v>0</v>
      </c>
      <c r="P309" s="4"/>
      <c r="Q309" s="167">
        <f t="shared" si="566"/>
        <v>0</v>
      </c>
      <c r="R309" s="164">
        <f t="shared" si="567"/>
        <v>0</v>
      </c>
      <c r="S309" s="165">
        <f t="shared" si="568"/>
        <v>0</v>
      </c>
      <c r="U309" s="70">
        <v>0</v>
      </c>
      <c r="V309" s="138">
        <f t="shared" si="564"/>
        <v>0</v>
      </c>
      <c r="W309" s="181">
        <f t="shared" si="565"/>
        <v>0</v>
      </c>
      <c r="X309" s="70">
        <v>0</v>
      </c>
      <c r="Y309" s="138">
        <f t="shared" si="569"/>
        <v>0</v>
      </c>
      <c r="Z309" s="167">
        <f t="shared" si="570"/>
        <v>0</v>
      </c>
      <c r="AA309" s="70"/>
      <c r="AB309" s="138">
        <f t="shared" si="571"/>
        <v>0</v>
      </c>
      <c r="AC309" s="167">
        <f t="shared" si="572"/>
        <v>0</v>
      </c>
      <c r="AD309" s="70">
        <v>0</v>
      </c>
      <c r="AE309" s="138">
        <f t="shared" si="573"/>
        <v>0</v>
      </c>
      <c r="AF309" s="181">
        <f t="shared" si="574"/>
        <v>0</v>
      </c>
      <c r="AG309" s="70"/>
      <c r="AH309" s="138">
        <f t="shared" si="575"/>
        <v>0</v>
      </c>
      <c r="AI309" s="167">
        <f t="shared" si="576"/>
        <v>0</v>
      </c>
      <c r="AJ309" s="164">
        <f t="shared" si="577"/>
        <v>0</v>
      </c>
      <c r="AK309" s="165">
        <f t="shared" si="578"/>
        <v>0</v>
      </c>
    </row>
    <row r="310" spans="1:37" outlineLevel="1" x14ac:dyDescent="0.35">
      <c r="B310" s="48" t="s">
        <v>117</v>
      </c>
      <c r="C310" s="62" t="s">
        <v>141</v>
      </c>
      <c r="D310" s="81">
        <v>0</v>
      </c>
      <c r="E310" s="4">
        <v>3</v>
      </c>
      <c r="F310" s="70">
        <v>0</v>
      </c>
      <c r="G310" s="4">
        <v>3</v>
      </c>
      <c r="H310" s="185">
        <f t="shared" si="561"/>
        <v>0</v>
      </c>
      <c r="I310" s="70">
        <v>0</v>
      </c>
      <c r="J310" s="4">
        <v>3</v>
      </c>
      <c r="K310" s="167">
        <f t="shared" si="562"/>
        <v>0</v>
      </c>
      <c r="L310" s="70">
        <v>0</v>
      </c>
      <c r="M310" s="4">
        <v>3</v>
      </c>
      <c r="N310" s="167">
        <f t="shared" si="563"/>
        <v>0</v>
      </c>
      <c r="O310" s="70">
        <v>0</v>
      </c>
      <c r="P310" s="4">
        <v>3</v>
      </c>
      <c r="Q310" s="167">
        <f t="shared" si="566"/>
        <v>0</v>
      </c>
      <c r="R310" s="164">
        <f t="shared" si="567"/>
        <v>0</v>
      </c>
      <c r="S310" s="165">
        <f t="shared" si="568"/>
        <v>0</v>
      </c>
      <c r="U310" s="70">
        <v>0</v>
      </c>
      <c r="V310" s="138">
        <f t="shared" si="564"/>
        <v>3</v>
      </c>
      <c r="W310" s="181">
        <f t="shared" si="565"/>
        <v>0</v>
      </c>
      <c r="X310" s="70">
        <v>0</v>
      </c>
      <c r="Y310" s="138">
        <f t="shared" si="569"/>
        <v>3</v>
      </c>
      <c r="Z310" s="167">
        <f t="shared" si="570"/>
        <v>0</v>
      </c>
      <c r="AA310" s="70"/>
      <c r="AB310" s="138">
        <f t="shared" si="571"/>
        <v>3</v>
      </c>
      <c r="AC310" s="167">
        <f t="shared" si="572"/>
        <v>0</v>
      </c>
      <c r="AD310" s="70">
        <v>0</v>
      </c>
      <c r="AE310" s="138">
        <f t="shared" si="573"/>
        <v>3</v>
      </c>
      <c r="AF310" s="181">
        <f t="shared" si="574"/>
        <v>0</v>
      </c>
      <c r="AG310" s="70"/>
      <c r="AH310" s="138">
        <f t="shared" si="575"/>
        <v>3</v>
      </c>
      <c r="AI310" s="167">
        <f t="shared" si="576"/>
        <v>0</v>
      </c>
      <c r="AJ310" s="164">
        <f t="shared" si="577"/>
        <v>0</v>
      </c>
      <c r="AK310" s="165">
        <f t="shared" si="578"/>
        <v>0</v>
      </c>
    </row>
    <row r="311" spans="1:37" outlineLevel="1" x14ac:dyDescent="0.35">
      <c r="B311" s="48" t="s">
        <v>118</v>
      </c>
      <c r="C311" s="62" t="s">
        <v>141</v>
      </c>
      <c r="D311" s="81">
        <v>0</v>
      </c>
      <c r="E311" s="4">
        <v>0</v>
      </c>
      <c r="F311" s="70">
        <v>0</v>
      </c>
      <c r="G311" s="4">
        <v>0</v>
      </c>
      <c r="H311" s="185">
        <f t="shared" si="561"/>
        <v>0</v>
      </c>
      <c r="I311" s="70">
        <v>0</v>
      </c>
      <c r="J311" s="4">
        <v>0</v>
      </c>
      <c r="K311" s="167">
        <f t="shared" si="562"/>
        <v>0</v>
      </c>
      <c r="L311" s="70">
        <v>0</v>
      </c>
      <c r="M311" s="4"/>
      <c r="N311" s="167">
        <f t="shared" si="563"/>
        <v>0</v>
      </c>
      <c r="O311" s="70">
        <v>0</v>
      </c>
      <c r="P311" s="4"/>
      <c r="Q311" s="167">
        <f t="shared" si="566"/>
        <v>0</v>
      </c>
      <c r="R311" s="164">
        <f t="shared" si="567"/>
        <v>0</v>
      </c>
      <c r="S311" s="165">
        <f t="shared" si="568"/>
        <v>0</v>
      </c>
      <c r="U311" s="70">
        <v>0</v>
      </c>
      <c r="V311" s="138">
        <f t="shared" si="564"/>
        <v>0</v>
      </c>
      <c r="W311" s="181">
        <f t="shared" si="565"/>
        <v>0</v>
      </c>
      <c r="X311" s="70">
        <v>0</v>
      </c>
      <c r="Y311" s="138">
        <f t="shared" si="569"/>
        <v>0</v>
      </c>
      <c r="Z311" s="167">
        <f t="shared" si="570"/>
        <v>0</v>
      </c>
      <c r="AA311" s="70"/>
      <c r="AB311" s="138">
        <f t="shared" si="571"/>
        <v>0</v>
      </c>
      <c r="AC311" s="167">
        <f t="shared" si="572"/>
        <v>0</v>
      </c>
      <c r="AD311" s="70">
        <v>0</v>
      </c>
      <c r="AE311" s="138">
        <f t="shared" si="573"/>
        <v>0</v>
      </c>
      <c r="AF311" s="181">
        <f t="shared" si="574"/>
        <v>0</v>
      </c>
      <c r="AG311" s="70"/>
      <c r="AH311" s="138">
        <f t="shared" si="575"/>
        <v>0</v>
      </c>
      <c r="AI311" s="167">
        <f t="shared" si="576"/>
        <v>0</v>
      </c>
      <c r="AJ311" s="164">
        <f t="shared" si="577"/>
        <v>0</v>
      </c>
      <c r="AK311" s="165">
        <f t="shared" si="578"/>
        <v>0</v>
      </c>
    </row>
    <row r="312" spans="1:37" outlineLevel="1" x14ac:dyDescent="0.35">
      <c r="B312" s="48" t="s">
        <v>119</v>
      </c>
      <c r="C312" s="62" t="s">
        <v>141</v>
      </c>
      <c r="D312" s="81">
        <v>0</v>
      </c>
      <c r="E312" s="4">
        <v>0</v>
      </c>
      <c r="F312" s="70">
        <v>0</v>
      </c>
      <c r="G312" s="4">
        <v>0</v>
      </c>
      <c r="H312" s="185">
        <f t="shared" si="561"/>
        <v>0</v>
      </c>
      <c r="I312" s="70">
        <v>1</v>
      </c>
      <c r="J312" s="4">
        <v>1</v>
      </c>
      <c r="K312" s="167">
        <f t="shared" si="562"/>
        <v>0</v>
      </c>
      <c r="L312" s="70">
        <v>0</v>
      </c>
      <c r="M312" s="4">
        <v>1</v>
      </c>
      <c r="N312" s="167">
        <f t="shared" si="563"/>
        <v>0</v>
      </c>
      <c r="O312" s="70">
        <v>-1</v>
      </c>
      <c r="P312" s="4"/>
      <c r="Q312" s="167">
        <f t="shared" si="566"/>
        <v>-1</v>
      </c>
      <c r="R312" s="164">
        <f t="shared" si="567"/>
        <v>0</v>
      </c>
      <c r="S312" s="165">
        <f t="shared" si="568"/>
        <v>0</v>
      </c>
      <c r="U312" s="70">
        <v>1</v>
      </c>
      <c r="V312" s="138">
        <f t="shared" si="564"/>
        <v>1</v>
      </c>
      <c r="W312" s="181">
        <f t="shared" si="565"/>
        <v>0</v>
      </c>
      <c r="X312" s="70">
        <v>0</v>
      </c>
      <c r="Y312" s="138">
        <f t="shared" si="569"/>
        <v>1</v>
      </c>
      <c r="Z312" s="167">
        <f t="shared" si="570"/>
        <v>0</v>
      </c>
      <c r="AA312" s="70"/>
      <c r="AB312" s="138">
        <f t="shared" si="571"/>
        <v>1</v>
      </c>
      <c r="AC312" s="167">
        <f t="shared" si="572"/>
        <v>0</v>
      </c>
      <c r="AD312" s="70">
        <v>0</v>
      </c>
      <c r="AE312" s="138">
        <f t="shared" si="573"/>
        <v>1</v>
      </c>
      <c r="AF312" s="181">
        <f t="shared" si="574"/>
        <v>0</v>
      </c>
      <c r="AG312" s="70"/>
      <c r="AH312" s="138">
        <f t="shared" si="575"/>
        <v>1</v>
      </c>
      <c r="AI312" s="167">
        <f t="shared" si="576"/>
        <v>0</v>
      </c>
      <c r="AJ312" s="164">
        <f t="shared" si="577"/>
        <v>1</v>
      </c>
      <c r="AK312" s="165">
        <f t="shared" si="578"/>
        <v>0</v>
      </c>
    </row>
    <row r="313" spans="1:37" outlineLevel="1" x14ac:dyDescent="0.35">
      <c r="B313" s="48" t="s">
        <v>120</v>
      </c>
      <c r="C313" s="62" t="s">
        <v>141</v>
      </c>
      <c r="D313" s="81">
        <v>-1</v>
      </c>
      <c r="E313" s="4">
        <v>5</v>
      </c>
      <c r="F313" s="70">
        <v>0</v>
      </c>
      <c r="G313" s="4">
        <v>5</v>
      </c>
      <c r="H313" s="185">
        <f t="shared" si="561"/>
        <v>0</v>
      </c>
      <c r="I313" s="70">
        <v>0</v>
      </c>
      <c r="J313" s="4">
        <v>5</v>
      </c>
      <c r="K313" s="167">
        <f t="shared" si="562"/>
        <v>0</v>
      </c>
      <c r="L313" s="70">
        <v>0</v>
      </c>
      <c r="M313" s="4">
        <v>5</v>
      </c>
      <c r="N313" s="167">
        <f t="shared" si="563"/>
        <v>0</v>
      </c>
      <c r="O313" s="70">
        <v>-1</v>
      </c>
      <c r="P313" s="4">
        <v>4</v>
      </c>
      <c r="Q313" s="167">
        <f t="shared" si="566"/>
        <v>-0.2</v>
      </c>
      <c r="R313" s="164">
        <f t="shared" si="567"/>
        <v>-2</v>
      </c>
      <c r="S313" s="165">
        <f t="shared" si="568"/>
        <v>-5.4258390996824168E-2</v>
      </c>
      <c r="U313" s="70">
        <v>0</v>
      </c>
      <c r="V313" s="138">
        <f t="shared" si="564"/>
        <v>4</v>
      </c>
      <c r="W313" s="181">
        <f t="shared" si="565"/>
        <v>0</v>
      </c>
      <c r="X313" s="70">
        <v>0</v>
      </c>
      <c r="Y313" s="138">
        <f t="shared" si="569"/>
        <v>4</v>
      </c>
      <c r="Z313" s="167">
        <f t="shared" si="570"/>
        <v>0</v>
      </c>
      <c r="AA313" s="70"/>
      <c r="AB313" s="138">
        <f t="shared" si="571"/>
        <v>4</v>
      </c>
      <c r="AC313" s="167">
        <f t="shared" si="572"/>
        <v>0</v>
      </c>
      <c r="AD313" s="70">
        <v>0</v>
      </c>
      <c r="AE313" s="138">
        <f t="shared" si="573"/>
        <v>4</v>
      </c>
      <c r="AF313" s="181">
        <f t="shared" si="574"/>
        <v>0</v>
      </c>
      <c r="AG313" s="70"/>
      <c r="AH313" s="138">
        <f t="shared" si="575"/>
        <v>4</v>
      </c>
      <c r="AI313" s="167">
        <f t="shared" si="576"/>
        <v>0</v>
      </c>
      <c r="AJ313" s="164">
        <f t="shared" si="577"/>
        <v>0</v>
      </c>
      <c r="AK313" s="165">
        <f t="shared" si="578"/>
        <v>0</v>
      </c>
    </row>
    <row r="314" spans="1:37" s="52" customFormat="1" outlineLevel="1" x14ac:dyDescent="0.35">
      <c r="A314"/>
      <c r="B314" s="48" t="s">
        <v>121</v>
      </c>
      <c r="C314" s="62" t="s">
        <v>141</v>
      </c>
      <c r="D314" s="81">
        <v>0</v>
      </c>
      <c r="E314" s="4">
        <v>0</v>
      </c>
      <c r="F314" s="70">
        <v>0</v>
      </c>
      <c r="G314" s="4">
        <v>0</v>
      </c>
      <c r="H314" s="185">
        <f t="shared" si="561"/>
        <v>0</v>
      </c>
      <c r="I314" s="70">
        <v>0</v>
      </c>
      <c r="J314" s="4">
        <v>0</v>
      </c>
      <c r="K314" s="167">
        <f t="shared" si="562"/>
        <v>0</v>
      </c>
      <c r="L314" s="70">
        <v>0</v>
      </c>
      <c r="M314" s="4"/>
      <c r="N314" s="167">
        <f t="shared" si="563"/>
        <v>0</v>
      </c>
      <c r="O314" s="70">
        <v>0</v>
      </c>
      <c r="P314" s="4"/>
      <c r="Q314" s="167">
        <f t="shared" si="566"/>
        <v>0</v>
      </c>
      <c r="R314" s="164">
        <f t="shared" si="567"/>
        <v>0</v>
      </c>
      <c r="S314" s="165">
        <f t="shared" si="568"/>
        <v>0</v>
      </c>
      <c r="T314"/>
      <c r="U314" s="72">
        <v>0</v>
      </c>
      <c r="V314" s="138">
        <f t="shared" si="564"/>
        <v>0</v>
      </c>
      <c r="W314" s="181">
        <f t="shared" si="565"/>
        <v>0</v>
      </c>
      <c r="X314" s="72">
        <v>0</v>
      </c>
      <c r="Y314" s="138">
        <f t="shared" si="569"/>
        <v>0</v>
      </c>
      <c r="Z314" s="167">
        <f t="shared" si="570"/>
        <v>0</v>
      </c>
      <c r="AA314" s="72"/>
      <c r="AB314" s="138">
        <f t="shared" si="571"/>
        <v>0</v>
      </c>
      <c r="AC314" s="167">
        <f t="shared" si="572"/>
        <v>0</v>
      </c>
      <c r="AD314" s="70">
        <v>0</v>
      </c>
      <c r="AE314" s="138">
        <f t="shared" si="573"/>
        <v>0</v>
      </c>
      <c r="AF314" s="181">
        <f t="shared" si="574"/>
        <v>0</v>
      </c>
      <c r="AG314" s="72"/>
      <c r="AH314" s="138">
        <f t="shared" si="575"/>
        <v>0</v>
      </c>
      <c r="AI314" s="167">
        <f t="shared" si="576"/>
        <v>0</v>
      </c>
      <c r="AJ314" s="164">
        <f>U314+X314+AA314+AD314+AG314</f>
        <v>0</v>
      </c>
      <c r="AK314" s="165">
        <f>IFERROR((AH314/V314)^(1/4)-1,0)</f>
        <v>0</v>
      </c>
    </row>
    <row r="315" spans="1:37" s="52" customFormat="1" outlineLevel="1" x14ac:dyDescent="0.35">
      <c r="A315"/>
      <c r="B315" s="48" t="s">
        <v>137</v>
      </c>
      <c r="C315" s="62" t="s">
        <v>141</v>
      </c>
      <c r="D315" s="81">
        <v>0</v>
      </c>
      <c r="E315" s="4">
        <v>0</v>
      </c>
      <c r="F315" s="70">
        <v>0</v>
      </c>
      <c r="G315" s="4">
        <v>0</v>
      </c>
      <c r="H315" s="185">
        <f t="shared" si="561"/>
        <v>0</v>
      </c>
      <c r="I315" s="70">
        <v>0</v>
      </c>
      <c r="J315" s="4">
        <v>0</v>
      </c>
      <c r="K315" s="167">
        <f t="shared" si="562"/>
        <v>0</v>
      </c>
      <c r="L315" s="70">
        <v>0</v>
      </c>
      <c r="M315" s="4"/>
      <c r="N315" s="167">
        <f t="shared" si="563"/>
        <v>0</v>
      </c>
      <c r="O315" s="70">
        <v>0</v>
      </c>
      <c r="P315" s="4"/>
      <c r="Q315" s="167">
        <f t="shared" si="566"/>
        <v>0</v>
      </c>
      <c r="R315" s="164">
        <f t="shared" si="567"/>
        <v>0</v>
      </c>
      <c r="S315" s="165">
        <f t="shared" si="568"/>
        <v>0</v>
      </c>
      <c r="T315"/>
      <c r="U315" s="72">
        <v>0</v>
      </c>
      <c r="V315" s="138">
        <f t="shared" si="564"/>
        <v>0</v>
      </c>
      <c r="W315" s="181">
        <f t="shared" si="565"/>
        <v>0</v>
      </c>
      <c r="X315" s="72">
        <v>0</v>
      </c>
      <c r="Y315" s="138">
        <f t="shared" si="569"/>
        <v>0</v>
      </c>
      <c r="Z315" s="167">
        <f t="shared" si="570"/>
        <v>0</v>
      </c>
      <c r="AA315" s="72"/>
      <c r="AB315" s="138">
        <f t="shared" si="571"/>
        <v>0</v>
      </c>
      <c r="AC315" s="167">
        <f t="shared" si="572"/>
        <v>0</v>
      </c>
      <c r="AD315" s="70">
        <v>0</v>
      </c>
      <c r="AE315" s="138">
        <f t="shared" si="573"/>
        <v>0</v>
      </c>
      <c r="AF315" s="181">
        <f t="shared" si="574"/>
        <v>0</v>
      </c>
      <c r="AG315" s="284"/>
      <c r="AH315" s="138">
        <f t="shared" si="575"/>
        <v>0</v>
      </c>
      <c r="AI315" s="167">
        <f t="shared" si="576"/>
        <v>0</v>
      </c>
      <c r="AJ315" s="164">
        <f t="shared" ref="AJ315:AJ320" si="579">U315+X315+AA315+AD315+AG315</f>
        <v>0</v>
      </c>
      <c r="AK315" s="165">
        <f t="shared" ref="AK315:AK321" si="580">IFERROR((AH315/V315)^(1/4)-1,0)</f>
        <v>0</v>
      </c>
    </row>
    <row r="316" spans="1:37" s="52" customFormat="1" outlineLevel="1" x14ac:dyDescent="0.35">
      <c r="A316"/>
      <c r="B316" s="48" t="s">
        <v>123</v>
      </c>
      <c r="C316" s="62" t="s">
        <v>141</v>
      </c>
      <c r="D316" s="81">
        <v>0</v>
      </c>
      <c r="E316" s="4">
        <v>0</v>
      </c>
      <c r="F316" s="70">
        <v>0</v>
      </c>
      <c r="G316" s="4">
        <v>0</v>
      </c>
      <c r="H316" s="185">
        <f t="shared" si="561"/>
        <v>0</v>
      </c>
      <c r="I316" s="70">
        <v>0</v>
      </c>
      <c r="J316" s="4">
        <v>0</v>
      </c>
      <c r="K316" s="167">
        <f t="shared" si="562"/>
        <v>0</v>
      </c>
      <c r="L316" s="70">
        <v>0</v>
      </c>
      <c r="M316" s="4"/>
      <c r="N316" s="167">
        <f t="shared" si="563"/>
        <v>0</v>
      </c>
      <c r="O316" s="70">
        <v>0</v>
      </c>
      <c r="P316" s="4"/>
      <c r="Q316" s="167">
        <f t="shared" si="566"/>
        <v>0</v>
      </c>
      <c r="R316" s="164">
        <f t="shared" si="567"/>
        <v>0</v>
      </c>
      <c r="S316" s="165">
        <f t="shared" si="568"/>
        <v>0</v>
      </c>
      <c r="T316"/>
      <c r="U316" s="72">
        <v>0</v>
      </c>
      <c r="V316" s="138">
        <f t="shared" si="564"/>
        <v>0</v>
      </c>
      <c r="W316" s="181">
        <f t="shared" si="565"/>
        <v>0</v>
      </c>
      <c r="X316" s="72">
        <v>0</v>
      </c>
      <c r="Y316" s="138">
        <f t="shared" si="569"/>
        <v>0</v>
      </c>
      <c r="Z316" s="167">
        <f t="shared" si="570"/>
        <v>0</v>
      </c>
      <c r="AA316" s="72"/>
      <c r="AB316" s="138">
        <f t="shared" si="571"/>
        <v>0</v>
      </c>
      <c r="AC316" s="167">
        <f t="shared" si="572"/>
        <v>0</v>
      </c>
      <c r="AD316" s="70">
        <v>0</v>
      </c>
      <c r="AE316" s="138">
        <f t="shared" si="573"/>
        <v>0</v>
      </c>
      <c r="AF316" s="181">
        <f t="shared" si="574"/>
        <v>0</v>
      </c>
      <c r="AG316" s="231"/>
      <c r="AH316" s="138">
        <f t="shared" si="575"/>
        <v>0</v>
      </c>
      <c r="AI316" s="167">
        <f t="shared" si="576"/>
        <v>0</v>
      </c>
      <c r="AJ316" s="164">
        <f t="shared" si="579"/>
        <v>0</v>
      </c>
      <c r="AK316" s="165">
        <f t="shared" si="580"/>
        <v>0</v>
      </c>
    </row>
    <row r="317" spans="1:37" outlineLevel="1" x14ac:dyDescent="0.35">
      <c r="B317" s="48" t="s">
        <v>124</v>
      </c>
      <c r="C317" s="62" t="s">
        <v>141</v>
      </c>
      <c r="D317" s="81">
        <v>0</v>
      </c>
      <c r="E317" s="4">
        <v>0</v>
      </c>
      <c r="F317" s="70">
        <v>0</v>
      </c>
      <c r="G317" s="4">
        <v>0</v>
      </c>
      <c r="H317" s="185">
        <f t="shared" si="561"/>
        <v>0</v>
      </c>
      <c r="I317" s="70">
        <v>0</v>
      </c>
      <c r="J317" s="4">
        <v>0</v>
      </c>
      <c r="K317" s="167">
        <f t="shared" si="562"/>
        <v>0</v>
      </c>
      <c r="L317" s="70">
        <v>0</v>
      </c>
      <c r="M317" s="4"/>
      <c r="N317" s="167">
        <f t="shared" si="563"/>
        <v>0</v>
      </c>
      <c r="O317" s="70">
        <v>0</v>
      </c>
      <c r="P317" s="4"/>
      <c r="Q317" s="167">
        <f t="shared" si="566"/>
        <v>0</v>
      </c>
      <c r="R317" s="164">
        <f t="shared" si="567"/>
        <v>0</v>
      </c>
      <c r="S317" s="165">
        <f t="shared" si="568"/>
        <v>0</v>
      </c>
      <c r="U317" s="70">
        <v>0</v>
      </c>
      <c r="V317" s="138">
        <f t="shared" si="564"/>
        <v>0</v>
      </c>
      <c r="W317" s="181">
        <f t="shared" si="565"/>
        <v>0</v>
      </c>
      <c r="X317" s="70">
        <v>0</v>
      </c>
      <c r="Y317" s="138">
        <f t="shared" si="569"/>
        <v>0</v>
      </c>
      <c r="Z317" s="167">
        <f t="shared" si="570"/>
        <v>0</v>
      </c>
      <c r="AA317" s="70"/>
      <c r="AB317" s="138">
        <f t="shared" si="571"/>
        <v>0</v>
      </c>
      <c r="AC317" s="167">
        <f t="shared" si="572"/>
        <v>0</v>
      </c>
      <c r="AD317" s="70">
        <v>0</v>
      </c>
      <c r="AE317" s="138">
        <f t="shared" si="573"/>
        <v>0</v>
      </c>
      <c r="AF317" s="181">
        <f t="shared" si="574"/>
        <v>0</v>
      </c>
      <c r="AG317" s="70"/>
      <c r="AH317" s="138">
        <f t="shared" si="575"/>
        <v>0</v>
      </c>
      <c r="AI317" s="167">
        <f t="shared" si="576"/>
        <v>0</v>
      </c>
      <c r="AJ317" s="164">
        <f t="shared" si="579"/>
        <v>0</v>
      </c>
      <c r="AK317" s="165">
        <f t="shared" si="580"/>
        <v>0</v>
      </c>
    </row>
    <row r="318" spans="1:37" s="52" customFormat="1" outlineLevel="1" x14ac:dyDescent="0.35">
      <c r="A318"/>
      <c r="B318" s="48" t="s">
        <v>125</v>
      </c>
      <c r="C318" s="62" t="s">
        <v>141</v>
      </c>
      <c r="D318" s="81">
        <v>0</v>
      </c>
      <c r="E318" s="4">
        <v>0</v>
      </c>
      <c r="F318" s="70">
        <v>0</v>
      </c>
      <c r="G318" s="4">
        <v>0</v>
      </c>
      <c r="H318" s="185">
        <f t="shared" si="561"/>
        <v>0</v>
      </c>
      <c r="I318" s="70">
        <v>0</v>
      </c>
      <c r="J318" s="4">
        <v>0</v>
      </c>
      <c r="K318" s="167">
        <f t="shared" si="562"/>
        <v>0</v>
      </c>
      <c r="L318" s="70">
        <v>0</v>
      </c>
      <c r="M318" s="4"/>
      <c r="N318" s="167">
        <f t="shared" si="563"/>
        <v>0</v>
      </c>
      <c r="O318" s="70">
        <v>0</v>
      </c>
      <c r="P318" s="4"/>
      <c r="Q318" s="167">
        <f t="shared" si="566"/>
        <v>0</v>
      </c>
      <c r="R318" s="164">
        <f t="shared" si="567"/>
        <v>0</v>
      </c>
      <c r="S318" s="165">
        <f t="shared" si="568"/>
        <v>0</v>
      </c>
      <c r="T318"/>
      <c r="U318" s="72">
        <v>0</v>
      </c>
      <c r="V318" s="138">
        <f t="shared" si="564"/>
        <v>0</v>
      </c>
      <c r="W318" s="181">
        <f t="shared" si="565"/>
        <v>0</v>
      </c>
      <c r="X318" s="72">
        <v>0</v>
      </c>
      <c r="Y318" s="138">
        <f t="shared" si="569"/>
        <v>0</v>
      </c>
      <c r="Z318" s="167">
        <f t="shared" si="570"/>
        <v>0</v>
      </c>
      <c r="AA318" s="72"/>
      <c r="AB318" s="138">
        <f t="shared" si="571"/>
        <v>0</v>
      </c>
      <c r="AC318" s="167">
        <f t="shared" si="572"/>
        <v>0</v>
      </c>
      <c r="AD318" s="70">
        <v>0</v>
      </c>
      <c r="AE318" s="138">
        <f t="shared" si="573"/>
        <v>0</v>
      </c>
      <c r="AF318" s="181">
        <f t="shared" si="574"/>
        <v>0</v>
      </c>
      <c r="AG318" s="72"/>
      <c r="AH318" s="138">
        <f t="shared" si="575"/>
        <v>0</v>
      </c>
      <c r="AI318" s="167">
        <f t="shared" si="576"/>
        <v>0</v>
      </c>
      <c r="AJ318" s="164">
        <f t="shared" si="579"/>
        <v>0</v>
      </c>
      <c r="AK318" s="165">
        <f t="shared" si="580"/>
        <v>0</v>
      </c>
    </row>
    <row r="319" spans="1:37" outlineLevel="1" x14ac:dyDescent="0.35">
      <c r="B319" s="48" t="s">
        <v>126</v>
      </c>
      <c r="C319" s="62" t="s">
        <v>141</v>
      </c>
      <c r="D319" s="81">
        <v>0</v>
      </c>
      <c r="E319" s="4">
        <v>0</v>
      </c>
      <c r="F319" s="70">
        <v>0</v>
      </c>
      <c r="G319" s="4">
        <v>0</v>
      </c>
      <c r="H319" s="185">
        <f t="shared" si="561"/>
        <v>0</v>
      </c>
      <c r="I319" s="70">
        <v>0</v>
      </c>
      <c r="J319" s="4">
        <v>0</v>
      </c>
      <c r="K319" s="167">
        <f t="shared" si="562"/>
        <v>0</v>
      </c>
      <c r="L319" s="70">
        <v>0</v>
      </c>
      <c r="M319" s="4"/>
      <c r="N319" s="167">
        <f t="shared" si="563"/>
        <v>0</v>
      </c>
      <c r="O319" s="70">
        <v>0</v>
      </c>
      <c r="P319" s="4"/>
      <c r="Q319" s="167">
        <f t="shared" si="566"/>
        <v>0</v>
      </c>
      <c r="R319" s="164">
        <f t="shared" si="567"/>
        <v>0</v>
      </c>
      <c r="S319" s="165">
        <f t="shared" si="568"/>
        <v>0</v>
      </c>
      <c r="U319" s="70">
        <v>0</v>
      </c>
      <c r="V319" s="138">
        <f t="shared" si="564"/>
        <v>0</v>
      </c>
      <c r="W319" s="181">
        <f t="shared" si="565"/>
        <v>0</v>
      </c>
      <c r="X319" s="70">
        <v>0</v>
      </c>
      <c r="Y319" s="138">
        <f t="shared" si="569"/>
        <v>0</v>
      </c>
      <c r="Z319" s="167">
        <f t="shared" si="570"/>
        <v>0</v>
      </c>
      <c r="AA319" s="70"/>
      <c r="AB319" s="138">
        <f t="shared" si="571"/>
        <v>0</v>
      </c>
      <c r="AC319" s="167">
        <f t="shared" si="572"/>
        <v>0</v>
      </c>
      <c r="AD319" s="70">
        <v>0</v>
      </c>
      <c r="AE319" s="138">
        <f t="shared" si="573"/>
        <v>0</v>
      </c>
      <c r="AF319" s="181">
        <f t="shared" si="574"/>
        <v>0</v>
      </c>
      <c r="AG319" s="70"/>
      <c r="AH319" s="138">
        <f t="shared" si="575"/>
        <v>0</v>
      </c>
      <c r="AI319" s="167">
        <f t="shared" si="576"/>
        <v>0</v>
      </c>
      <c r="AJ319" s="164">
        <f t="shared" si="579"/>
        <v>0</v>
      </c>
      <c r="AK319" s="165">
        <f t="shared" si="580"/>
        <v>0</v>
      </c>
    </row>
    <row r="320" spans="1:37" ht="15" customHeight="1" outlineLevel="1" x14ac:dyDescent="0.35">
      <c r="B320" s="48" t="s">
        <v>127</v>
      </c>
      <c r="C320" s="59" t="s">
        <v>141</v>
      </c>
      <c r="D320" s="81">
        <v>0</v>
      </c>
      <c r="E320" s="4">
        <v>1</v>
      </c>
      <c r="F320" s="70">
        <v>0</v>
      </c>
      <c r="G320" s="4">
        <v>1</v>
      </c>
      <c r="H320" s="185">
        <f t="shared" si="561"/>
        <v>0</v>
      </c>
      <c r="I320" s="70">
        <v>0</v>
      </c>
      <c r="J320" s="4">
        <v>1</v>
      </c>
      <c r="K320" s="167">
        <f t="shared" si="562"/>
        <v>0</v>
      </c>
      <c r="L320" s="70">
        <v>0</v>
      </c>
      <c r="M320" s="4">
        <v>1</v>
      </c>
      <c r="N320" s="167">
        <f t="shared" si="563"/>
        <v>0</v>
      </c>
      <c r="O320" s="70">
        <v>0</v>
      </c>
      <c r="P320" s="4">
        <v>1</v>
      </c>
      <c r="Q320" s="167">
        <f t="shared" si="566"/>
        <v>0</v>
      </c>
      <c r="R320" s="164">
        <f t="shared" si="567"/>
        <v>0</v>
      </c>
      <c r="S320" s="165">
        <f t="shared" si="568"/>
        <v>0</v>
      </c>
      <c r="U320" s="70">
        <v>1</v>
      </c>
      <c r="V320" s="138">
        <f t="shared" si="564"/>
        <v>2</v>
      </c>
      <c r="W320" s="181">
        <f t="shared" si="565"/>
        <v>1</v>
      </c>
      <c r="X320" s="70">
        <v>0</v>
      </c>
      <c r="Y320" s="138">
        <f t="shared" si="569"/>
        <v>2</v>
      </c>
      <c r="Z320" s="167">
        <f t="shared" si="570"/>
        <v>0</v>
      </c>
      <c r="AA320" s="70"/>
      <c r="AB320" s="138">
        <f t="shared" si="571"/>
        <v>2</v>
      </c>
      <c r="AC320" s="167">
        <f t="shared" si="572"/>
        <v>0</v>
      </c>
      <c r="AD320" s="70">
        <v>0</v>
      </c>
      <c r="AE320" s="138">
        <f t="shared" si="573"/>
        <v>2</v>
      </c>
      <c r="AF320" s="181">
        <f t="shared" si="574"/>
        <v>0</v>
      </c>
      <c r="AG320" s="70"/>
      <c r="AH320" s="138">
        <f t="shared" si="575"/>
        <v>2</v>
      </c>
      <c r="AI320" s="167">
        <f t="shared" si="576"/>
        <v>0</v>
      </c>
      <c r="AJ320" s="164">
        <f t="shared" si="579"/>
        <v>1</v>
      </c>
      <c r="AK320" s="165">
        <f t="shared" si="580"/>
        <v>0</v>
      </c>
    </row>
    <row r="321" spans="2:37" s="245" customFormat="1" ht="15" customHeight="1" outlineLevel="1" thickBot="1" x14ac:dyDescent="0.4">
      <c r="B321" s="246" t="s">
        <v>138</v>
      </c>
      <c r="C321" s="247" t="s">
        <v>141</v>
      </c>
      <c r="D321" s="248">
        <f>SUM(D267:D320)</f>
        <v>-1</v>
      </c>
      <c r="E321" s="258">
        <f t="shared" ref="E321:P321" si="581">SUM(E267:E320)</f>
        <v>74</v>
      </c>
      <c r="F321" s="259">
        <f t="shared" si="581"/>
        <v>5</v>
      </c>
      <c r="G321" s="248">
        <f t="shared" si="581"/>
        <v>79</v>
      </c>
      <c r="H321" s="250">
        <f t="shared" si="561"/>
        <v>6.7567567567567571E-2</v>
      </c>
      <c r="I321" s="248">
        <f t="shared" si="581"/>
        <v>3</v>
      </c>
      <c r="J321" s="248">
        <f t="shared" si="581"/>
        <v>82</v>
      </c>
      <c r="K321" s="250">
        <f t="shared" si="562"/>
        <v>3.7974683544303799E-2</v>
      </c>
      <c r="L321" s="248">
        <f t="shared" si="581"/>
        <v>-2</v>
      </c>
      <c r="M321" s="248">
        <f t="shared" si="581"/>
        <v>80</v>
      </c>
      <c r="N321" s="260">
        <f t="shared" si="563"/>
        <v>-2.4390243902439025E-2</v>
      </c>
      <c r="O321" s="248">
        <f t="shared" si="581"/>
        <v>-3</v>
      </c>
      <c r="P321" s="248">
        <f t="shared" si="581"/>
        <v>77</v>
      </c>
      <c r="Q321" s="250">
        <f>IFERROR((P321-M321)/M321,0)</f>
        <v>-3.7499999999999999E-2</v>
      </c>
      <c r="R321" s="251">
        <f>D321+F321+I321+L321+O321</f>
        <v>2</v>
      </c>
      <c r="S321" s="252">
        <f>IFERROR((P321/E321)^(1/4)-1,0)</f>
        <v>9.9845989397258084E-3</v>
      </c>
      <c r="U321" s="248">
        <f t="shared" ref="U321:V321" si="582">SUM(U267:U320)</f>
        <v>8</v>
      </c>
      <c r="V321" s="248">
        <f t="shared" si="582"/>
        <v>85</v>
      </c>
      <c r="W321" s="255">
        <f t="shared" si="565"/>
        <v>0.1038961038961039</v>
      </c>
      <c r="X321" s="248">
        <f t="shared" ref="X321:Y321" si="583">SUM(X267:X320)</f>
        <v>1</v>
      </c>
      <c r="Y321" s="248">
        <f t="shared" si="583"/>
        <v>86</v>
      </c>
      <c r="Z321" s="271">
        <f t="shared" si="570"/>
        <v>1.1764705882352941E-2</v>
      </c>
      <c r="AA321" s="248">
        <f t="shared" ref="AA321:AB321" si="584">SUM(AA267:AA320)</f>
        <v>0</v>
      </c>
      <c r="AB321" s="248">
        <f t="shared" si="584"/>
        <v>86</v>
      </c>
      <c r="AC321" s="271">
        <f t="shared" si="572"/>
        <v>0</v>
      </c>
      <c r="AD321" s="248">
        <f t="shared" ref="AD321:AE321" si="585">SUM(AD267:AD320)</f>
        <v>1</v>
      </c>
      <c r="AE321" s="248">
        <f t="shared" si="585"/>
        <v>87</v>
      </c>
      <c r="AF321" s="309">
        <f t="shared" si="574"/>
        <v>1.1627906976744186E-2</v>
      </c>
      <c r="AG321" s="248">
        <f t="shared" ref="AG321:AH321" si="586">SUM(AG267:AG320)</f>
        <v>0</v>
      </c>
      <c r="AH321" s="248">
        <f t="shared" si="586"/>
        <v>87</v>
      </c>
      <c r="AI321" s="271">
        <f t="shared" si="576"/>
        <v>0</v>
      </c>
      <c r="AJ321" s="318">
        <f>SUM(AJ267:AJ320)</f>
        <v>10</v>
      </c>
      <c r="AK321" s="274">
        <f t="shared" si="580"/>
        <v>5.8311508982757942E-3</v>
      </c>
    </row>
    <row r="322" spans="2:37" ht="15" customHeight="1" x14ac:dyDescent="0.35"/>
    <row r="323" spans="2:37" ht="15.5" x14ac:dyDescent="0.35">
      <c r="B323" s="419" t="s">
        <v>145</v>
      </c>
      <c r="C323" s="419"/>
      <c r="D323" s="419"/>
      <c r="E323" s="419"/>
      <c r="F323" s="419"/>
      <c r="G323" s="419"/>
      <c r="H323" s="419"/>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c r="AJ323" s="419"/>
      <c r="AK323" s="419"/>
    </row>
    <row r="324" spans="2:37" ht="5.9" customHeight="1" outlineLevel="1" x14ac:dyDescent="0.35">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c r="AA324" s="103"/>
      <c r="AB324" s="103"/>
      <c r="AC324" s="103"/>
      <c r="AD324" s="103"/>
      <c r="AE324" s="103"/>
      <c r="AF324" s="103"/>
      <c r="AG324" s="103"/>
      <c r="AH324" s="103"/>
      <c r="AI324" s="103"/>
      <c r="AJ324" s="103"/>
      <c r="AK324" s="103"/>
    </row>
    <row r="325" spans="2:37" outlineLevel="1" x14ac:dyDescent="0.35">
      <c r="B325" s="462"/>
      <c r="C325" s="465" t="s">
        <v>134</v>
      </c>
      <c r="D325" s="435" t="s">
        <v>169</v>
      </c>
      <c r="E325" s="436"/>
      <c r="F325" s="436"/>
      <c r="G325" s="436"/>
      <c r="H325" s="436"/>
      <c r="I325" s="436"/>
      <c r="J325" s="436"/>
      <c r="K325" s="436"/>
      <c r="L325" s="436"/>
      <c r="M325" s="436"/>
      <c r="N325" s="436"/>
      <c r="O325" s="435" t="s">
        <v>210</v>
      </c>
      <c r="P325" s="436"/>
      <c r="Q325" s="437"/>
      <c r="R325" s="431" t="str">
        <f xml:space="preserve"> D326&amp;" - "&amp;O326</f>
        <v>2019 - 2023</v>
      </c>
      <c r="S325" s="456"/>
      <c r="U325" s="435" t="s">
        <v>211</v>
      </c>
      <c r="V325" s="436"/>
      <c r="W325" s="436"/>
      <c r="X325" s="436"/>
      <c r="Y325" s="436"/>
      <c r="Z325" s="436"/>
      <c r="AA325" s="436"/>
      <c r="AB325" s="436"/>
      <c r="AC325" s="436"/>
      <c r="AD325" s="436"/>
      <c r="AE325" s="436"/>
      <c r="AF325" s="436"/>
      <c r="AG325" s="436"/>
      <c r="AH325" s="436"/>
      <c r="AI325" s="436"/>
      <c r="AJ325" s="436"/>
      <c r="AK325" s="437"/>
    </row>
    <row r="326" spans="2:37" outlineLevel="1" x14ac:dyDescent="0.35">
      <c r="B326" s="463"/>
      <c r="C326" s="465"/>
      <c r="D326" s="435">
        <f>$C$3-5</f>
        <v>2019</v>
      </c>
      <c r="E326" s="437"/>
      <c r="F326" s="436">
        <f>$C$3-4</f>
        <v>2020</v>
      </c>
      <c r="G326" s="436"/>
      <c r="H326" s="436"/>
      <c r="I326" s="435">
        <f>$C$3-3</f>
        <v>2021</v>
      </c>
      <c r="J326" s="436"/>
      <c r="K326" s="437"/>
      <c r="L326" s="435">
        <f>$C$3-2</f>
        <v>2022</v>
      </c>
      <c r="M326" s="436"/>
      <c r="N326" s="437"/>
      <c r="O326" s="435">
        <f>$C$3-1</f>
        <v>2023</v>
      </c>
      <c r="P326" s="436"/>
      <c r="Q326" s="437"/>
      <c r="R326" s="433"/>
      <c r="S326" s="457"/>
      <c r="U326" s="435">
        <f>$C$3</f>
        <v>2024</v>
      </c>
      <c r="V326" s="436"/>
      <c r="W326" s="437"/>
      <c r="X326" s="436">
        <f>$C$3+1</f>
        <v>2025</v>
      </c>
      <c r="Y326" s="436"/>
      <c r="Z326" s="436"/>
      <c r="AA326" s="435">
        <f>$C$3+2</f>
        <v>2026</v>
      </c>
      <c r="AB326" s="436"/>
      <c r="AC326" s="437"/>
      <c r="AD326" s="436">
        <f>$C$3+3</f>
        <v>2027</v>
      </c>
      <c r="AE326" s="436"/>
      <c r="AF326" s="436"/>
      <c r="AG326" s="435">
        <f>$C$3+4</f>
        <v>2028</v>
      </c>
      <c r="AH326" s="436"/>
      <c r="AI326" s="437"/>
      <c r="AJ326" s="439" t="str">
        <f>U326&amp;" - "&amp;AG326</f>
        <v>2024 - 2028</v>
      </c>
      <c r="AK326" s="458"/>
    </row>
    <row r="327" spans="2:37" ht="29" outlineLevel="1" x14ac:dyDescent="0.35">
      <c r="B327" s="464"/>
      <c r="C327" s="465"/>
      <c r="D327" s="66" t="s">
        <v>192</v>
      </c>
      <c r="E327" s="67" t="s">
        <v>193</v>
      </c>
      <c r="F327" s="313" t="s">
        <v>192</v>
      </c>
      <c r="G327" s="9" t="s">
        <v>193</v>
      </c>
      <c r="H327" s="67" t="s">
        <v>173</v>
      </c>
      <c r="I327" s="313" t="s">
        <v>192</v>
      </c>
      <c r="J327" s="9" t="s">
        <v>193</v>
      </c>
      <c r="K327" s="67" t="s">
        <v>173</v>
      </c>
      <c r="L327" s="313" t="s">
        <v>192</v>
      </c>
      <c r="M327" s="9" t="s">
        <v>193</v>
      </c>
      <c r="N327" s="67" t="s">
        <v>173</v>
      </c>
      <c r="O327" s="313" t="s">
        <v>192</v>
      </c>
      <c r="P327" s="9" t="s">
        <v>193</v>
      </c>
      <c r="Q327" s="67" t="s">
        <v>173</v>
      </c>
      <c r="R327" s="66" t="s">
        <v>164</v>
      </c>
      <c r="S327" s="134" t="s">
        <v>174</v>
      </c>
      <c r="U327" s="66" t="s">
        <v>192</v>
      </c>
      <c r="V327" s="9" t="s">
        <v>193</v>
      </c>
      <c r="W327" s="67" t="s">
        <v>173</v>
      </c>
      <c r="X327" s="313" t="s">
        <v>192</v>
      </c>
      <c r="Y327" s="9" t="s">
        <v>193</v>
      </c>
      <c r="Z327" s="67" t="s">
        <v>173</v>
      </c>
      <c r="AA327" s="313" t="s">
        <v>192</v>
      </c>
      <c r="AB327" s="9" t="s">
        <v>193</v>
      </c>
      <c r="AC327" s="67" t="s">
        <v>173</v>
      </c>
      <c r="AD327" s="313" t="s">
        <v>192</v>
      </c>
      <c r="AE327" s="9" t="s">
        <v>193</v>
      </c>
      <c r="AF327" s="67" t="s">
        <v>173</v>
      </c>
      <c r="AG327" s="313" t="s">
        <v>192</v>
      </c>
      <c r="AH327" s="9" t="s">
        <v>193</v>
      </c>
      <c r="AI327" s="67" t="s">
        <v>173</v>
      </c>
      <c r="AJ327" s="313" t="s">
        <v>164</v>
      </c>
      <c r="AK327" s="134" t="s">
        <v>174</v>
      </c>
    </row>
    <row r="328" spans="2:37" outlineLevel="1" x14ac:dyDescent="0.35">
      <c r="B328" s="48" t="s">
        <v>74</v>
      </c>
      <c r="C328" s="62" t="s">
        <v>141</v>
      </c>
      <c r="D328" s="70">
        <v>0</v>
      </c>
      <c r="E328" s="4">
        <v>0</v>
      </c>
      <c r="F328" s="70">
        <v>0</v>
      </c>
      <c r="G328" s="4">
        <v>0</v>
      </c>
      <c r="H328" s="185">
        <f t="shared" ref="H328:H381" si="587">IFERROR((G328-E328)/E328,0)</f>
        <v>0</v>
      </c>
      <c r="I328" s="70">
        <v>0</v>
      </c>
      <c r="J328" s="4">
        <v>0</v>
      </c>
      <c r="K328" s="167">
        <f t="shared" ref="K328:K382" si="588">IFERROR((J328-G328)/G328,0)</f>
        <v>0</v>
      </c>
      <c r="L328" s="70">
        <v>0</v>
      </c>
      <c r="M328" s="4"/>
      <c r="N328" s="167">
        <f t="shared" ref="N328:N382" si="589">IFERROR((M328-J328)/J328,0)</f>
        <v>0</v>
      </c>
      <c r="O328" s="70"/>
      <c r="P328" s="4"/>
      <c r="Q328" s="167">
        <f>IFERROR((P328-M328)/M328,0)</f>
        <v>0</v>
      </c>
      <c r="R328" s="164">
        <f>D328+F328+I328+L328+O328</f>
        <v>0</v>
      </c>
      <c r="S328" s="165">
        <f>IFERROR((P328/E328)^(1/4)-1,0)</f>
        <v>0</v>
      </c>
      <c r="U328" s="70">
        <v>0</v>
      </c>
      <c r="V328" s="138">
        <f>P328+U328</f>
        <v>0</v>
      </c>
      <c r="W328" s="167">
        <f t="shared" ref="W328:W382" si="590">IFERROR((V328-P328)/P328,0)</f>
        <v>0</v>
      </c>
      <c r="X328" s="70"/>
      <c r="Y328" s="138">
        <f>V328+X328</f>
        <v>0</v>
      </c>
      <c r="Z328" s="285">
        <f>IFERROR((Y328-V328)/V328,0)</f>
        <v>0</v>
      </c>
      <c r="AA328" s="70">
        <v>0</v>
      </c>
      <c r="AB328" s="138">
        <f>Y328+AA328</f>
        <v>0</v>
      </c>
      <c r="AC328" s="285">
        <f>IFERROR((AB328-Y328)/Y328,0)</f>
        <v>0</v>
      </c>
      <c r="AD328" s="68"/>
      <c r="AE328" s="138">
        <f>AB328+AD328</f>
        <v>0</v>
      </c>
      <c r="AF328" s="285">
        <f>IFERROR((AE328-AB328)/AB328,0)</f>
        <v>0</v>
      </c>
      <c r="AG328" s="70">
        <v>0</v>
      </c>
      <c r="AH328" s="138">
        <f>AE328+AG328</f>
        <v>0</v>
      </c>
      <c r="AI328" s="285">
        <f>IFERROR((AH328-AE328)/AE328,0)</f>
        <v>0</v>
      </c>
      <c r="AJ328" s="164">
        <f t="shared" ref="AJ328:AJ382" si="591">U328+X328+AA328+AD328+AG328</f>
        <v>0</v>
      </c>
      <c r="AK328" s="165">
        <f t="shared" ref="AK328:AK382" si="592">IFERROR((AH328/V328)^(1/4)-1,0)</f>
        <v>0</v>
      </c>
    </row>
    <row r="329" spans="2:37" outlineLevel="1" x14ac:dyDescent="0.35">
      <c r="B329" s="48" t="s">
        <v>75</v>
      </c>
      <c r="C329" s="62" t="s">
        <v>141</v>
      </c>
      <c r="D329" s="70">
        <v>0</v>
      </c>
      <c r="E329" s="4">
        <v>0</v>
      </c>
      <c r="F329" s="70">
        <v>1</v>
      </c>
      <c r="G329" s="4">
        <v>1</v>
      </c>
      <c r="H329" s="185">
        <f t="shared" si="587"/>
        <v>0</v>
      </c>
      <c r="I329" s="70">
        <v>0</v>
      </c>
      <c r="J329" s="4">
        <v>1</v>
      </c>
      <c r="K329" s="167">
        <f t="shared" si="588"/>
        <v>0</v>
      </c>
      <c r="L329" s="70">
        <v>0</v>
      </c>
      <c r="M329" s="4">
        <v>1</v>
      </c>
      <c r="N329" s="167">
        <f t="shared" si="589"/>
        <v>0</v>
      </c>
      <c r="O329" s="70"/>
      <c r="P329" s="4">
        <v>1</v>
      </c>
      <c r="Q329" s="167">
        <f t="shared" ref="Q329:Q381" si="593">IFERROR((P329-M329)/M329,0)</f>
        <v>0</v>
      </c>
      <c r="R329" s="164">
        <f t="shared" ref="R329:R381" si="594">D329+F329+I329+L329+O329</f>
        <v>1</v>
      </c>
      <c r="S329" s="165">
        <f t="shared" ref="S329:S381" si="595">IFERROR((P329/E329)^(1/4)-1,0)</f>
        <v>0</v>
      </c>
      <c r="U329" s="70">
        <v>0</v>
      </c>
      <c r="V329" s="138">
        <f t="shared" ref="V329:V382" si="596">P329+U329</f>
        <v>1</v>
      </c>
      <c r="W329" s="167">
        <f t="shared" si="590"/>
        <v>0</v>
      </c>
      <c r="X329" s="70"/>
      <c r="Y329" s="138">
        <f t="shared" ref="Y329:Y382" si="597">V329+X329</f>
        <v>1</v>
      </c>
      <c r="Z329" s="285">
        <f t="shared" ref="Z329:Z382" si="598">IFERROR((Y329-V329)/V329,0)</f>
        <v>0</v>
      </c>
      <c r="AA329" s="70">
        <v>0</v>
      </c>
      <c r="AB329" s="138">
        <f t="shared" ref="AB329:AB382" si="599">Y329+AA329</f>
        <v>1</v>
      </c>
      <c r="AC329" s="285">
        <f t="shared" ref="AC329:AC382" si="600">IFERROR((AB329-Y329)/Y329,0)</f>
        <v>0</v>
      </c>
      <c r="AD329" s="68"/>
      <c r="AE329" s="138">
        <f t="shared" ref="AE329:AE382" si="601">AB329+AD329</f>
        <v>1</v>
      </c>
      <c r="AF329" s="285">
        <f t="shared" ref="AF329:AF382" si="602">IFERROR((AE329-AB329)/AB329,0)</f>
        <v>0</v>
      </c>
      <c r="AG329" s="70">
        <v>0</v>
      </c>
      <c r="AH329" s="138">
        <f t="shared" ref="AH329:AH382" si="603">AE329+AG329</f>
        <v>1</v>
      </c>
      <c r="AI329" s="285">
        <f t="shared" ref="AI329:AI382" si="604">IFERROR((AH329-AE329)/AE329,0)</f>
        <v>0</v>
      </c>
      <c r="AJ329" s="164">
        <f t="shared" si="591"/>
        <v>0</v>
      </c>
      <c r="AK329" s="165">
        <f t="shared" si="592"/>
        <v>0</v>
      </c>
    </row>
    <row r="330" spans="2:37" outlineLevel="1" x14ac:dyDescent="0.35">
      <c r="B330" s="48" t="s">
        <v>76</v>
      </c>
      <c r="C330" s="62" t="s">
        <v>141</v>
      </c>
      <c r="D330" s="70">
        <v>0</v>
      </c>
      <c r="E330" s="4">
        <v>0</v>
      </c>
      <c r="F330" s="70">
        <v>0</v>
      </c>
      <c r="G330" s="4">
        <v>0</v>
      </c>
      <c r="H330" s="185">
        <f t="shared" si="587"/>
        <v>0</v>
      </c>
      <c r="I330" s="70">
        <v>0</v>
      </c>
      <c r="J330" s="4">
        <v>0</v>
      </c>
      <c r="K330" s="167">
        <f t="shared" si="588"/>
        <v>0</v>
      </c>
      <c r="L330" s="70">
        <v>0</v>
      </c>
      <c r="M330" s="4"/>
      <c r="N330" s="167">
        <f t="shared" si="589"/>
        <v>0</v>
      </c>
      <c r="O330" s="70"/>
      <c r="P330" s="4"/>
      <c r="Q330" s="167">
        <f t="shared" si="593"/>
        <v>0</v>
      </c>
      <c r="R330" s="164">
        <f t="shared" si="594"/>
        <v>0</v>
      </c>
      <c r="S330" s="165">
        <f t="shared" si="595"/>
        <v>0</v>
      </c>
      <c r="U330" s="70">
        <v>0</v>
      </c>
      <c r="V330" s="138">
        <f t="shared" si="596"/>
        <v>0</v>
      </c>
      <c r="W330" s="167">
        <f t="shared" si="590"/>
        <v>0</v>
      </c>
      <c r="X330" s="70"/>
      <c r="Y330" s="138">
        <f t="shared" si="597"/>
        <v>0</v>
      </c>
      <c r="Z330" s="285">
        <f t="shared" si="598"/>
        <v>0</v>
      </c>
      <c r="AA330" s="70">
        <v>0</v>
      </c>
      <c r="AB330" s="138">
        <f t="shared" si="599"/>
        <v>0</v>
      </c>
      <c r="AC330" s="285">
        <f t="shared" si="600"/>
        <v>0</v>
      </c>
      <c r="AD330" s="68"/>
      <c r="AE330" s="138">
        <f t="shared" si="601"/>
        <v>0</v>
      </c>
      <c r="AF330" s="285">
        <f t="shared" si="602"/>
        <v>0</v>
      </c>
      <c r="AG330" s="70">
        <v>0</v>
      </c>
      <c r="AH330" s="138">
        <f t="shared" si="603"/>
        <v>0</v>
      </c>
      <c r="AI330" s="285">
        <f t="shared" si="604"/>
        <v>0</v>
      </c>
      <c r="AJ330" s="164">
        <f t="shared" si="591"/>
        <v>0</v>
      </c>
      <c r="AK330" s="165">
        <f t="shared" si="592"/>
        <v>0</v>
      </c>
    </row>
    <row r="331" spans="2:37" outlineLevel="1" x14ac:dyDescent="0.35">
      <c r="B331" s="48" t="s">
        <v>77</v>
      </c>
      <c r="C331" s="62" t="s">
        <v>141</v>
      </c>
      <c r="D331" s="70">
        <v>0</v>
      </c>
      <c r="E331" s="4">
        <v>0</v>
      </c>
      <c r="F331" s="70">
        <v>0</v>
      </c>
      <c r="G331" s="4">
        <v>0</v>
      </c>
      <c r="H331" s="185">
        <f t="shared" si="587"/>
        <v>0</v>
      </c>
      <c r="I331" s="70">
        <v>0</v>
      </c>
      <c r="J331" s="4">
        <v>0</v>
      </c>
      <c r="K331" s="167">
        <f t="shared" si="588"/>
        <v>0</v>
      </c>
      <c r="L331" s="70">
        <v>0</v>
      </c>
      <c r="M331" s="4"/>
      <c r="N331" s="167">
        <f t="shared" si="589"/>
        <v>0</v>
      </c>
      <c r="O331" s="70"/>
      <c r="P331" s="4"/>
      <c r="Q331" s="167">
        <f t="shared" si="593"/>
        <v>0</v>
      </c>
      <c r="R331" s="164">
        <f t="shared" si="594"/>
        <v>0</v>
      </c>
      <c r="S331" s="165">
        <f t="shared" si="595"/>
        <v>0</v>
      </c>
      <c r="U331" s="70">
        <v>0</v>
      </c>
      <c r="V331" s="138">
        <f t="shared" si="596"/>
        <v>0</v>
      </c>
      <c r="W331" s="167">
        <f t="shared" si="590"/>
        <v>0</v>
      </c>
      <c r="X331" s="70"/>
      <c r="Y331" s="138">
        <f t="shared" si="597"/>
        <v>0</v>
      </c>
      <c r="Z331" s="285">
        <f t="shared" si="598"/>
        <v>0</v>
      </c>
      <c r="AA331" s="70">
        <v>0</v>
      </c>
      <c r="AB331" s="138">
        <f t="shared" si="599"/>
        <v>0</v>
      </c>
      <c r="AC331" s="285">
        <f t="shared" si="600"/>
        <v>0</v>
      </c>
      <c r="AD331" s="68"/>
      <c r="AE331" s="138">
        <f t="shared" si="601"/>
        <v>0</v>
      </c>
      <c r="AF331" s="285">
        <f t="shared" si="602"/>
        <v>0</v>
      </c>
      <c r="AG331" s="70">
        <v>0</v>
      </c>
      <c r="AH331" s="138">
        <f t="shared" si="603"/>
        <v>0</v>
      </c>
      <c r="AI331" s="285">
        <f t="shared" si="604"/>
        <v>0</v>
      </c>
      <c r="AJ331" s="164">
        <f t="shared" si="591"/>
        <v>0</v>
      </c>
      <c r="AK331" s="165">
        <f t="shared" si="592"/>
        <v>0</v>
      </c>
    </row>
    <row r="332" spans="2:37" outlineLevel="1" x14ac:dyDescent="0.35">
      <c r="B332" s="48" t="s">
        <v>78</v>
      </c>
      <c r="C332" s="62" t="s">
        <v>141</v>
      </c>
      <c r="D332" s="70">
        <v>0</v>
      </c>
      <c r="E332" s="4">
        <v>0</v>
      </c>
      <c r="F332" s="70">
        <v>0</v>
      </c>
      <c r="G332" s="4">
        <v>0</v>
      </c>
      <c r="H332" s="185">
        <f t="shared" si="587"/>
        <v>0</v>
      </c>
      <c r="I332" s="70">
        <v>0</v>
      </c>
      <c r="J332" s="4">
        <v>0</v>
      </c>
      <c r="K332" s="167">
        <f t="shared" si="588"/>
        <v>0</v>
      </c>
      <c r="L332" s="70">
        <v>0</v>
      </c>
      <c r="M332" s="4"/>
      <c r="N332" s="167">
        <f t="shared" si="589"/>
        <v>0</v>
      </c>
      <c r="O332" s="70"/>
      <c r="P332" s="4"/>
      <c r="Q332" s="167">
        <f t="shared" si="593"/>
        <v>0</v>
      </c>
      <c r="R332" s="164">
        <f t="shared" si="594"/>
        <v>0</v>
      </c>
      <c r="S332" s="165">
        <f t="shared" si="595"/>
        <v>0</v>
      </c>
      <c r="U332" s="70">
        <v>1</v>
      </c>
      <c r="V332" s="138">
        <f t="shared" si="596"/>
        <v>1</v>
      </c>
      <c r="W332" s="167">
        <f t="shared" si="590"/>
        <v>0</v>
      </c>
      <c r="X332" s="70"/>
      <c r="Y332" s="138">
        <f t="shared" si="597"/>
        <v>1</v>
      </c>
      <c r="Z332" s="285">
        <f>IFERROR((Y332-V332)/V332,0)</f>
        <v>0</v>
      </c>
      <c r="AA332" s="70">
        <v>0</v>
      </c>
      <c r="AB332" s="138">
        <f t="shared" si="599"/>
        <v>1</v>
      </c>
      <c r="AC332" s="285">
        <f t="shared" si="600"/>
        <v>0</v>
      </c>
      <c r="AD332" s="68"/>
      <c r="AE332" s="138">
        <f t="shared" si="601"/>
        <v>1</v>
      </c>
      <c r="AF332" s="285">
        <f t="shared" si="602"/>
        <v>0</v>
      </c>
      <c r="AG332" s="70">
        <v>0</v>
      </c>
      <c r="AH332" s="138">
        <f t="shared" si="603"/>
        <v>1</v>
      </c>
      <c r="AI332" s="285">
        <f t="shared" si="604"/>
        <v>0</v>
      </c>
      <c r="AJ332" s="164">
        <f t="shared" si="591"/>
        <v>1</v>
      </c>
      <c r="AK332" s="165">
        <f t="shared" si="592"/>
        <v>0</v>
      </c>
    </row>
    <row r="333" spans="2:37" outlineLevel="1" x14ac:dyDescent="0.35">
      <c r="B333" s="48" t="s">
        <v>79</v>
      </c>
      <c r="C333" s="62" t="s">
        <v>141</v>
      </c>
      <c r="D333" s="70">
        <v>0</v>
      </c>
      <c r="E333" s="4">
        <v>0</v>
      </c>
      <c r="F333" s="70">
        <v>0</v>
      </c>
      <c r="G333" s="4">
        <v>0</v>
      </c>
      <c r="H333" s="185">
        <f t="shared" si="587"/>
        <v>0</v>
      </c>
      <c r="I333" s="70">
        <v>0</v>
      </c>
      <c r="J333" s="4">
        <v>0</v>
      </c>
      <c r="K333" s="167">
        <f t="shared" si="588"/>
        <v>0</v>
      </c>
      <c r="L333" s="70">
        <v>0</v>
      </c>
      <c r="M333" s="4"/>
      <c r="N333" s="167">
        <f t="shared" si="589"/>
        <v>0</v>
      </c>
      <c r="O333" s="70"/>
      <c r="P333" s="4"/>
      <c r="Q333" s="167">
        <f t="shared" si="593"/>
        <v>0</v>
      </c>
      <c r="R333" s="164">
        <f t="shared" si="594"/>
        <v>0</v>
      </c>
      <c r="S333" s="165">
        <f t="shared" si="595"/>
        <v>0</v>
      </c>
      <c r="U333" s="70">
        <v>0</v>
      </c>
      <c r="V333" s="138">
        <f t="shared" si="596"/>
        <v>0</v>
      </c>
      <c r="W333" s="167">
        <f t="shared" si="590"/>
        <v>0</v>
      </c>
      <c r="X333" s="70"/>
      <c r="Y333" s="138">
        <f t="shared" si="597"/>
        <v>0</v>
      </c>
      <c r="Z333" s="285">
        <f t="shared" si="598"/>
        <v>0</v>
      </c>
      <c r="AA333" s="70">
        <v>0</v>
      </c>
      <c r="AB333" s="138">
        <f t="shared" si="599"/>
        <v>0</v>
      </c>
      <c r="AC333" s="285">
        <f t="shared" si="600"/>
        <v>0</v>
      </c>
      <c r="AD333" s="68"/>
      <c r="AE333" s="138">
        <f t="shared" si="601"/>
        <v>0</v>
      </c>
      <c r="AF333" s="285">
        <f t="shared" si="602"/>
        <v>0</v>
      </c>
      <c r="AG333" s="70">
        <v>0</v>
      </c>
      <c r="AH333" s="138">
        <f t="shared" si="603"/>
        <v>0</v>
      </c>
      <c r="AI333" s="285">
        <f t="shared" si="604"/>
        <v>0</v>
      </c>
      <c r="AJ333" s="164">
        <f t="shared" si="591"/>
        <v>0</v>
      </c>
      <c r="AK333" s="165">
        <f t="shared" si="592"/>
        <v>0</v>
      </c>
    </row>
    <row r="334" spans="2:37" outlineLevel="1" x14ac:dyDescent="0.35">
      <c r="B334" s="48" t="s">
        <v>80</v>
      </c>
      <c r="C334" s="62" t="s">
        <v>141</v>
      </c>
      <c r="D334" s="70">
        <v>0</v>
      </c>
      <c r="E334" s="4">
        <v>0</v>
      </c>
      <c r="F334" s="70">
        <v>0</v>
      </c>
      <c r="G334" s="4">
        <v>0</v>
      </c>
      <c r="H334" s="185">
        <f t="shared" si="587"/>
        <v>0</v>
      </c>
      <c r="I334" s="70">
        <v>0</v>
      </c>
      <c r="J334" s="4">
        <v>0</v>
      </c>
      <c r="K334" s="167">
        <f t="shared" si="588"/>
        <v>0</v>
      </c>
      <c r="L334" s="70">
        <v>0</v>
      </c>
      <c r="M334" s="4"/>
      <c r="N334" s="167">
        <f t="shared" si="589"/>
        <v>0</v>
      </c>
      <c r="O334" s="70"/>
      <c r="P334" s="4"/>
      <c r="Q334" s="167">
        <f t="shared" si="593"/>
        <v>0</v>
      </c>
      <c r="R334" s="164">
        <f t="shared" si="594"/>
        <v>0</v>
      </c>
      <c r="S334" s="165">
        <f t="shared" si="595"/>
        <v>0</v>
      </c>
      <c r="U334" s="70">
        <v>0</v>
      </c>
      <c r="V334" s="138">
        <f t="shared" si="596"/>
        <v>0</v>
      </c>
      <c r="W334" s="167">
        <f t="shared" si="590"/>
        <v>0</v>
      </c>
      <c r="X334" s="70"/>
      <c r="Y334" s="138">
        <f t="shared" si="597"/>
        <v>0</v>
      </c>
      <c r="Z334" s="285">
        <f t="shared" si="598"/>
        <v>0</v>
      </c>
      <c r="AA334" s="70">
        <v>0</v>
      </c>
      <c r="AB334" s="138">
        <f t="shared" si="599"/>
        <v>0</v>
      </c>
      <c r="AC334" s="285">
        <f t="shared" si="600"/>
        <v>0</v>
      </c>
      <c r="AD334" s="68"/>
      <c r="AE334" s="138">
        <f t="shared" si="601"/>
        <v>0</v>
      </c>
      <c r="AF334" s="285">
        <f t="shared" si="602"/>
        <v>0</v>
      </c>
      <c r="AG334" s="70">
        <v>0</v>
      </c>
      <c r="AH334" s="138">
        <f t="shared" si="603"/>
        <v>0</v>
      </c>
      <c r="AI334" s="285">
        <f t="shared" si="604"/>
        <v>0</v>
      </c>
      <c r="AJ334" s="164">
        <f t="shared" si="591"/>
        <v>0</v>
      </c>
      <c r="AK334" s="165">
        <f t="shared" si="592"/>
        <v>0</v>
      </c>
    </row>
    <row r="335" spans="2:37" outlineLevel="1" x14ac:dyDescent="0.35">
      <c r="B335" s="48" t="s">
        <v>81</v>
      </c>
      <c r="C335" s="62" t="s">
        <v>141</v>
      </c>
      <c r="D335" s="70">
        <v>0</v>
      </c>
      <c r="E335" s="4">
        <v>0</v>
      </c>
      <c r="F335" s="70">
        <v>0</v>
      </c>
      <c r="G335" s="4">
        <v>0</v>
      </c>
      <c r="H335" s="185">
        <f t="shared" si="587"/>
        <v>0</v>
      </c>
      <c r="I335" s="70">
        <v>0</v>
      </c>
      <c r="J335" s="4">
        <v>0</v>
      </c>
      <c r="K335" s="167">
        <f t="shared" si="588"/>
        <v>0</v>
      </c>
      <c r="L335" s="70">
        <v>0</v>
      </c>
      <c r="M335" s="4"/>
      <c r="N335" s="167">
        <f t="shared" si="589"/>
        <v>0</v>
      </c>
      <c r="O335" s="70"/>
      <c r="P335" s="4"/>
      <c r="Q335" s="167">
        <f t="shared" si="593"/>
        <v>0</v>
      </c>
      <c r="R335" s="164">
        <f t="shared" si="594"/>
        <v>0</v>
      </c>
      <c r="S335" s="165">
        <f t="shared" si="595"/>
        <v>0</v>
      </c>
      <c r="U335" s="70">
        <v>0</v>
      </c>
      <c r="V335" s="138">
        <f t="shared" si="596"/>
        <v>0</v>
      </c>
      <c r="W335" s="167">
        <f t="shared" si="590"/>
        <v>0</v>
      </c>
      <c r="X335" s="70"/>
      <c r="Y335" s="138">
        <f t="shared" si="597"/>
        <v>0</v>
      </c>
      <c r="Z335" s="285">
        <f t="shared" si="598"/>
        <v>0</v>
      </c>
      <c r="AA335" s="70">
        <v>0</v>
      </c>
      <c r="AB335" s="138">
        <f t="shared" si="599"/>
        <v>0</v>
      </c>
      <c r="AC335" s="285">
        <f t="shared" si="600"/>
        <v>0</v>
      </c>
      <c r="AD335" s="68"/>
      <c r="AE335" s="138">
        <f t="shared" si="601"/>
        <v>0</v>
      </c>
      <c r="AF335" s="285">
        <f t="shared" si="602"/>
        <v>0</v>
      </c>
      <c r="AG335" s="70">
        <v>0</v>
      </c>
      <c r="AH335" s="138">
        <f t="shared" si="603"/>
        <v>0</v>
      </c>
      <c r="AI335" s="285">
        <f t="shared" si="604"/>
        <v>0</v>
      </c>
      <c r="AJ335" s="164">
        <f t="shared" si="591"/>
        <v>0</v>
      </c>
      <c r="AK335" s="165">
        <f t="shared" si="592"/>
        <v>0</v>
      </c>
    </row>
    <row r="336" spans="2:37" outlineLevel="1" x14ac:dyDescent="0.35">
      <c r="B336" s="48" t="s">
        <v>82</v>
      </c>
      <c r="C336" s="62" t="s">
        <v>141</v>
      </c>
      <c r="D336" s="70">
        <v>1</v>
      </c>
      <c r="E336" s="4">
        <v>1</v>
      </c>
      <c r="F336" s="70">
        <v>0</v>
      </c>
      <c r="G336" s="4">
        <v>1</v>
      </c>
      <c r="H336" s="185">
        <f t="shared" si="587"/>
        <v>0</v>
      </c>
      <c r="I336" s="70">
        <v>0</v>
      </c>
      <c r="J336" s="4">
        <v>1</v>
      </c>
      <c r="K336" s="167">
        <f t="shared" si="588"/>
        <v>0</v>
      </c>
      <c r="L336" s="70">
        <v>0</v>
      </c>
      <c r="M336" s="4">
        <v>1</v>
      </c>
      <c r="N336" s="167">
        <f t="shared" si="589"/>
        <v>0</v>
      </c>
      <c r="O336" s="70"/>
      <c r="P336" s="4">
        <v>1</v>
      </c>
      <c r="Q336" s="167">
        <f t="shared" si="593"/>
        <v>0</v>
      </c>
      <c r="R336" s="164">
        <f t="shared" si="594"/>
        <v>1</v>
      </c>
      <c r="S336" s="165">
        <f t="shared" si="595"/>
        <v>0</v>
      </c>
      <c r="U336" s="70">
        <v>0</v>
      </c>
      <c r="V336" s="138">
        <f t="shared" si="596"/>
        <v>1</v>
      </c>
      <c r="W336" s="167">
        <f t="shared" si="590"/>
        <v>0</v>
      </c>
      <c r="X336" s="70"/>
      <c r="Y336" s="138">
        <f t="shared" si="597"/>
        <v>1</v>
      </c>
      <c r="Z336" s="285">
        <f t="shared" si="598"/>
        <v>0</v>
      </c>
      <c r="AA336" s="70">
        <v>0</v>
      </c>
      <c r="AB336" s="138">
        <f t="shared" si="599"/>
        <v>1</v>
      </c>
      <c r="AC336" s="285">
        <f t="shared" si="600"/>
        <v>0</v>
      </c>
      <c r="AD336" s="68"/>
      <c r="AE336" s="138">
        <f t="shared" si="601"/>
        <v>1</v>
      </c>
      <c r="AF336" s="285">
        <f t="shared" si="602"/>
        <v>0</v>
      </c>
      <c r="AG336" s="70">
        <v>0</v>
      </c>
      <c r="AH336" s="138">
        <f t="shared" si="603"/>
        <v>1</v>
      </c>
      <c r="AI336" s="285">
        <f t="shared" si="604"/>
        <v>0</v>
      </c>
      <c r="AJ336" s="164">
        <f t="shared" si="591"/>
        <v>0</v>
      </c>
      <c r="AK336" s="165">
        <f t="shared" si="592"/>
        <v>0</v>
      </c>
    </row>
    <row r="337" spans="2:37" outlineLevel="1" x14ac:dyDescent="0.35">
      <c r="B337" s="48" t="s">
        <v>83</v>
      </c>
      <c r="C337" s="62" t="s">
        <v>141</v>
      </c>
      <c r="D337" s="70">
        <v>0</v>
      </c>
      <c r="E337" s="4">
        <v>0</v>
      </c>
      <c r="F337" s="70">
        <v>0</v>
      </c>
      <c r="G337" s="4">
        <v>0</v>
      </c>
      <c r="H337" s="185">
        <f t="shared" si="587"/>
        <v>0</v>
      </c>
      <c r="I337" s="70">
        <v>0</v>
      </c>
      <c r="J337" s="4">
        <v>0</v>
      </c>
      <c r="K337" s="167">
        <f t="shared" si="588"/>
        <v>0</v>
      </c>
      <c r="L337" s="70">
        <v>0</v>
      </c>
      <c r="M337" s="4"/>
      <c r="N337" s="167">
        <f t="shared" si="589"/>
        <v>0</v>
      </c>
      <c r="O337" s="70"/>
      <c r="P337" s="4"/>
      <c r="Q337" s="167">
        <f t="shared" si="593"/>
        <v>0</v>
      </c>
      <c r="R337" s="164">
        <f t="shared" si="594"/>
        <v>0</v>
      </c>
      <c r="S337" s="165">
        <f t="shared" si="595"/>
        <v>0</v>
      </c>
      <c r="U337" s="70">
        <v>0</v>
      </c>
      <c r="V337" s="138">
        <f t="shared" si="596"/>
        <v>0</v>
      </c>
      <c r="W337" s="167">
        <f t="shared" si="590"/>
        <v>0</v>
      </c>
      <c r="X337" s="70"/>
      <c r="Y337" s="138">
        <f t="shared" si="597"/>
        <v>0</v>
      </c>
      <c r="Z337" s="285">
        <f t="shared" si="598"/>
        <v>0</v>
      </c>
      <c r="AA337" s="70">
        <v>0</v>
      </c>
      <c r="AB337" s="138">
        <f t="shared" si="599"/>
        <v>0</v>
      </c>
      <c r="AC337" s="285">
        <f t="shared" si="600"/>
        <v>0</v>
      </c>
      <c r="AD337" s="68"/>
      <c r="AE337" s="138">
        <f t="shared" si="601"/>
        <v>0</v>
      </c>
      <c r="AF337" s="285">
        <f t="shared" si="602"/>
        <v>0</v>
      </c>
      <c r="AG337" s="70">
        <v>0</v>
      </c>
      <c r="AH337" s="138">
        <f t="shared" si="603"/>
        <v>0</v>
      </c>
      <c r="AI337" s="285">
        <f t="shared" si="604"/>
        <v>0</v>
      </c>
      <c r="AJ337" s="164">
        <f t="shared" si="591"/>
        <v>0</v>
      </c>
      <c r="AK337" s="165">
        <f t="shared" si="592"/>
        <v>0</v>
      </c>
    </row>
    <row r="338" spans="2:37" outlineLevel="1" x14ac:dyDescent="0.35">
      <c r="B338" s="48" t="s">
        <v>84</v>
      </c>
      <c r="C338" s="62" t="s">
        <v>141</v>
      </c>
      <c r="D338" s="70">
        <v>0</v>
      </c>
      <c r="E338" s="4">
        <v>0</v>
      </c>
      <c r="F338" s="70">
        <v>0</v>
      </c>
      <c r="G338" s="4">
        <v>0</v>
      </c>
      <c r="H338" s="185">
        <f t="shared" si="587"/>
        <v>0</v>
      </c>
      <c r="I338" s="70">
        <v>0</v>
      </c>
      <c r="J338" s="4">
        <v>0</v>
      </c>
      <c r="K338" s="167">
        <f t="shared" si="588"/>
        <v>0</v>
      </c>
      <c r="L338" s="70">
        <v>0</v>
      </c>
      <c r="M338" s="4"/>
      <c r="N338" s="167">
        <f t="shared" si="589"/>
        <v>0</v>
      </c>
      <c r="O338" s="70"/>
      <c r="P338" s="4"/>
      <c r="Q338" s="167">
        <f t="shared" si="593"/>
        <v>0</v>
      </c>
      <c r="R338" s="164">
        <f t="shared" si="594"/>
        <v>0</v>
      </c>
      <c r="S338" s="165">
        <f t="shared" si="595"/>
        <v>0</v>
      </c>
      <c r="U338" s="70">
        <v>0</v>
      </c>
      <c r="V338" s="138">
        <f t="shared" si="596"/>
        <v>0</v>
      </c>
      <c r="W338" s="167">
        <f t="shared" si="590"/>
        <v>0</v>
      </c>
      <c r="X338" s="70"/>
      <c r="Y338" s="138">
        <f t="shared" si="597"/>
        <v>0</v>
      </c>
      <c r="Z338" s="285">
        <f t="shared" si="598"/>
        <v>0</v>
      </c>
      <c r="AA338" s="70">
        <v>0</v>
      </c>
      <c r="AB338" s="138">
        <f t="shared" si="599"/>
        <v>0</v>
      </c>
      <c r="AC338" s="285">
        <f t="shared" si="600"/>
        <v>0</v>
      </c>
      <c r="AD338" s="68"/>
      <c r="AE338" s="138">
        <f t="shared" si="601"/>
        <v>0</v>
      </c>
      <c r="AF338" s="285">
        <f t="shared" si="602"/>
        <v>0</v>
      </c>
      <c r="AG338" s="70">
        <v>0</v>
      </c>
      <c r="AH338" s="138">
        <f t="shared" si="603"/>
        <v>0</v>
      </c>
      <c r="AI338" s="285">
        <f t="shared" si="604"/>
        <v>0</v>
      </c>
      <c r="AJ338" s="164">
        <f t="shared" si="591"/>
        <v>0</v>
      </c>
      <c r="AK338" s="165">
        <f t="shared" si="592"/>
        <v>0</v>
      </c>
    </row>
    <row r="339" spans="2:37" outlineLevel="1" x14ac:dyDescent="0.35">
      <c r="B339" s="48" t="s">
        <v>85</v>
      </c>
      <c r="C339" s="62" t="s">
        <v>141</v>
      </c>
      <c r="D339" s="70">
        <v>0</v>
      </c>
      <c r="E339" s="4">
        <v>0</v>
      </c>
      <c r="F339" s="70">
        <v>0</v>
      </c>
      <c r="G339" s="4">
        <v>0</v>
      </c>
      <c r="H339" s="185">
        <f t="shared" si="587"/>
        <v>0</v>
      </c>
      <c r="I339" s="70">
        <v>0</v>
      </c>
      <c r="J339" s="4">
        <v>0</v>
      </c>
      <c r="K339" s="167">
        <f t="shared" si="588"/>
        <v>0</v>
      </c>
      <c r="L339" s="70">
        <v>0</v>
      </c>
      <c r="M339" s="4"/>
      <c r="N339" s="167">
        <f t="shared" si="589"/>
        <v>0</v>
      </c>
      <c r="O339" s="70"/>
      <c r="P339" s="4"/>
      <c r="Q339" s="167">
        <f t="shared" si="593"/>
        <v>0</v>
      </c>
      <c r="R339" s="164">
        <f t="shared" si="594"/>
        <v>0</v>
      </c>
      <c r="S339" s="165">
        <f t="shared" si="595"/>
        <v>0</v>
      </c>
      <c r="U339" s="70">
        <v>0</v>
      </c>
      <c r="V339" s="138">
        <f t="shared" si="596"/>
        <v>0</v>
      </c>
      <c r="W339" s="167">
        <f t="shared" si="590"/>
        <v>0</v>
      </c>
      <c r="X339" s="70"/>
      <c r="Y339" s="138">
        <f t="shared" si="597"/>
        <v>0</v>
      </c>
      <c r="Z339" s="285">
        <f t="shared" si="598"/>
        <v>0</v>
      </c>
      <c r="AA339" s="70">
        <v>0</v>
      </c>
      <c r="AB339" s="138">
        <f t="shared" si="599"/>
        <v>0</v>
      </c>
      <c r="AC339" s="285">
        <f t="shared" si="600"/>
        <v>0</v>
      </c>
      <c r="AD339" s="68"/>
      <c r="AE339" s="138">
        <f t="shared" si="601"/>
        <v>0</v>
      </c>
      <c r="AF339" s="285">
        <f t="shared" si="602"/>
        <v>0</v>
      </c>
      <c r="AG339" s="70">
        <v>0</v>
      </c>
      <c r="AH339" s="138">
        <f t="shared" si="603"/>
        <v>0</v>
      </c>
      <c r="AI339" s="285">
        <f t="shared" si="604"/>
        <v>0</v>
      </c>
      <c r="AJ339" s="164">
        <f t="shared" si="591"/>
        <v>0</v>
      </c>
      <c r="AK339" s="165">
        <f t="shared" si="592"/>
        <v>0</v>
      </c>
    </row>
    <row r="340" spans="2:37" outlineLevel="1" x14ac:dyDescent="0.35">
      <c r="B340" s="48" t="s">
        <v>86</v>
      </c>
      <c r="C340" s="62" t="s">
        <v>141</v>
      </c>
      <c r="D340" s="70">
        <v>0</v>
      </c>
      <c r="E340" s="4">
        <v>0</v>
      </c>
      <c r="F340" s="70">
        <v>0</v>
      </c>
      <c r="G340" s="4">
        <v>0</v>
      </c>
      <c r="H340" s="185">
        <f t="shared" si="587"/>
        <v>0</v>
      </c>
      <c r="I340" s="70">
        <v>0</v>
      </c>
      <c r="J340" s="4">
        <v>0</v>
      </c>
      <c r="K340" s="167">
        <f t="shared" si="588"/>
        <v>0</v>
      </c>
      <c r="L340" s="70">
        <v>0</v>
      </c>
      <c r="M340" s="4"/>
      <c r="N340" s="167">
        <f t="shared" si="589"/>
        <v>0</v>
      </c>
      <c r="O340" s="70"/>
      <c r="P340" s="4"/>
      <c r="Q340" s="167">
        <f t="shared" si="593"/>
        <v>0</v>
      </c>
      <c r="R340" s="164">
        <f t="shared" si="594"/>
        <v>0</v>
      </c>
      <c r="S340" s="165">
        <f t="shared" si="595"/>
        <v>0</v>
      </c>
      <c r="U340" s="70">
        <v>0</v>
      </c>
      <c r="V340" s="138">
        <f t="shared" si="596"/>
        <v>0</v>
      </c>
      <c r="W340" s="167">
        <f t="shared" si="590"/>
        <v>0</v>
      </c>
      <c r="X340" s="70"/>
      <c r="Y340" s="138">
        <f t="shared" si="597"/>
        <v>0</v>
      </c>
      <c r="Z340" s="285">
        <f t="shared" si="598"/>
        <v>0</v>
      </c>
      <c r="AA340" s="70">
        <v>0</v>
      </c>
      <c r="AB340" s="138">
        <f t="shared" si="599"/>
        <v>0</v>
      </c>
      <c r="AC340" s="285">
        <f t="shared" si="600"/>
        <v>0</v>
      </c>
      <c r="AD340" s="68"/>
      <c r="AE340" s="138">
        <f t="shared" si="601"/>
        <v>0</v>
      </c>
      <c r="AF340" s="285">
        <f t="shared" si="602"/>
        <v>0</v>
      </c>
      <c r="AG340" s="70">
        <v>0</v>
      </c>
      <c r="AH340" s="138">
        <f t="shared" si="603"/>
        <v>0</v>
      </c>
      <c r="AI340" s="285">
        <f t="shared" si="604"/>
        <v>0</v>
      </c>
      <c r="AJ340" s="164">
        <f t="shared" si="591"/>
        <v>0</v>
      </c>
      <c r="AK340" s="165">
        <f t="shared" si="592"/>
        <v>0</v>
      </c>
    </row>
    <row r="341" spans="2:37" outlineLevel="1" x14ac:dyDescent="0.35">
      <c r="B341" s="48" t="s">
        <v>87</v>
      </c>
      <c r="C341" s="62" t="s">
        <v>141</v>
      </c>
      <c r="D341" s="70">
        <v>0</v>
      </c>
      <c r="E341" s="4">
        <v>0</v>
      </c>
      <c r="F341" s="70">
        <v>0</v>
      </c>
      <c r="G341" s="4">
        <v>0</v>
      </c>
      <c r="H341" s="185">
        <f t="shared" si="587"/>
        <v>0</v>
      </c>
      <c r="I341" s="70">
        <v>0</v>
      </c>
      <c r="J341" s="4">
        <v>0</v>
      </c>
      <c r="K341" s="167">
        <f t="shared" si="588"/>
        <v>0</v>
      </c>
      <c r="L341" s="70">
        <v>0</v>
      </c>
      <c r="M341" s="4"/>
      <c r="N341" s="167">
        <f t="shared" si="589"/>
        <v>0</v>
      </c>
      <c r="O341" s="70"/>
      <c r="P341" s="4"/>
      <c r="Q341" s="167">
        <f t="shared" si="593"/>
        <v>0</v>
      </c>
      <c r="R341" s="164">
        <f t="shared" si="594"/>
        <v>0</v>
      </c>
      <c r="S341" s="165">
        <f t="shared" si="595"/>
        <v>0</v>
      </c>
      <c r="U341" s="70">
        <v>0</v>
      </c>
      <c r="V341" s="138">
        <f t="shared" si="596"/>
        <v>0</v>
      </c>
      <c r="W341" s="167">
        <f t="shared" si="590"/>
        <v>0</v>
      </c>
      <c r="X341" s="70"/>
      <c r="Y341" s="138">
        <f t="shared" si="597"/>
        <v>0</v>
      </c>
      <c r="Z341" s="285">
        <f t="shared" si="598"/>
        <v>0</v>
      </c>
      <c r="AA341" s="70">
        <v>0</v>
      </c>
      <c r="AB341" s="138">
        <f t="shared" si="599"/>
        <v>0</v>
      </c>
      <c r="AC341" s="285">
        <f t="shared" si="600"/>
        <v>0</v>
      </c>
      <c r="AD341" s="68"/>
      <c r="AE341" s="138">
        <f t="shared" si="601"/>
        <v>0</v>
      </c>
      <c r="AF341" s="285">
        <f t="shared" si="602"/>
        <v>0</v>
      </c>
      <c r="AG341" s="70">
        <v>0</v>
      </c>
      <c r="AH341" s="138">
        <f t="shared" si="603"/>
        <v>0</v>
      </c>
      <c r="AI341" s="285">
        <f t="shared" si="604"/>
        <v>0</v>
      </c>
      <c r="AJ341" s="164">
        <f t="shared" si="591"/>
        <v>0</v>
      </c>
      <c r="AK341" s="165">
        <f t="shared" si="592"/>
        <v>0</v>
      </c>
    </row>
    <row r="342" spans="2:37" outlineLevel="1" x14ac:dyDescent="0.35">
      <c r="B342" s="48" t="s">
        <v>88</v>
      </c>
      <c r="C342" s="62" t="s">
        <v>141</v>
      </c>
      <c r="D342" s="70">
        <v>0</v>
      </c>
      <c r="E342" s="4">
        <v>0</v>
      </c>
      <c r="F342" s="70">
        <v>0</v>
      </c>
      <c r="G342" s="4">
        <v>0</v>
      </c>
      <c r="H342" s="185">
        <f t="shared" si="587"/>
        <v>0</v>
      </c>
      <c r="I342" s="70">
        <v>0</v>
      </c>
      <c r="J342" s="4">
        <v>0</v>
      </c>
      <c r="K342" s="167">
        <f t="shared" si="588"/>
        <v>0</v>
      </c>
      <c r="L342" s="70">
        <v>0</v>
      </c>
      <c r="M342" s="4"/>
      <c r="N342" s="167">
        <f t="shared" si="589"/>
        <v>0</v>
      </c>
      <c r="O342" s="70"/>
      <c r="P342" s="4"/>
      <c r="Q342" s="167">
        <f t="shared" si="593"/>
        <v>0</v>
      </c>
      <c r="R342" s="164">
        <f t="shared" si="594"/>
        <v>0</v>
      </c>
      <c r="S342" s="165">
        <f t="shared" si="595"/>
        <v>0</v>
      </c>
      <c r="U342" s="70">
        <v>0</v>
      </c>
      <c r="V342" s="138">
        <f t="shared" si="596"/>
        <v>0</v>
      </c>
      <c r="W342" s="167">
        <f t="shared" si="590"/>
        <v>0</v>
      </c>
      <c r="X342" s="70"/>
      <c r="Y342" s="138">
        <f t="shared" si="597"/>
        <v>0</v>
      </c>
      <c r="Z342" s="285">
        <f t="shared" si="598"/>
        <v>0</v>
      </c>
      <c r="AA342" s="70">
        <v>0</v>
      </c>
      <c r="AB342" s="138">
        <f t="shared" si="599"/>
        <v>0</v>
      </c>
      <c r="AC342" s="285">
        <f t="shared" si="600"/>
        <v>0</v>
      </c>
      <c r="AD342" s="68"/>
      <c r="AE342" s="138">
        <f t="shared" si="601"/>
        <v>0</v>
      </c>
      <c r="AF342" s="285">
        <f t="shared" si="602"/>
        <v>0</v>
      </c>
      <c r="AG342" s="70">
        <v>0</v>
      </c>
      <c r="AH342" s="138">
        <f t="shared" si="603"/>
        <v>0</v>
      </c>
      <c r="AI342" s="285">
        <f t="shared" si="604"/>
        <v>0</v>
      </c>
      <c r="AJ342" s="164">
        <f t="shared" si="591"/>
        <v>0</v>
      </c>
      <c r="AK342" s="165">
        <f t="shared" si="592"/>
        <v>0</v>
      </c>
    </row>
    <row r="343" spans="2:37" outlineLevel="1" x14ac:dyDescent="0.35">
      <c r="B343" s="48" t="s">
        <v>89</v>
      </c>
      <c r="C343" s="62" t="s">
        <v>141</v>
      </c>
      <c r="D343" s="70">
        <v>0</v>
      </c>
      <c r="E343" s="4">
        <v>0</v>
      </c>
      <c r="F343" s="70">
        <v>0</v>
      </c>
      <c r="G343" s="4">
        <v>0</v>
      </c>
      <c r="H343" s="185">
        <f t="shared" si="587"/>
        <v>0</v>
      </c>
      <c r="I343" s="70">
        <v>0</v>
      </c>
      <c r="J343" s="4">
        <v>0</v>
      </c>
      <c r="K343" s="167">
        <f t="shared" si="588"/>
        <v>0</v>
      </c>
      <c r="L343" s="70">
        <v>0</v>
      </c>
      <c r="M343" s="4"/>
      <c r="N343" s="167">
        <f t="shared" si="589"/>
        <v>0</v>
      </c>
      <c r="O343" s="70"/>
      <c r="P343" s="4"/>
      <c r="Q343" s="167">
        <f t="shared" si="593"/>
        <v>0</v>
      </c>
      <c r="R343" s="164">
        <f t="shared" si="594"/>
        <v>0</v>
      </c>
      <c r="S343" s="165">
        <f t="shared" si="595"/>
        <v>0</v>
      </c>
      <c r="U343" s="70">
        <v>0</v>
      </c>
      <c r="V343" s="138">
        <f t="shared" si="596"/>
        <v>0</v>
      </c>
      <c r="W343" s="167">
        <f t="shared" si="590"/>
        <v>0</v>
      </c>
      <c r="X343" s="70"/>
      <c r="Y343" s="138">
        <f t="shared" si="597"/>
        <v>0</v>
      </c>
      <c r="Z343" s="285">
        <f t="shared" si="598"/>
        <v>0</v>
      </c>
      <c r="AA343" s="70">
        <v>0</v>
      </c>
      <c r="AB343" s="138">
        <f t="shared" si="599"/>
        <v>0</v>
      </c>
      <c r="AC343" s="285">
        <f t="shared" si="600"/>
        <v>0</v>
      </c>
      <c r="AD343" s="68"/>
      <c r="AE343" s="138">
        <f t="shared" si="601"/>
        <v>0</v>
      </c>
      <c r="AF343" s="285">
        <f t="shared" si="602"/>
        <v>0</v>
      </c>
      <c r="AG343" s="70">
        <v>0</v>
      </c>
      <c r="AH343" s="138">
        <f t="shared" si="603"/>
        <v>0</v>
      </c>
      <c r="AI343" s="285">
        <f t="shared" si="604"/>
        <v>0</v>
      </c>
      <c r="AJ343" s="164">
        <f t="shared" si="591"/>
        <v>0</v>
      </c>
      <c r="AK343" s="165">
        <f t="shared" si="592"/>
        <v>0</v>
      </c>
    </row>
    <row r="344" spans="2:37" outlineLevel="1" x14ac:dyDescent="0.35">
      <c r="B344" s="48" t="s">
        <v>90</v>
      </c>
      <c r="C344" s="62" t="s">
        <v>141</v>
      </c>
      <c r="D344" s="70">
        <v>0</v>
      </c>
      <c r="E344" s="4">
        <v>0</v>
      </c>
      <c r="F344" s="70">
        <v>0</v>
      </c>
      <c r="G344" s="4">
        <v>0</v>
      </c>
      <c r="H344" s="185">
        <f t="shared" si="587"/>
        <v>0</v>
      </c>
      <c r="I344" s="70">
        <v>0</v>
      </c>
      <c r="J344" s="4">
        <v>0</v>
      </c>
      <c r="K344" s="167">
        <f t="shared" si="588"/>
        <v>0</v>
      </c>
      <c r="L344" s="70">
        <v>0</v>
      </c>
      <c r="M344" s="4"/>
      <c r="N344" s="167">
        <f t="shared" si="589"/>
        <v>0</v>
      </c>
      <c r="O344" s="70"/>
      <c r="P344" s="4"/>
      <c r="Q344" s="167">
        <f t="shared" si="593"/>
        <v>0</v>
      </c>
      <c r="R344" s="164">
        <f t="shared" si="594"/>
        <v>0</v>
      </c>
      <c r="S344" s="165">
        <f t="shared" si="595"/>
        <v>0</v>
      </c>
      <c r="U344" s="70">
        <v>0</v>
      </c>
      <c r="V344" s="138">
        <f t="shared" si="596"/>
        <v>0</v>
      </c>
      <c r="W344" s="167">
        <f t="shared" si="590"/>
        <v>0</v>
      </c>
      <c r="X344" s="70"/>
      <c r="Y344" s="138">
        <f t="shared" si="597"/>
        <v>0</v>
      </c>
      <c r="Z344" s="285">
        <f t="shared" si="598"/>
        <v>0</v>
      </c>
      <c r="AA344" s="70">
        <v>0</v>
      </c>
      <c r="AB344" s="138">
        <f t="shared" si="599"/>
        <v>0</v>
      </c>
      <c r="AC344" s="285">
        <f t="shared" si="600"/>
        <v>0</v>
      </c>
      <c r="AD344" s="68"/>
      <c r="AE344" s="138">
        <f t="shared" si="601"/>
        <v>0</v>
      </c>
      <c r="AF344" s="285">
        <f t="shared" si="602"/>
        <v>0</v>
      </c>
      <c r="AG344" s="70">
        <v>0</v>
      </c>
      <c r="AH344" s="138">
        <f t="shared" si="603"/>
        <v>0</v>
      </c>
      <c r="AI344" s="285">
        <f t="shared" si="604"/>
        <v>0</v>
      </c>
      <c r="AJ344" s="164">
        <f t="shared" si="591"/>
        <v>0</v>
      </c>
      <c r="AK344" s="165">
        <f t="shared" si="592"/>
        <v>0</v>
      </c>
    </row>
    <row r="345" spans="2:37" outlineLevel="1" x14ac:dyDescent="0.35">
      <c r="B345" s="48" t="s">
        <v>91</v>
      </c>
      <c r="C345" s="62" t="s">
        <v>141</v>
      </c>
      <c r="D345" s="70">
        <v>0</v>
      </c>
      <c r="E345" s="4">
        <v>0</v>
      </c>
      <c r="F345" s="70">
        <v>0</v>
      </c>
      <c r="G345" s="4">
        <v>0</v>
      </c>
      <c r="H345" s="185">
        <f t="shared" si="587"/>
        <v>0</v>
      </c>
      <c r="I345" s="70">
        <v>0</v>
      </c>
      <c r="J345" s="4">
        <v>0</v>
      </c>
      <c r="K345" s="167">
        <f t="shared" si="588"/>
        <v>0</v>
      </c>
      <c r="L345" s="70">
        <v>0</v>
      </c>
      <c r="M345" s="4"/>
      <c r="N345" s="167">
        <f t="shared" si="589"/>
        <v>0</v>
      </c>
      <c r="O345" s="70"/>
      <c r="P345" s="4"/>
      <c r="Q345" s="167">
        <f t="shared" si="593"/>
        <v>0</v>
      </c>
      <c r="R345" s="164">
        <f t="shared" si="594"/>
        <v>0</v>
      </c>
      <c r="S345" s="165">
        <f t="shared" si="595"/>
        <v>0</v>
      </c>
      <c r="U345" s="70">
        <v>0</v>
      </c>
      <c r="V345" s="138">
        <f t="shared" si="596"/>
        <v>0</v>
      </c>
      <c r="W345" s="167">
        <f t="shared" si="590"/>
        <v>0</v>
      </c>
      <c r="X345" s="70"/>
      <c r="Y345" s="138">
        <f t="shared" si="597"/>
        <v>0</v>
      </c>
      <c r="Z345" s="285">
        <f t="shared" si="598"/>
        <v>0</v>
      </c>
      <c r="AA345" s="70">
        <v>0</v>
      </c>
      <c r="AB345" s="138">
        <f t="shared" si="599"/>
        <v>0</v>
      </c>
      <c r="AC345" s="285">
        <f t="shared" si="600"/>
        <v>0</v>
      </c>
      <c r="AD345" s="68"/>
      <c r="AE345" s="138">
        <f t="shared" si="601"/>
        <v>0</v>
      </c>
      <c r="AF345" s="285">
        <f t="shared" si="602"/>
        <v>0</v>
      </c>
      <c r="AG345" s="70">
        <v>0</v>
      </c>
      <c r="AH345" s="138">
        <f t="shared" si="603"/>
        <v>0</v>
      </c>
      <c r="AI345" s="285">
        <f t="shared" si="604"/>
        <v>0</v>
      </c>
      <c r="AJ345" s="164">
        <f t="shared" si="591"/>
        <v>0</v>
      </c>
      <c r="AK345" s="165">
        <f t="shared" si="592"/>
        <v>0</v>
      </c>
    </row>
    <row r="346" spans="2:37" outlineLevel="1" x14ac:dyDescent="0.35">
      <c r="B346" s="48" t="s">
        <v>92</v>
      </c>
      <c r="C346" s="62" t="s">
        <v>141</v>
      </c>
      <c r="D346" s="70">
        <v>0</v>
      </c>
      <c r="E346" s="4">
        <v>0</v>
      </c>
      <c r="F346" s="70">
        <v>0</v>
      </c>
      <c r="G346" s="4">
        <v>0</v>
      </c>
      <c r="H346" s="185">
        <f t="shared" si="587"/>
        <v>0</v>
      </c>
      <c r="I346" s="70">
        <v>0</v>
      </c>
      <c r="J346" s="4">
        <v>0</v>
      </c>
      <c r="K346" s="167">
        <f t="shared" si="588"/>
        <v>0</v>
      </c>
      <c r="L346" s="70">
        <v>0</v>
      </c>
      <c r="M346" s="4"/>
      <c r="N346" s="167">
        <f t="shared" si="589"/>
        <v>0</v>
      </c>
      <c r="O346" s="70"/>
      <c r="P346" s="4"/>
      <c r="Q346" s="167">
        <f t="shared" si="593"/>
        <v>0</v>
      </c>
      <c r="R346" s="164">
        <f t="shared" si="594"/>
        <v>0</v>
      </c>
      <c r="S346" s="165">
        <f t="shared" si="595"/>
        <v>0</v>
      </c>
      <c r="U346" s="70">
        <v>0</v>
      </c>
      <c r="V346" s="138">
        <f t="shared" si="596"/>
        <v>0</v>
      </c>
      <c r="W346" s="167">
        <f t="shared" si="590"/>
        <v>0</v>
      </c>
      <c r="X346" s="70"/>
      <c r="Y346" s="138">
        <f t="shared" si="597"/>
        <v>0</v>
      </c>
      <c r="Z346" s="285">
        <f t="shared" si="598"/>
        <v>0</v>
      </c>
      <c r="AA346" s="70">
        <v>0</v>
      </c>
      <c r="AB346" s="138">
        <f t="shared" si="599"/>
        <v>0</v>
      </c>
      <c r="AC346" s="285">
        <f t="shared" si="600"/>
        <v>0</v>
      </c>
      <c r="AD346" s="68"/>
      <c r="AE346" s="138">
        <f t="shared" si="601"/>
        <v>0</v>
      </c>
      <c r="AF346" s="285">
        <f t="shared" si="602"/>
        <v>0</v>
      </c>
      <c r="AG346" s="70">
        <v>0</v>
      </c>
      <c r="AH346" s="138">
        <f t="shared" si="603"/>
        <v>0</v>
      </c>
      <c r="AI346" s="285">
        <f t="shared" si="604"/>
        <v>0</v>
      </c>
      <c r="AJ346" s="164">
        <f t="shared" si="591"/>
        <v>0</v>
      </c>
      <c r="AK346" s="165">
        <f t="shared" si="592"/>
        <v>0</v>
      </c>
    </row>
    <row r="347" spans="2:37" outlineLevel="1" x14ac:dyDescent="0.35">
      <c r="B347" s="48" t="s">
        <v>93</v>
      </c>
      <c r="C347" s="62" t="s">
        <v>141</v>
      </c>
      <c r="D347" s="70">
        <v>0</v>
      </c>
      <c r="E347" s="4">
        <v>0</v>
      </c>
      <c r="F347" s="70">
        <v>0</v>
      </c>
      <c r="G347" s="4">
        <v>0</v>
      </c>
      <c r="H347" s="185">
        <f t="shared" si="587"/>
        <v>0</v>
      </c>
      <c r="I347" s="70">
        <v>0</v>
      </c>
      <c r="J347" s="4">
        <v>0</v>
      </c>
      <c r="K347" s="167">
        <f t="shared" si="588"/>
        <v>0</v>
      </c>
      <c r="L347" s="70">
        <v>0</v>
      </c>
      <c r="M347" s="4"/>
      <c r="N347" s="167">
        <f t="shared" si="589"/>
        <v>0</v>
      </c>
      <c r="O347" s="70"/>
      <c r="P347" s="4"/>
      <c r="Q347" s="167">
        <f t="shared" si="593"/>
        <v>0</v>
      </c>
      <c r="R347" s="164">
        <f t="shared" si="594"/>
        <v>0</v>
      </c>
      <c r="S347" s="165">
        <f t="shared" si="595"/>
        <v>0</v>
      </c>
      <c r="U347" s="70">
        <v>0</v>
      </c>
      <c r="V347" s="138">
        <f t="shared" si="596"/>
        <v>0</v>
      </c>
      <c r="W347" s="167">
        <f t="shared" si="590"/>
        <v>0</v>
      </c>
      <c r="X347" s="70"/>
      <c r="Y347" s="138">
        <f t="shared" si="597"/>
        <v>0</v>
      </c>
      <c r="Z347" s="285">
        <f t="shared" si="598"/>
        <v>0</v>
      </c>
      <c r="AA347" s="70">
        <v>0</v>
      </c>
      <c r="AB347" s="138">
        <f t="shared" si="599"/>
        <v>0</v>
      </c>
      <c r="AC347" s="285">
        <f t="shared" si="600"/>
        <v>0</v>
      </c>
      <c r="AD347" s="68"/>
      <c r="AE347" s="138">
        <f t="shared" si="601"/>
        <v>0</v>
      </c>
      <c r="AF347" s="285">
        <f t="shared" si="602"/>
        <v>0</v>
      </c>
      <c r="AG347" s="70">
        <v>0</v>
      </c>
      <c r="AH347" s="138">
        <f t="shared" si="603"/>
        <v>0</v>
      </c>
      <c r="AI347" s="285">
        <f t="shared" si="604"/>
        <v>0</v>
      </c>
      <c r="AJ347" s="164">
        <f t="shared" si="591"/>
        <v>0</v>
      </c>
      <c r="AK347" s="165">
        <f t="shared" si="592"/>
        <v>0</v>
      </c>
    </row>
    <row r="348" spans="2:37" outlineLevel="1" x14ac:dyDescent="0.35">
      <c r="B348" s="48" t="s">
        <v>94</v>
      </c>
      <c r="C348" s="62" t="s">
        <v>141</v>
      </c>
      <c r="D348" s="70">
        <v>1</v>
      </c>
      <c r="E348" s="4">
        <v>1</v>
      </c>
      <c r="F348" s="70">
        <v>0</v>
      </c>
      <c r="G348" s="4">
        <v>1</v>
      </c>
      <c r="H348" s="185">
        <f t="shared" si="587"/>
        <v>0</v>
      </c>
      <c r="I348" s="70">
        <v>0</v>
      </c>
      <c r="J348" s="4">
        <v>1</v>
      </c>
      <c r="K348" s="167">
        <f t="shared" si="588"/>
        <v>0</v>
      </c>
      <c r="L348" s="70">
        <v>0</v>
      </c>
      <c r="M348" s="4">
        <v>1</v>
      </c>
      <c r="N348" s="167">
        <f t="shared" si="589"/>
        <v>0</v>
      </c>
      <c r="O348" s="70"/>
      <c r="P348" s="4">
        <v>1</v>
      </c>
      <c r="Q348" s="167">
        <f t="shared" si="593"/>
        <v>0</v>
      </c>
      <c r="R348" s="164">
        <f t="shared" si="594"/>
        <v>1</v>
      </c>
      <c r="S348" s="165">
        <f t="shared" si="595"/>
        <v>0</v>
      </c>
      <c r="U348" s="70">
        <v>0</v>
      </c>
      <c r="V348" s="138">
        <f t="shared" si="596"/>
        <v>1</v>
      </c>
      <c r="W348" s="167">
        <f t="shared" si="590"/>
        <v>0</v>
      </c>
      <c r="X348" s="70"/>
      <c r="Y348" s="138">
        <f t="shared" si="597"/>
        <v>1</v>
      </c>
      <c r="Z348" s="285">
        <f t="shared" si="598"/>
        <v>0</v>
      </c>
      <c r="AA348" s="70">
        <v>0</v>
      </c>
      <c r="AB348" s="138">
        <f t="shared" si="599"/>
        <v>1</v>
      </c>
      <c r="AC348" s="285">
        <f t="shared" si="600"/>
        <v>0</v>
      </c>
      <c r="AD348" s="68"/>
      <c r="AE348" s="138">
        <f t="shared" si="601"/>
        <v>1</v>
      </c>
      <c r="AF348" s="285">
        <f t="shared" si="602"/>
        <v>0</v>
      </c>
      <c r="AG348" s="70">
        <v>0</v>
      </c>
      <c r="AH348" s="138">
        <f t="shared" si="603"/>
        <v>1</v>
      </c>
      <c r="AI348" s="285">
        <f t="shared" si="604"/>
        <v>0</v>
      </c>
      <c r="AJ348" s="164">
        <f t="shared" si="591"/>
        <v>0</v>
      </c>
      <c r="AK348" s="165">
        <f t="shared" si="592"/>
        <v>0</v>
      </c>
    </row>
    <row r="349" spans="2:37" outlineLevel="1" x14ac:dyDescent="0.35">
      <c r="B349" s="48" t="s">
        <v>95</v>
      </c>
      <c r="C349" s="62" t="s">
        <v>141</v>
      </c>
      <c r="D349" s="70">
        <v>0</v>
      </c>
      <c r="E349" s="4">
        <v>0</v>
      </c>
      <c r="F349" s="70">
        <v>0</v>
      </c>
      <c r="G349" s="4">
        <v>0</v>
      </c>
      <c r="H349" s="185">
        <f t="shared" si="587"/>
        <v>0</v>
      </c>
      <c r="I349" s="70">
        <v>0</v>
      </c>
      <c r="J349" s="4">
        <v>0</v>
      </c>
      <c r="K349" s="167">
        <f t="shared" si="588"/>
        <v>0</v>
      </c>
      <c r="L349" s="70">
        <v>0</v>
      </c>
      <c r="M349" s="4"/>
      <c r="N349" s="167">
        <f t="shared" si="589"/>
        <v>0</v>
      </c>
      <c r="O349" s="70"/>
      <c r="P349" s="4"/>
      <c r="Q349" s="167">
        <f t="shared" si="593"/>
        <v>0</v>
      </c>
      <c r="R349" s="164">
        <f t="shared" si="594"/>
        <v>0</v>
      </c>
      <c r="S349" s="165">
        <f t="shared" si="595"/>
        <v>0</v>
      </c>
      <c r="U349" s="70">
        <v>1</v>
      </c>
      <c r="V349" s="138">
        <f t="shared" si="596"/>
        <v>1</v>
      </c>
      <c r="W349" s="167">
        <f t="shared" si="590"/>
        <v>0</v>
      </c>
      <c r="X349" s="70"/>
      <c r="Y349" s="138">
        <f t="shared" si="597"/>
        <v>1</v>
      </c>
      <c r="Z349" s="285">
        <f t="shared" si="598"/>
        <v>0</v>
      </c>
      <c r="AA349" s="70">
        <v>0</v>
      </c>
      <c r="AB349" s="138">
        <f t="shared" si="599"/>
        <v>1</v>
      </c>
      <c r="AC349" s="285">
        <f t="shared" si="600"/>
        <v>0</v>
      </c>
      <c r="AD349" s="68"/>
      <c r="AE349" s="138">
        <f t="shared" si="601"/>
        <v>1</v>
      </c>
      <c r="AF349" s="285">
        <f t="shared" si="602"/>
        <v>0</v>
      </c>
      <c r="AG349" s="70">
        <v>0</v>
      </c>
      <c r="AH349" s="138">
        <f t="shared" si="603"/>
        <v>1</v>
      </c>
      <c r="AI349" s="285">
        <f t="shared" si="604"/>
        <v>0</v>
      </c>
      <c r="AJ349" s="164">
        <f t="shared" si="591"/>
        <v>1</v>
      </c>
      <c r="AK349" s="165">
        <f t="shared" si="592"/>
        <v>0</v>
      </c>
    </row>
    <row r="350" spans="2:37" outlineLevel="1" x14ac:dyDescent="0.35">
      <c r="B350" s="48" t="s">
        <v>96</v>
      </c>
      <c r="C350" s="62" t="s">
        <v>141</v>
      </c>
      <c r="D350" s="70">
        <v>0</v>
      </c>
      <c r="E350" s="4">
        <v>0</v>
      </c>
      <c r="F350" s="70">
        <v>0</v>
      </c>
      <c r="G350" s="4">
        <v>0</v>
      </c>
      <c r="H350" s="185">
        <f t="shared" si="587"/>
        <v>0</v>
      </c>
      <c r="I350" s="70">
        <v>0</v>
      </c>
      <c r="J350" s="4">
        <v>0</v>
      </c>
      <c r="K350" s="167">
        <f t="shared" si="588"/>
        <v>0</v>
      </c>
      <c r="L350" s="70">
        <v>0</v>
      </c>
      <c r="M350" s="4"/>
      <c r="N350" s="167">
        <f t="shared" si="589"/>
        <v>0</v>
      </c>
      <c r="O350" s="70"/>
      <c r="P350" s="4"/>
      <c r="Q350" s="167">
        <f t="shared" si="593"/>
        <v>0</v>
      </c>
      <c r="R350" s="164">
        <f t="shared" si="594"/>
        <v>0</v>
      </c>
      <c r="S350" s="165">
        <f t="shared" si="595"/>
        <v>0</v>
      </c>
      <c r="U350" s="70">
        <v>0</v>
      </c>
      <c r="V350" s="138">
        <f t="shared" si="596"/>
        <v>0</v>
      </c>
      <c r="W350" s="167">
        <f t="shared" si="590"/>
        <v>0</v>
      </c>
      <c r="X350" s="70"/>
      <c r="Y350" s="138">
        <f t="shared" si="597"/>
        <v>0</v>
      </c>
      <c r="Z350" s="285">
        <f t="shared" si="598"/>
        <v>0</v>
      </c>
      <c r="AA350" s="70">
        <v>0</v>
      </c>
      <c r="AB350" s="138">
        <f t="shared" si="599"/>
        <v>0</v>
      </c>
      <c r="AC350" s="285">
        <f t="shared" si="600"/>
        <v>0</v>
      </c>
      <c r="AD350" s="68"/>
      <c r="AE350" s="138">
        <f t="shared" si="601"/>
        <v>0</v>
      </c>
      <c r="AF350" s="285">
        <f t="shared" si="602"/>
        <v>0</v>
      </c>
      <c r="AG350" s="70">
        <v>0</v>
      </c>
      <c r="AH350" s="138">
        <f t="shared" si="603"/>
        <v>0</v>
      </c>
      <c r="AI350" s="285">
        <f t="shared" si="604"/>
        <v>0</v>
      </c>
      <c r="AJ350" s="164">
        <f t="shared" si="591"/>
        <v>0</v>
      </c>
      <c r="AK350" s="165">
        <f t="shared" si="592"/>
        <v>0</v>
      </c>
    </row>
    <row r="351" spans="2:37" outlineLevel="1" x14ac:dyDescent="0.35">
      <c r="B351" s="48" t="s">
        <v>97</v>
      </c>
      <c r="C351" s="62" t="s">
        <v>141</v>
      </c>
      <c r="D351" s="70">
        <v>0</v>
      </c>
      <c r="E351" s="4">
        <v>0</v>
      </c>
      <c r="F351" s="70">
        <v>0</v>
      </c>
      <c r="G351" s="4">
        <v>0</v>
      </c>
      <c r="H351" s="185">
        <f t="shared" si="587"/>
        <v>0</v>
      </c>
      <c r="I351" s="70">
        <v>0</v>
      </c>
      <c r="J351" s="4">
        <v>0</v>
      </c>
      <c r="K351" s="167">
        <f t="shared" si="588"/>
        <v>0</v>
      </c>
      <c r="L351" s="70">
        <v>0</v>
      </c>
      <c r="M351" s="4"/>
      <c r="N351" s="167">
        <f t="shared" si="589"/>
        <v>0</v>
      </c>
      <c r="O351" s="70"/>
      <c r="P351" s="4"/>
      <c r="Q351" s="167">
        <f t="shared" si="593"/>
        <v>0</v>
      </c>
      <c r="R351" s="164">
        <f t="shared" si="594"/>
        <v>0</v>
      </c>
      <c r="S351" s="165">
        <f t="shared" si="595"/>
        <v>0</v>
      </c>
      <c r="U351" s="70">
        <v>0</v>
      </c>
      <c r="V351" s="138">
        <f t="shared" si="596"/>
        <v>0</v>
      </c>
      <c r="W351" s="167">
        <f t="shared" si="590"/>
        <v>0</v>
      </c>
      <c r="X351" s="70"/>
      <c r="Y351" s="138">
        <f t="shared" si="597"/>
        <v>0</v>
      </c>
      <c r="Z351" s="285">
        <f t="shared" si="598"/>
        <v>0</v>
      </c>
      <c r="AA351" s="70">
        <v>0</v>
      </c>
      <c r="AB351" s="138">
        <f t="shared" si="599"/>
        <v>0</v>
      </c>
      <c r="AC351" s="285">
        <f t="shared" si="600"/>
        <v>0</v>
      </c>
      <c r="AD351" s="68"/>
      <c r="AE351" s="138">
        <f t="shared" si="601"/>
        <v>0</v>
      </c>
      <c r="AF351" s="285">
        <f t="shared" si="602"/>
        <v>0</v>
      </c>
      <c r="AG351" s="70">
        <v>0</v>
      </c>
      <c r="AH351" s="138">
        <f t="shared" si="603"/>
        <v>0</v>
      </c>
      <c r="AI351" s="285">
        <f t="shared" si="604"/>
        <v>0</v>
      </c>
      <c r="AJ351" s="164">
        <f t="shared" si="591"/>
        <v>0</v>
      </c>
      <c r="AK351" s="165">
        <f t="shared" si="592"/>
        <v>0</v>
      </c>
    </row>
    <row r="352" spans="2:37" outlineLevel="1" x14ac:dyDescent="0.35">
      <c r="B352" s="48" t="s">
        <v>98</v>
      </c>
      <c r="C352" s="62" t="s">
        <v>141</v>
      </c>
      <c r="D352" s="70">
        <v>0</v>
      </c>
      <c r="E352" s="4">
        <v>0</v>
      </c>
      <c r="F352" s="70">
        <v>0</v>
      </c>
      <c r="G352" s="4">
        <v>0</v>
      </c>
      <c r="H352" s="185">
        <f t="shared" si="587"/>
        <v>0</v>
      </c>
      <c r="I352" s="70">
        <v>0</v>
      </c>
      <c r="J352" s="4">
        <v>0</v>
      </c>
      <c r="K352" s="167">
        <f t="shared" si="588"/>
        <v>0</v>
      </c>
      <c r="L352" s="70">
        <v>0</v>
      </c>
      <c r="M352" s="4"/>
      <c r="N352" s="167">
        <f t="shared" si="589"/>
        <v>0</v>
      </c>
      <c r="O352" s="70"/>
      <c r="P352" s="4"/>
      <c r="Q352" s="167">
        <f t="shared" si="593"/>
        <v>0</v>
      </c>
      <c r="R352" s="164">
        <f t="shared" si="594"/>
        <v>0</v>
      </c>
      <c r="S352" s="165">
        <f t="shared" si="595"/>
        <v>0</v>
      </c>
      <c r="U352" s="70">
        <v>0</v>
      </c>
      <c r="V352" s="138">
        <f t="shared" si="596"/>
        <v>0</v>
      </c>
      <c r="W352" s="167">
        <f t="shared" si="590"/>
        <v>0</v>
      </c>
      <c r="X352" s="70"/>
      <c r="Y352" s="138">
        <f t="shared" si="597"/>
        <v>0</v>
      </c>
      <c r="Z352" s="285">
        <f t="shared" si="598"/>
        <v>0</v>
      </c>
      <c r="AA352" s="70">
        <v>0</v>
      </c>
      <c r="AB352" s="138">
        <f t="shared" si="599"/>
        <v>0</v>
      </c>
      <c r="AC352" s="285">
        <f t="shared" si="600"/>
        <v>0</v>
      </c>
      <c r="AD352" s="68"/>
      <c r="AE352" s="138">
        <f t="shared" si="601"/>
        <v>0</v>
      </c>
      <c r="AF352" s="285">
        <f t="shared" si="602"/>
        <v>0</v>
      </c>
      <c r="AG352" s="70">
        <v>0</v>
      </c>
      <c r="AH352" s="138">
        <f t="shared" si="603"/>
        <v>0</v>
      </c>
      <c r="AI352" s="285">
        <f t="shared" si="604"/>
        <v>0</v>
      </c>
      <c r="AJ352" s="164">
        <f t="shared" si="591"/>
        <v>0</v>
      </c>
      <c r="AK352" s="165">
        <f t="shared" si="592"/>
        <v>0</v>
      </c>
    </row>
    <row r="353" spans="2:37" outlineLevel="1" x14ac:dyDescent="0.35">
      <c r="B353" s="48" t="s">
        <v>99</v>
      </c>
      <c r="C353" s="62" t="s">
        <v>141</v>
      </c>
      <c r="D353" s="70">
        <v>0</v>
      </c>
      <c r="E353" s="4">
        <v>1</v>
      </c>
      <c r="F353" s="70">
        <v>0</v>
      </c>
      <c r="G353" s="4">
        <v>1</v>
      </c>
      <c r="H353" s="185">
        <f t="shared" si="587"/>
        <v>0</v>
      </c>
      <c r="I353" s="70">
        <v>0</v>
      </c>
      <c r="J353" s="4">
        <v>1</v>
      </c>
      <c r="K353" s="167">
        <f t="shared" si="588"/>
        <v>0</v>
      </c>
      <c r="L353" s="70">
        <v>0</v>
      </c>
      <c r="M353" s="4">
        <v>1</v>
      </c>
      <c r="N353" s="167">
        <f t="shared" si="589"/>
        <v>0</v>
      </c>
      <c r="O353" s="70"/>
      <c r="P353" s="4">
        <v>1</v>
      </c>
      <c r="Q353" s="167">
        <f t="shared" si="593"/>
        <v>0</v>
      </c>
      <c r="R353" s="164">
        <f t="shared" si="594"/>
        <v>0</v>
      </c>
      <c r="S353" s="165">
        <f t="shared" si="595"/>
        <v>0</v>
      </c>
      <c r="U353" s="70">
        <v>0</v>
      </c>
      <c r="V353" s="138">
        <f t="shared" si="596"/>
        <v>1</v>
      </c>
      <c r="W353" s="167">
        <f t="shared" si="590"/>
        <v>0</v>
      </c>
      <c r="X353" s="70"/>
      <c r="Y353" s="138">
        <f t="shared" si="597"/>
        <v>1</v>
      </c>
      <c r="Z353" s="285">
        <f t="shared" si="598"/>
        <v>0</v>
      </c>
      <c r="AA353" s="70">
        <v>0</v>
      </c>
      <c r="AB353" s="138">
        <f t="shared" si="599"/>
        <v>1</v>
      </c>
      <c r="AC353" s="285">
        <f t="shared" si="600"/>
        <v>0</v>
      </c>
      <c r="AD353" s="68"/>
      <c r="AE353" s="138">
        <f t="shared" si="601"/>
        <v>1</v>
      </c>
      <c r="AF353" s="285">
        <f t="shared" si="602"/>
        <v>0</v>
      </c>
      <c r="AG353" s="70">
        <v>0</v>
      </c>
      <c r="AH353" s="138">
        <f t="shared" si="603"/>
        <v>1</v>
      </c>
      <c r="AI353" s="285">
        <f t="shared" si="604"/>
        <v>0</v>
      </c>
      <c r="AJ353" s="164">
        <f t="shared" si="591"/>
        <v>0</v>
      </c>
      <c r="AK353" s="165">
        <f t="shared" si="592"/>
        <v>0</v>
      </c>
    </row>
    <row r="354" spans="2:37" outlineLevel="1" x14ac:dyDescent="0.35">
      <c r="B354" s="48" t="s">
        <v>100</v>
      </c>
      <c r="C354" s="62" t="s">
        <v>141</v>
      </c>
      <c r="D354" s="70">
        <v>0</v>
      </c>
      <c r="E354" s="4">
        <v>0</v>
      </c>
      <c r="F354" s="70">
        <v>0</v>
      </c>
      <c r="G354" s="4">
        <v>0</v>
      </c>
      <c r="H354" s="185">
        <f t="shared" si="587"/>
        <v>0</v>
      </c>
      <c r="I354" s="70">
        <v>0</v>
      </c>
      <c r="J354" s="4">
        <v>0</v>
      </c>
      <c r="K354" s="167">
        <f t="shared" si="588"/>
        <v>0</v>
      </c>
      <c r="L354" s="70">
        <v>0</v>
      </c>
      <c r="M354" s="4"/>
      <c r="N354" s="167">
        <f t="shared" si="589"/>
        <v>0</v>
      </c>
      <c r="O354" s="70"/>
      <c r="P354" s="4"/>
      <c r="Q354" s="167">
        <f t="shared" si="593"/>
        <v>0</v>
      </c>
      <c r="R354" s="164">
        <f t="shared" si="594"/>
        <v>0</v>
      </c>
      <c r="S354" s="165">
        <f t="shared" si="595"/>
        <v>0</v>
      </c>
      <c r="U354" s="70">
        <v>0</v>
      </c>
      <c r="V354" s="138">
        <f t="shared" si="596"/>
        <v>0</v>
      </c>
      <c r="W354" s="167">
        <f t="shared" si="590"/>
        <v>0</v>
      </c>
      <c r="X354" s="70"/>
      <c r="Y354" s="138">
        <f t="shared" si="597"/>
        <v>0</v>
      </c>
      <c r="Z354" s="285">
        <f t="shared" si="598"/>
        <v>0</v>
      </c>
      <c r="AA354" s="70">
        <v>0</v>
      </c>
      <c r="AB354" s="138">
        <f t="shared" si="599"/>
        <v>0</v>
      </c>
      <c r="AC354" s="285">
        <f t="shared" si="600"/>
        <v>0</v>
      </c>
      <c r="AD354" s="68"/>
      <c r="AE354" s="138">
        <f t="shared" si="601"/>
        <v>0</v>
      </c>
      <c r="AF354" s="285">
        <f t="shared" si="602"/>
        <v>0</v>
      </c>
      <c r="AG354" s="70">
        <v>0</v>
      </c>
      <c r="AH354" s="138">
        <f t="shared" si="603"/>
        <v>0</v>
      </c>
      <c r="AI354" s="285">
        <f t="shared" si="604"/>
        <v>0</v>
      </c>
      <c r="AJ354" s="164">
        <f t="shared" si="591"/>
        <v>0</v>
      </c>
      <c r="AK354" s="165">
        <f t="shared" si="592"/>
        <v>0</v>
      </c>
    </row>
    <row r="355" spans="2:37" outlineLevel="1" x14ac:dyDescent="0.35">
      <c r="B355" s="48" t="s">
        <v>101</v>
      </c>
      <c r="C355" s="62" t="s">
        <v>141</v>
      </c>
      <c r="D355" s="70">
        <v>0</v>
      </c>
      <c r="E355" s="4">
        <v>1</v>
      </c>
      <c r="F355" s="70">
        <v>0</v>
      </c>
      <c r="G355" s="4">
        <v>1</v>
      </c>
      <c r="H355" s="185">
        <f t="shared" si="587"/>
        <v>0</v>
      </c>
      <c r="I355" s="70">
        <v>0</v>
      </c>
      <c r="J355" s="4">
        <v>1</v>
      </c>
      <c r="K355" s="167">
        <f t="shared" si="588"/>
        <v>0</v>
      </c>
      <c r="L355" s="70">
        <v>-1</v>
      </c>
      <c r="M355" s="4"/>
      <c r="N355" s="167">
        <f t="shared" si="589"/>
        <v>-1</v>
      </c>
      <c r="O355" s="70">
        <v>1</v>
      </c>
      <c r="P355" s="4">
        <v>1</v>
      </c>
      <c r="Q355" s="167">
        <f t="shared" si="593"/>
        <v>0</v>
      </c>
      <c r="R355" s="164">
        <f t="shared" si="594"/>
        <v>0</v>
      </c>
      <c r="S355" s="165">
        <f t="shared" si="595"/>
        <v>0</v>
      </c>
      <c r="U355" s="70">
        <v>0</v>
      </c>
      <c r="V355" s="138">
        <f t="shared" si="596"/>
        <v>1</v>
      </c>
      <c r="W355" s="167">
        <f t="shared" si="590"/>
        <v>0</v>
      </c>
      <c r="X355" s="70"/>
      <c r="Y355" s="138">
        <f t="shared" si="597"/>
        <v>1</v>
      </c>
      <c r="Z355" s="285">
        <f t="shared" si="598"/>
        <v>0</v>
      </c>
      <c r="AA355" s="70">
        <v>0</v>
      </c>
      <c r="AB355" s="138">
        <f t="shared" si="599"/>
        <v>1</v>
      </c>
      <c r="AC355" s="285">
        <f t="shared" si="600"/>
        <v>0</v>
      </c>
      <c r="AD355" s="68"/>
      <c r="AE355" s="138">
        <f t="shared" si="601"/>
        <v>1</v>
      </c>
      <c r="AF355" s="285">
        <f t="shared" si="602"/>
        <v>0</v>
      </c>
      <c r="AG355" s="70">
        <v>0</v>
      </c>
      <c r="AH355" s="138">
        <f t="shared" si="603"/>
        <v>1</v>
      </c>
      <c r="AI355" s="285">
        <f t="shared" si="604"/>
        <v>0</v>
      </c>
      <c r="AJ355" s="164">
        <f t="shared" si="591"/>
        <v>0</v>
      </c>
      <c r="AK355" s="165">
        <f t="shared" si="592"/>
        <v>0</v>
      </c>
    </row>
    <row r="356" spans="2:37" outlineLevel="1" x14ac:dyDescent="0.35">
      <c r="B356" s="48" t="s">
        <v>102</v>
      </c>
      <c r="C356" s="62" t="s">
        <v>141</v>
      </c>
      <c r="D356" s="70">
        <v>0</v>
      </c>
      <c r="E356" s="4">
        <v>0</v>
      </c>
      <c r="F356" s="70">
        <v>0</v>
      </c>
      <c r="G356" s="4">
        <v>0</v>
      </c>
      <c r="H356" s="185">
        <f t="shared" si="587"/>
        <v>0</v>
      </c>
      <c r="I356" s="70">
        <v>0</v>
      </c>
      <c r="J356" s="4">
        <v>0</v>
      </c>
      <c r="K356" s="167">
        <f t="shared" si="588"/>
        <v>0</v>
      </c>
      <c r="L356" s="70">
        <v>0</v>
      </c>
      <c r="M356" s="4"/>
      <c r="N356" s="167">
        <f t="shared" si="589"/>
        <v>0</v>
      </c>
      <c r="O356" s="70"/>
      <c r="P356" s="4"/>
      <c r="Q356" s="167">
        <f t="shared" si="593"/>
        <v>0</v>
      </c>
      <c r="R356" s="164">
        <f t="shared" si="594"/>
        <v>0</v>
      </c>
      <c r="S356" s="165">
        <f t="shared" si="595"/>
        <v>0</v>
      </c>
      <c r="U356" s="70">
        <v>0</v>
      </c>
      <c r="V356" s="138">
        <f t="shared" si="596"/>
        <v>0</v>
      </c>
      <c r="W356" s="167">
        <f t="shared" si="590"/>
        <v>0</v>
      </c>
      <c r="X356" s="70"/>
      <c r="Y356" s="138">
        <f t="shared" si="597"/>
        <v>0</v>
      </c>
      <c r="Z356" s="285">
        <f t="shared" si="598"/>
        <v>0</v>
      </c>
      <c r="AA356" s="70">
        <v>0</v>
      </c>
      <c r="AB356" s="138">
        <f t="shared" si="599"/>
        <v>0</v>
      </c>
      <c r="AC356" s="285">
        <f t="shared" si="600"/>
        <v>0</v>
      </c>
      <c r="AD356" s="68"/>
      <c r="AE356" s="138">
        <f t="shared" si="601"/>
        <v>0</v>
      </c>
      <c r="AF356" s="285">
        <f t="shared" si="602"/>
        <v>0</v>
      </c>
      <c r="AG356" s="70">
        <v>0</v>
      </c>
      <c r="AH356" s="138">
        <f t="shared" si="603"/>
        <v>0</v>
      </c>
      <c r="AI356" s="285">
        <f t="shared" si="604"/>
        <v>0</v>
      </c>
      <c r="AJ356" s="164">
        <f t="shared" si="591"/>
        <v>0</v>
      </c>
      <c r="AK356" s="165">
        <f t="shared" si="592"/>
        <v>0</v>
      </c>
    </row>
    <row r="357" spans="2:37" outlineLevel="1" x14ac:dyDescent="0.35">
      <c r="B357" s="48" t="s">
        <v>103</v>
      </c>
      <c r="C357" s="62" t="s">
        <v>141</v>
      </c>
      <c r="D357" s="70">
        <v>0</v>
      </c>
      <c r="E357" s="4">
        <v>0</v>
      </c>
      <c r="F357" s="70">
        <v>0</v>
      </c>
      <c r="G357" s="4">
        <v>0</v>
      </c>
      <c r="H357" s="185">
        <f t="shared" si="587"/>
        <v>0</v>
      </c>
      <c r="I357" s="70">
        <v>0</v>
      </c>
      <c r="J357" s="4">
        <v>0</v>
      </c>
      <c r="K357" s="167">
        <f t="shared" si="588"/>
        <v>0</v>
      </c>
      <c r="L357" s="70">
        <v>0</v>
      </c>
      <c r="M357" s="4"/>
      <c r="N357" s="167">
        <f t="shared" si="589"/>
        <v>0</v>
      </c>
      <c r="O357" s="70"/>
      <c r="P357" s="4"/>
      <c r="Q357" s="167">
        <f t="shared" si="593"/>
        <v>0</v>
      </c>
      <c r="R357" s="164">
        <f t="shared" si="594"/>
        <v>0</v>
      </c>
      <c r="S357" s="165">
        <f t="shared" si="595"/>
        <v>0</v>
      </c>
      <c r="U357" s="70">
        <v>0</v>
      </c>
      <c r="V357" s="138">
        <f t="shared" si="596"/>
        <v>0</v>
      </c>
      <c r="W357" s="167">
        <f t="shared" si="590"/>
        <v>0</v>
      </c>
      <c r="X357" s="70"/>
      <c r="Y357" s="138">
        <f t="shared" si="597"/>
        <v>0</v>
      </c>
      <c r="Z357" s="285">
        <f t="shared" si="598"/>
        <v>0</v>
      </c>
      <c r="AA357" s="70">
        <v>0</v>
      </c>
      <c r="AB357" s="138">
        <f t="shared" si="599"/>
        <v>0</v>
      </c>
      <c r="AC357" s="285">
        <f t="shared" si="600"/>
        <v>0</v>
      </c>
      <c r="AD357" s="68"/>
      <c r="AE357" s="138">
        <f t="shared" si="601"/>
        <v>0</v>
      </c>
      <c r="AF357" s="285">
        <f t="shared" si="602"/>
        <v>0</v>
      </c>
      <c r="AG357" s="70">
        <v>0</v>
      </c>
      <c r="AH357" s="138">
        <f t="shared" si="603"/>
        <v>0</v>
      </c>
      <c r="AI357" s="285">
        <f t="shared" si="604"/>
        <v>0</v>
      </c>
      <c r="AJ357" s="164">
        <f t="shared" si="591"/>
        <v>0</v>
      </c>
      <c r="AK357" s="165">
        <f t="shared" si="592"/>
        <v>0</v>
      </c>
    </row>
    <row r="358" spans="2:37" outlineLevel="1" x14ac:dyDescent="0.35">
      <c r="B358" s="48" t="s">
        <v>104</v>
      </c>
      <c r="C358" s="62" t="s">
        <v>141</v>
      </c>
      <c r="D358" s="70">
        <v>0</v>
      </c>
      <c r="E358" s="4">
        <v>0</v>
      </c>
      <c r="F358" s="70">
        <v>0</v>
      </c>
      <c r="G358" s="4">
        <v>0</v>
      </c>
      <c r="H358" s="185">
        <f t="shared" si="587"/>
        <v>0</v>
      </c>
      <c r="I358" s="70">
        <v>0</v>
      </c>
      <c r="J358" s="4">
        <v>0</v>
      </c>
      <c r="K358" s="167">
        <f t="shared" si="588"/>
        <v>0</v>
      </c>
      <c r="L358" s="70">
        <v>0</v>
      </c>
      <c r="M358" s="4"/>
      <c r="N358" s="167">
        <f t="shared" si="589"/>
        <v>0</v>
      </c>
      <c r="O358" s="70"/>
      <c r="P358" s="4"/>
      <c r="Q358" s="167">
        <f t="shared" si="593"/>
        <v>0</v>
      </c>
      <c r="R358" s="164">
        <f t="shared" si="594"/>
        <v>0</v>
      </c>
      <c r="S358" s="165">
        <f t="shared" si="595"/>
        <v>0</v>
      </c>
      <c r="U358" s="70">
        <v>0</v>
      </c>
      <c r="V358" s="138">
        <f t="shared" si="596"/>
        <v>0</v>
      </c>
      <c r="W358" s="167">
        <f t="shared" si="590"/>
        <v>0</v>
      </c>
      <c r="X358" s="70"/>
      <c r="Y358" s="138">
        <f t="shared" si="597"/>
        <v>0</v>
      </c>
      <c r="Z358" s="285">
        <f t="shared" si="598"/>
        <v>0</v>
      </c>
      <c r="AA358" s="70">
        <v>0</v>
      </c>
      <c r="AB358" s="138">
        <f t="shared" si="599"/>
        <v>0</v>
      </c>
      <c r="AC358" s="285">
        <f t="shared" si="600"/>
        <v>0</v>
      </c>
      <c r="AD358" s="68"/>
      <c r="AE358" s="138">
        <f t="shared" si="601"/>
        <v>0</v>
      </c>
      <c r="AF358" s="285">
        <f t="shared" si="602"/>
        <v>0</v>
      </c>
      <c r="AG358" s="70">
        <v>0</v>
      </c>
      <c r="AH358" s="138">
        <f t="shared" si="603"/>
        <v>0</v>
      </c>
      <c r="AI358" s="285">
        <f t="shared" si="604"/>
        <v>0</v>
      </c>
      <c r="AJ358" s="164">
        <f t="shared" si="591"/>
        <v>0</v>
      </c>
      <c r="AK358" s="165">
        <f t="shared" si="592"/>
        <v>0</v>
      </c>
    </row>
    <row r="359" spans="2:37" outlineLevel="1" x14ac:dyDescent="0.35">
      <c r="B359" s="48" t="s">
        <v>136</v>
      </c>
      <c r="C359" s="62" t="s">
        <v>141</v>
      </c>
      <c r="D359" s="70">
        <v>0</v>
      </c>
      <c r="E359" s="4">
        <v>0</v>
      </c>
      <c r="F359" s="70">
        <v>0</v>
      </c>
      <c r="G359" s="4">
        <v>0</v>
      </c>
      <c r="H359" s="185">
        <f t="shared" si="587"/>
        <v>0</v>
      </c>
      <c r="I359" s="70">
        <v>0</v>
      </c>
      <c r="J359" s="4">
        <v>0</v>
      </c>
      <c r="K359" s="167">
        <f t="shared" si="588"/>
        <v>0</v>
      </c>
      <c r="L359" s="70">
        <v>0</v>
      </c>
      <c r="M359" s="4"/>
      <c r="N359" s="167">
        <f t="shared" si="589"/>
        <v>0</v>
      </c>
      <c r="O359" s="70"/>
      <c r="P359" s="4"/>
      <c r="Q359" s="167">
        <f t="shared" si="593"/>
        <v>0</v>
      </c>
      <c r="R359" s="164">
        <f t="shared" si="594"/>
        <v>0</v>
      </c>
      <c r="S359" s="165">
        <f t="shared" si="595"/>
        <v>0</v>
      </c>
      <c r="U359" s="70">
        <v>0</v>
      </c>
      <c r="V359" s="138">
        <f t="shared" si="596"/>
        <v>0</v>
      </c>
      <c r="W359" s="167">
        <f t="shared" si="590"/>
        <v>0</v>
      </c>
      <c r="X359" s="70"/>
      <c r="Y359" s="138">
        <f t="shared" si="597"/>
        <v>0</v>
      </c>
      <c r="Z359" s="285">
        <f t="shared" si="598"/>
        <v>0</v>
      </c>
      <c r="AA359" s="70">
        <v>0</v>
      </c>
      <c r="AB359" s="138">
        <f t="shared" si="599"/>
        <v>0</v>
      </c>
      <c r="AC359" s="285">
        <f t="shared" si="600"/>
        <v>0</v>
      </c>
      <c r="AD359" s="68"/>
      <c r="AE359" s="138">
        <f t="shared" si="601"/>
        <v>0</v>
      </c>
      <c r="AF359" s="285">
        <f t="shared" si="602"/>
        <v>0</v>
      </c>
      <c r="AG359" s="70">
        <v>0</v>
      </c>
      <c r="AH359" s="138">
        <f t="shared" si="603"/>
        <v>0</v>
      </c>
      <c r="AI359" s="285">
        <f t="shared" si="604"/>
        <v>0</v>
      </c>
      <c r="AJ359" s="164">
        <f t="shared" si="591"/>
        <v>0</v>
      </c>
      <c r="AK359" s="165">
        <f t="shared" si="592"/>
        <v>0</v>
      </c>
    </row>
    <row r="360" spans="2:37" outlineLevel="1" x14ac:dyDescent="0.35">
      <c r="B360" s="48" t="s">
        <v>106</v>
      </c>
      <c r="C360" s="62" t="s">
        <v>141</v>
      </c>
      <c r="D360" s="70">
        <v>0</v>
      </c>
      <c r="E360" s="4">
        <v>0</v>
      </c>
      <c r="F360" s="70">
        <v>0</v>
      </c>
      <c r="G360" s="4">
        <v>0</v>
      </c>
      <c r="H360" s="185">
        <f t="shared" si="587"/>
        <v>0</v>
      </c>
      <c r="I360" s="70">
        <v>0</v>
      </c>
      <c r="J360" s="4">
        <v>0</v>
      </c>
      <c r="K360" s="167">
        <f t="shared" si="588"/>
        <v>0</v>
      </c>
      <c r="L360" s="70">
        <v>0</v>
      </c>
      <c r="M360" s="4"/>
      <c r="N360" s="167">
        <f t="shared" si="589"/>
        <v>0</v>
      </c>
      <c r="O360" s="70"/>
      <c r="P360" s="4"/>
      <c r="Q360" s="167">
        <f t="shared" si="593"/>
        <v>0</v>
      </c>
      <c r="R360" s="164">
        <f t="shared" si="594"/>
        <v>0</v>
      </c>
      <c r="S360" s="165">
        <f t="shared" si="595"/>
        <v>0</v>
      </c>
      <c r="U360" s="70">
        <v>0</v>
      </c>
      <c r="V360" s="138">
        <f t="shared" si="596"/>
        <v>0</v>
      </c>
      <c r="W360" s="167">
        <f t="shared" si="590"/>
        <v>0</v>
      </c>
      <c r="X360" s="70"/>
      <c r="Y360" s="138">
        <f t="shared" si="597"/>
        <v>0</v>
      </c>
      <c r="Z360" s="285">
        <f t="shared" si="598"/>
        <v>0</v>
      </c>
      <c r="AA360" s="70">
        <v>0</v>
      </c>
      <c r="AB360" s="138">
        <f t="shared" si="599"/>
        <v>0</v>
      </c>
      <c r="AC360" s="285">
        <f t="shared" si="600"/>
        <v>0</v>
      </c>
      <c r="AD360" s="68"/>
      <c r="AE360" s="138">
        <f t="shared" si="601"/>
        <v>0</v>
      </c>
      <c r="AF360" s="285">
        <f t="shared" si="602"/>
        <v>0</v>
      </c>
      <c r="AG360" s="70">
        <v>0</v>
      </c>
      <c r="AH360" s="138">
        <f t="shared" si="603"/>
        <v>0</v>
      </c>
      <c r="AI360" s="285">
        <f t="shared" si="604"/>
        <v>0</v>
      </c>
      <c r="AJ360" s="164">
        <f t="shared" si="591"/>
        <v>0</v>
      </c>
      <c r="AK360" s="165">
        <f t="shared" si="592"/>
        <v>0</v>
      </c>
    </row>
    <row r="361" spans="2:37" outlineLevel="1" x14ac:dyDescent="0.35">
      <c r="B361" s="48" t="s">
        <v>107</v>
      </c>
      <c r="C361" s="62" t="s">
        <v>141</v>
      </c>
      <c r="D361" s="70">
        <v>0</v>
      </c>
      <c r="E361" s="4">
        <v>0</v>
      </c>
      <c r="F361" s="70">
        <v>0</v>
      </c>
      <c r="G361" s="4">
        <v>0</v>
      </c>
      <c r="H361" s="185">
        <f t="shared" si="587"/>
        <v>0</v>
      </c>
      <c r="I361" s="70">
        <v>0</v>
      </c>
      <c r="J361" s="4">
        <v>0</v>
      </c>
      <c r="K361" s="167">
        <f t="shared" si="588"/>
        <v>0</v>
      </c>
      <c r="L361" s="70">
        <v>0</v>
      </c>
      <c r="M361" s="4"/>
      <c r="N361" s="167">
        <f t="shared" si="589"/>
        <v>0</v>
      </c>
      <c r="O361" s="70"/>
      <c r="P361" s="4"/>
      <c r="Q361" s="167">
        <f t="shared" si="593"/>
        <v>0</v>
      </c>
      <c r="R361" s="164">
        <f t="shared" si="594"/>
        <v>0</v>
      </c>
      <c r="S361" s="165">
        <f t="shared" si="595"/>
        <v>0</v>
      </c>
      <c r="U361" s="70">
        <v>0</v>
      </c>
      <c r="V361" s="138">
        <f t="shared" si="596"/>
        <v>0</v>
      </c>
      <c r="W361" s="167">
        <f t="shared" si="590"/>
        <v>0</v>
      </c>
      <c r="X361" s="70"/>
      <c r="Y361" s="138">
        <f t="shared" si="597"/>
        <v>0</v>
      </c>
      <c r="Z361" s="285">
        <f t="shared" si="598"/>
        <v>0</v>
      </c>
      <c r="AA361" s="70">
        <v>0</v>
      </c>
      <c r="AB361" s="138">
        <f t="shared" si="599"/>
        <v>0</v>
      </c>
      <c r="AC361" s="285">
        <f t="shared" si="600"/>
        <v>0</v>
      </c>
      <c r="AD361" s="68"/>
      <c r="AE361" s="138">
        <f t="shared" si="601"/>
        <v>0</v>
      </c>
      <c r="AF361" s="285">
        <f t="shared" si="602"/>
        <v>0</v>
      </c>
      <c r="AG361" s="70">
        <v>0</v>
      </c>
      <c r="AH361" s="138">
        <f t="shared" si="603"/>
        <v>0</v>
      </c>
      <c r="AI361" s="285">
        <f t="shared" si="604"/>
        <v>0</v>
      </c>
      <c r="AJ361" s="164">
        <f t="shared" si="591"/>
        <v>0</v>
      </c>
      <c r="AK361" s="165">
        <f t="shared" si="592"/>
        <v>0</v>
      </c>
    </row>
    <row r="362" spans="2:37" outlineLevel="1" x14ac:dyDescent="0.35">
      <c r="B362" s="48" t="s">
        <v>108</v>
      </c>
      <c r="C362" s="62" t="s">
        <v>141</v>
      </c>
      <c r="D362" s="70">
        <v>0</v>
      </c>
      <c r="E362" s="4">
        <v>0</v>
      </c>
      <c r="F362" s="70">
        <v>0</v>
      </c>
      <c r="G362" s="4">
        <v>0</v>
      </c>
      <c r="H362" s="185">
        <f t="shared" si="587"/>
        <v>0</v>
      </c>
      <c r="I362" s="70">
        <v>0</v>
      </c>
      <c r="J362" s="4">
        <v>0</v>
      </c>
      <c r="K362" s="167">
        <f t="shared" si="588"/>
        <v>0</v>
      </c>
      <c r="L362" s="70">
        <v>0</v>
      </c>
      <c r="M362" s="4"/>
      <c r="N362" s="167">
        <f t="shared" si="589"/>
        <v>0</v>
      </c>
      <c r="O362" s="70"/>
      <c r="P362" s="4"/>
      <c r="Q362" s="167">
        <f t="shared" si="593"/>
        <v>0</v>
      </c>
      <c r="R362" s="164">
        <f t="shared" si="594"/>
        <v>0</v>
      </c>
      <c r="S362" s="165">
        <f t="shared" si="595"/>
        <v>0</v>
      </c>
      <c r="U362" s="70">
        <v>0</v>
      </c>
      <c r="V362" s="138">
        <f t="shared" si="596"/>
        <v>0</v>
      </c>
      <c r="W362" s="167">
        <f t="shared" si="590"/>
        <v>0</v>
      </c>
      <c r="X362" s="70"/>
      <c r="Y362" s="138">
        <f t="shared" si="597"/>
        <v>0</v>
      </c>
      <c r="Z362" s="285">
        <f t="shared" si="598"/>
        <v>0</v>
      </c>
      <c r="AA362" s="70">
        <v>0</v>
      </c>
      <c r="AB362" s="138">
        <f t="shared" si="599"/>
        <v>0</v>
      </c>
      <c r="AC362" s="285">
        <f t="shared" si="600"/>
        <v>0</v>
      </c>
      <c r="AD362" s="68"/>
      <c r="AE362" s="138">
        <f t="shared" si="601"/>
        <v>0</v>
      </c>
      <c r="AF362" s="285">
        <f t="shared" si="602"/>
        <v>0</v>
      </c>
      <c r="AG362" s="70">
        <v>0</v>
      </c>
      <c r="AH362" s="138">
        <f t="shared" si="603"/>
        <v>0</v>
      </c>
      <c r="AI362" s="285">
        <f t="shared" si="604"/>
        <v>0</v>
      </c>
      <c r="AJ362" s="164">
        <f t="shared" si="591"/>
        <v>0</v>
      </c>
      <c r="AK362" s="165">
        <f t="shared" si="592"/>
        <v>0</v>
      </c>
    </row>
    <row r="363" spans="2:37" outlineLevel="1" x14ac:dyDescent="0.35">
      <c r="B363" s="48" t="s">
        <v>109</v>
      </c>
      <c r="C363" s="62" t="s">
        <v>141</v>
      </c>
      <c r="D363" s="70">
        <v>0</v>
      </c>
      <c r="E363" s="4">
        <v>0</v>
      </c>
      <c r="F363" s="70">
        <v>0</v>
      </c>
      <c r="G363" s="4">
        <v>0</v>
      </c>
      <c r="H363" s="185">
        <f t="shared" si="587"/>
        <v>0</v>
      </c>
      <c r="I363" s="70">
        <v>0</v>
      </c>
      <c r="J363" s="4">
        <v>0</v>
      </c>
      <c r="K363" s="167">
        <f t="shared" si="588"/>
        <v>0</v>
      </c>
      <c r="L363" s="70">
        <v>0</v>
      </c>
      <c r="M363" s="4"/>
      <c r="N363" s="167">
        <f t="shared" si="589"/>
        <v>0</v>
      </c>
      <c r="O363" s="70"/>
      <c r="P363" s="4"/>
      <c r="Q363" s="167">
        <f t="shared" si="593"/>
        <v>0</v>
      </c>
      <c r="R363" s="164">
        <f t="shared" si="594"/>
        <v>0</v>
      </c>
      <c r="S363" s="165">
        <f t="shared" si="595"/>
        <v>0</v>
      </c>
      <c r="U363" s="70">
        <v>0</v>
      </c>
      <c r="V363" s="138">
        <f t="shared" si="596"/>
        <v>0</v>
      </c>
      <c r="W363" s="167">
        <f t="shared" si="590"/>
        <v>0</v>
      </c>
      <c r="X363" s="70"/>
      <c r="Y363" s="138">
        <f t="shared" si="597"/>
        <v>0</v>
      </c>
      <c r="Z363" s="285">
        <f t="shared" si="598"/>
        <v>0</v>
      </c>
      <c r="AA363" s="70">
        <v>0</v>
      </c>
      <c r="AB363" s="138">
        <f t="shared" si="599"/>
        <v>0</v>
      </c>
      <c r="AC363" s="285">
        <f t="shared" si="600"/>
        <v>0</v>
      </c>
      <c r="AD363" s="68"/>
      <c r="AE363" s="138">
        <f t="shared" si="601"/>
        <v>0</v>
      </c>
      <c r="AF363" s="285">
        <f t="shared" si="602"/>
        <v>0</v>
      </c>
      <c r="AG363" s="70">
        <v>0</v>
      </c>
      <c r="AH363" s="138">
        <f t="shared" si="603"/>
        <v>0</v>
      </c>
      <c r="AI363" s="285">
        <f t="shared" si="604"/>
        <v>0</v>
      </c>
      <c r="AJ363" s="164">
        <f t="shared" si="591"/>
        <v>0</v>
      </c>
      <c r="AK363" s="165">
        <f t="shared" si="592"/>
        <v>0</v>
      </c>
    </row>
    <row r="364" spans="2:37" outlineLevel="1" x14ac:dyDescent="0.35">
      <c r="B364" s="48" t="s">
        <v>110</v>
      </c>
      <c r="C364" s="62" t="s">
        <v>141</v>
      </c>
      <c r="D364" s="70">
        <v>0</v>
      </c>
      <c r="E364" s="4">
        <v>1</v>
      </c>
      <c r="F364" s="70">
        <v>0</v>
      </c>
      <c r="G364" s="4">
        <v>1</v>
      </c>
      <c r="H364" s="185">
        <f t="shared" si="587"/>
        <v>0</v>
      </c>
      <c r="I364" s="70">
        <v>0</v>
      </c>
      <c r="J364" s="4">
        <v>1</v>
      </c>
      <c r="K364" s="167">
        <f t="shared" si="588"/>
        <v>0</v>
      </c>
      <c r="L364" s="70">
        <v>0</v>
      </c>
      <c r="M364" s="4">
        <v>1</v>
      </c>
      <c r="N364" s="167">
        <f t="shared" si="589"/>
        <v>0</v>
      </c>
      <c r="O364" s="70"/>
      <c r="P364" s="4">
        <v>1</v>
      </c>
      <c r="Q364" s="167">
        <f t="shared" si="593"/>
        <v>0</v>
      </c>
      <c r="R364" s="164">
        <f t="shared" si="594"/>
        <v>0</v>
      </c>
      <c r="S364" s="165">
        <f t="shared" si="595"/>
        <v>0</v>
      </c>
      <c r="U364" s="70">
        <v>0</v>
      </c>
      <c r="V364" s="138">
        <f t="shared" si="596"/>
        <v>1</v>
      </c>
      <c r="W364" s="167">
        <f t="shared" si="590"/>
        <v>0</v>
      </c>
      <c r="X364" s="70"/>
      <c r="Y364" s="138">
        <f t="shared" si="597"/>
        <v>1</v>
      </c>
      <c r="Z364" s="285">
        <f t="shared" si="598"/>
        <v>0</v>
      </c>
      <c r="AA364" s="70">
        <v>0</v>
      </c>
      <c r="AB364" s="138">
        <f t="shared" si="599"/>
        <v>1</v>
      </c>
      <c r="AC364" s="285">
        <f t="shared" si="600"/>
        <v>0</v>
      </c>
      <c r="AD364" s="68"/>
      <c r="AE364" s="138">
        <f t="shared" si="601"/>
        <v>1</v>
      </c>
      <c r="AF364" s="285">
        <f t="shared" si="602"/>
        <v>0</v>
      </c>
      <c r="AG364" s="70">
        <v>0</v>
      </c>
      <c r="AH364" s="138">
        <f t="shared" si="603"/>
        <v>1</v>
      </c>
      <c r="AI364" s="285">
        <f t="shared" si="604"/>
        <v>0</v>
      </c>
      <c r="AJ364" s="164">
        <f t="shared" si="591"/>
        <v>0</v>
      </c>
      <c r="AK364" s="165">
        <f t="shared" si="592"/>
        <v>0</v>
      </c>
    </row>
    <row r="365" spans="2:37" outlineLevel="1" x14ac:dyDescent="0.35">
      <c r="B365" s="48" t="s">
        <v>111</v>
      </c>
      <c r="C365" s="62" t="s">
        <v>141</v>
      </c>
      <c r="D365" s="70">
        <v>0</v>
      </c>
      <c r="E365" s="4">
        <v>0</v>
      </c>
      <c r="F365" s="70">
        <v>0</v>
      </c>
      <c r="G365" s="4">
        <v>0</v>
      </c>
      <c r="H365" s="185">
        <f t="shared" si="587"/>
        <v>0</v>
      </c>
      <c r="I365" s="70">
        <v>0</v>
      </c>
      <c r="J365" s="4">
        <v>0</v>
      </c>
      <c r="K365" s="167">
        <f t="shared" si="588"/>
        <v>0</v>
      </c>
      <c r="L365" s="70">
        <v>0</v>
      </c>
      <c r="M365" s="4"/>
      <c r="N365" s="167">
        <f t="shared" si="589"/>
        <v>0</v>
      </c>
      <c r="O365" s="70"/>
      <c r="P365" s="4"/>
      <c r="Q365" s="167">
        <f t="shared" si="593"/>
        <v>0</v>
      </c>
      <c r="R365" s="164">
        <f t="shared" si="594"/>
        <v>0</v>
      </c>
      <c r="S365" s="165">
        <f t="shared" si="595"/>
        <v>0</v>
      </c>
      <c r="U365" s="70">
        <v>0</v>
      </c>
      <c r="V365" s="138">
        <f t="shared" si="596"/>
        <v>0</v>
      </c>
      <c r="W365" s="167">
        <f t="shared" si="590"/>
        <v>0</v>
      </c>
      <c r="X365" s="70"/>
      <c r="Y365" s="138">
        <f t="shared" si="597"/>
        <v>0</v>
      </c>
      <c r="Z365" s="285">
        <f t="shared" si="598"/>
        <v>0</v>
      </c>
      <c r="AA365" s="70">
        <v>0</v>
      </c>
      <c r="AB365" s="138">
        <f t="shared" si="599"/>
        <v>0</v>
      </c>
      <c r="AC365" s="285">
        <f t="shared" si="600"/>
        <v>0</v>
      </c>
      <c r="AD365" s="68"/>
      <c r="AE365" s="138">
        <f t="shared" si="601"/>
        <v>0</v>
      </c>
      <c r="AF365" s="285">
        <f t="shared" si="602"/>
        <v>0</v>
      </c>
      <c r="AG365" s="70">
        <v>0</v>
      </c>
      <c r="AH365" s="138">
        <f t="shared" si="603"/>
        <v>0</v>
      </c>
      <c r="AI365" s="285">
        <f t="shared" si="604"/>
        <v>0</v>
      </c>
      <c r="AJ365" s="164">
        <f t="shared" si="591"/>
        <v>0</v>
      </c>
      <c r="AK365" s="165">
        <f t="shared" si="592"/>
        <v>0</v>
      </c>
    </row>
    <row r="366" spans="2:37" outlineLevel="1" x14ac:dyDescent="0.35">
      <c r="B366" s="48" t="s">
        <v>112</v>
      </c>
      <c r="C366" s="62" t="s">
        <v>141</v>
      </c>
      <c r="D366" s="70">
        <v>0</v>
      </c>
      <c r="E366" s="4">
        <v>1</v>
      </c>
      <c r="F366" s="70">
        <v>0</v>
      </c>
      <c r="G366" s="4">
        <v>1</v>
      </c>
      <c r="H366" s="185">
        <f t="shared" si="587"/>
        <v>0</v>
      </c>
      <c r="I366" s="70">
        <v>0</v>
      </c>
      <c r="J366" s="4">
        <v>1</v>
      </c>
      <c r="K366" s="167">
        <f t="shared" si="588"/>
        <v>0</v>
      </c>
      <c r="L366" s="70">
        <v>0</v>
      </c>
      <c r="M366" s="4">
        <v>1</v>
      </c>
      <c r="N366" s="167">
        <f t="shared" si="589"/>
        <v>0</v>
      </c>
      <c r="O366" s="70"/>
      <c r="P366" s="4">
        <v>1</v>
      </c>
      <c r="Q366" s="167">
        <f t="shared" si="593"/>
        <v>0</v>
      </c>
      <c r="R366" s="164">
        <f t="shared" si="594"/>
        <v>0</v>
      </c>
      <c r="S366" s="165">
        <f t="shared" si="595"/>
        <v>0</v>
      </c>
      <c r="U366" s="70">
        <v>0</v>
      </c>
      <c r="V366" s="138">
        <f t="shared" si="596"/>
        <v>1</v>
      </c>
      <c r="W366" s="167">
        <f t="shared" si="590"/>
        <v>0</v>
      </c>
      <c r="X366" s="70"/>
      <c r="Y366" s="138">
        <f t="shared" si="597"/>
        <v>1</v>
      </c>
      <c r="Z366" s="285">
        <f t="shared" si="598"/>
        <v>0</v>
      </c>
      <c r="AA366" s="70">
        <v>0</v>
      </c>
      <c r="AB366" s="138">
        <f t="shared" si="599"/>
        <v>1</v>
      </c>
      <c r="AC366" s="285">
        <f t="shared" si="600"/>
        <v>0</v>
      </c>
      <c r="AD366" s="68"/>
      <c r="AE366" s="138">
        <f t="shared" si="601"/>
        <v>1</v>
      </c>
      <c r="AF366" s="285">
        <f t="shared" si="602"/>
        <v>0</v>
      </c>
      <c r="AG366" s="70">
        <v>0</v>
      </c>
      <c r="AH366" s="138">
        <f t="shared" si="603"/>
        <v>1</v>
      </c>
      <c r="AI366" s="285">
        <f t="shared" si="604"/>
        <v>0</v>
      </c>
      <c r="AJ366" s="164">
        <f t="shared" si="591"/>
        <v>0</v>
      </c>
      <c r="AK366" s="165">
        <f t="shared" si="592"/>
        <v>0</v>
      </c>
    </row>
    <row r="367" spans="2:37" outlineLevel="1" x14ac:dyDescent="0.35">
      <c r="B367" s="48" t="s">
        <v>113</v>
      </c>
      <c r="C367" s="62" t="s">
        <v>141</v>
      </c>
      <c r="D367" s="70">
        <v>0</v>
      </c>
      <c r="E367" s="4">
        <v>0</v>
      </c>
      <c r="F367" s="70">
        <v>0</v>
      </c>
      <c r="G367" s="4">
        <v>0</v>
      </c>
      <c r="H367" s="185">
        <f t="shared" si="587"/>
        <v>0</v>
      </c>
      <c r="I367" s="70">
        <v>0</v>
      </c>
      <c r="J367" s="4">
        <v>0</v>
      </c>
      <c r="K367" s="167">
        <f t="shared" si="588"/>
        <v>0</v>
      </c>
      <c r="L367" s="70">
        <v>0</v>
      </c>
      <c r="M367" s="4"/>
      <c r="N367" s="167">
        <f t="shared" si="589"/>
        <v>0</v>
      </c>
      <c r="O367" s="70"/>
      <c r="P367" s="4"/>
      <c r="Q367" s="167">
        <f t="shared" si="593"/>
        <v>0</v>
      </c>
      <c r="R367" s="164">
        <f t="shared" si="594"/>
        <v>0</v>
      </c>
      <c r="S367" s="165">
        <f t="shared" si="595"/>
        <v>0</v>
      </c>
      <c r="U367" s="70">
        <v>0</v>
      </c>
      <c r="V367" s="138">
        <f t="shared" si="596"/>
        <v>0</v>
      </c>
      <c r="W367" s="167">
        <f t="shared" si="590"/>
        <v>0</v>
      </c>
      <c r="X367" s="70"/>
      <c r="Y367" s="138">
        <f t="shared" si="597"/>
        <v>0</v>
      </c>
      <c r="Z367" s="285">
        <f t="shared" si="598"/>
        <v>0</v>
      </c>
      <c r="AA367" s="70">
        <v>1</v>
      </c>
      <c r="AB367" s="138">
        <f t="shared" si="599"/>
        <v>1</v>
      </c>
      <c r="AC367" s="285">
        <f t="shared" si="600"/>
        <v>0</v>
      </c>
      <c r="AD367" s="68"/>
      <c r="AE367" s="138">
        <f t="shared" si="601"/>
        <v>1</v>
      </c>
      <c r="AF367" s="285">
        <f t="shared" si="602"/>
        <v>0</v>
      </c>
      <c r="AG367" s="70">
        <v>0</v>
      </c>
      <c r="AH367" s="138">
        <f t="shared" si="603"/>
        <v>1</v>
      </c>
      <c r="AI367" s="285">
        <f t="shared" si="604"/>
        <v>0</v>
      </c>
      <c r="AJ367" s="164">
        <f t="shared" si="591"/>
        <v>1</v>
      </c>
      <c r="AK367" s="165">
        <f t="shared" si="592"/>
        <v>0</v>
      </c>
    </row>
    <row r="368" spans="2:37" outlineLevel="1" x14ac:dyDescent="0.35">
      <c r="B368" s="48" t="s">
        <v>114</v>
      </c>
      <c r="C368" s="62" t="s">
        <v>141</v>
      </c>
      <c r="D368" s="70">
        <v>0</v>
      </c>
      <c r="E368" s="4">
        <v>0</v>
      </c>
      <c r="F368" s="70">
        <v>0</v>
      </c>
      <c r="G368" s="4">
        <v>0</v>
      </c>
      <c r="H368" s="185">
        <f t="shared" si="587"/>
        <v>0</v>
      </c>
      <c r="I368" s="70">
        <v>0</v>
      </c>
      <c r="J368" s="4">
        <v>0</v>
      </c>
      <c r="K368" s="167">
        <f t="shared" si="588"/>
        <v>0</v>
      </c>
      <c r="L368" s="70">
        <v>0</v>
      </c>
      <c r="M368" s="4"/>
      <c r="N368" s="167">
        <f t="shared" si="589"/>
        <v>0</v>
      </c>
      <c r="O368" s="70"/>
      <c r="P368" s="4"/>
      <c r="Q368" s="167">
        <f t="shared" si="593"/>
        <v>0</v>
      </c>
      <c r="R368" s="164">
        <f t="shared" si="594"/>
        <v>0</v>
      </c>
      <c r="S368" s="165">
        <f t="shared" si="595"/>
        <v>0</v>
      </c>
      <c r="U368" s="70">
        <v>1</v>
      </c>
      <c r="V368" s="138">
        <f t="shared" si="596"/>
        <v>1</v>
      </c>
      <c r="W368" s="167">
        <f t="shared" si="590"/>
        <v>0</v>
      </c>
      <c r="X368" s="70"/>
      <c r="Y368" s="138">
        <f t="shared" si="597"/>
        <v>1</v>
      </c>
      <c r="Z368" s="285">
        <f t="shared" si="598"/>
        <v>0</v>
      </c>
      <c r="AA368" s="70">
        <v>0</v>
      </c>
      <c r="AB368" s="138">
        <f t="shared" si="599"/>
        <v>1</v>
      </c>
      <c r="AC368" s="285">
        <f t="shared" si="600"/>
        <v>0</v>
      </c>
      <c r="AD368" s="68"/>
      <c r="AE368" s="138">
        <f t="shared" si="601"/>
        <v>1</v>
      </c>
      <c r="AF368" s="285">
        <f t="shared" si="602"/>
        <v>0</v>
      </c>
      <c r="AG368" s="70">
        <v>0</v>
      </c>
      <c r="AH368" s="138">
        <f t="shared" si="603"/>
        <v>1</v>
      </c>
      <c r="AI368" s="285">
        <f t="shared" si="604"/>
        <v>0</v>
      </c>
      <c r="AJ368" s="164">
        <f t="shared" si="591"/>
        <v>1</v>
      </c>
      <c r="AK368" s="165">
        <f t="shared" si="592"/>
        <v>0</v>
      </c>
    </row>
    <row r="369" spans="1:47" outlineLevel="1" x14ac:dyDescent="0.35">
      <c r="B369" s="48" t="s">
        <v>115</v>
      </c>
      <c r="C369" s="62" t="s">
        <v>141</v>
      </c>
      <c r="D369" s="70">
        <v>0</v>
      </c>
      <c r="E369" s="4">
        <v>0</v>
      </c>
      <c r="F369" s="70">
        <v>0</v>
      </c>
      <c r="G369" s="4">
        <v>0</v>
      </c>
      <c r="H369" s="185">
        <f t="shared" si="587"/>
        <v>0</v>
      </c>
      <c r="I369" s="70">
        <v>0</v>
      </c>
      <c r="J369" s="4">
        <v>0</v>
      </c>
      <c r="K369" s="167">
        <f t="shared" si="588"/>
        <v>0</v>
      </c>
      <c r="L369" s="70">
        <v>0</v>
      </c>
      <c r="M369" s="4"/>
      <c r="N369" s="167">
        <f t="shared" si="589"/>
        <v>0</v>
      </c>
      <c r="O369" s="70"/>
      <c r="P369" s="4"/>
      <c r="Q369" s="167">
        <f t="shared" si="593"/>
        <v>0</v>
      </c>
      <c r="R369" s="164">
        <f t="shared" si="594"/>
        <v>0</v>
      </c>
      <c r="S369" s="165">
        <f t="shared" si="595"/>
        <v>0</v>
      </c>
      <c r="U369" s="70">
        <v>0</v>
      </c>
      <c r="V369" s="138">
        <f t="shared" si="596"/>
        <v>0</v>
      </c>
      <c r="W369" s="167">
        <f t="shared" si="590"/>
        <v>0</v>
      </c>
      <c r="X369" s="70"/>
      <c r="Y369" s="138">
        <f t="shared" si="597"/>
        <v>0</v>
      </c>
      <c r="Z369" s="285">
        <f t="shared" si="598"/>
        <v>0</v>
      </c>
      <c r="AA369" s="70">
        <v>0</v>
      </c>
      <c r="AB369" s="138">
        <f t="shared" si="599"/>
        <v>0</v>
      </c>
      <c r="AC369" s="285">
        <f t="shared" si="600"/>
        <v>0</v>
      </c>
      <c r="AD369" s="68"/>
      <c r="AE369" s="138">
        <f t="shared" si="601"/>
        <v>0</v>
      </c>
      <c r="AF369" s="285">
        <f t="shared" si="602"/>
        <v>0</v>
      </c>
      <c r="AG369" s="70">
        <v>0</v>
      </c>
      <c r="AH369" s="138">
        <f t="shared" si="603"/>
        <v>0</v>
      </c>
      <c r="AI369" s="285">
        <f t="shared" si="604"/>
        <v>0</v>
      </c>
      <c r="AJ369" s="164">
        <f t="shared" si="591"/>
        <v>0</v>
      </c>
      <c r="AK369" s="165">
        <f t="shared" si="592"/>
        <v>0</v>
      </c>
    </row>
    <row r="370" spans="1:47" outlineLevel="1" x14ac:dyDescent="0.35">
      <c r="B370" s="48" t="s">
        <v>116</v>
      </c>
      <c r="C370" s="62" t="s">
        <v>141</v>
      </c>
      <c r="D370" s="70">
        <v>0</v>
      </c>
      <c r="E370" s="4">
        <v>0</v>
      </c>
      <c r="F370" s="70">
        <v>0</v>
      </c>
      <c r="G370" s="4">
        <v>0</v>
      </c>
      <c r="H370" s="185">
        <f t="shared" si="587"/>
        <v>0</v>
      </c>
      <c r="I370" s="70">
        <v>0</v>
      </c>
      <c r="J370" s="4">
        <v>0</v>
      </c>
      <c r="K370" s="167">
        <f t="shared" si="588"/>
        <v>0</v>
      </c>
      <c r="L370" s="70">
        <v>0</v>
      </c>
      <c r="M370" s="4"/>
      <c r="N370" s="167">
        <f t="shared" si="589"/>
        <v>0</v>
      </c>
      <c r="O370" s="70"/>
      <c r="P370" s="4"/>
      <c r="Q370" s="167">
        <f t="shared" si="593"/>
        <v>0</v>
      </c>
      <c r="R370" s="164">
        <f t="shared" si="594"/>
        <v>0</v>
      </c>
      <c r="S370" s="165">
        <f t="shared" si="595"/>
        <v>0</v>
      </c>
      <c r="U370" s="70">
        <v>0</v>
      </c>
      <c r="V370" s="138">
        <f t="shared" si="596"/>
        <v>0</v>
      </c>
      <c r="W370" s="167">
        <f t="shared" si="590"/>
        <v>0</v>
      </c>
      <c r="X370" s="70"/>
      <c r="Y370" s="138">
        <f t="shared" si="597"/>
        <v>0</v>
      </c>
      <c r="Z370" s="285">
        <f t="shared" si="598"/>
        <v>0</v>
      </c>
      <c r="AA370" s="70">
        <v>0</v>
      </c>
      <c r="AB370" s="138">
        <f t="shared" si="599"/>
        <v>0</v>
      </c>
      <c r="AC370" s="285">
        <f t="shared" si="600"/>
        <v>0</v>
      </c>
      <c r="AD370" s="68"/>
      <c r="AE370" s="138">
        <f t="shared" si="601"/>
        <v>0</v>
      </c>
      <c r="AF370" s="285">
        <f t="shared" si="602"/>
        <v>0</v>
      </c>
      <c r="AG370" s="70">
        <v>0</v>
      </c>
      <c r="AH370" s="138">
        <f t="shared" si="603"/>
        <v>0</v>
      </c>
      <c r="AI370" s="285">
        <f t="shared" si="604"/>
        <v>0</v>
      </c>
      <c r="AJ370" s="164">
        <f t="shared" si="591"/>
        <v>0</v>
      </c>
      <c r="AK370" s="165">
        <f t="shared" si="592"/>
        <v>0</v>
      </c>
    </row>
    <row r="371" spans="1:47" outlineLevel="1" x14ac:dyDescent="0.35">
      <c r="B371" s="48" t="s">
        <v>117</v>
      </c>
      <c r="C371" s="62" t="s">
        <v>141</v>
      </c>
      <c r="D371" s="70">
        <v>0</v>
      </c>
      <c r="E371" s="4">
        <v>0</v>
      </c>
      <c r="F371" s="70">
        <v>0</v>
      </c>
      <c r="G371" s="4">
        <v>0</v>
      </c>
      <c r="H371" s="185">
        <f t="shared" si="587"/>
        <v>0</v>
      </c>
      <c r="I371" s="70">
        <v>0</v>
      </c>
      <c r="J371" s="4">
        <v>0</v>
      </c>
      <c r="K371" s="167">
        <f t="shared" si="588"/>
        <v>0</v>
      </c>
      <c r="L371" s="70">
        <v>0</v>
      </c>
      <c r="M371" s="4"/>
      <c r="N371" s="167">
        <f t="shared" si="589"/>
        <v>0</v>
      </c>
      <c r="O371" s="70"/>
      <c r="P371" s="4"/>
      <c r="Q371" s="167">
        <f t="shared" si="593"/>
        <v>0</v>
      </c>
      <c r="R371" s="164">
        <f t="shared" si="594"/>
        <v>0</v>
      </c>
      <c r="S371" s="165">
        <f t="shared" si="595"/>
        <v>0</v>
      </c>
      <c r="U371" s="70">
        <v>0</v>
      </c>
      <c r="V371" s="138">
        <f t="shared" si="596"/>
        <v>0</v>
      </c>
      <c r="W371" s="167">
        <f t="shared" si="590"/>
        <v>0</v>
      </c>
      <c r="X371" s="70"/>
      <c r="Y371" s="138">
        <f t="shared" si="597"/>
        <v>0</v>
      </c>
      <c r="Z371" s="285">
        <f t="shared" si="598"/>
        <v>0</v>
      </c>
      <c r="AA371" s="70">
        <v>0</v>
      </c>
      <c r="AB371" s="138">
        <f t="shared" si="599"/>
        <v>0</v>
      </c>
      <c r="AC371" s="285">
        <f t="shared" si="600"/>
        <v>0</v>
      </c>
      <c r="AD371" s="68"/>
      <c r="AE371" s="138">
        <f t="shared" si="601"/>
        <v>0</v>
      </c>
      <c r="AF371" s="285">
        <f t="shared" si="602"/>
        <v>0</v>
      </c>
      <c r="AG371" s="70">
        <v>0</v>
      </c>
      <c r="AH371" s="138">
        <f t="shared" si="603"/>
        <v>0</v>
      </c>
      <c r="AI371" s="285">
        <f t="shared" si="604"/>
        <v>0</v>
      </c>
      <c r="AJ371" s="164">
        <f t="shared" si="591"/>
        <v>0</v>
      </c>
      <c r="AK371" s="165">
        <f t="shared" si="592"/>
        <v>0</v>
      </c>
    </row>
    <row r="372" spans="1:47" outlineLevel="1" x14ac:dyDescent="0.35">
      <c r="B372" s="48" t="s">
        <v>118</v>
      </c>
      <c r="C372" s="62" t="s">
        <v>141</v>
      </c>
      <c r="D372" s="70">
        <v>0</v>
      </c>
      <c r="E372" s="4">
        <v>0</v>
      </c>
      <c r="F372" s="70">
        <v>0</v>
      </c>
      <c r="G372" s="4">
        <v>0</v>
      </c>
      <c r="H372" s="185">
        <f t="shared" si="587"/>
        <v>0</v>
      </c>
      <c r="I372" s="70">
        <v>0</v>
      </c>
      <c r="J372" s="4">
        <v>0</v>
      </c>
      <c r="K372" s="167">
        <f t="shared" si="588"/>
        <v>0</v>
      </c>
      <c r="L372" s="70">
        <v>0</v>
      </c>
      <c r="M372" s="4"/>
      <c r="N372" s="167">
        <f t="shared" si="589"/>
        <v>0</v>
      </c>
      <c r="O372" s="70"/>
      <c r="P372" s="4"/>
      <c r="Q372" s="167">
        <f t="shared" si="593"/>
        <v>0</v>
      </c>
      <c r="R372" s="164">
        <f t="shared" si="594"/>
        <v>0</v>
      </c>
      <c r="S372" s="165">
        <f t="shared" si="595"/>
        <v>0</v>
      </c>
      <c r="U372" s="70">
        <v>0</v>
      </c>
      <c r="V372" s="138">
        <f t="shared" si="596"/>
        <v>0</v>
      </c>
      <c r="W372" s="167">
        <f t="shared" si="590"/>
        <v>0</v>
      </c>
      <c r="X372" s="70"/>
      <c r="Y372" s="138">
        <f t="shared" si="597"/>
        <v>0</v>
      </c>
      <c r="Z372" s="285">
        <f t="shared" si="598"/>
        <v>0</v>
      </c>
      <c r="AA372" s="70">
        <v>0</v>
      </c>
      <c r="AB372" s="138">
        <f t="shared" si="599"/>
        <v>0</v>
      </c>
      <c r="AC372" s="285">
        <f t="shared" si="600"/>
        <v>0</v>
      </c>
      <c r="AD372" s="68"/>
      <c r="AE372" s="138">
        <f t="shared" si="601"/>
        <v>0</v>
      </c>
      <c r="AF372" s="285">
        <f t="shared" si="602"/>
        <v>0</v>
      </c>
      <c r="AG372" s="70">
        <v>0</v>
      </c>
      <c r="AH372" s="138">
        <f t="shared" si="603"/>
        <v>0</v>
      </c>
      <c r="AI372" s="285">
        <f t="shared" si="604"/>
        <v>0</v>
      </c>
      <c r="AJ372" s="164">
        <f t="shared" si="591"/>
        <v>0</v>
      </c>
      <c r="AK372" s="165">
        <f t="shared" si="592"/>
        <v>0</v>
      </c>
    </row>
    <row r="373" spans="1:47" outlineLevel="1" x14ac:dyDescent="0.35">
      <c r="B373" s="48" t="s">
        <v>119</v>
      </c>
      <c r="C373" s="62" t="s">
        <v>141</v>
      </c>
      <c r="D373" s="70">
        <v>0</v>
      </c>
      <c r="E373" s="4">
        <v>0</v>
      </c>
      <c r="F373" s="70">
        <v>0</v>
      </c>
      <c r="G373" s="4">
        <v>0</v>
      </c>
      <c r="H373" s="185">
        <f t="shared" si="587"/>
        <v>0</v>
      </c>
      <c r="I373" s="70">
        <v>0</v>
      </c>
      <c r="J373" s="4">
        <v>0</v>
      </c>
      <c r="K373" s="167">
        <f t="shared" si="588"/>
        <v>0</v>
      </c>
      <c r="L373" s="70">
        <v>0</v>
      </c>
      <c r="M373" s="4"/>
      <c r="N373" s="167">
        <f t="shared" si="589"/>
        <v>0</v>
      </c>
      <c r="O373" s="70"/>
      <c r="P373" s="4"/>
      <c r="Q373" s="167">
        <f t="shared" si="593"/>
        <v>0</v>
      </c>
      <c r="R373" s="164">
        <f t="shared" si="594"/>
        <v>0</v>
      </c>
      <c r="S373" s="165">
        <f t="shared" si="595"/>
        <v>0</v>
      </c>
      <c r="U373" s="70">
        <v>0</v>
      </c>
      <c r="V373" s="138">
        <f t="shared" si="596"/>
        <v>0</v>
      </c>
      <c r="W373" s="167">
        <f t="shared" si="590"/>
        <v>0</v>
      </c>
      <c r="X373" s="70"/>
      <c r="Y373" s="138">
        <f t="shared" si="597"/>
        <v>0</v>
      </c>
      <c r="Z373" s="285">
        <f t="shared" si="598"/>
        <v>0</v>
      </c>
      <c r="AA373" s="70">
        <v>0</v>
      </c>
      <c r="AB373" s="138">
        <f t="shared" si="599"/>
        <v>0</v>
      </c>
      <c r="AC373" s="285">
        <f t="shared" si="600"/>
        <v>0</v>
      </c>
      <c r="AD373" s="68"/>
      <c r="AE373" s="138">
        <f t="shared" si="601"/>
        <v>0</v>
      </c>
      <c r="AF373" s="285">
        <f t="shared" si="602"/>
        <v>0</v>
      </c>
      <c r="AG373" s="70">
        <v>0</v>
      </c>
      <c r="AH373" s="138">
        <f t="shared" si="603"/>
        <v>0</v>
      </c>
      <c r="AI373" s="285">
        <f t="shared" si="604"/>
        <v>0</v>
      </c>
      <c r="AJ373" s="164">
        <f t="shared" si="591"/>
        <v>0</v>
      </c>
      <c r="AK373" s="165">
        <f t="shared" si="592"/>
        <v>0</v>
      </c>
    </row>
    <row r="374" spans="1:47" outlineLevel="1" x14ac:dyDescent="0.35">
      <c r="B374" s="48" t="s">
        <v>120</v>
      </c>
      <c r="C374" s="62" t="s">
        <v>141</v>
      </c>
      <c r="D374" s="70">
        <v>0</v>
      </c>
      <c r="E374" s="4">
        <v>0</v>
      </c>
      <c r="F374" s="70">
        <v>0</v>
      </c>
      <c r="G374" s="4">
        <v>0</v>
      </c>
      <c r="H374" s="185">
        <f t="shared" si="587"/>
        <v>0</v>
      </c>
      <c r="I374" s="70">
        <v>0</v>
      </c>
      <c r="J374" s="4">
        <v>0</v>
      </c>
      <c r="K374" s="167">
        <f t="shared" si="588"/>
        <v>0</v>
      </c>
      <c r="L374" s="70">
        <v>0</v>
      </c>
      <c r="M374" s="4"/>
      <c r="N374" s="167">
        <f t="shared" si="589"/>
        <v>0</v>
      </c>
      <c r="O374" s="70"/>
      <c r="P374" s="4"/>
      <c r="Q374" s="167">
        <f t="shared" si="593"/>
        <v>0</v>
      </c>
      <c r="R374" s="164">
        <f t="shared" si="594"/>
        <v>0</v>
      </c>
      <c r="S374" s="165">
        <f t="shared" si="595"/>
        <v>0</v>
      </c>
      <c r="U374" s="70">
        <v>1</v>
      </c>
      <c r="V374" s="138">
        <f t="shared" si="596"/>
        <v>1</v>
      </c>
      <c r="W374" s="167">
        <f t="shared" si="590"/>
        <v>0</v>
      </c>
      <c r="X374" s="70"/>
      <c r="Y374" s="138">
        <f t="shared" si="597"/>
        <v>1</v>
      </c>
      <c r="Z374" s="285">
        <f t="shared" si="598"/>
        <v>0</v>
      </c>
      <c r="AA374" s="70">
        <v>0</v>
      </c>
      <c r="AB374" s="138">
        <f t="shared" si="599"/>
        <v>1</v>
      </c>
      <c r="AC374" s="285">
        <f t="shared" si="600"/>
        <v>0</v>
      </c>
      <c r="AD374" s="68"/>
      <c r="AE374" s="138">
        <f t="shared" si="601"/>
        <v>1</v>
      </c>
      <c r="AF374" s="285">
        <f t="shared" si="602"/>
        <v>0</v>
      </c>
      <c r="AG374" s="70">
        <v>1</v>
      </c>
      <c r="AH374" s="138">
        <f t="shared" si="603"/>
        <v>2</v>
      </c>
      <c r="AI374" s="285">
        <f t="shared" si="604"/>
        <v>1</v>
      </c>
      <c r="AJ374" s="164">
        <f t="shared" si="591"/>
        <v>2</v>
      </c>
      <c r="AK374" s="165">
        <f t="shared" si="592"/>
        <v>0.18920711500272103</v>
      </c>
    </row>
    <row r="375" spans="1:47" outlineLevel="1" x14ac:dyDescent="0.35">
      <c r="B375" s="48" t="s">
        <v>121</v>
      </c>
      <c r="C375" s="62" t="s">
        <v>141</v>
      </c>
      <c r="D375" s="70">
        <v>0</v>
      </c>
      <c r="E375" s="4">
        <v>0</v>
      </c>
      <c r="F375" s="70">
        <v>0</v>
      </c>
      <c r="G375" s="4">
        <v>0</v>
      </c>
      <c r="H375" s="185">
        <f t="shared" si="587"/>
        <v>0</v>
      </c>
      <c r="I375" s="70">
        <v>0</v>
      </c>
      <c r="J375" s="4">
        <v>0</v>
      </c>
      <c r="K375" s="167">
        <f t="shared" si="588"/>
        <v>0</v>
      </c>
      <c r="L375" s="70">
        <v>0</v>
      </c>
      <c r="M375" s="4"/>
      <c r="N375" s="167">
        <f t="shared" si="589"/>
        <v>0</v>
      </c>
      <c r="O375" s="70"/>
      <c r="P375" s="4"/>
      <c r="Q375" s="167">
        <f t="shared" si="593"/>
        <v>0</v>
      </c>
      <c r="R375" s="164">
        <f t="shared" si="594"/>
        <v>0</v>
      </c>
      <c r="S375" s="165">
        <f t="shared" si="595"/>
        <v>0</v>
      </c>
      <c r="U375" s="72">
        <v>0</v>
      </c>
      <c r="V375" s="138">
        <f t="shared" si="596"/>
        <v>0</v>
      </c>
      <c r="W375" s="167">
        <f t="shared" si="590"/>
        <v>0</v>
      </c>
      <c r="X375" s="72"/>
      <c r="Y375" s="138">
        <f t="shared" si="597"/>
        <v>0</v>
      </c>
      <c r="Z375" s="285">
        <f t="shared" si="598"/>
        <v>0</v>
      </c>
      <c r="AA375" s="72">
        <v>0</v>
      </c>
      <c r="AB375" s="138">
        <f t="shared" si="599"/>
        <v>0</v>
      </c>
      <c r="AC375" s="285">
        <f t="shared" si="600"/>
        <v>0</v>
      </c>
      <c r="AD375" s="69"/>
      <c r="AE375" s="138">
        <f t="shared" si="601"/>
        <v>0</v>
      </c>
      <c r="AF375" s="285">
        <f t="shared" si="602"/>
        <v>0</v>
      </c>
      <c r="AG375" s="72">
        <v>0</v>
      </c>
      <c r="AH375" s="138">
        <f t="shared" si="603"/>
        <v>0</v>
      </c>
      <c r="AI375" s="285">
        <f t="shared" si="604"/>
        <v>0</v>
      </c>
      <c r="AJ375" s="164">
        <f t="shared" si="591"/>
        <v>0</v>
      </c>
      <c r="AK375" s="165">
        <f t="shared" si="592"/>
        <v>0</v>
      </c>
    </row>
    <row r="376" spans="1:47" outlineLevel="1" x14ac:dyDescent="0.35">
      <c r="B376" s="48" t="s">
        <v>137</v>
      </c>
      <c r="C376" s="62" t="s">
        <v>141</v>
      </c>
      <c r="D376" s="70">
        <v>0</v>
      </c>
      <c r="E376" s="4">
        <v>0</v>
      </c>
      <c r="F376" s="70">
        <v>0</v>
      </c>
      <c r="G376" s="4">
        <v>0</v>
      </c>
      <c r="H376" s="185">
        <f t="shared" si="587"/>
        <v>0</v>
      </c>
      <c r="I376" s="70">
        <v>0</v>
      </c>
      <c r="J376" s="4">
        <v>0</v>
      </c>
      <c r="K376" s="167">
        <f t="shared" si="588"/>
        <v>0</v>
      </c>
      <c r="L376" s="70">
        <v>0</v>
      </c>
      <c r="M376" s="4"/>
      <c r="N376" s="167">
        <f t="shared" si="589"/>
        <v>0</v>
      </c>
      <c r="O376" s="70"/>
      <c r="P376" s="4"/>
      <c r="Q376" s="167">
        <f t="shared" si="593"/>
        <v>0</v>
      </c>
      <c r="R376" s="164">
        <f t="shared" si="594"/>
        <v>0</v>
      </c>
      <c r="S376" s="165">
        <f t="shared" si="595"/>
        <v>0</v>
      </c>
      <c r="U376" s="72">
        <v>0</v>
      </c>
      <c r="V376" s="138">
        <f t="shared" si="596"/>
        <v>0</v>
      </c>
      <c r="W376" s="167">
        <f t="shared" si="590"/>
        <v>0</v>
      </c>
      <c r="X376" s="72"/>
      <c r="Y376" s="138">
        <f t="shared" si="597"/>
        <v>0</v>
      </c>
      <c r="Z376" s="285">
        <f t="shared" si="598"/>
        <v>0</v>
      </c>
      <c r="AA376" s="72">
        <v>0</v>
      </c>
      <c r="AB376" s="138">
        <f t="shared" si="599"/>
        <v>0</v>
      </c>
      <c r="AC376" s="181">
        <f t="shared" si="600"/>
        <v>0</v>
      </c>
      <c r="AD376" s="286"/>
      <c r="AE376" s="138">
        <f t="shared" si="601"/>
        <v>0</v>
      </c>
      <c r="AF376" s="285">
        <f t="shared" si="602"/>
        <v>0</v>
      </c>
      <c r="AG376" s="284">
        <v>0</v>
      </c>
      <c r="AH376" s="138">
        <f t="shared" si="603"/>
        <v>0</v>
      </c>
      <c r="AI376" s="285">
        <f t="shared" si="604"/>
        <v>0</v>
      </c>
      <c r="AJ376" s="164">
        <f t="shared" si="591"/>
        <v>0</v>
      </c>
      <c r="AK376" s="165">
        <f t="shared" si="592"/>
        <v>0</v>
      </c>
    </row>
    <row r="377" spans="1:47" outlineLevel="1" x14ac:dyDescent="0.35">
      <c r="B377" s="48" t="s">
        <v>123</v>
      </c>
      <c r="C377" s="62" t="s">
        <v>141</v>
      </c>
      <c r="D377" s="70">
        <v>0</v>
      </c>
      <c r="E377" s="4">
        <v>0</v>
      </c>
      <c r="F377" s="70">
        <v>0</v>
      </c>
      <c r="G377" s="4">
        <v>0</v>
      </c>
      <c r="H377" s="185">
        <f t="shared" si="587"/>
        <v>0</v>
      </c>
      <c r="I377" s="70">
        <v>0</v>
      </c>
      <c r="J377" s="4">
        <v>0</v>
      </c>
      <c r="K377" s="167">
        <f t="shared" si="588"/>
        <v>0</v>
      </c>
      <c r="L377" s="70">
        <v>0</v>
      </c>
      <c r="M377" s="4"/>
      <c r="N377" s="167">
        <f t="shared" si="589"/>
        <v>0</v>
      </c>
      <c r="O377" s="70"/>
      <c r="P377" s="4"/>
      <c r="Q377" s="167">
        <f t="shared" si="593"/>
        <v>0</v>
      </c>
      <c r="R377" s="164">
        <f t="shared" si="594"/>
        <v>0</v>
      </c>
      <c r="S377" s="165">
        <f t="shared" si="595"/>
        <v>0</v>
      </c>
      <c r="U377" s="72">
        <v>0</v>
      </c>
      <c r="V377" s="138">
        <f t="shared" si="596"/>
        <v>0</v>
      </c>
      <c r="W377" s="167">
        <f t="shared" si="590"/>
        <v>0</v>
      </c>
      <c r="X377" s="72"/>
      <c r="Y377" s="138">
        <f t="shared" si="597"/>
        <v>0</v>
      </c>
      <c r="Z377" s="285">
        <f t="shared" si="598"/>
        <v>0</v>
      </c>
      <c r="AA377" s="72">
        <v>0</v>
      </c>
      <c r="AB377" s="138">
        <f t="shared" si="599"/>
        <v>0</v>
      </c>
      <c r="AC377" s="181">
        <f t="shared" si="600"/>
        <v>0</v>
      </c>
      <c r="AD377" s="286"/>
      <c r="AE377" s="138">
        <f t="shared" si="601"/>
        <v>0</v>
      </c>
      <c r="AF377" s="285">
        <f t="shared" si="602"/>
        <v>0</v>
      </c>
      <c r="AG377" s="231">
        <v>0</v>
      </c>
      <c r="AH377" s="138">
        <f t="shared" si="603"/>
        <v>0</v>
      </c>
      <c r="AI377" s="285">
        <f t="shared" si="604"/>
        <v>0</v>
      </c>
      <c r="AJ377" s="164">
        <f t="shared" si="591"/>
        <v>0</v>
      </c>
      <c r="AK377" s="165">
        <f t="shared" si="592"/>
        <v>0</v>
      </c>
    </row>
    <row r="378" spans="1:47" outlineLevel="1" x14ac:dyDescent="0.35">
      <c r="B378" s="48" t="s">
        <v>124</v>
      </c>
      <c r="C378" s="62" t="s">
        <v>141</v>
      </c>
      <c r="D378" s="70">
        <v>0</v>
      </c>
      <c r="E378" s="4">
        <v>0</v>
      </c>
      <c r="F378" s="70">
        <v>0</v>
      </c>
      <c r="G378" s="4">
        <v>0</v>
      </c>
      <c r="H378" s="185">
        <f t="shared" si="587"/>
        <v>0</v>
      </c>
      <c r="I378" s="70">
        <v>0</v>
      </c>
      <c r="J378" s="4">
        <v>0</v>
      </c>
      <c r="K378" s="167">
        <f t="shared" si="588"/>
        <v>0</v>
      </c>
      <c r="L378" s="70">
        <v>0</v>
      </c>
      <c r="M378" s="4"/>
      <c r="N378" s="167">
        <f t="shared" si="589"/>
        <v>0</v>
      </c>
      <c r="O378" s="70"/>
      <c r="P378" s="4"/>
      <c r="Q378" s="167">
        <f t="shared" si="593"/>
        <v>0</v>
      </c>
      <c r="R378" s="164">
        <f t="shared" si="594"/>
        <v>0</v>
      </c>
      <c r="S378" s="165">
        <f t="shared" si="595"/>
        <v>0</v>
      </c>
      <c r="U378" s="70">
        <v>0</v>
      </c>
      <c r="V378" s="138">
        <f t="shared" si="596"/>
        <v>0</v>
      </c>
      <c r="W378" s="167">
        <f t="shared" si="590"/>
        <v>0</v>
      </c>
      <c r="X378" s="70"/>
      <c r="Y378" s="138">
        <f t="shared" si="597"/>
        <v>0</v>
      </c>
      <c r="Z378" s="285">
        <f t="shared" si="598"/>
        <v>0</v>
      </c>
      <c r="AA378" s="70">
        <v>0</v>
      </c>
      <c r="AB378" s="138">
        <f t="shared" si="599"/>
        <v>0</v>
      </c>
      <c r="AC378" s="181">
        <f t="shared" si="600"/>
        <v>0</v>
      </c>
      <c r="AD378" s="4"/>
      <c r="AE378" s="138">
        <f t="shared" si="601"/>
        <v>0</v>
      </c>
      <c r="AF378" s="285">
        <f t="shared" si="602"/>
        <v>0</v>
      </c>
      <c r="AG378" s="70">
        <v>0</v>
      </c>
      <c r="AH378" s="138">
        <f t="shared" si="603"/>
        <v>0</v>
      </c>
      <c r="AI378" s="285">
        <f t="shared" si="604"/>
        <v>0</v>
      </c>
      <c r="AJ378" s="164">
        <f t="shared" si="591"/>
        <v>0</v>
      </c>
      <c r="AK378" s="165">
        <f t="shared" si="592"/>
        <v>0</v>
      </c>
    </row>
    <row r="379" spans="1:47" s="52" customFormat="1" outlineLevel="1" x14ac:dyDescent="0.35">
      <c r="A379"/>
      <c r="B379" s="48" t="s">
        <v>125</v>
      </c>
      <c r="C379" s="62" t="s">
        <v>141</v>
      </c>
      <c r="D379" s="70">
        <v>0</v>
      </c>
      <c r="E379" s="4">
        <v>0</v>
      </c>
      <c r="F379" s="70">
        <v>0</v>
      </c>
      <c r="G379" s="4">
        <v>0</v>
      </c>
      <c r="H379" s="185">
        <f t="shared" si="587"/>
        <v>0</v>
      </c>
      <c r="I379" s="70">
        <v>1</v>
      </c>
      <c r="J379" s="4">
        <v>1</v>
      </c>
      <c r="K379" s="167">
        <f t="shared" si="588"/>
        <v>0</v>
      </c>
      <c r="L379" s="70">
        <v>0</v>
      </c>
      <c r="M379" s="4">
        <v>1</v>
      </c>
      <c r="N379" s="167">
        <f t="shared" si="589"/>
        <v>0</v>
      </c>
      <c r="O379" s="70"/>
      <c r="P379" s="4">
        <v>1</v>
      </c>
      <c r="Q379" s="167">
        <f t="shared" si="593"/>
        <v>0</v>
      </c>
      <c r="R379" s="164">
        <f t="shared" si="594"/>
        <v>1</v>
      </c>
      <c r="S379" s="165">
        <f t="shared" si="595"/>
        <v>0</v>
      </c>
      <c r="T379"/>
      <c r="U379" s="72">
        <v>0</v>
      </c>
      <c r="V379" s="138">
        <f t="shared" si="596"/>
        <v>1</v>
      </c>
      <c r="W379" s="167">
        <f t="shared" si="590"/>
        <v>0</v>
      </c>
      <c r="X379" s="72"/>
      <c r="Y379" s="138">
        <f t="shared" si="597"/>
        <v>1</v>
      </c>
      <c r="Z379" s="285">
        <f t="shared" si="598"/>
        <v>0</v>
      </c>
      <c r="AA379" s="72">
        <v>0</v>
      </c>
      <c r="AB379" s="138">
        <f t="shared" si="599"/>
        <v>1</v>
      </c>
      <c r="AC379" s="181">
        <f t="shared" si="600"/>
        <v>0</v>
      </c>
      <c r="AD379" s="286"/>
      <c r="AE379" s="138">
        <f t="shared" si="601"/>
        <v>1</v>
      </c>
      <c r="AF379" s="285">
        <f t="shared" si="602"/>
        <v>0</v>
      </c>
      <c r="AG379" s="72">
        <v>0</v>
      </c>
      <c r="AH379" s="138">
        <f t="shared" si="603"/>
        <v>1</v>
      </c>
      <c r="AI379" s="285">
        <f t="shared" si="604"/>
        <v>0</v>
      </c>
      <c r="AJ379" s="164">
        <f t="shared" si="591"/>
        <v>0</v>
      </c>
      <c r="AK379" s="165">
        <f t="shared" si="592"/>
        <v>0</v>
      </c>
      <c r="AL379"/>
      <c r="AM379"/>
      <c r="AN379"/>
      <c r="AO379"/>
      <c r="AP379"/>
      <c r="AQ379"/>
      <c r="AR379"/>
      <c r="AS379"/>
      <c r="AT379"/>
      <c r="AU379"/>
    </row>
    <row r="380" spans="1:47" s="52" customFormat="1" outlineLevel="1" x14ac:dyDescent="0.35">
      <c r="A380"/>
      <c r="B380" s="48" t="s">
        <v>126</v>
      </c>
      <c r="C380" s="62" t="s">
        <v>141</v>
      </c>
      <c r="D380" s="70">
        <v>0</v>
      </c>
      <c r="E380" s="4">
        <v>0</v>
      </c>
      <c r="F380" s="70">
        <v>0</v>
      </c>
      <c r="G380" s="4">
        <v>0</v>
      </c>
      <c r="H380" s="185">
        <f t="shared" si="587"/>
        <v>0</v>
      </c>
      <c r="I380" s="70">
        <v>0</v>
      </c>
      <c r="J380" s="4">
        <v>0</v>
      </c>
      <c r="K380" s="167">
        <f t="shared" si="588"/>
        <v>0</v>
      </c>
      <c r="L380" s="70">
        <v>0</v>
      </c>
      <c r="M380" s="4">
        <v>0</v>
      </c>
      <c r="N380" s="167">
        <f t="shared" si="589"/>
        <v>0</v>
      </c>
      <c r="O380" s="70"/>
      <c r="P380" s="4"/>
      <c r="Q380" s="167">
        <f t="shared" si="593"/>
        <v>0</v>
      </c>
      <c r="R380" s="164">
        <f t="shared" si="594"/>
        <v>0</v>
      </c>
      <c r="S380" s="165">
        <f t="shared" si="595"/>
        <v>0</v>
      </c>
      <c r="T380"/>
      <c r="U380" s="70">
        <v>0</v>
      </c>
      <c r="V380" s="138">
        <f t="shared" si="596"/>
        <v>0</v>
      </c>
      <c r="W380" s="167">
        <f t="shared" si="590"/>
        <v>0</v>
      </c>
      <c r="X380" s="68"/>
      <c r="Y380" s="138">
        <f t="shared" si="597"/>
        <v>0</v>
      </c>
      <c r="Z380" s="285">
        <f t="shared" si="598"/>
        <v>0</v>
      </c>
      <c r="AA380" s="70">
        <v>0</v>
      </c>
      <c r="AB380" s="138">
        <f t="shared" si="599"/>
        <v>0</v>
      </c>
      <c r="AC380" s="181">
        <f t="shared" si="600"/>
        <v>0</v>
      </c>
      <c r="AD380" s="4"/>
      <c r="AE380" s="138">
        <f t="shared" si="601"/>
        <v>0</v>
      </c>
      <c r="AF380" s="285">
        <f t="shared" si="602"/>
        <v>0</v>
      </c>
      <c r="AG380" s="70">
        <v>0</v>
      </c>
      <c r="AH380" s="138">
        <f t="shared" si="603"/>
        <v>0</v>
      </c>
      <c r="AI380" s="285">
        <f t="shared" si="604"/>
        <v>0</v>
      </c>
      <c r="AJ380" s="164">
        <f t="shared" si="591"/>
        <v>0</v>
      </c>
      <c r="AK380" s="165">
        <f t="shared" si="592"/>
        <v>0</v>
      </c>
      <c r="AL380"/>
      <c r="AM380"/>
      <c r="AN380"/>
      <c r="AO380"/>
      <c r="AP380"/>
      <c r="AQ380"/>
      <c r="AR380"/>
      <c r="AS380"/>
      <c r="AT380"/>
      <c r="AU380"/>
    </row>
    <row r="381" spans="1:47" outlineLevel="1" x14ac:dyDescent="0.35">
      <c r="B381" s="48" t="s">
        <v>127</v>
      </c>
      <c r="C381" s="59" t="s">
        <v>141</v>
      </c>
      <c r="D381" s="70">
        <v>0</v>
      </c>
      <c r="E381" s="4">
        <v>0</v>
      </c>
      <c r="F381" s="70">
        <v>0</v>
      </c>
      <c r="G381" s="4">
        <v>0</v>
      </c>
      <c r="H381" s="185">
        <f t="shared" si="587"/>
        <v>0</v>
      </c>
      <c r="I381" s="70">
        <v>0</v>
      </c>
      <c r="J381" s="4">
        <v>0</v>
      </c>
      <c r="K381" s="167">
        <f t="shared" si="588"/>
        <v>0</v>
      </c>
      <c r="L381" s="70">
        <v>0</v>
      </c>
      <c r="M381" s="4">
        <v>0</v>
      </c>
      <c r="N381" s="167">
        <f t="shared" si="589"/>
        <v>0</v>
      </c>
      <c r="O381" s="70"/>
      <c r="P381" s="4"/>
      <c r="Q381" s="167">
        <f t="shared" si="593"/>
        <v>0</v>
      </c>
      <c r="R381" s="164">
        <f t="shared" si="594"/>
        <v>0</v>
      </c>
      <c r="S381" s="165">
        <f t="shared" si="595"/>
        <v>0</v>
      </c>
      <c r="U381" s="275">
        <v>0</v>
      </c>
      <c r="V381" s="278">
        <f t="shared" si="596"/>
        <v>0</v>
      </c>
      <c r="W381" s="169">
        <f t="shared" si="590"/>
        <v>0</v>
      </c>
      <c r="X381" s="277"/>
      <c r="Y381" s="278">
        <f t="shared" si="597"/>
        <v>0</v>
      </c>
      <c r="Z381" s="287">
        <f t="shared" si="598"/>
        <v>0</v>
      </c>
      <c r="AA381" s="275">
        <v>0</v>
      </c>
      <c r="AB381" s="138">
        <f t="shared" si="599"/>
        <v>0</v>
      </c>
      <c r="AC381" s="181">
        <f t="shared" si="600"/>
        <v>0</v>
      </c>
      <c r="AD381" s="4"/>
      <c r="AE381" s="138">
        <f t="shared" si="601"/>
        <v>0</v>
      </c>
      <c r="AF381" s="285">
        <f t="shared" si="602"/>
        <v>0</v>
      </c>
      <c r="AG381" s="275">
        <v>0</v>
      </c>
      <c r="AH381" s="138">
        <f t="shared" si="603"/>
        <v>0</v>
      </c>
      <c r="AI381" s="285">
        <f t="shared" si="604"/>
        <v>0</v>
      </c>
      <c r="AJ381" s="164">
        <f t="shared" si="591"/>
        <v>0</v>
      </c>
      <c r="AK381" s="165">
        <f t="shared" si="592"/>
        <v>0</v>
      </c>
    </row>
    <row r="382" spans="1:47" s="245" customFormat="1" ht="15" customHeight="1" outlineLevel="1" x14ac:dyDescent="0.35">
      <c r="B382" s="246" t="s">
        <v>138</v>
      </c>
      <c r="C382" s="247" t="s">
        <v>141</v>
      </c>
      <c r="D382" s="248">
        <f>SUM(D328:D381)</f>
        <v>2</v>
      </c>
      <c r="E382" s="248">
        <f t="shared" ref="E382:P382" si="605">SUM(E328:E381)</f>
        <v>6</v>
      </c>
      <c r="F382" s="248">
        <f t="shared" si="605"/>
        <v>1</v>
      </c>
      <c r="G382" s="248">
        <f t="shared" si="605"/>
        <v>7</v>
      </c>
      <c r="H382" s="249">
        <f>IFERROR((G382-E382)/E382,0)</f>
        <v>0.16666666666666666</v>
      </c>
      <c r="I382" s="248">
        <f t="shared" si="605"/>
        <v>1</v>
      </c>
      <c r="J382" s="248">
        <f t="shared" si="605"/>
        <v>8</v>
      </c>
      <c r="K382" s="250">
        <f t="shared" si="588"/>
        <v>0.14285714285714285</v>
      </c>
      <c r="L382" s="248">
        <f t="shared" si="605"/>
        <v>-1</v>
      </c>
      <c r="M382" s="248">
        <f t="shared" si="605"/>
        <v>7</v>
      </c>
      <c r="N382" s="250">
        <f t="shared" si="589"/>
        <v>-0.125</v>
      </c>
      <c r="O382" s="248">
        <f t="shared" si="605"/>
        <v>1</v>
      </c>
      <c r="P382" s="248">
        <f t="shared" si="605"/>
        <v>8</v>
      </c>
      <c r="Q382" s="250">
        <f>IFERROR((P382-M382)/M382,0)</f>
        <v>0.14285714285714285</v>
      </c>
      <c r="R382" s="251">
        <f>D382+F382+I382+L382+O382</f>
        <v>4</v>
      </c>
      <c r="S382" s="252">
        <f>IFERROR((P382/E382)^(1/4)-1,0)</f>
        <v>7.4569931823541991E-2</v>
      </c>
      <c r="U382" s="248">
        <f t="shared" ref="U382:AG382" si="606">SUM(U328:U381)</f>
        <v>4</v>
      </c>
      <c r="V382" s="248">
        <f t="shared" si="596"/>
        <v>12</v>
      </c>
      <c r="W382" s="266">
        <f t="shared" si="590"/>
        <v>0.5</v>
      </c>
      <c r="X382" s="248">
        <f t="shared" si="606"/>
        <v>0</v>
      </c>
      <c r="Y382" s="248">
        <f t="shared" si="597"/>
        <v>12</v>
      </c>
      <c r="Z382" s="266">
        <f t="shared" si="598"/>
        <v>0</v>
      </c>
      <c r="AA382" s="248">
        <f t="shared" si="606"/>
        <v>1</v>
      </c>
      <c r="AB382" s="248">
        <f t="shared" si="599"/>
        <v>13</v>
      </c>
      <c r="AC382" s="266">
        <f t="shared" si="600"/>
        <v>8.3333333333333329E-2</v>
      </c>
      <c r="AD382" s="288">
        <f t="shared" si="606"/>
        <v>0</v>
      </c>
      <c r="AE382" s="248">
        <f t="shared" si="601"/>
        <v>13</v>
      </c>
      <c r="AF382" s="266">
        <f t="shared" si="602"/>
        <v>0</v>
      </c>
      <c r="AG382" s="248">
        <f t="shared" si="606"/>
        <v>1</v>
      </c>
      <c r="AH382" s="248">
        <f t="shared" si="603"/>
        <v>14</v>
      </c>
      <c r="AI382" s="266">
        <f t="shared" si="604"/>
        <v>7.6923076923076927E-2</v>
      </c>
      <c r="AJ382" s="289">
        <f t="shared" si="591"/>
        <v>6</v>
      </c>
      <c r="AK382" s="290">
        <f t="shared" si="592"/>
        <v>3.9289877625411807E-2</v>
      </c>
      <c r="AL382"/>
      <c r="AM382"/>
      <c r="AN382"/>
      <c r="AO382"/>
      <c r="AP382"/>
      <c r="AQ382"/>
      <c r="AR382"/>
      <c r="AS382"/>
      <c r="AT382"/>
      <c r="AU382"/>
    </row>
  </sheetData>
  <mergeCells count="129">
    <mergeCell ref="B71:AK71"/>
    <mergeCell ref="B73:B75"/>
    <mergeCell ref="B11:B13"/>
    <mergeCell ref="C11:C13"/>
    <mergeCell ref="L12:N12"/>
    <mergeCell ref="X12:Z12"/>
    <mergeCell ref="C2:G2"/>
    <mergeCell ref="AA12:AC12"/>
    <mergeCell ref="AD12:AF12"/>
    <mergeCell ref="AG12:AI12"/>
    <mergeCell ref="B5:I5"/>
    <mergeCell ref="J2:L2"/>
    <mergeCell ref="O12:Q12"/>
    <mergeCell ref="D12:E12"/>
    <mergeCell ref="F12:H12"/>
    <mergeCell ref="I12:K12"/>
    <mergeCell ref="B9:AK9"/>
    <mergeCell ref="D11:N11"/>
    <mergeCell ref="O11:Q11"/>
    <mergeCell ref="R11:S12"/>
    <mergeCell ref="U11:AK11"/>
    <mergeCell ref="U12:W12"/>
    <mergeCell ref="AJ12:AK12"/>
    <mergeCell ref="C73:C75"/>
    <mergeCell ref="D73:N73"/>
    <mergeCell ref="O73:Q73"/>
    <mergeCell ref="R73:S74"/>
    <mergeCell ref="U73:AK73"/>
    <mergeCell ref="D74:E74"/>
    <mergeCell ref="F74:H74"/>
    <mergeCell ref="I74:K74"/>
    <mergeCell ref="L74:N74"/>
    <mergeCell ref="O74:Q74"/>
    <mergeCell ref="U74:W74"/>
    <mergeCell ref="X74:Z74"/>
    <mergeCell ref="AA74:AC74"/>
    <mergeCell ref="AD74:AF74"/>
    <mergeCell ref="AG74:AI74"/>
    <mergeCell ref="AJ74:AK74"/>
    <mergeCell ref="B132:AK132"/>
    <mergeCell ref="B134:B136"/>
    <mergeCell ref="C134:C136"/>
    <mergeCell ref="D134:N134"/>
    <mergeCell ref="O134:Q134"/>
    <mergeCell ref="R134:S135"/>
    <mergeCell ref="U134:AK134"/>
    <mergeCell ref="D135:E135"/>
    <mergeCell ref="F135:H135"/>
    <mergeCell ref="I135:K135"/>
    <mergeCell ref="L135:N135"/>
    <mergeCell ref="O135:Q135"/>
    <mergeCell ref="U135:W135"/>
    <mergeCell ref="X135:Z135"/>
    <mergeCell ref="AA135:AC135"/>
    <mergeCell ref="AD135:AF135"/>
    <mergeCell ref="AG135:AI135"/>
    <mergeCell ref="AJ135:AK135"/>
    <mergeCell ref="B193:AK193"/>
    <mergeCell ref="B195:B197"/>
    <mergeCell ref="C195:C197"/>
    <mergeCell ref="D195:N195"/>
    <mergeCell ref="O195:Q195"/>
    <mergeCell ref="R195:S196"/>
    <mergeCell ref="U195:AK195"/>
    <mergeCell ref="D196:E196"/>
    <mergeCell ref="F196:H196"/>
    <mergeCell ref="I196:K196"/>
    <mergeCell ref="L196:N196"/>
    <mergeCell ref="O196:Q196"/>
    <mergeCell ref="U196:W196"/>
    <mergeCell ref="X196:Z196"/>
    <mergeCell ref="AA196:AC196"/>
    <mergeCell ref="AD196:AF196"/>
    <mergeCell ref="AG196:AI196"/>
    <mergeCell ref="AJ196:AK196"/>
    <mergeCell ref="B254:AK254"/>
    <mergeCell ref="B256:B258"/>
    <mergeCell ref="C256:C258"/>
    <mergeCell ref="D256:N256"/>
    <mergeCell ref="O256:Q256"/>
    <mergeCell ref="R256:S257"/>
    <mergeCell ref="U256:AK256"/>
    <mergeCell ref="D257:E257"/>
    <mergeCell ref="F257:H257"/>
    <mergeCell ref="I257:K257"/>
    <mergeCell ref="L257:N257"/>
    <mergeCell ref="O257:Q257"/>
    <mergeCell ref="U257:W257"/>
    <mergeCell ref="X257:Z257"/>
    <mergeCell ref="AA257:AC257"/>
    <mergeCell ref="AD257:AF257"/>
    <mergeCell ref="AG257:AI257"/>
    <mergeCell ref="AJ257:AK257"/>
    <mergeCell ref="B262:AK262"/>
    <mergeCell ref="B264:B266"/>
    <mergeCell ref="C264:C266"/>
    <mergeCell ref="D264:N264"/>
    <mergeCell ref="O264:Q264"/>
    <mergeCell ref="R264:S265"/>
    <mergeCell ref="U264:AK264"/>
    <mergeCell ref="D265:E265"/>
    <mergeCell ref="F265:H265"/>
    <mergeCell ref="I265:K265"/>
    <mergeCell ref="L265:N265"/>
    <mergeCell ref="O265:Q265"/>
    <mergeCell ref="U265:W265"/>
    <mergeCell ref="X265:Z265"/>
    <mergeCell ref="AA265:AC265"/>
    <mergeCell ref="AD265:AF265"/>
    <mergeCell ref="AG265:AI265"/>
    <mergeCell ref="AJ265:AK265"/>
    <mergeCell ref="B323:AK323"/>
    <mergeCell ref="B325:B327"/>
    <mergeCell ref="C325:C327"/>
    <mergeCell ref="D325:N325"/>
    <mergeCell ref="O325:Q325"/>
    <mergeCell ref="R325:S326"/>
    <mergeCell ref="U325:AK325"/>
    <mergeCell ref="D326:E326"/>
    <mergeCell ref="F326:H326"/>
    <mergeCell ref="I326:K326"/>
    <mergeCell ref="L326:N326"/>
    <mergeCell ref="O326:Q326"/>
    <mergeCell ref="U326:W326"/>
    <mergeCell ref="X326:Z326"/>
    <mergeCell ref="AA326:AC326"/>
    <mergeCell ref="AD326:AF326"/>
    <mergeCell ref="AG326:AI326"/>
    <mergeCell ref="AJ326:AK326"/>
  </mergeCells>
  <hyperlinks>
    <hyperlink ref="J2" location="'Αρχική σελίδα'!A1" display="Πίσω στην αρχική σελίδα" xr:uid="{89380A31-ED9D-45AC-B767-EA7383B729F5}"/>
  </hyperlinks>
  <pageMargins left="0.7" right="0.7" top="0.75" bottom="0.75" header="0.3" footer="0.3"/>
  <pageSetup orientation="portrait" r:id="rId1"/>
  <customProperties>
    <customPr name="_pios_id" r:id="rId2"/>
  </customPropertie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3C42-9BB5-4917-A5EA-29C951CE117C}">
  <sheetPr codeName="Sheet11">
    <tabColor theme="4" tint="0.79998168889431442"/>
  </sheetPr>
  <dimension ref="B2:AK45"/>
  <sheetViews>
    <sheetView showGridLines="0" zoomScaleNormal="100" workbookViewId="0">
      <selection activeCell="N9" sqref="N9"/>
    </sheetView>
  </sheetViews>
  <sheetFormatPr defaultColWidth="8.54296875" defaultRowHeight="14.5" outlineLevelRow="1" x14ac:dyDescent="0.35"/>
  <cols>
    <col min="1" max="1" width="2.54296875" customWidth="1"/>
    <col min="2" max="2" width="28.453125" customWidth="1"/>
    <col min="3" max="3" width="13.453125" customWidth="1"/>
    <col min="4" max="4" width="17.453125" customWidth="1"/>
    <col min="5" max="9" width="13.453125" customWidth="1"/>
  </cols>
  <sheetData>
    <row r="2" spans="2:37" ht="18.5" x14ac:dyDescent="0.45">
      <c r="B2" s="1" t="s">
        <v>0</v>
      </c>
      <c r="C2" s="420">
        <f>'Αρχική σελίδα'!C3</f>
        <v>0</v>
      </c>
      <c r="D2" s="420"/>
      <c r="E2" s="420"/>
      <c r="F2" s="420"/>
      <c r="G2" s="420"/>
      <c r="H2" s="98"/>
      <c r="J2" s="421" t="s">
        <v>58</v>
      </c>
      <c r="K2" s="421"/>
      <c r="L2" s="421"/>
    </row>
    <row r="3" spans="2:37" ht="18.5" x14ac:dyDescent="0.45">
      <c r="B3" s="2" t="s">
        <v>1</v>
      </c>
      <c r="C3" s="99">
        <f>'Αρχική σελίδα'!C4</f>
        <v>2024</v>
      </c>
      <c r="D3" s="46" t="s">
        <v>2</v>
      </c>
      <c r="E3" s="46">
        <f>C3+4</f>
        <v>2028</v>
      </c>
    </row>
    <row r="4" spans="2:37" ht="14.9" customHeight="1" x14ac:dyDescent="0.45">
      <c r="C4" s="2"/>
      <c r="D4" s="46"/>
      <c r="E4" s="46"/>
    </row>
    <row r="5" spans="2:37" ht="44.9" customHeight="1" x14ac:dyDescent="0.35">
      <c r="B5" s="422" t="s">
        <v>214</v>
      </c>
      <c r="C5" s="422"/>
      <c r="D5" s="422"/>
      <c r="E5" s="422"/>
      <c r="F5" s="422"/>
      <c r="G5" s="422"/>
      <c r="H5" s="422"/>
      <c r="I5" s="422"/>
    </row>
    <row r="6" spans="2:37" x14ac:dyDescent="0.35">
      <c r="B6" s="226"/>
      <c r="C6" s="226"/>
      <c r="D6" s="226"/>
      <c r="E6" s="226"/>
      <c r="F6" s="226"/>
      <c r="G6" s="226"/>
      <c r="H6" s="226"/>
    </row>
    <row r="7" spans="2:37" ht="18.5" x14ac:dyDescent="0.45">
      <c r="B7" s="100" t="s">
        <v>215</v>
      </c>
      <c r="C7" s="101"/>
      <c r="D7" s="101"/>
      <c r="E7" s="101"/>
      <c r="F7" s="101"/>
      <c r="G7" s="101"/>
      <c r="H7" s="98"/>
      <c r="I7" s="98"/>
    </row>
    <row r="8" spans="2:37" ht="18.5" x14ac:dyDescent="0.45">
      <c r="C8" s="2"/>
      <c r="D8" s="46"/>
      <c r="E8" s="46"/>
      <c r="F8" s="46"/>
    </row>
    <row r="9" spans="2:37" ht="15.5" x14ac:dyDescent="0.35">
      <c r="B9" s="419" t="s">
        <v>168</v>
      </c>
      <c r="C9" s="419"/>
      <c r="D9" s="419"/>
      <c r="E9" s="419"/>
      <c r="F9" s="419"/>
      <c r="G9" s="419"/>
      <c r="H9" s="419"/>
      <c r="I9" s="419"/>
    </row>
    <row r="10" spans="2:37" ht="5.9" customHeight="1" outlineLevel="1" x14ac:dyDescent="0.35">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row>
    <row r="11" spans="2:37" ht="43.5" outlineLevel="1" x14ac:dyDescent="0.35">
      <c r="B11" s="75"/>
      <c r="C11" s="61" t="s">
        <v>134</v>
      </c>
      <c r="D11" s="91" t="str">
        <f>"Μέσο μοναδιαίο κόστος υποδομής "&amp;($C$3-5)&amp;" - "&amp;(($C$3-1))</f>
        <v>Μέσο μοναδιαίο κόστος υποδομής 2019 - 2023</v>
      </c>
      <c r="E11" s="79">
        <f>$C$3</f>
        <v>2024</v>
      </c>
      <c r="F11" s="79">
        <f>$C$3+1</f>
        <v>2025</v>
      </c>
      <c r="G11" s="79">
        <f>$C$3+2</f>
        <v>2026</v>
      </c>
      <c r="H11" s="79">
        <f>$C$3+3</f>
        <v>2027</v>
      </c>
      <c r="I11" s="79">
        <f>$C$3+4</f>
        <v>2028</v>
      </c>
    </row>
    <row r="12" spans="2:37" outlineLevel="1" x14ac:dyDescent="0.35">
      <c r="B12" s="48" t="s">
        <v>216</v>
      </c>
      <c r="C12" s="59" t="s">
        <v>217</v>
      </c>
      <c r="D12" s="338">
        <v>273.39185713992521</v>
      </c>
      <c r="E12" s="338">
        <v>222.08424910242201</v>
      </c>
      <c r="F12" s="338">
        <v>227.90160966539349</v>
      </c>
      <c r="G12" s="338">
        <v>232.50138718106791</v>
      </c>
      <c r="H12" s="338">
        <v>241.86763630120964</v>
      </c>
      <c r="I12" s="338">
        <v>250.13927922584691</v>
      </c>
    </row>
    <row r="14" spans="2:37" ht="15.5" x14ac:dyDescent="0.35">
      <c r="B14" s="419" t="s">
        <v>183</v>
      </c>
      <c r="C14" s="419"/>
      <c r="D14" s="419"/>
      <c r="E14" s="419"/>
      <c r="F14" s="419"/>
      <c r="G14" s="419"/>
      <c r="H14" s="419"/>
      <c r="I14" s="419"/>
    </row>
    <row r="15" spans="2:37" ht="5.9" customHeight="1" outlineLevel="1" x14ac:dyDescent="0.35">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row>
    <row r="16" spans="2:37" ht="43.5" outlineLevel="1" x14ac:dyDescent="0.35">
      <c r="B16" s="75"/>
      <c r="C16" s="61" t="s">
        <v>134</v>
      </c>
      <c r="D16" s="91" t="str">
        <f>"Μέσο μοναδιαίο κόστος υποδομής "&amp;($C$3-5)&amp;" - "&amp;(($C$3-1))</f>
        <v>Μέσο μοναδιαίο κόστος υποδομής 2019 - 2023</v>
      </c>
      <c r="E16" s="79">
        <f>$C$3</f>
        <v>2024</v>
      </c>
      <c r="F16" s="79">
        <f>$C$3+1</f>
        <v>2025</v>
      </c>
      <c r="G16" s="79">
        <f>$C$3+2</f>
        <v>2026</v>
      </c>
      <c r="H16" s="79">
        <f>$C$3+3</f>
        <v>2027</v>
      </c>
      <c r="I16" s="79">
        <f>$C$3+4</f>
        <v>2028</v>
      </c>
    </row>
    <row r="17" spans="2:37" outlineLevel="1" x14ac:dyDescent="0.35">
      <c r="B17" s="48" t="s">
        <v>216</v>
      </c>
      <c r="C17" s="59" t="s">
        <v>217</v>
      </c>
      <c r="D17" s="335">
        <v>71.793080888748392</v>
      </c>
      <c r="E17" s="336">
        <v>86.003018644729011</v>
      </c>
      <c r="F17" s="336">
        <v>84.801846864793845</v>
      </c>
      <c r="G17" s="336">
        <v>86.513417173880512</v>
      </c>
      <c r="H17" s="336">
        <v>91.228460020445993</v>
      </c>
      <c r="I17" s="336">
        <v>94.417764848886833</v>
      </c>
    </row>
    <row r="18" spans="2:37" outlineLevel="1" x14ac:dyDescent="0.35">
      <c r="B18" s="477" t="s">
        <v>151</v>
      </c>
      <c r="C18" s="478"/>
      <c r="D18" s="478"/>
      <c r="E18" s="478"/>
      <c r="F18" s="478"/>
      <c r="G18" s="478"/>
      <c r="H18" s="478"/>
      <c r="I18" s="480"/>
    </row>
    <row r="20" spans="2:37" ht="15.5" x14ac:dyDescent="0.35">
      <c r="B20" s="419" t="s">
        <v>185</v>
      </c>
      <c r="C20" s="419"/>
      <c r="D20" s="419"/>
      <c r="E20" s="419"/>
      <c r="F20" s="419"/>
      <c r="G20" s="419"/>
      <c r="H20" s="419"/>
      <c r="I20" s="419"/>
    </row>
    <row r="21" spans="2:37" ht="5.9" customHeight="1" outlineLevel="1" x14ac:dyDescent="0.35">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row>
    <row r="22" spans="2:37" ht="43.5" outlineLevel="1" x14ac:dyDescent="0.35">
      <c r="B22" s="75"/>
      <c r="C22" s="61" t="s">
        <v>134</v>
      </c>
      <c r="D22" s="91" t="str">
        <f>"Μέσο μοναδιαίο κόστος υποδομής "&amp;($C$3-5)&amp;" - "&amp;(($C$3-1))</f>
        <v>Μέσο μοναδιαίο κόστος υποδομής 2019 - 2023</v>
      </c>
      <c r="E22" s="79">
        <f>$C$3</f>
        <v>2024</v>
      </c>
      <c r="F22" s="79">
        <f>$C$3+1</f>
        <v>2025</v>
      </c>
      <c r="G22" s="79">
        <f>$C$3+2</f>
        <v>2026</v>
      </c>
      <c r="H22" s="79">
        <f>$C$3+3</f>
        <v>2027</v>
      </c>
      <c r="I22" s="79">
        <f>$C$3+4</f>
        <v>2028</v>
      </c>
    </row>
    <row r="23" spans="2:37" outlineLevel="1" x14ac:dyDescent="0.35">
      <c r="B23" s="48" t="s">
        <v>216</v>
      </c>
      <c r="C23" s="59" t="s">
        <v>218</v>
      </c>
      <c r="D23" s="337">
        <v>1283.4380896192804</v>
      </c>
      <c r="E23" s="338">
        <v>1575.4610747566439</v>
      </c>
      <c r="F23" s="338">
        <v>1353.2096080074862</v>
      </c>
      <c r="G23" s="338">
        <v>1374.1563115750373</v>
      </c>
      <c r="H23" s="338">
        <v>1429.61086578709</v>
      </c>
      <c r="I23" s="338">
        <v>1487.2936655900869</v>
      </c>
    </row>
    <row r="24" spans="2:37" outlineLevel="1" x14ac:dyDescent="0.35">
      <c r="B24" s="477" t="s">
        <v>151</v>
      </c>
      <c r="C24" s="478"/>
      <c r="D24" s="478"/>
      <c r="E24" s="478"/>
      <c r="F24" s="478"/>
      <c r="G24" s="478"/>
      <c r="H24" s="478"/>
      <c r="I24" s="479"/>
    </row>
    <row r="26" spans="2:37" ht="15.5" x14ac:dyDescent="0.35">
      <c r="B26" s="419" t="s">
        <v>191</v>
      </c>
      <c r="C26" s="419"/>
      <c r="D26" s="419"/>
      <c r="E26" s="419"/>
      <c r="F26" s="419"/>
      <c r="G26" s="419"/>
      <c r="H26" s="419"/>
      <c r="I26" s="419"/>
    </row>
    <row r="27" spans="2:37" ht="5.9" customHeight="1" outlineLevel="1" x14ac:dyDescent="0.35">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row>
    <row r="28" spans="2:37" ht="43.5" outlineLevel="1" x14ac:dyDescent="0.35">
      <c r="B28" s="75"/>
      <c r="C28" s="61" t="s">
        <v>134</v>
      </c>
      <c r="D28" s="91" t="str">
        <f>"Μέσο μοναδιαίο κόστος υποδομής "&amp;($C$3-5)&amp;" - "&amp;(($C$3-1))</f>
        <v>Μέσο μοναδιαίο κόστος υποδομής 2019 - 2023</v>
      </c>
      <c r="E28" s="79">
        <f>$C$3</f>
        <v>2024</v>
      </c>
      <c r="F28" s="79">
        <f>$C$3+1</f>
        <v>2025</v>
      </c>
      <c r="G28" s="79">
        <f>$C$3+2</f>
        <v>2026</v>
      </c>
      <c r="H28" s="79">
        <f>$C$3+3</f>
        <v>2027</v>
      </c>
      <c r="I28" s="79">
        <f>$C$3+4</f>
        <v>2028</v>
      </c>
    </row>
    <row r="29" spans="2:37" outlineLevel="1" x14ac:dyDescent="0.35">
      <c r="B29" s="48" t="s">
        <v>216</v>
      </c>
      <c r="C29" s="59" t="s">
        <v>218</v>
      </c>
      <c r="D29" s="337">
        <v>239.87672599542663</v>
      </c>
      <c r="E29" s="338">
        <v>291.75485758666588</v>
      </c>
      <c r="F29" s="338">
        <v>182.91635043461019</v>
      </c>
      <c r="G29" s="338">
        <v>180.16904353956335</v>
      </c>
      <c r="H29" s="338">
        <v>179.16115041441907</v>
      </c>
      <c r="I29" s="338">
        <v>183.58391704670805</v>
      </c>
    </row>
    <row r="30" spans="2:37" outlineLevel="1" x14ac:dyDescent="0.35">
      <c r="B30" s="477" t="s">
        <v>151</v>
      </c>
      <c r="C30" s="478"/>
      <c r="D30" s="478"/>
      <c r="E30" s="478"/>
      <c r="F30" s="478"/>
      <c r="G30" s="478"/>
      <c r="H30" s="478"/>
      <c r="I30" s="479"/>
    </row>
    <row r="32" spans="2:37" ht="15.5" x14ac:dyDescent="0.35">
      <c r="B32" s="419" t="s">
        <v>194</v>
      </c>
      <c r="C32" s="419"/>
      <c r="D32" s="419"/>
      <c r="E32" s="419"/>
      <c r="F32" s="419"/>
      <c r="G32" s="419"/>
      <c r="H32" s="419"/>
      <c r="I32" s="419"/>
    </row>
    <row r="33" spans="2:37" ht="5.9" customHeight="1" outlineLevel="1" x14ac:dyDescent="0.35">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row>
    <row r="34" spans="2:37" ht="43.5" outlineLevel="1" x14ac:dyDescent="0.35">
      <c r="B34" s="75"/>
      <c r="C34" s="61" t="s">
        <v>134</v>
      </c>
      <c r="D34" s="91" t="str">
        <f>"Μέσο μοναδιαίο κόστος υποδομής "&amp;($C$3-5)&amp;" - "&amp;(($C$3-1))</f>
        <v>Μέσο μοναδιαίο κόστος υποδομής 2019 - 2023</v>
      </c>
      <c r="E34" s="79">
        <f>$C$3</f>
        <v>2024</v>
      </c>
      <c r="F34" s="79">
        <f>$C$3+1</f>
        <v>2025</v>
      </c>
      <c r="G34" s="79">
        <f>$C$3+2</f>
        <v>2026</v>
      </c>
      <c r="H34" s="79">
        <f>$C$3+3</f>
        <v>2027</v>
      </c>
      <c r="I34" s="79">
        <f>$C$3+4</f>
        <v>2028</v>
      </c>
    </row>
    <row r="35" spans="2:37" outlineLevel="1" x14ac:dyDescent="0.35">
      <c r="B35" s="48" t="s">
        <v>216</v>
      </c>
      <c r="C35" s="59" t="s">
        <v>218</v>
      </c>
      <c r="D35" s="337">
        <v>46381.766133333338</v>
      </c>
      <c r="E35" s="338">
        <v>80401.085806633884</v>
      </c>
      <c r="F35" s="338">
        <v>73679.606044824352</v>
      </c>
      <c r="G35" s="338">
        <v>75166.694248134183</v>
      </c>
      <c r="H35" s="338">
        <v>78194.762133670141</v>
      </c>
      <c r="I35" s="338">
        <v>80868.948564057937</v>
      </c>
    </row>
    <row r="36" spans="2:37" outlineLevel="1" x14ac:dyDescent="0.35">
      <c r="B36" s="477" t="s">
        <v>151</v>
      </c>
      <c r="C36" s="478"/>
      <c r="D36" s="478"/>
      <c r="E36" s="478"/>
      <c r="F36" s="478"/>
      <c r="G36" s="478"/>
      <c r="H36" s="478"/>
      <c r="I36" s="479"/>
    </row>
    <row r="38" spans="2:37" ht="15.5" x14ac:dyDescent="0.35">
      <c r="B38" s="419" t="s">
        <v>197</v>
      </c>
      <c r="C38" s="419"/>
      <c r="D38" s="419"/>
      <c r="E38" s="419"/>
      <c r="F38" s="419"/>
      <c r="G38" s="419"/>
      <c r="H38" s="419"/>
      <c r="I38" s="419"/>
    </row>
    <row r="39" spans="2:37" ht="45.75" customHeight="1" outlineLevel="1" x14ac:dyDescent="0.35">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row>
    <row r="41" spans="2:37" ht="15.5" x14ac:dyDescent="0.35">
      <c r="B41" s="419" t="s">
        <v>198</v>
      </c>
      <c r="C41" s="419"/>
      <c r="D41" s="419"/>
      <c r="E41" s="419"/>
      <c r="F41" s="419"/>
      <c r="G41" s="419"/>
      <c r="H41" s="419"/>
      <c r="I41" s="419"/>
    </row>
    <row r="42" spans="2:37" ht="5.9" customHeight="1" outlineLevel="1" x14ac:dyDescent="0.35">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row>
    <row r="44" spans="2:37" ht="15.5" x14ac:dyDescent="0.35">
      <c r="B44" s="419" t="s">
        <v>199</v>
      </c>
      <c r="C44" s="419"/>
      <c r="D44" s="419"/>
      <c r="E44" s="419"/>
      <c r="F44" s="419"/>
      <c r="G44" s="419"/>
      <c r="H44" s="419"/>
      <c r="I44" s="419"/>
    </row>
    <row r="45" spans="2:37" ht="5.9" customHeight="1" outlineLevel="1" x14ac:dyDescent="0.35">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row>
  </sheetData>
  <mergeCells count="15">
    <mergeCell ref="J2:L2"/>
    <mergeCell ref="B44:I44"/>
    <mergeCell ref="B26:I26"/>
    <mergeCell ref="B30:I30"/>
    <mergeCell ref="B32:I32"/>
    <mergeCell ref="B9:I9"/>
    <mergeCell ref="C2:G2"/>
    <mergeCell ref="B14:I14"/>
    <mergeCell ref="B18:I18"/>
    <mergeCell ref="B41:I41"/>
    <mergeCell ref="B36:I36"/>
    <mergeCell ref="B38:I38"/>
    <mergeCell ref="B5:I5"/>
    <mergeCell ref="B20:I20"/>
    <mergeCell ref="B24:I24"/>
  </mergeCells>
  <hyperlinks>
    <hyperlink ref="J2" location="'Αρχική σελίδα'!A1" display="Πίσω στην αρχική σελίδα" xr:uid="{BCCC15E5-B1DA-4962-BD7B-11D142F2E258}"/>
  </hyperlinks>
  <pageMargins left="0.7" right="0.7" top="0.75" bottom="0.75" header="0.3" footer="0.3"/>
  <pageSetup orientation="portrait" r:id="rId1"/>
  <customProperties>
    <customPr name="_pios_id" r:id="rId2"/>
  </customPropertie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Αρχική σελίδα</vt:lpstr>
      <vt:lpstr>Ανάλυση δήμων -&gt;</vt:lpstr>
      <vt:lpstr>Γενική περιγραφή</vt:lpstr>
      <vt:lpstr>Ανάλυση για νέους πελάτες</vt:lpstr>
      <vt:lpstr>Ανάπτυξη δικτύου</vt:lpstr>
      <vt:lpstr>Ενεργές συνδέσεις</vt:lpstr>
      <vt:lpstr>Ενεργοί μετρητές</vt:lpstr>
      <vt:lpstr>Ενεργοί πελάτες</vt:lpstr>
      <vt:lpstr>Παραδοχές μοναδιαίου κόστους</vt:lpstr>
      <vt:lpstr>Μέση ετήσια κατανάλωση</vt:lpstr>
      <vt:lpstr>Διανεμόμενες ποσότητες αερίου</vt:lpstr>
      <vt:lpstr>Επενδύσεις</vt:lpstr>
      <vt:lpstr>Παραδοχές διείσδυσης - κάλυψης</vt:lpstr>
      <vt:lpstr>Δείκτες διείσδυσης - κάλυψης</vt:lpstr>
      <vt:lpstr>Δείκτες απόδοσης</vt:lpstr>
      <vt:lpstr>Οικονομική ανάλυση δήμων -&gt;</vt:lpstr>
      <vt:lpstr>Αποτελέσματα ανάλυσης</vt:lpstr>
      <vt:lpstr>Ανάλυση ανά δήμο</vt:lpstr>
      <vt:lpstr>Συνολικό δίκτυο -&gt;</vt:lpstr>
      <vt:lpstr>Στοιχεία υφιστάμενου δικτύου</vt:lpstr>
      <vt:lpstr>Πρόγραμμα ανάπτυξης δικτύου</vt:lpstr>
      <vt:lpstr>Συνολικοί δείκτες απόδοσης</vt:lpstr>
      <vt:lpstr>Επίπτωση στη μέση χρέωση</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Fotis Thomaidis</dc:creator>
  <cp:keywords/>
  <dc:description/>
  <cp:lastModifiedBy>Violeta Belekou</cp:lastModifiedBy>
  <cp:revision/>
  <dcterms:created xsi:type="dcterms:W3CDTF">2021-04-23T06:42:23Z</dcterms:created>
  <dcterms:modified xsi:type="dcterms:W3CDTF">2024-03-10T13:36:54Z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fWorkbookId">
    <vt:lpwstr>c6aa5288-4901-49b7-89d2-25fcd67d8bb8</vt:lpwstr>
  </property>
</Properties>
</file>